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d.docs.live.net/cf5c4c3b35c1e899/Documents/Arena 2023/London/R3/Results R3/"/>
    </mc:Choice>
  </mc:AlternateContent>
  <xr:revisionPtr revIDLastSave="5" documentId="8_{C587D7EE-1340-49D3-AA9D-8DE905612BA9}" xr6:coauthVersionLast="47" xr6:coauthVersionMax="47" xr10:uidLastSave="{A52E7F49-8EFA-49F9-9FE4-F6835828BF9C}"/>
  <bookViews>
    <workbookView minimized="1" xWindow="5220" yWindow="5220" windowWidth="7500" windowHeight="6000" tabRatio="500" firstSheet="1" activeTab="3" xr2:uid="{00000000-000D-0000-FFFF-FFFF00000000}"/>
  </bookViews>
  <sheets>
    <sheet name="Gala Setup" sheetId="1" r:id="rId1"/>
    <sheet name="Club Names &amp; Codes" sheetId="2" r:id="rId2"/>
    <sheet name="Lane Timer sheets" sheetId="3" r:id="rId3"/>
    <sheet name="Recording" sheetId="4" r:id="rId4"/>
    <sheet name="Quick Check" sheetId="5" r:id="rId5"/>
    <sheet name="Eligibility" sheetId="6" r:id="rId6"/>
    <sheet name="Final result" sheetId="7" state="hidden" r:id="rId7"/>
    <sheet name="Team 1" sheetId="8" r:id="rId8"/>
    <sheet name="Team 2" sheetId="9" r:id="rId9"/>
    <sheet name="Team 3" sheetId="10" r:id="rId10"/>
    <sheet name="Team 4" sheetId="11" r:id="rId11"/>
    <sheet name="Team 5" sheetId="12" r:id="rId12"/>
    <sheet name="Team 6" sheetId="13" r:id="rId13"/>
    <sheet name="Team 7" sheetId="14" r:id="rId14"/>
    <sheet name="Team 8" sheetId="15" r:id="rId15"/>
    <sheet name="Team 9" sheetId="16" r:id="rId16"/>
    <sheet name="Team 10" sheetId="17" r:id="rId17"/>
    <sheet name="HDR" sheetId="18" r:id="rId18"/>
    <sheet name="MRF" sheetId="19" r:id="rId19"/>
    <sheet name="Print 6 Lane" sheetId="20" r:id="rId20"/>
    <sheet name="Print 8 Lane" sheetId="21" r:id="rId21"/>
    <sheet name="print 10 lane" sheetId="22" r:id="rId22"/>
  </sheets>
  <definedNames>
    <definedName name="_xlnm._FilterDatabase" localSheetId="1" hidden="1">'Club Names &amp; Codes'!$A$2:$I$1388</definedName>
    <definedName name="_xlnm._FilterDatabase" localSheetId="5" hidden="1">Eligibility!$C$6:$AG$40</definedName>
    <definedName name="_xlnm.Print_Area" localSheetId="5">Eligibility!$B$1:$AG$40</definedName>
    <definedName name="_xlnm.Print_Area" localSheetId="6">'Final result'!$F$1:$BO$26</definedName>
    <definedName name="_xlnm.Print_Area" localSheetId="0">'Gala Setup'!$AD$2:$AN$13</definedName>
    <definedName name="_xlnm.Print_Area" localSheetId="2">'Lane Timer sheets'!$K$4:$BR$112</definedName>
    <definedName name="_xlnm.Print_Area" localSheetId="21">'print 10 lane'!$B$2:$AL$182</definedName>
    <definedName name="_xlnm.Print_Area" localSheetId="19">'Print 6 Lane'!$B$2:$AI$179</definedName>
    <definedName name="_xlnm.Print_Area" localSheetId="20">'Print 8 Lane'!$A$2:$AC$180</definedName>
    <definedName name="_xlnm.Print_Area" localSheetId="4">'Quick Check'!$B$1:$W$53</definedName>
    <definedName name="_xlnm.Print_Area" localSheetId="3">Recording!$B$1:$Q$26</definedName>
    <definedName name="_xlnm.Print_Area" localSheetId="7">'Team 1'!$AD$1:$AN$109</definedName>
    <definedName name="_xlnm.Print_Area" localSheetId="16">'Team 10'!$AD$1:$AP$105</definedName>
    <definedName name="_xlnm.Print_Area" localSheetId="8">'Team 2'!$AD$1:$AN$105</definedName>
    <definedName name="_xlnm.Print_Area" localSheetId="9">'Team 3'!$AD$1:$AP$105</definedName>
    <definedName name="_xlnm.Print_Area" localSheetId="10">'Team 4'!$AD$1:$AO$105</definedName>
    <definedName name="_xlnm.Print_Area" localSheetId="11">'Team 5'!$AD$1:$AP$105</definedName>
    <definedName name="_xlnm.Print_Area" localSheetId="12">'Team 6'!$AD$1:$AP$105</definedName>
    <definedName name="_xlnm.Print_Area" localSheetId="13">'Team 7'!$AD$1:$AP$105</definedName>
    <definedName name="_xlnm.Print_Area" localSheetId="14">'Team 8'!$AD$1:$AP$105</definedName>
    <definedName name="_xlnm.Print_Area" localSheetId="15">'Team 9'!$AD$1:$AP$105</definedName>
    <definedName name="_xlnm.Print_Titles" localSheetId="2">'Lane Timer sheets'!$4:$6</definedName>
    <definedName name="_xlnm.Print_Titles" localSheetId="21">'print 10 lane'!$2:$11</definedName>
    <definedName name="_xlnm.Print_Titles" localSheetId="19">'Print 6 Lane'!$2:$11</definedName>
    <definedName name="_xlnm.Print_Titles" localSheetId="20">'Print 8 Lane'!$2:$11</definedName>
    <definedName name="_xlnm.Print_Titles" localSheetId="4">'Quick Check'!$1:$3</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4" i="18" l="1"/>
  <c r="Q644" i="22"/>
  <c r="I644" i="22"/>
  <c r="O643" i="22"/>
  <c r="Q642" i="22"/>
  <c r="P642" i="22"/>
  <c r="M642" i="22"/>
  <c r="Q641" i="22"/>
  <c r="N641" i="22"/>
  <c r="L641" i="22"/>
  <c r="J640" i="22"/>
  <c r="M639" i="22"/>
  <c r="J639" i="22"/>
  <c r="I639" i="22"/>
  <c r="K638" i="22"/>
  <c r="R637" i="22"/>
  <c r="R636" i="22"/>
  <c r="O636" i="22"/>
  <c r="N636" i="22"/>
  <c r="P635" i="22"/>
  <c r="O635" i="22"/>
  <c r="L635" i="22"/>
  <c r="K635" i="22"/>
  <c r="M634" i="22"/>
  <c r="I634" i="22"/>
  <c r="K629" i="22"/>
  <c r="O612" i="22"/>
  <c r="AJ147" i="22"/>
  <c r="AG147" i="22"/>
  <c r="AD147" i="22"/>
  <c r="AA147" i="22"/>
  <c r="X147" i="22"/>
  <c r="U147" i="22"/>
  <c r="R147" i="22"/>
  <c r="O147" i="22"/>
  <c r="L147" i="22"/>
  <c r="I147" i="22"/>
  <c r="AJ146" i="22"/>
  <c r="AG146" i="22"/>
  <c r="AI146" i="22" s="1"/>
  <c r="AD146" i="22"/>
  <c r="AA146" i="22"/>
  <c r="O644" i="22" s="1"/>
  <c r="Y146" i="22"/>
  <c r="X146" i="22"/>
  <c r="N644" i="22" s="1"/>
  <c r="U146" i="22"/>
  <c r="R146" i="22"/>
  <c r="O146" i="22"/>
  <c r="L146" i="22"/>
  <c r="I146" i="22"/>
  <c r="AJ145" i="22"/>
  <c r="AG145" i="22"/>
  <c r="AD145" i="22"/>
  <c r="AA145" i="22"/>
  <c r="X145" i="22"/>
  <c r="U145" i="22"/>
  <c r="R145" i="22"/>
  <c r="O145" i="22"/>
  <c r="L145" i="22"/>
  <c r="I145" i="22"/>
  <c r="AJ144" i="22"/>
  <c r="R643" i="22" s="1"/>
  <c r="AH144" i="22"/>
  <c r="AG144" i="22"/>
  <c r="AI144" i="22" s="1"/>
  <c r="AD144" i="22"/>
  <c r="AA144" i="22"/>
  <c r="X144" i="22"/>
  <c r="U144" i="22"/>
  <c r="M643" i="22" s="1"/>
  <c r="R144" i="22"/>
  <c r="L643" i="22" s="1"/>
  <c r="O144" i="22"/>
  <c r="L144" i="22"/>
  <c r="I144" i="22"/>
  <c r="AJ143" i="22"/>
  <c r="AG143" i="22"/>
  <c r="AD143" i="22"/>
  <c r="AA143" i="22"/>
  <c r="X143" i="22"/>
  <c r="U143" i="22"/>
  <c r="R143" i="22"/>
  <c r="O143" i="22"/>
  <c r="L143" i="22"/>
  <c r="I143" i="22"/>
  <c r="AL142" i="22"/>
  <c r="AJ142" i="22"/>
  <c r="AK142" i="22" s="1"/>
  <c r="AI142" i="22"/>
  <c r="AH142" i="22"/>
  <c r="AG142" i="22"/>
  <c r="AF142" i="22"/>
  <c r="AE142" i="22"/>
  <c r="AD142" i="22"/>
  <c r="AA142" i="22"/>
  <c r="O642" i="22" s="1"/>
  <c r="X142" i="22"/>
  <c r="U142" i="22"/>
  <c r="R142" i="22"/>
  <c r="L642" i="22" s="1"/>
  <c r="O142" i="22"/>
  <c r="L142" i="22"/>
  <c r="J642" i="22" s="1"/>
  <c r="I142" i="22"/>
  <c r="I642" i="22" s="1"/>
  <c r="AJ141" i="22"/>
  <c r="AG141" i="22"/>
  <c r="AD141" i="22"/>
  <c r="AA141" i="22"/>
  <c r="X141" i="22"/>
  <c r="U141" i="22"/>
  <c r="R141" i="22"/>
  <c r="O141" i="22"/>
  <c r="L141" i="22"/>
  <c r="I141" i="22"/>
  <c r="AK140" i="22"/>
  <c r="AJ140" i="22"/>
  <c r="AL140" i="22" s="1"/>
  <c r="AH140" i="22"/>
  <c r="AG140" i="22"/>
  <c r="AI140" i="22" s="1"/>
  <c r="AD140" i="22"/>
  <c r="AA140" i="22"/>
  <c r="O641" i="22" s="1"/>
  <c r="X140" i="22"/>
  <c r="U140" i="22"/>
  <c r="R140" i="22"/>
  <c r="T140" i="22" s="1"/>
  <c r="O140" i="22"/>
  <c r="K641" i="22" s="1"/>
  <c r="L140" i="22"/>
  <c r="J641" i="22" s="1"/>
  <c r="I140" i="22"/>
  <c r="AJ139" i="22"/>
  <c r="AG139" i="22"/>
  <c r="AD139" i="22"/>
  <c r="AA139" i="22"/>
  <c r="X139" i="22"/>
  <c r="U139" i="22"/>
  <c r="R139" i="22"/>
  <c r="O139" i="22"/>
  <c r="L139" i="22"/>
  <c r="I139" i="22"/>
  <c r="AJ138" i="22"/>
  <c r="AG138" i="22"/>
  <c r="Q640" i="22" s="1"/>
  <c r="AD138" i="22"/>
  <c r="AA138" i="22"/>
  <c r="X138" i="22"/>
  <c r="N640" i="22" s="1"/>
  <c r="U138" i="22"/>
  <c r="R138" i="22"/>
  <c r="O138" i="22"/>
  <c r="L138" i="22"/>
  <c r="I138" i="22"/>
  <c r="AJ137" i="22"/>
  <c r="AG137" i="22"/>
  <c r="AD137" i="22"/>
  <c r="AA137" i="22"/>
  <c r="X137" i="22"/>
  <c r="U137" i="22"/>
  <c r="R137" i="22"/>
  <c r="O137" i="22"/>
  <c r="L137" i="22"/>
  <c r="I137" i="22"/>
  <c r="AL136" i="22"/>
  <c r="AK136" i="22"/>
  <c r="AJ136" i="22"/>
  <c r="R639" i="22" s="1"/>
  <c r="AI136" i="22"/>
  <c r="AH136" i="22"/>
  <c r="AG136" i="22"/>
  <c r="Q639" i="22" s="1"/>
  <c r="AD136" i="22"/>
  <c r="P639" i="22" s="1"/>
  <c r="AA136" i="22"/>
  <c r="O639" i="22" s="1"/>
  <c r="X136" i="22"/>
  <c r="N639" i="22" s="1"/>
  <c r="U136" i="22"/>
  <c r="R136" i="22"/>
  <c r="O136" i="22"/>
  <c r="K639" i="22" s="1"/>
  <c r="L136" i="22"/>
  <c r="I136" i="22"/>
  <c r="AJ135" i="22"/>
  <c r="AG135" i="22"/>
  <c r="AD135" i="22"/>
  <c r="AA135" i="22"/>
  <c r="X135" i="22"/>
  <c r="U135" i="22"/>
  <c r="R135" i="22"/>
  <c r="O135" i="22"/>
  <c r="L135" i="22"/>
  <c r="I135" i="22"/>
  <c r="AJ134" i="22"/>
  <c r="AG134" i="22"/>
  <c r="AF134" i="22"/>
  <c r="AE134" i="22"/>
  <c r="AD134" i="22"/>
  <c r="P638" i="22" s="1"/>
  <c r="AA134" i="22"/>
  <c r="X134" i="22"/>
  <c r="U134" i="22"/>
  <c r="M638" i="22" s="1"/>
  <c r="R134" i="22"/>
  <c r="O134" i="22"/>
  <c r="L134" i="22"/>
  <c r="I134" i="22"/>
  <c r="I638" i="22" s="1"/>
  <c r="AJ133" i="22"/>
  <c r="AG133" i="22"/>
  <c r="AD133" i="22"/>
  <c r="AA133" i="22"/>
  <c r="X133" i="22"/>
  <c r="U133" i="22"/>
  <c r="R133" i="22"/>
  <c r="O133" i="22"/>
  <c r="L133" i="22"/>
  <c r="I133" i="22"/>
  <c r="AK132" i="22"/>
  <c r="AJ132" i="22"/>
  <c r="AL132" i="22" s="1"/>
  <c r="AG132" i="22"/>
  <c r="AD132" i="22"/>
  <c r="AC132" i="22"/>
  <c r="AB132" i="22"/>
  <c r="AA132" i="22"/>
  <c r="O637" i="22" s="1"/>
  <c r="X132" i="22"/>
  <c r="U132" i="22"/>
  <c r="R132" i="22"/>
  <c r="O132" i="22"/>
  <c r="L133" i="20" s="1"/>
  <c r="L132" i="22"/>
  <c r="J637" i="22" s="1"/>
  <c r="K132" i="22"/>
  <c r="I132" i="22"/>
  <c r="J132" i="22" s="1"/>
  <c r="AJ131" i="22"/>
  <c r="AG131" i="22"/>
  <c r="AD131" i="22"/>
  <c r="AA131" i="22"/>
  <c r="X131" i="22"/>
  <c r="U131" i="22"/>
  <c r="R131" i="22"/>
  <c r="O131" i="22"/>
  <c r="L131" i="22"/>
  <c r="I131" i="22"/>
  <c r="AL130" i="22"/>
  <c r="AK130" i="22"/>
  <c r="AJ130" i="22"/>
  <c r="AH130" i="22"/>
  <c r="AG130" i="22"/>
  <c r="AI130" i="22" s="1"/>
  <c r="AE130" i="22"/>
  <c r="AD130" i="22"/>
  <c r="AA130" i="22"/>
  <c r="X130" i="22"/>
  <c r="U130" i="22"/>
  <c r="R130" i="22"/>
  <c r="O130" i="22"/>
  <c r="K636" i="22" s="1"/>
  <c r="L130" i="22"/>
  <c r="J636" i="22" s="1"/>
  <c r="I130" i="22"/>
  <c r="I636" i="22" s="1"/>
  <c r="AJ129" i="22"/>
  <c r="AG129" i="22"/>
  <c r="AD129" i="22"/>
  <c r="AA129" i="22"/>
  <c r="X129" i="22"/>
  <c r="U129" i="22"/>
  <c r="R129" i="22"/>
  <c r="O129" i="22"/>
  <c r="L129" i="22"/>
  <c r="I129" i="22"/>
  <c r="AJ127" i="22"/>
  <c r="AI127" i="22"/>
  <c r="AH127" i="22"/>
  <c r="AG127" i="22"/>
  <c r="Q635" i="22" s="1"/>
  <c r="AF127" i="22"/>
  <c r="AE127" i="22"/>
  <c r="AD127" i="22"/>
  <c r="AA127" i="22"/>
  <c r="X127" i="22"/>
  <c r="U127" i="22"/>
  <c r="R127" i="22"/>
  <c r="O127" i="22"/>
  <c r="L127" i="22"/>
  <c r="I127" i="22"/>
  <c r="AJ126" i="22"/>
  <c r="AG126" i="22"/>
  <c r="AD126" i="22"/>
  <c r="AA126" i="22"/>
  <c r="X126" i="22"/>
  <c r="U126" i="22"/>
  <c r="R126" i="22"/>
  <c r="O126" i="22"/>
  <c r="L126" i="22"/>
  <c r="I126" i="22"/>
  <c r="AJ124" i="22"/>
  <c r="R634" i="22" s="1"/>
  <c r="AI124" i="22"/>
  <c r="AH124" i="22"/>
  <c r="AG124" i="22"/>
  <c r="Q634" i="22" s="1"/>
  <c r="AF124" i="22"/>
  <c r="AD124" i="22"/>
  <c r="AA124" i="22"/>
  <c r="O634" i="22" s="1"/>
  <c r="X124" i="22"/>
  <c r="N634" i="22" s="1"/>
  <c r="U124" i="22"/>
  <c r="R124" i="22"/>
  <c r="O124" i="22"/>
  <c r="K634" i="22" s="1"/>
  <c r="L124" i="22"/>
  <c r="I124" i="22"/>
  <c r="AJ123" i="22"/>
  <c r="AG123" i="22"/>
  <c r="AD123" i="22"/>
  <c r="AA123" i="22"/>
  <c r="X123" i="22"/>
  <c r="U123" i="22"/>
  <c r="R123" i="22"/>
  <c r="O123" i="22"/>
  <c r="L123" i="22"/>
  <c r="I123" i="22"/>
  <c r="AJ121" i="22"/>
  <c r="R633" i="22" s="1"/>
  <c r="AI121" i="22"/>
  <c r="AG121" i="22"/>
  <c r="AD121" i="22"/>
  <c r="P633" i="22" s="1"/>
  <c r="AA121" i="22"/>
  <c r="O633" i="22" s="1"/>
  <c r="X121" i="22"/>
  <c r="U121" i="22"/>
  <c r="R121" i="22"/>
  <c r="L633" i="22" s="1"/>
  <c r="O121" i="22"/>
  <c r="K633" i="22" s="1"/>
  <c r="L121" i="22"/>
  <c r="I121" i="22"/>
  <c r="AJ120" i="22"/>
  <c r="AG120" i="22"/>
  <c r="AD120" i="22"/>
  <c r="AA120" i="21" s="1"/>
  <c r="AA120" i="22"/>
  <c r="X120" i="22"/>
  <c r="U120" i="22"/>
  <c r="R120" i="22"/>
  <c r="O120" i="22"/>
  <c r="L120" i="22"/>
  <c r="I120" i="22"/>
  <c r="AJ118" i="22"/>
  <c r="AG118" i="22"/>
  <c r="AF118" i="22"/>
  <c r="AE118" i="22"/>
  <c r="AD118" i="22"/>
  <c r="P632" i="22" s="1"/>
  <c r="AA118" i="22"/>
  <c r="O632" i="22" s="1"/>
  <c r="X118" i="22"/>
  <c r="U118" i="22"/>
  <c r="M632" i="22" s="1"/>
  <c r="R118" i="22"/>
  <c r="L632" i="22" s="1"/>
  <c r="O118" i="22"/>
  <c r="K632" i="22" s="1"/>
  <c r="L118" i="22"/>
  <c r="I118" i="22"/>
  <c r="AJ117" i="22"/>
  <c r="AG117" i="22"/>
  <c r="AD117" i="22"/>
  <c r="AA117" i="22"/>
  <c r="X117" i="22"/>
  <c r="U117" i="22"/>
  <c r="R117" i="22"/>
  <c r="O117" i="22"/>
  <c r="L117" i="22"/>
  <c r="I117" i="22"/>
  <c r="AL115" i="22"/>
  <c r="AJ115" i="22"/>
  <c r="R631" i="22" s="1"/>
  <c r="AG115" i="22"/>
  <c r="AF115" i="22"/>
  <c r="AD115" i="22"/>
  <c r="P631" i="22" s="1"/>
  <c r="AA115" i="22"/>
  <c r="X115" i="22"/>
  <c r="N631" i="22" s="1"/>
  <c r="U115" i="22"/>
  <c r="M631" i="22" s="1"/>
  <c r="R115" i="22"/>
  <c r="O115" i="22"/>
  <c r="L115" i="22"/>
  <c r="I115" i="22"/>
  <c r="AJ114" i="22"/>
  <c r="AG114" i="22"/>
  <c r="AD114" i="22"/>
  <c r="AA114" i="22"/>
  <c r="X114" i="22"/>
  <c r="U114" i="22"/>
  <c r="R114" i="22"/>
  <c r="O114" i="22"/>
  <c r="L114" i="22"/>
  <c r="I114" i="22"/>
  <c r="AJ112" i="22"/>
  <c r="AG112" i="22"/>
  <c r="AD112" i="22"/>
  <c r="AA112" i="22"/>
  <c r="O630" i="22" s="1"/>
  <c r="X112" i="22"/>
  <c r="N630" i="22" s="1"/>
  <c r="U112" i="22"/>
  <c r="M630" i="22" s="1"/>
  <c r="R112" i="22"/>
  <c r="O112" i="22"/>
  <c r="K630" i="22" s="1"/>
  <c r="L112" i="22"/>
  <c r="I112" i="22"/>
  <c r="AJ111" i="22"/>
  <c r="AG111" i="22"/>
  <c r="AD111" i="22"/>
  <c r="AA111" i="22"/>
  <c r="X111" i="22"/>
  <c r="U111" i="22"/>
  <c r="R111" i="22"/>
  <c r="O111" i="22"/>
  <c r="L111" i="22"/>
  <c r="I111" i="22"/>
  <c r="AJ109" i="22"/>
  <c r="AH109" i="22"/>
  <c r="AG109" i="22"/>
  <c r="AD109" i="22"/>
  <c r="P629" i="22" s="1"/>
  <c r="AA109" i="22"/>
  <c r="X109" i="22"/>
  <c r="N629" i="22" s="1"/>
  <c r="U109" i="22"/>
  <c r="R109" i="22"/>
  <c r="O109" i="22"/>
  <c r="L109" i="22"/>
  <c r="I109" i="22"/>
  <c r="AJ108" i="22"/>
  <c r="AG108" i="22"/>
  <c r="AD108" i="22"/>
  <c r="AA108" i="22"/>
  <c r="X108" i="22"/>
  <c r="U108" i="22"/>
  <c r="R108" i="22"/>
  <c r="O108" i="22"/>
  <c r="L108" i="22"/>
  <c r="I108" i="22"/>
  <c r="AK106" i="22"/>
  <c r="AJ106" i="22"/>
  <c r="AI106" i="22"/>
  <c r="AH106" i="22"/>
  <c r="AG106" i="22"/>
  <c r="Q628" i="22" s="1"/>
  <c r="AD106" i="22"/>
  <c r="P628" i="22" s="1"/>
  <c r="AA106" i="22"/>
  <c r="X106" i="22"/>
  <c r="U106" i="22"/>
  <c r="R106" i="22"/>
  <c r="O106" i="22"/>
  <c r="K628" i="22" s="1"/>
  <c r="L106" i="22"/>
  <c r="I106" i="22"/>
  <c r="AJ105" i="22"/>
  <c r="AG105" i="22"/>
  <c r="AD105" i="22"/>
  <c r="AA105" i="21" s="1"/>
  <c r="AA105" i="22"/>
  <c r="X105" i="22"/>
  <c r="U105" i="22"/>
  <c r="R105" i="22"/>
  <c r="O105" i="22"/>
  <c r="L105" i="22"/>
  <c r="I105" i="22"/>
  <c r="AL103" i="22"/>
  <c r="AK103" i="22"/>
  <c r="AJ103" i="22"/>
  <c r="AI103" i="22"/>
  <c r="AH103" i="22"/>
  <c r="AG103" i="22"/>
  <c r="AD103" i="22"/>
  <c r="AA103" i="22"/>
  <c r="X103" i="22"/>
  <c r="U103" i="22"/>
  <c r="R103" i="22"/>
  <c r="O103" i="22"/>
  <c r="L103" i="22"/>
  <c r="I103" i="22"/>
  <c r="AJ102" i="22"/>
  <c r="AG102" i="22"/>
  <c r="AD102" i="22"/>
  <c r="AA102" i="22"/>
  <c r="X102" i="22"/>
  <c r="U102" i="22"/>
  <c r="R102" i="22"/>
  <c r="O102" i="22"/>
  <c r="L102" i="22"/>
  <c r="I102" i="22"/>
  <c r="AL100" i="22"/>
  <c r="AK100" i="22"/>
  <c r="AJ100" i="22"/>
  <c r="R626" i="22" s="1"/>
  <c r="AI100" i="22"/>
  <c r="AH100" i="22"/>
  <c r="AG100" i="22"/>
  <c r="Q626" i="22" s="1"/>
  <c r="AD100" i="22"/>
  <c r="AA100" i="22"/>
  <c r="O626" i="22" s="1"/>
  <c r="X100" i="22"/>
  <c r="U100" i="22"/>
  <c r="R100" i="22"/>
  <c r="O100" i="22"/>
  <c r="K626" i="22" s="1"/>
  <c r="L100" i="22"/>
  <c r="J626" i="22" s="1"/>
  <c r="I100" i="22"/>
  <c r="AJ99" i="22"/>
  <c r="AG99" i="22"/>
  <c r="AD99" i="22"/>
  <c r="AA99" i="22"/>
  <c r="X99" i="22"/>
  <c r="U99" i="22"/>
  <c r="R99" i="22"/>
  <c r="O99" i="22"/>
  <c r="L99" i="22"/>
  <c r="I99" i="22"/>
  <c r="AL97" i="22"/>
  <c r="AK97" i="22"/>
  <c r="AJ97" i="22"/>
  <c r="R625" i="22" s="1"/>
  <c r="AH97" i="22"/>
  <c r="AG97" i="22"/>
  <c r="AE97" i="22"/>
  <c r="AD97" i="22"/>
  <c r="AA97" i="22"/>
  <c r="O625" i="22" s="1"/>
  <c r="X97" i="22"/>
  <c r="U97" i="22"/>
  <c r="R97" i="22"/>
  <c r="O97" i="22"/>
  <c r="L97" i="22"/>
  <c r="J625" i="22" s="1"/>
  <c r="I97" i="22"/>
  <c r="AJ96" i="22"/>
  <c r="AG96" i="22"/>
  <c r="AD96" i="22"/>
  <c r="AA96" i="22"/>
  <c r="X96" i="22"/>
  <c r="U96" i="22"/>
  <c r="R96" i="22"/>
  <c r="O96" i="22"/>
  <c r="L96" i="22"/>
  <c r="I96" i="22"/>
  <c r="AJ94" i="22"/>
  <c r="AH94" i="22"/>
  <c r="AG94" i="22"/>
  <c r="AD94" i="22"/>
  <c r="AA94" i="22"/>
  <c r="O624" i="22" s="1"/>
  <c r="X94" i="22"/>
  <c r="U94" i="22"/>
  <c r="R94" i="22"/>
  <c r="O94" i="22"/>
  <c r="K624" i="22" s="1"/>
  <c r="L94" i="22"/>
  <c r="I94" i="22"/>
  <c r="I624" i="22" s="1"/>
  <c r="AJ93" i="22"/>
  <c r="AG93" i="22"/>
  <c r="AD93" i="22"/>
  <c r="AA93" i="22"/>
  <c r="X93" i="22"/>
  <c r="U93" i="22"/>
  <c r="R93" i="22"/>
  <c r="O93" i="22"/>
  <c r="L93" i="22"/>
  <c r="I93" i="22"/>
  <c r="AJ91" i="22"/>
  <c r="R623" i="22" s="1"/>
  <c r="AG91" i="22"/>
  <c r="AE91" i="22"/>
  <c r="AD91" i="22"/>
  <c r="AA91" i="22"/>
  <c r="O623" i="22" s="1"/>
  <c r="X91" i="22"/>
  <c r="N623" i="22" s="1"/>
  <c r="U91" i="22"/>
  <c r="R91" i="22"/>
  <c r="O91" i="22"/>
  <c r="K623" i="22" s="1"/>
  <c r="L91" i="22"/>
  <c r="J623" i="22" s="1"/>
  <c r="I91" i="22"/>
  <c r="AJ90" i="22"/>
  <c r="AG90" i="22"/>
  <c r="AD90" i="22"/>
  <c r="AA90" i="22"/>
  <c r="X90" i="22"/>
  <c r="U90" i="22"/>
  <c r="R90" i="22"/>
  <c r="O90" i="22"/>
  <c r="L90" i="22"/>
  <c r="I90" i="22"/>
  <c r="AJ88" i="22"/>
  <c r="AG88" i="22"/>
  <c r="AF88" i="22"/>
  <c r="AE88" i="22"/>
  <c r="AD88" i="22"/>
  <c r="P622" i="22" s="1"/>
  <c r="AA88" i="22"/>
  <c r="X88" i="22"/>
  <c r="U88" i="22"/>
  <c r="R88" i="22"/>
  <c r="L622" i="22" s="1"/>
  <c r="O88" i="22"/>
  <c r="K622" i="22" s="1"/>
  <c r="L88" i="22"/>
  <c r="I88" i="22"/>
  <c r="AJ87" i="22"/>
  <c r="AG87" i="22"/>
  <c r="AD87" i="22"/>
  <c r="AA87" i="22"/>
  <c r="X87" i="22"/>
  <c r="U87" i="22"/>
  <c r="R87" i="22"/>
  <c r="O87" i="22"/>
  <c r="L87" i="22"/>
  <c r="I87" i="22"/>
  <c r="AJ85" i="22"/>
  <c r="AI85" i="22"/>
  <c r="AH85" i="22"/>
  <c r="AG85" i="22"/>
  <c r="Q621" i="22" s="1"/>
  <c r="AE85" i="22"/>
  <c r="AD85" i="22"/>
  <c r="P621" i="22" s="1"/>
  <c r="AA85" i="22"/>
  <c r="X85" i="22"/>
  <c r="U85" i="22"/>
  <c r="R85" i="22"/>
  <c r="L621" i="22" s="1"/>
  <c r="O85" i="22"/>
  <c r="L85" i="22"/>
  <c r="J85" i="22"/>
  <c r="I85" i="22"/>
  <c r="I621" i="22" s="1"/>
  <c r="AJ84" i="22"/>
  <c r="AG84" i="22"/>
  <c r="AD84" i="22"/>
  <c r="AA84" i="22"/>
  <c r="X84" i="22"/>
  <c r="U84" i="22"/>
  <c r="R84" i="22"/>
  <c r="O84" i="22"/>
  <c r="L84" i="22"/>
  <c r="I84" i="22"/>
  <c r="AL82" i="22"/>
  <c r="AK82" i="22"/>
  <c r="AJ82" i="22"/>
  <c r="R620" i="22" s="1"/>
  <c r="AG82" i="22"/>
  <c r="AI82" i="22" s="1"/>
  <c r="AD82" i="22"/>
  <c r="AA82" i="22"/>
  <c r="X82" i="22"/>
  <c r="U82" i="22"/>
  <c r="M620" i="22" s="1"/>
  <c r="R82" i="22"/>
  <c r="O82" i="22"/>
  <c r="L82" i="22"/>
  <c r="J620" i="22" s="1"/>
  <c r="I82" i="22"/>
  <c r="I620" i="22" s="1"/>
  <c r="AJ81" i="22"/>
  <c r="AG81" i="22"/>
  <c r="AD81" i="22"/>
  <c r="AA81" i="22"/>
  <c r="X81" i="22"/>
  <c r="U81" i="22"/>
  <c r="R81" i="22"/>
  <c r="O81" i="22"/>
  <c r="L81" i="22"/>
  <c r="I81" i="22"/>
  <c r="AJ79" i="22"/>
  <c r="AH79" i="22"/>
  <c r="AG79" i="22"/>
  <c r="AD79" i="22"/>
  <c r="AA79" i="22"/>
  <c r="X79" i="22"/>
  <c r="U79" i="22"/>
  <c r="R79" i="22"/>
  <c r="P79" i="22"/>
  <c r="O79" i="22"/>
  <c r="L79" i="22"/>
  <c r="I79" i="22"/>
  <c r="AJ78" i="22"/>
  <c r="AG78" i="22"/>
  <c r="AD78" i="22"/>
  <c r="AA78" i="22"/>
  <c r="X78" i="22"/>
  <c r="U78" i="22"/>
  <c r="R78" i="22"/>
  <c r="O78" i="22"/>
  <c r="L78" i="22"/>
  <c r="I78" i="22"/>
  <c r="AJ76" i="22"/>
  <c r="AH76" i="22"/>
  <c r="AG76" i="22"/>
  <c r="AD76" i="22"/>
  <c r="AA76" i="22"/>
  <c r="O618" i="22" s="1"/>
  <c r="X76" i="22"/>
  <c r="U76" i="22"/>
  <c r="R76" i="22"/>
  <c r="L618" i="22" s="1"/>
  <c r="O76" i="22"/>
  <c r="K618" i="22" s="1"/>
  <c r="L76" i="22"/>
  <c r="I76" i="22"/>
  <c r="AJ75" i="22"/>
  <c r="AG75" i="22"/>
  <c r="AD75" i="22"/>
  <c r="AA75" i="21" s="1"/>
  <c r="AA75" i="22"/>
  <c r="X75" i="22"/>
  <c r="U75" i="22"/>
  <c r="R75" i="22"/>
  <c r="O75" i="22"/>
  <c r="L75" i="22"/>
  <c r="I75" i="22"/>
  <c r="AJ73" i="22"/>
  <c r="AG73" i="22"/>
  <c r="AF73" i="22"/>
  <c r="AE73" i="22"/>
  <c r="AD73" i="22"/>
  <c r="P617" i="22" s="1"/>
  <c r="AA73" i="22"/>
  <c r="X73" i="22"/>
  <c r="U73" i="22"/>
  <c r="M617" i="22" s="1"/>
  <c r="R73" i="22"/>
  <c r="O73" i="22"/>
  <c r="L73" i="22"/>
  <c r="K73" i="22"/>
  <c r="J73" i="22"/>
  <c r="I73" i="22"/>
  <c r="I617" i="22" s="1"/>
  <c r="AJ72" i="22"/>
  <c r="AG72" i="22"/>
  <c r="AD72" i="22"/>
  <c r="AA72" i="22"/>
  <c r="X72" i="22"/>
  <c r="U72" i="22"/>
  <c r="R72" i="22"/>
  <c r="O72" i="22"/>
  <c r="L72" i="22"/>
  <c r="I72" i="22"/>
  <c r="AL70" i="22"/>
  <c r="AK70" i="22"/>
  <c r="AJ70" i="22"/>
  <c r="R616" i="22" s="1"/>
  <c r="AG70" i="22"/>
  <c r="Q616" i="22" s="1"/>
  <c r="AD70" i="22"/>
  <c r="AA70" i="22"/>
  <c r="X70" i="22"/>
  <c r="U70" i="22"/>
  <c r="M616" i="22" s="1"/>
  <c r="R70" i="22"/>
  <c r="O70" i="22"/>
  <c r="L70" i="22"/>
  <c r="J616" i="22" s="1"/>
  <c r="I70" i="22"/>
  <c r="AJ69" i="22"/>
  <c r="AG69" i="22"/>
  <c r="AD69" i="22"/>
  <c r="AA69" i="22"/>
  <c r="X69" i="22"/>
  <c r="U69" i="22"/>
  <c r="R69" i="21" s="1"/>
  <c r="R69" i="22"/>
  <c r="O69" i="21" s="1"/>
  <c r="O69" i="22"/>
  <c r="L69" i="22"/>
  <c r="I69" i="22"/>
  <c r="AL67" i="22"/>
  <c r="AK67" i="22"/>
  <c r="AJ67" i="22"/>
  <c r="R615" i="22" s="1"/>
  <c r="AG67" i="22"/>
  <c r="AE67" i="22"/>
  <c r="AD67" i="22"/>
  <c r="AA67" i="22"/>
  <c r="O615" i="22" s="1"/>
  <c r="X67" i="22"/>
  <c r="N615" i="22" s="1"/>
  <c r="U67" i="22"/>
  <c r="R67" i="22"/>
  <c r="O67" i="22"/>
  <c r="K615" i="22" s="1"/>
  <c r="L67" i="22"/>
  <c r="I67" i="22"/>
  <c r="AJ66" i="22"/>
  <c r="AG66" i="22"/>
  <c r="AD66" i="22"/>
  <c r="AA66" i="22"/>
  <c r="X66" i="22"/>
  <c r="U66" i="22"/>
  <c r="R66" i="22"/>
  <c r="O66" i="22"/>
  <c r="L66" i="22"/>
  <c r="I66" i="22"/>
  <c r="AJ64" i="22"/>
  <c r="AG64" i="22"/>
  <c r="AD64" i="22"/>
  <c r="AC64" i="22"/>
  <c r="AB64" i="22"/>
  <c r="AA64" i="22"/>
  <c r="O614" i="22" s="1"/>
  <c r="X64" i="22"/>
  <c r="U64" i="22"/>
  <c r="R64" i="22"/>
  <c r="L614" i="22" s="1"/>
  <c r="O64" i="22"/>
  <c r="L64" i="22"/>
  <c r="I64" i="22"/>
  <c r="AJ63" i="22"/>
  <c r="AG63" i="22"/>
  <c r="AD63" i="22"/>
  <c r="AA63" i="21" s="1"/>
  <c r="AA63" i="22"/>
  <c r="X63" i="22"/>
  <c r="U63" i="22"/>
  <c r="R63" i="22"/>
  <c r="O63" i="22"/>
  <c r="L63" i="22"/>
  <c r="I63" i="22"/>
  <c r="AK61" i="22"/>
  <c r="AJ61" i="22"/>
  <c r="AH61" i="22"/>
  <c r="AG61" i="22"/>
  <c r="Q613" i="22" s="1"/>
  <c r="AF61" i="22"/>
  <c r="AE61" i="22"/>
  <c r="AD61" i="22"/>
  <c r="P613" i="22" s="1"/>
  <c r="AA61" i="22"/>
  <c r="X61" i="22"/>
  <c r="U61" i="22"/>
  <c r="M613" i="22" s="1"/>
  <c r="R61" i="22"/>
  <c r="O61" i="22"/>
  <c r="L61" i="21" s="1"/>
  <c r="L61" i="22"/>
  <c r="I61" i="22"/>
  <c r="AJ60" i="22"/>
  <c r="AG60" i="22"/>
  <c r="AD60" i="22"/>
  <c r="AA60" i="22"/>
  <c r="X60" i="22"/>
  <c r="U60" i="22"/>
  <c r="R60" i="22"/>
  <c r="O60" i="22"/>
  <c r="L60" i="22"/>
  <c r="I60" i="22"/>
  <c r="AJ58" i="22"/>
  <c r="AI58" i="22"/>
  <c r="AH58" i="22"/>
  <c r="AG58" i="22"/>
  <c r="Q612" i="22" s="1"/>
  <c r="AD58" i="22"/>
  <c r="AA58" i="22"/>
  <c r="X58" i="22"/>
  <c r="N612" i="22" s="1"/>
  <c r="U58" i="22"/>
  <c r="R58" i="22"/>
  <c r="O58" i="22"/>
  <c r="L58" i="22"/>
  <c r="I58" i="22"/>
  <c r="I612" i="22" s="1"/>
  <c r="AJ57" i="22"/>
  <c r="AG57" i="22"/>
  <c r="AD57" i="22"/>
  <c r="AA57" i="22"/>
  <c r="X57" i="22"/>
  <c r="U57" i="22"/>
  <c r="R57" i="22"/>
  <c r="O57" i="22"/>
  <c r="L57" i="21" s="1"/>
  <c r="L57" i="22"/>
  <c r="I57" i="22"/>
  <c r="AJ55" i="22"/>
  <c r="AH55" i="22"/>
  <c r="AG55" i="22"/>
  <c r="AD55" i="22"/>
  <c r="AA55" i="22"/>
  <c r="X55" i="22"/>
  <c r="U55" i="22"/>
  <c r="R55" i="22"/>
  <c r="O55" i="22"/>
  <c r="L55" i="22"/>
  <c r="I55" i="22"/>
  <c r="AJ54" i="22"/>
  <c r="AG54" i="22"/>
  <c r="AD54" i="22"/>
  <c r="AA54" i="22"/>
  <c r="X54" i="22"/>
  <c r="U54" i="22"/>
  <c r="R54" i="22"/>
  <c r="O54" i="22"/>
  <c r="L54" i="22"/>
  <c r="I54" i="22"/>
  <c r="AJ52" i="22"/>
  <c r="AH52" i="22"/>
  <c r="AG52" i="22"/>
  <c r="AD52" i="22"/>
  <c r="AA52" i="22"/>
  <c r="O610" i="22" s="1"/>
  <c r="X52" i="22"/>
  <c r="U52" i="22"/>
  <c r="R52" i="22"/>
  <c r="L610" i="22" s="1"/>
  <c r="O52" i="22"/>
  <c r="L52" i="22"/>
  <c r="I52" i="22"/>
  <c r="I610" i="22" s="1"/>
  <c r="AJ51" i="22"/>
  <c r="AG51" i="22"/>
  <c r="AD51" i="22"/>
  <c r="AA51" i="22"/>
  <c r="X51" i="22"/>
  <c r="U51" i="22"/>
  <c r="R51" i="22"/>
  <c r="O51" i="22"/>
  <c r="L51" i="22"/>
  <c r="I51" i="22"/>
  <c r="AJ49" i="22"/>
  <c r="AG49" i="22"/>
  <c r="AD49" i="22"/>
  <c r="P609" i="22" s="1"/>
  <c r="AA49" i="22"/>
  <c r="Z49" i="22"/>
  <c r="Y49" i="22"/>
  <c r="X49" i="22"/>
  <c r="N609" i="22" s="1"/>
  <c r="U49" i="22"/>
  <c r="R49" i="22"/>
  <c r="L609" i="22" s="1"/>
  <c r="O49" i="22"/>
  <c r="L49" i="22"/>
  <c r="J609" i="22" s="1"/>
  <c r="I49" i="22"/>
  <c r="I609" i="22" s="1"/>
  <c r="AJ48" i="22"/>
  <c r="AG48" i="22"/>
  <c r="AD48" i="22"/>
  <c r="AA48" i="22"/>
  <c r="X48" i="22"/>
  <c r="U48" i="22"/>
  <c r="R48" i="22"/>
  <c r="O48" i="22"/>
  <c r="L48" i="22"/>
  <c r="I48" i="22"/>
  <c r="AJ46" i="22"/>
  <c r="AH46" i="22"/>
  <c r="AG46" i="22"/>
  <c r="AE46" i="22"/>
  <c r="AD46" i="22"/>
  <c r="AA46" i="22"/>
  <c r="O608" i="22" s="1"/>
  <c r="X46" i="22"/>
  <c r="N608" i="22" s="1"/>
  <c r="U46" i="22"/>
  <c r="R46" i="22"/>
  <c r="O46" i="22"/>
  <c r="K608" i="22" s="1"/>
  <c r="L46" i="22"/>
  <c r="J608" i="22" s="1"/>
  <c r="I46" i="22"/>
  <c r="I608" i="22" s="1"/>
  <c r="AJ45" i="22"/>
  <c r="AG45" i="22"/>
  <c r="AD45" i="22"/>
  <c r="AA45" i="22"/>
  <c r="X45" i="22"/>
  <c r="U45" i="22"/>
  <c r="R45" i="22"/>
  <c r="O45" i="22"/>
  <c r="L45" i="22"/>
  <c r="I45" i="22"/>
  <c r="AJ43" i="22"/>
  <c r="AG43" i="22"/>
  <c r="AE43" i="22"/>
  <c r="AD43" i="22"/>
  <c r="P607" i="22" s="1"/>
  <c r="AA43" i="22"/>
  <c r="X43" i="22"/>
  <c r="N607" i="22" s="1"/>
  <c r="U43" i="22"/>
  <c r="R43" i="22"/>
  <c r="L607" i="22" s="1"/>
  <c r="O43" i="22"/>
  <c r="K607" i="22" s="1"/>
  <c r="L43" i="22"/>
  <c r="J607" i="22" s="1"/>
  <c r="I43" i="22"/>
  <c r="AJ42" i="22"/>
  <c r="AG42" i="22"/>
  <c r="AD42" i="22"/>
  <c r="AA42" i="22"/>
  <c r="X42" i="22"/>
  <c r="U42" i="22"/>
  <c r="R42" i="22"/>
  <c r="O42" i="22"/>
  <c r="L42" i="22"/>
  <c r="I42" i="22"/>
  <c r="AJ40" i="22"/>
  <c r="AG40" i="22"/>
  <c r="AF40" i="22"/>
  <c r="AE40" i="22"/>
  <c r="AD40" i="22"/>
  <c r="P606" i="22" s="1"/>
  <c r="AA40" i="22"/>
  <c r="O606" i="22" s="1"/>
  <c r="X40" i="22"/>
  <c r="U40" i="22"/>
  <c r="M606" i="22" s="1"/>
  <c r="R40" i="22"/>
  <c r="O40" i="22"/>
  <c r="K606" i="22" s="1"/>
  <c r="L40" i="22"/>
  <c r="I40" i="22"/>
  <c r="I606" i="22" s="1"/>
  <c r="AJ39" i="22"/>
  <c r="AG39" i="22"/>
  <c r="AD39" i="22"/>
  <c r="AA39" i="22"/>
  <c r="X39" i="22"/>
  <c r="U39" i="22"/>
  <c r="R39" i="22"/>
  <c r="O39" i="22"/>
  <c r="L39" i="22"/>
  <c r="I39" i="22"/>
  <c r="AJ37" i="22"/>
  <c r="AH37" i="22"/>
  <c r="AG37" i="22"/>
  <c r="Q605" i="22" s="1"/>
  <c r="AF37" i="22"/>
  <c r="AE37" i="22"/>
  <c r="AD37" i="22"/>
  <c r="P605" i="22" s="1"/>
  <c r="AA37" i="22"/>
  <c r="X37" i="22"/>
  <c r="N605" i="22" s="1"/>
  <c r="U37" i="22"/>
  <c r="M605" i="22" s="1"/>
  <c r="R37" i="22"/>
  <c r="L605" i="22" s="1"/>
  <c r="O37" i="22"/>
  <c r="L37" i="22"/>
  <c r="J605" i="22" s="1"/>
  <c r="I37" i="22"/>
  <c r="AJ36" i="22"/>
  <c r="AG36" i="22"/>
  <c r="AD36" i="22"/>
  <c r="AA36" i="22"/>
  <c r="X36" i="22"/>
  <c r="U36" i="22"/>
  <c r="R36" i="22"/>
  <c r="O36" i="22"/>
  <c r="L36" i="22"/>
  <c r="I36" i="22"/>
  <c r="AL34" i="22"/>
  <c r="AK34" i="22"/>
  <c r="AJ34" i="22"/>
  <c r="R604" i="22" s="1"/>
  <c r="AI34" i="22"/>
  <c r="AH34" i="22"/>
  <c r="AG34" i="22"/>
  <c r="Q604" i="22" s="1"/>
  <c r="AD34" i="22"/>
  <c r="AA34" i="22"/>
  <c r="O604" i="22" s="1"/>
  <c r="X34" i="22"/>
  <c r="N604" i="22" s="1"/>
  <c r="U34" i="22"/>
  <c r="M604" i="22" s="1"/>
  <c r="R34" i="22"/>
  <c r="O34" i="22"/>
  <c r="K604" i="22" s="1"/>
  <c r="L34" i="22"/>
  <c r="I34" i="22"/>
  <c r="I604" i="22" s="1"/>
  <c r="AJ33" i="22"/>
  <c r="AG33" i="22"/>
  <c r="AD33" i="22"/>
  <c r="AA33" i="22"/>
  <c r="X33" i="22"/>
  <c r="U33" i="22"/>
  <c r="R33" i="22"/>
  <c r="O33" i="22"/>
  <c r="L33" i="22"/>
  <c r="I33" i="22"/>
  <c r="AK32" i="22"/>
  <c r="AJ32" i="22"/>
  <c r="R603" i="22" s="1"/>
  <c r="AI32" i="22"/>
  <c r="AH32" i="22"/>
  <c r="AG32" i="22"/>
  <c r="Q603" i="22" s="1"/>
  <c r="AF32" i="22"/>
  <c r="AD32" i="22"/>
  <c r="P603" i="22" s="1"/>
  <c r="AA32" i="22"/>
  <c r="O603" i="22" s="1"/>
  <c r="X32" i="22"/>
  <c r="N603" i="22" s="1"/>
  <c r="U32" i="22"/>
  <c r="M603" i="22" s="1"/>
  <c r="R32" i="22"/>
  <c r="L603" i="22" s="1"/>
  <c r="Q32" i="22"/>
  <c r="O32" i="22"/>
  <c r="K603" i="22" s="1"/>
  <c r="L32" i="22"/>
  <c r="J603" i="22" s="1"/>
  <c r="I32" i="22"/>
  <c r="I603" i="22" s="1"/>
  <c r="AJ31" i="22"/>
  <c r="AG31" i="22"/>
  <c r="AD31" i="22"/>
  <c r="AA31" i="22"/>
  <c r="X31" i="22"/>
  <c r="U31" i="22"/>
  <c r="R31" i="22"/>
  <c r="O31" i="22"/>
  <c r="L31" i="22"/>
  <c r="I31" i="22"/>
  <c r="AL30" i="22"/>
  <c r="AK30" i="22"/>
  <c r="AJ30" i="22"/>
  <c r="R602" i="22" s="1"/>
  <c r="AI30" i="22"/>
  <c r="AG30" i="22"/>
  <c r="Q602" i="22" s="1"/>
  <c r="AD30" i="22"/>
  <c r="AA30" i="22"/>
  <c r="X30" i="22"/>
  <c r="N602" i="22" s="1"/>
  <c r="U30" i="22"/>
  <c r="M602" i="22" s="1"/>
  <c r="R30" i="22"/>
  <c r="O30" i="22"/>
  <c r="L30" i="22"/>
  <c r="J602" i="22" s="1"/>
  <c r="I30" i="22"/>
  <c r="AJ29" i="22"/>
  <c r="AG29" i="22"/>
  <c r="AD29" i="22"/>
  <c r="AA29" i="22"/>
  <c r="X29" i="22"/>
  <c r="U29" i="22"/>
  <c r="R29" i="22"/>
  <c r="O29" i="22"/>
  <c r="L29" i="22"/>
  <c r="I29" i="22"/>
  <c r="AL28" i="22"/>
  <c r="AK28" i="22"/>
  <c r="AJ28" i="22"/>
  <c r="R601" i="22" s="1"/>
  <c r="AG28" i="22"/>
  <c r="Q601" i="22" s="1"/>
  <c r="AD28" i="22"/>
  <c r="AA28" i="22"/>
  <c r="O601" i="22" s="1"/>
  <c r="X28" i="22"/>
  <c r="N601" i="22" s="1"/>
  <c r="U28" i="22"/>
  <c r="M601" i="22" s="1"/>
  <c r="R28" i="22"/>
  <c r="L601" i="22" s="1"/>
  <c r="O28" i="22"/>
  <c r="K601" i="22" s="1"/>
  <c r="L28" i="22"/>
  <c r="J601" i="22" s="1"/>
  <c r="I28" i="22"/>
  <c r="I601" i="22" s="1"/>
  <c r="AJ27" i="22"/>
  <c r="AG27" i="22"/>
  <c r="AD27" i="22"/>
  <c r="AA27" i="22"/>
  <c r="X27" i="22"/>
  <c r="U27" i="22"/>
  <c r="R27" i="22"/>
  <c r="O27" i="22"/>
  <c r="L27" i="22"/>
  <c r="I27" i="22"/>
  <c r="AK26" i="22"/>
  <c r="AJ26" i="22"/>
  <c r="AI26" i="22"/>
  <c r="AH26" i="22"/>
  <c r="AG26" i="22"/>
  <c r="Q600" i="22" s="1"/>
  <c r="AF26" i="22"/>
  <c r="AE26" i="22"/>
  <c r="AD26" i="22"/>
  <c r="P600" i="22" s="1"/>
  <c r="AA26" i="22"/>
  <c r="X26" i="22"/>
  <c r="U26" i="22"/>
  <c r="M600" i="22" s="1"/>
  <c r="R26" i="22"/>
  <c r="O26" i="22"/>
  <c r="L26" i="22"/>
  <c r="J600" i="22" s="1"/>
  <c r="I26" i="22"/>
  <c r="I600" i="22" s="1"/>
  <c r="AJ25" i="22"/>
  <c r="AG25" i="22"/>
  <c r="AD25" i="22"/>
  <c r="AA25" i="22"/>
  <c r="X25" i="22"/>
  <c r="U25" i="22"/>
  <c r="R25" i="22"/>
  <c r="O25" i="22"/>
  <c r="L25" i="22"/>
  <c r="I25" i="22"/>
  <c r="AL24" i="22"/>
  <c r="AK24" i="22"/>
  <c r="AJ24" i="22"/>
  <c r="R599" i="22" s="1"/>
  <c r="AG24" i="22"/>
  <c r="AE24" i="22"/>
  <c r="AD24" i="22"/>
  <c r="P599" i="22" s="1"/>
  <c r="AA24" i="22"/>
  <c r="X24" i="22"/>
  <c r="N599" i="22" s="1"/>
  <c r="U24" i="22"/>
  <c r="R24" i="22"/>
  <c r="L599" i="22" s="1"/>
  <c r="O24" i="22"/>
  <c r="K599" i="22" s="1"/>
  <c r="L24" i="22"/>
  <c r="J599" i="22" s="1"/>
  <c r="I24" i="22"/>
  <c r="AJ23" i="22"/>
  <c r="AG23" i="22"/>
  <c r="AD23" i="22"/>
  <c r="AA23" i="22"/>
  <c r="X23" i="22"/>
  <c r="U23" i="22"/>
  <c r="R23" i="22"/>
  <c r="O23" i="22"/>
  <c r="L23" i="22"/>
  <c r="I23" i="22"/>
  <c r="AL22" i="22"/>
  <c r="AK22" i="22"/>
  <c r="AJ22" i="22"/>
  <c r="R598" i="22" s="1"/>
  <c r="AG22" i="22"/>
  <c r="AD22" i="22"/>
  <c r="AC22" i="22"/>
  <c r="AB22" i="22"/>
  <c r="AA22" i="22"/>
  <c r="O598" i="22" s="1"/>
  <c r="X22" i="22"/>
  <c r="N598" i="22" s="1"/>
  <c r="U22" i="22"/>
  <c r="R22" i="22"/>
  <c r="O22" i="22"/>
  <c r="K598" i="22" s="1"/>
  <c r="L22" i="22"/>
  <c r="J598" i="22" s="1"/>
  <c r="I22" i="22"/>
  <c r="AJ21" i="22"/>
  <c r="AG21" i="22"/>
  <c r="AD21" i="22"/>
  <c r="AA21" i="22"/>
  <c r="X21" i="22"/>
  <c r="U21" i="22"/>
  <c r="R21" i="22"/>
  <c r="O21" i="22"/>
  <c r="L21" i="22"/>
  <c r="I21" i="22"/>
  <c r="AL20" i="22"/>
  <c r="AJ20" i="22"/>
  <c r="R597" i="22" s="1"/>
  <c r="AG20" i="22"/>
  <c r="Q597" i="22" s="1"/>
  <c r="AE20" i="22"/>
  <c r="AD20" i="22"/>
  <c r="AA20" i="22"/>
  <c r="X20" i="22"/>
  <c r="N597" i="22" s="1"/>
  <c r="U20" i="22"/>
  <c r="R20" i="22"/>
  <c r="Q20" i="22"/>
  <c r="O20" i="22"/>
  <c r="K597" i="22" s="1"/>
  <c r="L20" i="22"/>
  <c r="I20" i="22"/>
  <c r="AJ19" i="22"/>
  <c r="AG19" i="22"/>
  <c r="AD19" i="22"/>
  <c r="AA19" i="22"/>
  <c r="X19" i="22"/>
  <c r="U19" i="22"/>
  <c r="R19" i="22"/>
  <c r="O19" i="22"/>
  <c r="L19" i="22"/>
  <c r="I19" i="22"/>
  <c r="AL18" i="22"/>
  <c r="AJ18" i="22"/>
  <c r="AG18" i="22"/>
  <c r="Q596" i="22" s="1"/>
  <c r="AD18" i="22"/>
  <c r="AA18" i="22"/>
  <c r="O596" i="22" s="1"/>
  <c r="X18" i="22"/>
  <c r="U18" i="22"/>
  <c r="M596" i="22" s="1"/>
  <c r="R18" i="22"/>
  <c r="L596" i="22" s="1"/>
  <c r="O18" i="22"/>
  <c r="L18" i="21" s="1"/>
  <c r="H594" i="21" s="1"/>
  <c r="L18" i="22"/>
  <c r="I18" i="22"/>
  <c r="AJ17" i="22"/>
  <c r="AG17" i="22"/>
  <c r="AD17" i="22"/>
  <c r="AA17" i="22"/>
  <c r="X17" i="22"/>
  <c r="U17" i="21" s="1"/>
  <c r="U17" i="22"/>
  <c r="R17" i="22"/>
  <c r="O17" i="22"/>
  <c r="L17" i="22"/>
  <c r="I17" i="22"/>
  <c r="AK15" i="22"/>
  <c r="AJ15" i="22"/>
  <c r="AI15" i="22"/>
  <c r="AH15" i="22"/>
  <c r="AG15" i="22"/>
  <c r="Q595" i="22" s="1"/>
  <c r="AE15" i="22"/>
  <c r="AD15" i="22"/>
  <c r="AA15" i="22"/>
  <c r="X15" i="22"/>
  <c r="U15" i="22"/>
  <c r="R15" i="22"/>
  <c r="O15" i="22"/>
  <c r="L15" i="22"/>
  <c r="J595" i="22" s="1"/>
  <c r="K15" i="22"/>
  <c r="J15" i="22"/>
  <c r="I15" i="22"/>
  <c r="I595" i="22" s="1"/>
  <c r="E15" i="22"/>
  <c r="AJ14" i="22"/>
  <c r="AG14" i="22"/>
  <c r="AD14" i="22"/>
  <c r="AA14" i="22"/>
  <c r="X14" i="22"/>
  <c r="U14" i="22"/>
  <c r="R14" i="22"/>
  <c r="O14" i="22"/>
  <c r="L14" i="22"/>
  <c r="I14" i="22"/>
  <c r="F14" i="21" s="1"/>
  <c r="AL12" i="22"/>
  <c r="AK12" i="22"/>
  <c r="AJ12" i="22"/>
  <c r="R594" i="22" s="1"/>
  <c r="AI12" i="22"/>
  <c r="AH12" i="22"/>
  <c r="AG12" i="22"/>
  <c r="Q594" i="22" s="1"/>
  <c r="AF12" i="22"/>
  <c r="AE12" i="22"/>
  <c r="AD12" i="22"/>
  <c r="P594" i="22" s="1"/>
  <c r="AA12" i="22"/>
  <c r="O594" i="22" s="1"/>
  <c r="X12" i="22"/>
  <c r="U12" i="22"/>
  <c r="M594" i="22" s="1"/>
  <c r="R12" i="22"/>
  <c r="L594" i="22" s="1"/>
  <c r="O12" i="22"/>
  <c r="K594" i="22" s="1"/>
  <c r="L12" i="22"/>
  <c r="J594" i="22" s="1"/>
  <c r="I12" i="22"/>
  <c r="E12" i="22"/>
  <c r="AK5" i="22"/>
  <c r="AH5" i="22"/>
  <c r="AE5" i="22"/>
  <c r="AB5" i="22"/>
  <c r="Y5" i="22"/>
  <c r="V5" i="22"/>
  <c r="S5" i="22"/>
  <c r="P5" i="22"/>
  <c r="M5" i="22"/>
  <c r="J5" i="22"/>
  <c r="AG4" i="22"/>
  <c r="Y4" i="22"/>
  <c r="L4" i="22"/>
  <c r="AG3" i="22"/>
  <c r="Y3" i="22"/>
  <c r="R3" i="22"/>
  <c r="J3" i="22"/>
  <c r="I2" i="22"/>
  <c r="B1" i="22"/>
  <c r="O642" i="21"/>
  <c r="N642" i="21"/>
  <c r="L642" i="21"/>
  <c r="O641" i="21"/>
  <c r="N641" i="21"/>
  <c r="J641" i="21"/>
  <c r="O640" i="21"/>
  <c r="N640" i="21"/>
  <c r="K640" i="21"/>
  <c r="G640" i="21"/>
  <c r="O639" i="21"/>
  <c r="N639" i="21"/>
  <c r="M639" i="21"/>
  <c r="O638" i="21"/>
  <c r="N638" i="21"/>
  <c r="M638" i="21"/>
  <c r="L638" i="21"/>
  <c r="G638" i="21"/>
  <c r="O637" i="21"/>
  <c r="N637" i="21"/>
  <c r="M637" i="21"/>
  <c r="L637" i="21"/>
  <c r="O636" i="21"/>
  <c r="N636" i="21"/>
  <c r="L636" i="21"/>
  <c r="I636" i="21"/>
  <c r="H636" i="21"/>
  <c r="F636" i="21"/>
  <c r="O635" i="21"/>
  <c r="N635" i="21"/>
  <c r="M635" i="21"/>
  <c r="O634" i="21"/>
  <c r="N634" i="21"/>
  <c r="O633" i="21"/>
  <c r="N633" i="21"/>
  <c r="I633" i="21"/>
  <c r="F633" i="21"/>
  <c r="O632" i="21"/>
  <c r="N632" i="21"/>
  <c r="K632" i="21"/>
  <c r="G632" i="21"/>
  <c r="O631" i="21"/>
  <c r="N631" i="21"/>
  <c r="M631" i="21"/>
  <c r="H631" i="21"/>
  <c r="O630" i="21"/>
  <c r="N630" i="21"/>
  <c r="L630" i="21"/>
  <c r="I630" i="21"/>
  <c r="H630" i="21"/>
  <c r="F630" i="21"/>
  <c r="O629" i="21"/>
  <c r="N629" i="21"/>
  <c r="J629" i="21"/>
  <c r="I629" i="21"/>
  <c r="H629" i="21"/>
  <c r="O628" i="21"/>
  <c r="N628" i="21"/>
  <c r="G628" i="21"/>
  <c r="O627" i="21"/>
  <c r="N627" i="21"/>
  <c r="M627" i="21"/>
  <c r="I627" i="21"/>
  <c r="O626" i="21"/>
  <c r="N626" i="21"/>
  <c r="M626" i="21"/>
  <c r="I626" i="21"/>
  <c r="G626" i="21"/>
  <c r="O625" i="21"/>
  <c r="N625" i="21"/>
  <c r="O624" i="21"/>
  <c r="N624" i="21"/>
  <c r="O623" i="21"/>
  <c r="N623" i="21"/>
  <c r="J623" i="21"/>
  <c r="H623" i="21"/>
  <c r="F623" i="21"/>
  <c r="O622" i="21"/>
  <c r="N622" i="21"/>
  <c r="G622" i="21"/>
  <c r="O621" i="21"/>
  <c r="N621" i="21"/>
  <c r="M621" i="21"/>
  <c r="I621" i="21"/>
  <c r="F621" i="21"/>
  <c r="O620" i="21"/>
  <c r="N620" i="21"/>
  <c r="L620" i="21"/>
  <c r="G620" i="21"/>
  <c r="O619" i="21"/>
  <c r="N619" i="21"/>
  <c r="L619" i="21"/>
  <c r="I619" i="21"/>
  <c r="O618" i="21"/>
  <c r="N618" i="21"/>
  <c r="O617" i="21"/>
  <c r="N617" i="21"/>
  <c r="I617" i="21"/>
  <c r="H617" i="21"/>
  <c r="O616" i="21"/>
  <c r="N616" i="21"/>
  <c r="K616" i="21"/>
  <c r="O615" i="21"/>
  <c r="N615" i="21"/>
  <c r="O614" i="21"/>
  <c r="N614" i="21"/>
  <c r="M614" i="21"/>
  <c r="I614" i="21"/>
  <c r="O613" i="21"/>
  <c r="N613" i="21"/>
  <c r="O612" i="21"/>
  <c r="N612" i="21"/>
  <c r="F612" i="21"/>
  <c r="O611" i="21"/>
  <c r="N611" i="21"/>
  <c r="O610" i="21"/>
  <c r="N610" i="21"/>
  <c r="K610" i="21"/>
  <c r="O609" i="21"/>
  <c r="N609" i="21"/>
  <c r="O608" i="21"/>
  <c r="N608" i="21"/>
  <c r="G608" i="21"/>
  <c r="O607" i="21"/>
  <c r="N607" i="21"/>
  <c r="O606" i="21"/>
  <c r="N606" i="21"/>
  <c r="L606" i="21"/>
  <c r="I606" i="21"/>
  <c r="H606" i="21"/>
  <c r="O605" i="21"/>
  <c r="N605" i="21"/>
  <c r="O604" i="21"/>
  <c r="N604" i="21"/>
  <c r="O603" i="21"/>
  <c r="N603" i="21"/>
  <c r="O602" i="21"/>
  <c r="N602" i="21"/>
  <c r="O601" i="21"/>
  <c r="N601" i="21"/>
  <c r="O600" i="21"/>
  <c r="N600" i="21"/>
  <c r="F600" i="21"/>
  <c r="O599" i="21"/>
  <c r="N599" i="21"/>
  <c r="O598" i="21"/>
  <c r="N598" i="21"/>
  <c r="O597" i="21"/>
  <c r="N597" i="21"/>
  <c r="O596" i="21"/>
  <c r="N596" i="21"/>
  <c r="L596" i="21"/>
  <c r="O595" i="21"/>
  <c r="N595" i="21"/>
  <c r="O594" i="21"/>
  <c r="N594" i="21"/>
  <c r="O593" i="21"/>
  <c r="N593" i="21"/>
  <c r="H593" i="21"/>
  <c r="O592" i="21"/>
  <c r="N592" i="21"/>
  <c r="AG180" i="21"/>
  <c r="AD180" i="21"/>
  <c r="AG179" i="21"/>
  <c r="AD179" i="21"/>
  <c r="AG177" i="21"/>
  <c r="AD177" i="21"/>
  <c r="AG175" i="21"/>
  <c r="AD175" i="21"/>
  <c r="AG173" i="21"/>
  <c r="AD173" i="21"/>
  <c r="AG171" i="21"/>
  <c r="AD171" i="21"/>
  <c r="AG169" i="21"/>
  <c r="AD169" i="21"/>
  <c r="AG167" i="21"/>
  <c r="AD167" i="21"/>
  <c r="AG165" i="21"/>
  <c r="AD165" i="21"/>
  <c r="AG163" i="21"/>
  <c r="AD163" i="21"/>
  <c r="AH150" i="21"/>
  <c r="AE150" i="21"/>
  <c r="AH149" i="21"/>
  <c r="AE149" i="21"/>
  <c r="AH148" i="21"/>
  <c r="AE148" i="21"/>
  <c r="AA147" i="21"/>
  <c r="X147" i="21"/>
  <c r="U147" i="21"/>
  <c r="R147" i="21"/>
  <c r="O147" i="21"/>
  <c r="L147" i="21"/>
  <c r="I147" i="21"/>
  <c r="F147" i="21"/>
  <c r="AC146" i="21"/>
  <c r="AA146" i="21"/>
  <c r="M642" i="21" s="1"/>
  <c r="X146" i="21"/>
  <c r="U146" i="21"/>
  <c r="R146" i="21"/>
  <c r="O146" i="21"/>
  <c r="I642" i="21" s="1"/>
  <c r="L146" i="21"/>
  <c r="I146" i="21"/>
  <c r="F146" i="21"/>
  <c r="F642" i="21" s="1"/>
  <c r="AA145" i="21"/>
  <c r="X145" i="21"/>
  <c r="U145" i="21"/>
  <c r="R145" i="21"/>
  <c r="O145" i="21"/>
  <c r="L145" i="21"/>
  <c r="I145" i="21"/>
  <c r="F145" i="21"/>
  <c r="AA144" i="21"/>
  <c r="X144" i="21"/>
  <c r="L641" i="21" s="1"/>
  <c r="U144" i="21"/>
  <c r="K641" i="21" s="1"/>
  <c r="R144" i="21"/>
  <c r="O144" i="21"/>
  <c r="L144" i="21"/>
  <c r="I144" i="21"/>
  <c r="G641" i="21" s="1"/>
  <c r="F144" i="21"/>
  <c r="AA143" i="21"/>
  <c r="X143" i="21"/>
  <c r="U143" i="21"/>
  <c r="R143" i="21"/>
  <c r="O143" i="21"/>
  <c r="L143" i="21"/>
  <c r="I143" i="21"/>
  <c r="F143" i="21"/>
  <c r="AA142" i="21"/>
  <c r="X142" i="21"/>
  <c r="U142" i="21"/>
  <c r="R142" i="21"/>
  <c r="O142" i="21"/>
  <c r="L142" i="21"/>
  <c r="I142" i="21"/>
  <c r="F142" i="21"/>
  <c r="F640" i="21" s="1"/>
  <c r="AA141" i="21"/>
  <c r="X141" i="21"/>
  <c r="U141" i="21"/>
  <c r="R141" i="21"/>
  <c r="O141" i="21"/>
  <c r="L141" i="21"/>
  <c r="I141" i="21"/>
  <c r="F141" i="21"/>
  <c r="AC140" i="21"/>
  <c r="AB140" i="21"/>
  <c r="AA140" i="21"/>
  <c r="X140" i="21"/>
  <c r="U140" i="21"/>
  <c r="R140" i="21"/>
  <c r="J639" i="21" s="1"/>
  <c r="O140" i="21"/>
  <c r="I639" i="21" s="1"/>
  <c r="L140" i="21"/>
  <c r="I140" i="21"/>
  <c r="F140" i="21"/>
  <c r="AA139" i="21"/>
  <c r="X139" i="21"/>
  <c r="U139" i="21"/>
  <c r="R139" i="21"/>
  <c r="O139" i="21"/>
  <c r="L139" i="21"/>
  <c r="I139" i="21"/>
  <c r="F139" i="21"/>
  <c r="AB138" i="21"/>
  <c r="AA138" i="21"/>
  <c r="AC138" i="21" s="1"/>
  <c r="X138" i="21"/>
  <c r="U138" i="21"/>
  <c r="R138" i="21"/>
  <c r="O138" i="21"/>
  <c r="I638" i="21" s="1"/>
  <c r="L138" i="21"/>
  <c r="H638" i="21" s="1"/>
  <c r="I138" i="21"/>
  <c r="F138" i="21"/>
  <c r="AA137" i="21"/>
  <c r="X137" i="21"/>
  <c r="U137" i="21"/>
  <c r="R137" i="21"/>
  <c r="O137" i="21"/>
  <c r="L137" i="21"/>
  <c r="I137" i="21"/>
  <c r="F137" i="21"/>
  <c r="AA136" i="21"/>
  <c r="AC136" i="21" s="1"/>
  <c r="X136" i="21"/>
  <c r="U136" i="21"/>
  <c r="K637" i="21" s="1"/>
  <c r="R136" i="21"/>
  <c r="O136" i="21"/>
  <c r="L136" i="21"/>
  <c r="I136" i="21"/>
  <c r="F136" i="21"/>
  <c r="AA135" i="21"/>
  <c r="X135" i="21"/>
  <c r="U135" i="21"/>
  <c r="R135" i="21"/>
  <c r="O135" i="21"/>
  <c r="L135" i="21"/>
  <c r="I135" i="21"/>
  <c r="F135" i="21"/>
  <c r="AA134" i="21"/>
  <c r="X134" i="21"/>
  <c r="U134" i="21"/>
  <c r="K636" i="21" s="1"/>
  <c r="R134" i="21"/>
  <c r="O134" i="21"/>
  <c r="L134" i="21"/>
  <c r="I134" i="21"/>
  <c r="F134" i="21"/>
  <c r="AA133" i="21"/>
  <c r="X133" i="21"/>
  <c r="U133" i="21"/>
  <c r="R133" i="21"/>
  <c r="O133" i="21"/>
  <c r="L133" i="21"/>
  <c r="F133" i="21"/>
  <c r="AC132" i="21"/>
  <c r="AB132" i="21"/>
  <c r="AA132" i="21"/>
  <c r="X132" i="21"/>
  <c r="V132" i="21"/>
  <c r="U132" i="21"/>
  <c r="R132" i="21"/>
  <c r="J635" i="21" s="1"/>
  <c r="O132" i="21"/>
  <c r="L132" i="21"/>
  <c r="H635" i="21" s="1"/>
  <c r="I132" i="21"/>
  <c r="F132" i="21"/>
  <c r="AA131" i="21"/>
  <c r="X131" i="21"/>
  <c r="U131" i="21"/>
  <c r="R131" i="21"/>
  <c r="O131" i="21"/>
  <c r="L131" i="21"/>
  <c r="I131" i="21"/>
  <c r="F131" i="21"/>
  <c r="AA130" i="21"/>
  <c r="X130" i="21"/>
  <c r="L634" i="21" s="1"/>
  <c r="U130" i="21"/>
  <c r="R130" i="21"/>
  <c r="O130" i="21"/>
  <c r="I130" i="21"/>
  <c r="F130" i="21"/>
  <c r="AA129" i="21"/>
  <c r="X129" i="21"/>
  <c r="U129" i="21"/>
  <c r="R129" i="21"/>
  <c r="O129" i="21"/>
  <c r="L129" i="21"/>
  <c r="I129" i="21"/>
  <c r="F129" i="21"/>
  <c r="AA127" i="21"/>
  <c r="X127" i="21"/>
  <c r="U127" i="21"/>
  <c r="R127" i="21"/>
  <c r="O127" i="21"/>
  <c r="L127" i="21"/>
  <c r="I127" i="21"/>
  <c r="F127" i="21"/>
  <c r="AA126" i="21"/>
  <c r="X126" i="21"/>
  <c r="U126" i="21"/>
  <c r="R126" i="21"/>
  <c r="O126" i="21"/>
  <c r="L126" i="21"/>
  <c r="I126" i="21"/>
  <c r="F126" i="21"/>
  <c r="AA124" i="21"/>
  <c r="AC124" i="21" s="1"/>
  <c r="X124" i="21"/>
  <c r="U124" i="21"/>
  <c r="R124" i="21"/>
  <c r="O124" i="21"/>
  <c r="L124" i="21"/>
  <c r="H632" i="21" s="1"/>
  <c r="I124" i="21"/>
  <c r="F124" i="21"/>
  <c r="AA123" i="21"/>
  <c r="X123" i="21"/>
  <c r="U123" i="21"/>
  <c r="R123" i="21"/>
  <c r="O123" i="21"/>
  <c r="L123" i="21"/>
  <c r="I123" i="21"/>
  <c r="F123" i="21"/>
  <c r="AC121" i="21"/>
  <c r="AB121" i="21"/>
  <c r="AA121" i="21"/>
  <c r="X121" i="21"/>
  <c r="U121" i="21"/>
  <c r="R121" i="21"/>
  <c r="O121" i="21"/>
  <c r="I631" i="21" s="1"/>
  <c r="L121" i="21"/>
  <c r="I121" i="21"/>
  <c r="G631" i="21" s="1"/>
  <c r="F121" i="21"/>
  <c r="F631" i="21" s="1"/>
  <c r="X120" i="21"/>
  <c r="U120" i="21"/>
  <c r="R120" i="21"/>
  <c r="O120" i="21"/>
  <c r="L120" i="21"/>
  <c r="I120" i="21"/>
  <c r="F120" i="21"/>
  <c r="AA118" i="21"/>
  <c r="X118" i="21"/>
  <c r="U118" i="21"/>
  <c r="K630" i="21" s="1"/>
  <c r="R118" i="21"/>
  <c r="O118" i="21"/>
  <c r="L118" i="21"/>
  <c r="I118" i="21"/>
  <c r="G630" i="21" s="1"/>
  <c r="F118" i="21"/>
  <c r="AA117" i="21"/>
  <c r="X117" i="21"/>
  <c r="U117" i="21"/>
  <c r="R117" i="21"/>
  <c r="O117" i="21"/>
  <c r="L117" i="21"/>
  <c r="I117" i="21"/>
  <c r="F117" i="21"/>
  <c r="AC115" i="21"/>
  <c r="AB115" i="21"/>
  <c r="AA115" i="21"/>
  <c r="M629" i="21" s="1"/>
  <c r="X115" i="21"/>
  <c r="L629" i="21" s="1"/>
  <c r="U115" i="21"/>
  <c r="R115" i="21"/>
  <c r="O115" i="21"/>
  <c r="L115" i="21"/>
  <c r="I115" i="21"/>
  <c r="G629" i="21" s="1"/>
  <c r="F115" i="21"/>
  <c r="AA114" i="21"/>
  <c r="X114" i="21"/>
  <c r="U114" i="21"/>
  <c r="R114" i="21"/>
  <c r="O114" i="21"/>
  <c r="L114" i="21"/>
  <c r="I114" i="21"/>
  <c r="F114" i="21"/>
  <c r="AA112" i="21"/>
  <c r="X112" i="21"/>
  <c r="L628" i="21" s="1"/>
  <c r="U112" i="21"/>
  <c r="K628" i="21" s="1"/>
  <c r="R112" i="21"/>
  <c r="O112" i="21"/>
  <c r="L112" i="21"/>
  <c r="I112" i="21"/>
  <c r="F112" i="21"/>
  <c r="F628" i="21" s="1"/>
  <c r="AA111" i="21"/>
  <c r="X111" i="21"/>
  <c r="U111" i="21"/>
  <c r="R111" i="21"/>
  <c r="O111" i="21"/>
  <c r="L111" i="21"/>
  <c r="I111" i="21"/>
  <c r="F111" i="21"/>
  <c r="AC109" i="21"/>
  <c r="AB109" i="21"/>
  <c r="AA109" i="21"/>
  <c r="X109" i="21"/>
  <c r="U109" i="21"/>
  <c r="R109" i="21"/>
  <c r="J627" i="21" s="1"/>
  <c r="O109" i="21"/>
  <c r="L109" i="21"/>
  <c r="H627" i="21" s="1"/>
  <c r="I109" i="21"/>
  <c r="F109" i="21"/>
  <c r="AA108" i="21"/>
  <c r="X108" i="21"/>
  <c r="U108" i="21"/>
  <c r="R108" i="21"/>
  <c r="O108" i="21"/>
  <c r="L108" i="21"/>
  <c r="I108" i="21"/>
  <c r="F108" i="21"/>
  <c r="AC106" i="21"/>
  <c r="AB106" i="21"/>
  <c r="AA106" i="21"/>
  <c r="X106" i="21"/>
  <c r="U106" i="21"/>
  <c r="K626" i="21" s="1"/>
  <c r="R106" i="21"/>
  <c r="J626" i="21" s="1"/>
  <c r="O106" i="21"/>
  <c r="L106" i="21"/>
  <c r="I106" i="21"/>
  <c r="F106" i="21"/>
  <c r="F626" i="21" s="1"/>
  <c r="X105" i="21"/>
  <c r="U105" i="21"/>
  <c r="R105" i="21"/>
  <c r="O105" i="21"/>
  <c r="L105" i="21"/>
  <c r="I105" i="21"/>
  <c r="F105" i="21"/>
  <c r="AA103" i="21"/>
  <c r="X103" i="21"/>
  <c r="U103" i="21"/>
  <c r="K625" i="21" s="1"/>
  <c r="R103" i="21"/>
  <c r="J625" i="21" s="1"/>
  <c r="O103" i="21"/>
  <c r="L103" i="21"/>
  <c r="H625" i="21" s="1"/>
  <c r="I103" i="21"/>
  <c r="F103" i="21"/>
  <c r="AA102" i="21"/>
  <c r="X102" i="21"/>
  <c r="U102" i="21"/>
  <c r="R102" i="21"/>
  <c r="O102" i="21"/>
  <c r="L102" i="21"/>
  <c r="I102" i="21"/>
  <c r="F102" i="21"/>
  <c r="AB100" i="21"/>
  <c r="AA100" i="21"/>
  <c r="M624" i="21" s="1"/>
  <c r="X100" i="21"/>
  <c r="U100" i="21"/>
  <c r="K624" i="21" s="1"/>
  <c r="R100" i="21"/>
  <c r="J624" i="21" s="1"/>
  <c r="O100" i="21"/>
  <c r="I624" i="21" s="1"/>
  <c r="L100" i="21"/>
  <c r="I100" i="21"/>
  <c r="G624" i="21" s="1"/>
  <c r="F100" i="21"/>
  <c r="F624" i="21" s="1"/>
  <c r="AA99" i="21"/>
  <c r="X99" i="21"/>
  <c r="U99" i="21"/>
  <c r="R99" i="21"/>
  <c r="O99" i="21"/>
  <c r="L99" i="21"/>
  <c r="I99" i="21"/>
  <c r="F99" i="21"/>
  <c r="AC97" i="21"/>
  <c r="AB97" i="21"/>
  <c r="AA97" i="21"/>
  <c r="M623" i="21" s="1"/>
  <c r="X97" i="21"/>
  <c r="L623" i="21" s="1"/>
  <c r="R97" i="21"/>
  <c r="O97" i="21"/>
  <c r="L97" i="21"/>
  <c r="I97" i="21"/>
  <c r="G623" i="21" s="1"/>
  <c r="F97" i="21"/>
  <c r="AA96" i="21"/>
  <c r="X96" i="21"/>
  <c r="U96" i="21"/>
  <c r="R96" i="21"/>
  <c r="O96" i="21"/>
  <c r="L96" i="21"/>
  <c r="I96" i="21"/>
  <c r="F96" i="21"/>
  <c r="AA94" i="21"/>
  <c r="X94" i="21"/>
  <c r="U94" i="21"/>
  <c r="R94" i="21"/>
  <c r="J622" i="21" s="1"/>
  <c r="L94" i="21"/>
  <c r="I94" i="21"/>
  <c r="F94" i="21"/>
  <c r="F622" i="21" s="1"/>
  <c r="AA93" i="21"/>
  <c r="X93" i="21"/>
  <c r="U93" i="21"/>
  <c r="R93" i="21"/>
  <c r="O93" i="21"/>
  <c r="L93" i="21"/>
  <c r="I93" i="21"/>
  <c r="F93" i="21"/>
  <c r="AC91" i="21"/>
  <c r="AA91" i="21"/>
  <c r="AB91" i="21" s="1"/>
  <c r="X91" i="21"/>
  <c r="L621" i="21" s="1"/>
  <c r="U91" i="21"/>
  <c r="K621" i="21" s="1"/>
  <c r="R91" i="21"/>
  <c r="J621" i="21" s="1"/>
  <c r="O91" i="21"/>
  <c r="L91" i="21"/>
  <c r="I91" i="21"/>
  <c r="G621" i="21" s="1"/>
  <c r="F91" i="21"/>
  <c r="AA90" i="21"/>
  <c r="X90" i="21"/>
  <c r="U90" i="21"/>
  <c r="R90" i="21"/>
  <c r="O90" i="21"/>
  <c r="L90" i="21"/>
  <c r="I90" i="21"/>
  <c r="F90" i="21"/>
  <c r="AC88" i="21"/>
  <c r="AB88" i="21"/>
  <c r="AA88" i="21"/>
  <c r="M620" i="21" s="1"/>
  <c r="X88" i="21"/>
  <c r="R88" i="21"/>
  <c r="O88" i="21"/>
  <c r="I620" i="21" s="1"/>
  <c r="L88" i="21"/>
  <c r="H620" i="21" s="1"/>
  <c r="I88" i="21"/>
  <c r="F88" i="21"/>
  <c r="AA87" i="21"/>
  <c r="X87" i="21"/>
  <c r="U87" i="21"/>
  <c r="R87" i="21"/>
  <c r="O87" i="21"/>
  <c r="L87" i="21"/>
  <c r="I87" i="21"/>
  <c r="F87" i="21"/>
  <c r="AC85" i="21"/>
  <c r="AA85" i="21"/>
  <c r="M619" i="21" s="1"/>
  <c r="X85" i="21"/>
  <c r="U85" i="21"/>
  <c r="R85" i="21"/>
  <c r="O85" i="21"/>
  <c r="L85" i="21"/>
  <c r="I85" i="21"/>
  <c r="F85" i="21"/>
  <c r="AA84" i="21"/>
  <c r="X84" i="21"/>
  <c r="U84" i="21"/>
  <c r="R84" i="21"/>
  <c r="O84" i="21"/>
  <c r="L84" i="21"/>
  <c r="I84" i="21"/>
  <c r="F84" i="21"/>
  <c r="AC82" i="21"/>
  <c r="AB82" i="21"/>
  <c r="AA82" i="21"/>
  <c r="M618" i="21" s="1"/>
  <c r="X82" i="21"/>
  <c r="U82" i="21"/>
  <c r="R82" i="21"/>
  <c r="O82" i="21"/>
  <c r="L82" i="21"/>
  <c r="I82" i="21"/>
  <c r="G618" i="21" s="1"/>
  <c r="F82" i="21"/>
  <c r="AA81" i="21"/>
  <c r="X81" i="21"/>
  <c r="U81" i="21"/>
  <c r="R81" i="21"/>
  <c r="O81" i="21"/>
  <c r="L81" i="21"/>
  <c r="I81" i="21"/>
  <c r="F81" i="21"/>
  <c r="AA79" i="21"/>
  <c r="X79" i="21"/>
  <c r="L617" i="21" s="1"/>
  <c r="U79" i="21"/>
  <c r="R79" i="21"/>
  <c r="J617" i="21" s="1"/>
  <c r="O79" i="21"/>
  <c r="N79" i="21"/>
  <c r="M79" i="21"/>
  <c r="L79" i="21"/>
  <c r="I79" i="21"/>
  <c r="F79" i="21"/>
  <c r="AA78" i="21"/>
  <c r="X78" i="21"/>
  <c r="U78" i="21"/>
  <c r="R78" i="21"/>
  <c r="O78" i="21"/>
  <c r="L78" i="21"/>
  <c r="I78" i="21"/>
  <c r="F78" i="21"/>
  <c r="AB76" i="21"/>
  <c r="AA76" i="21"/>
  <c r="X76" i="21"/>
  <c r="U76" i="21"/>
  <c r="R76" i="21"/>
  <c r="O76" i="21"/>
  <c r="L76" i="21"/>
  <c r="I76" i="21"/>
  <c r="G616" i="21" s="1"/>
  <c r="F76" i="21"/>
  <c r="X75" i="21"/>
  <c r="U75" i="21"/>
  <c r="R75" i="21"/>
  <c r="O75" i="21"/>
  <c r="L75" i="21"/>
  <c r="I75" i="21"/>
  <c r="F75" i="21"/>
  <c r="AC73" i="21"/>
  <c r="AB73" i="21"/>
  <c r="AA73" i="21"/>
  <c r="M615" i="21" s="1"/>
  <c r="X73" i="21"/>
  <c r="L615" i="21" s="1"/>
  <c r="U73" i="21"/>
  <c r="R73" i="21"/>
  <c r="J615" i="21" s="1"/>
  <c r="O73" i="21"/>
  <c r="L73" i="21"/>
  <c r="H615" i="21" s="1"/>
  <c r="I73" i="21"/>
  <c r="G73" i="21"/>
  <c r="F73" i="21"/>
  <c r="AA72" i="21"/>
  <c r="X72" i="21"/>
  <c r="U72" i="21"/>
  <c r="R72" i="21"/>
  <c r="O72" i="21"/>
  <c r="L72" i="21"/>
  <c r="I72" i="21"/>
  <c r="F72" i="21"/>
  <c r="AC70" i="21"/>
  <c r="AB70" i="21"/>
  <c r="AA70" i="21"/>
  <c r="X70" i="21"/>
  <c r="U70" i="21"/>
  <c r="K614" i="21" s="1"/>
  <c r="R70" i="21"/>
  <c r="J614" i="21" s="1"/>
  <c r="O70" i="21"/>
  <c r="L70" i="21"/>
  <c r="I70" i="21"/>
  <c r="G614" i="21" s="1"/>
  <c r="F70" i="21"/>
  <c r="F614" i="21" s="1"/>
  <c r="AA69" i="21"/>
  <c r="X69" i="21"/>
  <c r="U69" i="21"/>
  <c r="L69" i="21"/>
  <c r="I69" i="21"/>
  <c r="F69" i="21"/>
  <c r="AA67" i="21"/>
  <c r="X67" i="21"/>
  <c r="U67" i="21"/>
  <c r="K613" i="21" s="1"/>
  <c r="R67" i="21"/>
  <c r="O67" i="21"/>
  <c r="L67" i="21"/>
  <c r="I67" i="21"/>
  <c r="F67" i="21"/>
  <c r="AA66" i="21"/>
  <c r="X66" i="21"/>
  <c r="U66" i="21"/>
  <c r="R66" i="21"/>
  <c r="O66" i="21"/>
  <c r="L66" i="21"/>
  <c r="I66" i="21"/>
  <c r="F66" i="21"/>
  <c r="AA64" i="21"/>
  <c r="X64" i="21"/>
  <c r="U64" i="21"/>
  <c r="R64" i="21"/>
  <c r="O64" i="21"/>
  <c r="L64" i="21"/>
  <c r="I64" i="21"/>
  <c r="G612" i="21" s="1"/>
  <c r="F64" i="21"/>
  <c r="X63" i="21"/>
  <c r="U63" i="21"/>
  <c r="R63" i="21"/>
  <c r="O63" i="21"/>
  <c r="L63" i="21"/>
  <c r="I63" i="21"/>
  <c r="F63" i="21"/>
  <c r="AC61" i="21"/>
  <c r="AB61" i="21"/>
  <c r="AA61" i="21"/>
  <c r="M611" i="21" s="1"/>
  <c r="X61" i="21"/>
  <c r="L611" i="21" s="1"/>
  <c r="U61" i="21"/>
  <c r="R61" i="21"/>
  <c r="O61" i="21"/>
  <c r="I61" i="21"/>
  <c r="F61" i="21"/>
  <c r="F611" i="21" s="1"/>
  <c r="AA60" i="21"/>
  <c r="X60" i="21"/>
  <c r="U60" i="21"/>
  <c r="R60" i="21"/>
  <c r="O60" i="21"/>
  <c r="L60" i="21"/>
  <c r="I60" i="21"/>
  <c r="F60" i="21"/>
  <c r="AC58" i="21"/>
  <c r="AA58" i="21"/>
  <c r="AB58" i="21" s="1"/>
  <c r="X58" i="21"/>
  <c r="L610" i="21" s="1"/>
  <c r="U58" i="21"/>
  <c r="R58" i="21"/>
  <c r="J610" i="21" s="1"/>
  <c r="O58" i="21"/>
  <c r="I610" i="21" s="1"/>
  <c r="L58" i="21"/>
  <c r="H610" i="21" s="1"/>
  <c r="I58" i="21"/>
  <c r="G610" i="21" s="1"/>
  <c r="F58" i="21"/>
  <c r="F610" i="21" s="1"/>
  <c r="AA57" i="21"/>
  <c r="X57" i="21"/>
  <c r="U57" i="21"/>
  <c r="R57" i="21"/>
  <c r="O57" i="21"/>
  <c r="I57" i="21"/>
  <c r="F57" i="21"/>
  <c r="AA55" i="21"/>
  <c r="X55" i="21"/>
  <c r="U55" i="21"/>
  <c r="K609" i="21" s="1"/>
  <c r="R55" i="21"/>
  <c r="O55" i="21"/>
  <c r="L55" i="21"/>
  <c r="I55" i="21"/>
  <c r="G55" i="21"/>
  <c r="F55" i="21"/>
  <c r="H55" i="21" s="1"/>
  <c r="AA54" i="21"/>
  <c r="X54" i="21"/>
  <c r="U54" i="21"/>
  <c r="R54" i="21"/>
  <c r="O54" i="21"/>
  <c r="L54" i="21"/>
  <c r="I54" i="21"/>
  <c r="F54" i="21"/>
  <c r="AC52" i="21"/>
  <c r="AB52" i="21"/>
  <c r="AA52" i="21"/>
  <c r="M608" i="21" s="1"/>
  <c r="X52" i="21"/>
  <c r="U52" i="21"/>
  <c r="R52" i="21"/>
  <c r="O52" i="21"/>
  <c r="L52" i="21"/>
  <c r="I52" i="21"/>
  <c r="F52" i="21"/>
  <c r="F608" i="21" s="1"/>
  <c r="AA51" i="21"/>
  <c r="X51" i="21"/>
  <c r="U51" i="21"/>
  <c r="R51" i="21"/>
  <c r="O51" i="21"/>
  <c r="L51" i="21"/>
  <c r="I51" i="21"/>
  <c r="F51" i="21"/>
  <c r="AC49" i="21"/>
  <c r="AA49" i="21"/>
  <c r="M607" i="21" s="1"/>
  <c r="W49" i="21"/>
  <c r="V49" i="21"/>
  <c r="U49" i="21"/>
  <c r="K607" i="21" s="1"/>
  <c r="R49" i="21"/>
  <c r="O49" i="21"/>
  <c r="L49" i="21"/>
  <c r="H607" i="21" s="1"/>
  <c r="I49" i="21"/>
  <c r="F49" i="21"/>
  <c r="AA48" i="21"/>
  <c r="X48" i="21"/>
  <c r="U48" i="21"/>
  <c r="R48" i="21"/>
  <c r="O48" i="21"/>
  <c r="L48" i="21"/>
  <c r="I48" i="21"/>
  <c r="F48" i="21"/>
  <c r="AA46" i="21"/>
  <c r="X46" i="21"/>
  <c r="U46" i="21"/>
  <c r="R46" i="21"/>
  <c r="O46" i="21"/>
  <c r="L46" i="21"/>
  <c r="I46" i="21"/>
  <c r="F46" i="21"/>
  <c r="F606" i="21" s="1"/>
  <c r="AA45" i="21"/>
  <c r="X45" i="21"/>
  <c r="U45" i="21"/>
  <c r="R45" i="21"/>
  <c r="O45" i="21"/>
  <c r="L45" i="21"/>
  <c r="I45" i="21"/>
  <c r="F45" i="21"/>
  <c r="AB43" i="21"/>
  <c r="AA43" i="21"/>
  <c r="X43" i="21"/>
  <c r="U43" i="21"/>
  <c r="K605" i="21" s="1"/>
  <c r="R43" i="21"/>
  <c r="J605" i="21" s="1"/>
  <c r="O43" i="21"/>
  <c r="I605" i="21" s="1"/>
  <c r="L43" i="21"/>
  <c r="I43" i="21"/>
  <c r="G605" i="21" s="1"/>
  <c r="F43" i="21"/>
  <c r="F605" i="21" s="1"/>
  <c r="AA42" i="21"/>
  <c r="X42" i="21"/>
  <c r="U42" i="21"/>
  <c r="R42" i="21"/>
  <c r="O42" i="21"/>
  <c r="L42" i="21"/>
  <c r="I42" i="21"/>
  <c r="F42" i="21"/>
  <c r="AC40" i="21"/>
  <c r="AB40" i="21"/>
  <c r="AA40" i="21"/>
  <c r="M604" i="21" s="1"/>
  <c r="X40" i="21"/>
  <c r="L604" i="21" s="1"/>
  <c r="U40" i="21"/>
  <c r="R40" i="21"/>
  <c r="J604" i="21" s="1"/>
  <c r="O40" i="21"/>
  <c r="I604" i="21" s="1"/>
  <c r="L40" i="21"/>
  <c r="H604" i="21" s="1"/>
  <c r="I40" i="21"/>
  <c r="G604" i="21" s="1"/>
  <c r="F40" i="21"/>
  <c r="F604" i="21" s="1"/>
  <c r="AA39" i="21"/>
  <c r="X39" i="21"/>
  <c r="U39" i="21"/>
  <c r="R39" i="21"/>
  <c r="O39" i="21"/>
  <c r="L39" i="21"/>
  <c r="I39" i="21"/>
  <c r="F39" i="21"/>
  <c r="AC37" i="21"/>
  <c r="AB37" i="21"/>
  <c r="AA37" i="21"/>
  <c r="M603" i="21" s="1"/>
  <c r="X37" i="21"/>
  <c r="L603" i="21" s="1"/>
  <c r="U37" i="21"/>
  <c r="R37" i="21"/>
  <c r="J603" i="21" s="1"/>
  <c r="O37" i="21"/>
  <c r="I603" i="21" s="1"/>
  <c r="L37" i="21"/>
  <c r="H603" i="21" s="1"/>
  <c r="I37" i="21"/>
  <c r="G37" i="21"/>
  <c r="F37" i="21"/>
  <c r="AA36" i="21"/>
  <c r="X36" i="21"/>
  <c r="U36" i="21"/>
  <c r="R36" i="21"/>
  <c r="O36" i="21"/>
  <c r="L36" i="21"/>
  <c r="I36" i="21"/>
  <c r="F36" i="21"/>
  <c r="AA34" i="21"/>
  <c r="X34" i="21"/>
  <c r="L602" i="21" s="1"/>
  <c r="U34" i="21"/>
  <c r="R34" i="21"/>
  <c r="O34" i="21"/>
  <c r="I34" i="21"/>
  <c r="G602" i="21" s="1"/>
  <c r="F34" i="21"/>
  <c r="AA33" i="21"/>
  <c r="X33" i="21"/>
  <c r="U33" i="21"/>
  <c r="R33" i="21"/>
  <c r="O33" i="21"/>
  <c r="L33" i="21"/>
  <c r="I33" i="21"/>
  <c r="F33" i="21"/>
  <c r="AA32" i="21"/>
  <c r="X32" i="21"/>
  <c r="U32" i="21"/>
  <c r="K601" i="21" s="1"/>
  <c r="R32" i="21"/>
  <c r="J601" i="21" s="1"/>
  <c r="O32" i="21"/>
  <c r="I601" i="21" s="1"/>
  <c r="L32" i="21"/>
  <c r="I32" i="21"/>
  <c r="G601" i="21" s="1"/>
  <c r="F32" i="21"/>
  <c r="F601" i="21" s="1"/>
  <c r="AA31" i="21"/>
  <c r="X31" i="21"/>
  <c r="U31" i="21"/>
  <c r="R31" i="21"/>
  <c r="O31" i="21"/>
  <c r="L31" i="21"/>
  <c r="I31" i="21"/>
  <c r="F31" i="21"/>
  <c r="AC30" i="21"/>
  <c r="AB30" i="21"/>
  <c r="AA30" i="21"/>
  <c r="M600" i="21" s="1"/>
  <c r="X30" i="21"/>
  <c r="L600" i="21" s="1"/>
  <c r="U30" i="21"/>
  <c r="R30" i="21"/>
  <c r="O30" i="21"/>
  <c r="I600" i="21" s="1"/>
  <c r="L30" i="21"/>
  <c r="I30" i="21"/>
  <c r="F30" i="21"/>
  <c r="H30" i="21" s="1"/>
  <c r="AA29" i="21"/>
  <c r="X29" i="21"/>
  <c r="U29" i="21"/>
  <c r="R29" i="21"/>
  <c r="O29" i="21"/>
  <c r="L29" i="21"/>
  <c r="I29" i="21"/>
  <c r="F29" i="21"/>
  <c r="AA28" i="21"/>
  <c r="M599" i="21" s="1"/>
  <c r="X28" i="21"/>
  <c r="U28" i="21"/>
  <c r="K599" i="21" s="1"/>
  <c r="R28" i="21"/>
  <c r="O28" i="21"/>
  <c r="I599" i="21" s="1"/>
  <c r="L28" i="21"/>
  <c r="H599" i="21" s="1"/>
  <c r="I28" i="21"/>
  <c r="G599" i="21" s="1"/>
  <c r="F28" i="21"/>
  <c r="AA27" i="21"/>
  <c r="X27" i="21"/>
  <c r="U27" i="21"/>
  <c r="R27" i="21"/>
  <c r="O27" i="21"/>
  <c r="L27" i="21"/>
  <c r="I27" i="21"/>
  <c r="F27" i="21"/>
  <c r="AA26" i="21"/>
  <c r="X26" i="21"/>
  <c r="L598" i="21" s="1"/>
  <c r="U26" i="21"/>
  <c r="K598" i="21" s="1"/>
  <c r="R26" i="21"/>
  <c r="J598" i="21" s="1"/>
  <c r="O26" i="21"/>
  <c r="L26" i="21"/>
  <c r="H598" i="21" s="1"/>
  <c r="I26" i="21"/>
  <c r="G598" i="21" s="1"/>
  <c r="F26" i="21"/>
  <c r="F598" i="21" s="1"/>
  <c r="AA25" i="21"/>
  <c r="X25" i="21"/>
  <c r="U25" i="21"/>
  <c r="R25" i="21"/>
  <c r="O25" i="21"/>
  <c r="L25" i="21"/>
  <c r="I25" i="21"/>
  <c r="F25" i="21"/>
  <c r="AC24" i="21"/>
  <c r="AA24" i="21"/>
  <c r="M597" i="21" s="1"/>
  <c r="X24" i="21"/>
  <c r="U24" i="21"/>
  <c r="R24" i="21"/>
  <c r="J597" i="21" s="1"/>
  <c r="O24" i="21"/>
  <c r="L24" i="21"/>
  <c r="I24" i="21"/>
  <c r="G597" i="21" s="1"/>
  <c r="F24" i="21"/>
  <c r="AA23" i="21"/>
  <c r="X23" i="21"/>
  <c r="U23" i="21"/>
  <c r="R23" i="21"/>
  <c r="O23" i="21"/>
  <c r="L23" i="21"/>
  <c r="I23" i="21"/>
  <c r="F23" i="21"/>
  <c r="Z22" i="21"/>
  <c r="X22" i="21"/>
  <c r="Y22" i="21" s="1"/>
  <c r="U22" i="21"/>
  <c r="R22" i="21"/>
  <c r="J596" i="21" s="1"/>
  <c r="O22" i="21"/>
  <c r="I596" i="21" s="1"/>
  <c r="L22" i="21"/>
  <c r="H596" i="21" s="1"/>
  <c r="I22" i="21"/>
  <c r="F22" i="21"/>
  <c r="AA21" i="21"/>
  <c r="X21" i="21"/>
  <c r="U21" i="21"/>
  <c r="R21" i="21"/>
  <c r="O21" i="21"/>
  <c r="L21" i="21"/>
  <c r="I21" i="21"/>
  <c r="F21" i="21"/>
  <c r="AA20" i="21"/>
  <c r="X20" i="21"/>
  <c r="L595" i="21" s="1"/>
  <c r="U20" i="21"/>
  <c r="R20" i="21"/>
  <c r="O20" i="21"/>
  <c r="N20" i="21"/>
  <c r="M20" i="21"/>
  <c r="L20" i="21"/>
  <c r="H595" i="21" s="1"/>
  <c r="I20" i="21"/>
  <c r="G595" i="21" s="1"/>
  <c r="F20" i="21"/>
  <c r="AA19" i="21"/>
  <c r="X19" i="21"/>
  <c r="U19" i="21"/>
  <c r="R19" i="21"/>
  <c r="O19" i="21"/>
  <c r="L19" i="21"/>
  <c r="I19" i="21"/>
  <c r="F19" i="21"/>
  <c r="AA18" i="21"/>
  <c r="X18" i="21"/>
  <c r="U18" i="21"/>
  <c r="K594" i="21" s="1"/>
  <c r="R18" i="21"/>
  <c r="O18" i="21"/>
  <c r="J18" i="21"/>
  <c r="I18" i="21"/>
  <c r="F18" i="21"/>
  <c r="F594" i="21" s="1"/>
  <c r="AA17" i="21"/>
  <c r="X17" i="21"/>
  <c r="R17" i="21"/>
  <c r="O17" i="21"/>
  <c r="L17" i="21"/>
  <c r="I17" i="21"/>
  <c r="F17" i="21"/>
  <c r="AA15" i="21"/>
  <c r="M593" i="21" s="1"/>
  <c r="X15" i="21"/>
  <c r="U15" i="21"/>
  <c r="K593" i="21" s="1"/>
  <c r="R15" i="21"/>
  <c r="O15" i="21"/>
  <c r="L15" i="21"/>
  <c r="I15" i="21"/>
  <c r="G593" i="21" s="1"/>
  <c r="H15" i="21"/>
  <c r="G15" i="21"/>
  <c r="F15" i="21"/>
  <c r="F593" i="21" s="1"/>
  <c r="E15" i="21"/>
  <c r="AA14" i="21"/>
  <c r="X14" i="21"/>
  <c r="U14" i="21"/>
  <c r="R14" i="21"/>
  <c r="O14" i="21"/>
  <c r="L14" i="21"/>
  <c r="I14" i="21"/>
  <c r="AC12" i="21"/>
  <c r="AB12" i="21"/>
  <c r="AA12" i="21"/>
  <c r="M592" i="21" s="1"/>
  <c r="X12" i="21"/>
  <c r="L592" i="21" s="1"/>
  <c r="U12" i="21"/>
  <c r="K592" i="21" s="1"/>
  <c r="R12" i="21"/>
  <c r="J592" i="21" s="1"/>
  <c r="O12" i="21"/>
  <c r="I592" i="21" s="1"/>
  <c r="L12" i="21"/>
  <c r="H592" i="21" s="1"/>
  <c r="I12" i="21"/>
  <c r="F12" i="21"/>
  <c r="F592" i="21" s="1"/>
  <c r="E12" i="21"/>
  <c r="AH9" i="21"/>
  <c r="AE9" i="21"/>
  <c r="AE7" i="21" s="1"/>
  <c r="AH7" i="21"/>
  <c r="AH5" i="21"/>
  <c r="AE5" i="21"/>
  <c r="AB5" i="21"/>
  <c r="Y5" i="21"/>
  <c r="V5" i="21"/>
  <c r="S5" i="21"/>
  <c r="P5" i="21"/>
  <c r="M5" i="21"/>
  <c r="J5" i="21"/>
  <c r="G5" i="21"/>
  <c r="Y4" i="21"/>
  <c r="S4" i="21"/>
  <c r="G4" i="21"/>
  <c r="Y3" i="21"/>
  <c r="S3" i="21"/>
  <c r="M3" i="21"/>
  <c r="G3" i="21"/>
  <c r="O2" i="21"/>
  <c r="AY1" i="21"/>
  <c r="AX1" i="21"/>
  <c r="B1" i="21"/>
  <c r="O641" i="20"/>
  <c r="N641" i="20"/>
  <c r="M641" i="20"/>
  <c r="L641" i="20"/>
  <c r="O640" i="20"/>
  <c r="N640" i="20"/>
  <c r="M640" i="20"/>
  <c r="L640" i="20"/>
  <c r="O639" i="20"/>
  <c r="N639" i="20"/>
  <c r="M639" i="20"/>
  <c r="L639" i="20"/>
  <c r="K639" i="20"/>
  <c r="G639" i="20"/>
  <c r="O638" i="20"/>
  <c r="N638" i="20"/>
  <c r="M638" i="20"/>
  <c r="L638" i="20"/>
  <c r="O637" i="20"/>
  <c r="N637" i="20"/>
  <c r="M637" i="20"/>
  <c r="L637" i="20"/>
  <c r="K637" i="20"/>
  <c r="H637" i="20"/>
  <c r="G637" i="20"/>
  <c r="O636" i="20"/>
  <c r="N636" i="20"/>
  <c r="M636" i="20"/>
  <c r="L636" i="20"/>
  <c r="O635" i="20"/>
  <c r="N635" i="20"/>
  <c r="M635" i="20"/>
  <c r="L635" i="20"/>
  <c r="K635" i="20"/>
  <c r="G635" i="20"/>
  <c r="O634" i="20"/>
  <c r="N634" i="20"/>
  <c r="M634" i="20"/>
  <c r="L634" i="20"/>
  <c r="O633" i="20"/>
  <c r="N633" i="20"/>
  <c r="M633" i="20"/>
  <c r="L633" i="20"/>
  <c r="K633" i="20"/>
  <c r="I633" i="20"/>
  <c r="G633" i="20"/>
  <c r="O632" i="20"/>
  <c r="N632" i="20"/>
  <c r="M632" i="20"/>
  <c r="L632" i="20"/>
  <c r="O631" i="20"/>
  <c r="N631" i="20"/>
  <c r="M631" i="20"/>
  <c r="L631" i="20"/>
  <c r="K631" i="20"/>
  <c r="O630" i="20"/>
  <c r="N630" i="20"/>
  <c r="M630" i="20"/>
  <c r="L630" i="20"/>
  <c r="O629" i="20"/>
  <c r="N629" i="20"/>
  <c r="M629" i="20"/>
  <c r="L629" i="20"/>
  <c r="O628" i="20"/>
  <c r="N628" i="20"/>
  <c r="M628" i="20"/>
  <c r="L628" i="20"/>
  <c r="I628" i="20"/>
  <c r="O627" i="20"/>
  <c r="N627" i="20"/>
  <c r="M627" i="20"/>
  <c r="L627" i="20"/>
  <c r="K627" i="20"/>
  <c r="I627" i="20"/>
  <c r="G627" i="20"/>
  <c r="O626" i="20"/>
  <c r="N626" i="20"/>
  <c r="M626" i="20"/>
  <c r="L626" i="20"/>
  <c r="K626" i="20"/>
  <c r="O625" i="20"/>
  <c r="N625" i="20"/>
  <c r="M625" i="20"/>
  <c r="L625" i="20"/>
  <c r="O624" i="20"/>
  <c r="N624" i="20"/>
  <c r="M624" i="20"/>
  <c r="L624" i="20"/>
  <c r="J624" i="20"/>
  <c r="G624" i="20"/>
  <c r="F624" i="20"/>
  <c r="O623" i="20"/>
  <c r="N623" i="20"/>
  <c r="M623" i="20"/>
  <c r="L623" i="20"/>
  <c r="H623" i="20"/>
  <c r="O622" i="20"/>
  <c r="N622" i="20"/>
  <c r="M622" i="20"/>
  <c r="L622" i="20"/>
  <c r="O621" i="20"/>
  <c r="N621" i="20"/>
  <c r="M621" i="20"/>
  <c r="L621" i="20"/>
  <c r="K621" i="20"/>
  <c r="I621" i="20"/>
  <c r="O620" i="20"/>
  <c r="N620" i="20"/>
  <c r="M620" i="20"/>
  <c r="L620" i="20"/>
  <c r="O619" i="20"/>
  <c r="N619" i="20"/>
  <c r="M619" i="20"/>
  <c r="L619" i="20"/>
  <c r="I619" i="20"/>
  <c r="O618" i="20"/>
  <c r="N618" i="20"/>
  <c r="M618" i="20"/>
  <c r="L618" i="20"/>
  <c r="J618" i="20"/>
  <c r="O617" i="20"/>
  <c r="N617" i="20"/>
  <c r="M617" i="20"/>
  <c r="L617" i="20"/>
  <c r="O616" i="20"/>
  <c r="N616" i="20"/>
  <c r="M616" i="20"/>
  <c r="L616" i="20"/>
  <c r="F616" i="20"/>
  <c r="O615" i="20"/>
  <c r="N615" i="20"/>
  <c r="M615" i="20"/>
  <c r="L615" i="20"/>
  <c r="I615" i="20"/>
  <c r="O614" i="20"/>
  <c r="N614" i="20"/>
  <c r="M614" i="20"/>
  <c r="L614" i="20"/>
  <c r="O613" i="20"/>
  <c r="N613" i="20"/>
  <c r="M613" i="20"/>
  <c r="L613" i="20"/>
  <c r="K613" i="20"/>
  <c r="I613" i="20"/>
  <c r="O612" i="20"/>
  <c r="N612" i="20"/>
  <c r="M612" i="20"/>
  <c r="L612" i="20"/>
  <c r="G612" i="20"/>
  <c r="O611" i="20"/>
  <c r="N611" i="20"/>
  <c r="M611" i="20"/>
  <c r="L611" i="20"/>
  <c r="O610" i="20"/>
  <c r="N610" i="20"/>
  <c r="M610" i="20"/>
  <c r="L610" i="20"/>
  <c r="I610" i="20"/>
  <c r="O609" i="20"/>
  <c r="N609" i="20"/>
  <c r="M609" i="20"/>
  <c r="L609" i="20"/>
  <c r="O608" i="20"/>
  <c r="N608" i="20"/>
  <c r="M608" i="20"/>
  <c r="L608" i="20"/>
  <c r="G608" i="20"/>
  <c r="O607" i="20"/>
  <c r="N607" i="20"/>
  <c r="M607" i="20"/>
  <c r="L607" i="20"/>
  <c r="H607" i="20"/>
  <c r="G607" i="20"/>
  <c r="O606" i="20"/>
  <c r="N606" i="20"/>
  <c r="M606" i="20"/>
  <c r="L606" i="20"/>
  <c r="O605" i="20"/>
  <c r="N605" i="20"/>
  <c r="M605" i="20"/>
  <c r="L605" i="20"/>
  <c r="O604" i="20"/>
  <c r="N604" i="20"/>
  <c r="M604" i="20"/>
  <c r="L604" i="20"/>
  <c r="K604" i="20"/>
  <c r="G604" i="20"/>
  <c r="F604" i="20"/>
  <c r="O603" i="20"/>
  <c r="N603" i="20"/>
  <c r="M603" i="20"/>
  <c r="L603" i="20"/>
  <c r="O602" i="20"/>
  <c r="N602" i="20"/>
  <c r="M602" i="20"/>
  <c r="L602" i="20"/>
  <c r="O601" i="20"/>
  <c r="N601" i="20"/>
  <c r="M601" i="20"/>
  <c r="L601" i="20"/>
  <c r="I601" i="20"/>
  <c r="O600" i="20"/>
  <c r="N600" i="20"/>
  <c r="M600" i="20"/>
  <c r="L600" i="20"/>
  <c r="O599" i="20"/>
  <c r="N599" i="20"/>
  <c r="M599" i="20"/>
  <c r="L599" i="20"/>
  <c r="O598" i="20"/>
  <c r="N598" i="20"/>
  <c r="M598" i="20"/>
  <c r="L598" i="20"/>
  <c r="K598" i="20"/>
  <c r="J598" i="20"/>
  <c r="O597" i="20"/>
  <c r="N597" i="20"/>
  <c r="M597" i="20"/>
  <c r="L597" i="20"/>
  <c r="O596" i="20"/>
  <c r="N596" i="20"/>
  <c r="M596" i="20"/>
  <c r="L596" i="20"/>
  <c r="O595" i="20"/>
  <c r="N595" i="20"/>
  <c r="M595" i="20"/>
  <c r="L595" i="20"/>
  <c r="K595" i="20"/>
  <c r="O594" i="20"/>
  <c r="N594" i="20"/>
  <c r="M594" i="20"/>
  <c r="L594" i="20"/>
  <c r="G594" i="20"/>
  <c r="O593" i="20"/>
  <c r="N593" i="20"/>
  <c r="M593" i="20"/>
  <c r="L593" i="20"/>
  <c r="O592" i="20"/>
  <c r="N592" i="20"/>
  <c r="M592" i="20"/>
  <c r="L592" i="20"/>
  <c r="O591" i="20"/>
  <c r="N591" i="20"/>
  <c r="M591" i="20"/>
  <c r="L591" i="20"/>
  <c r="AG179" i="20"/>
  <c r="AD179" i="20"/>
  <c r="AA179" i="20"/>
  <c r="X179" i="20"/>
  <c r="AG178" i="20"/>
  <c r="AD178" i="20"/>
  <c r="AA178" i="20"/>
  <c r="X178" i="20"/>
  <c r="AG176" i="20"/>
  <c r="AD176" i="20"/>
  <c r="AA176" i="20"/>
  <c r="X176" i="20"/>
  <c r="AG174" i="20"/>
  <c r="AD174" i="20"/>
  <c r="AA174" i="20"/>
  <c r="X174" i="20"/>
  <c r="AG172" i="20"/>
  <c r="AD172" i="20"/>
  <c r="AA172" i="20"/>
  <c r="X172" i="20"/>
  <c r="AG170" i="20"/>
  <c r="AD170" i="20"/>
  <c r="AA170" i="20"/>
  <c r="X170" i="20"/>
  <c r="AG168" i="20"/>
  <c r="AD168" i="20"/>
  <c r="AA168" i="20"/>
  <c r="X168" i="20"/>
  <c r="AG166" i="20"/>
  <c r="AD166" i="20"/>
  <c r="AA166" i="20"/>
  <c r="X166" i="20"/>
  <c r="AG164" i="20"/>
  <c r="AD164" i="20"/>
  <c r="AA164" i="20"/>
  <c r="X164" i="20"/>
  <c r="AG162" i="20"/>
  <c r="AD162" i="20"/>
  <c r="AA162" i="20"/>
  <c r="X162" i="20"/>
  <c r="U148" i="20"/>
  <c r="R148" i="20"/>
  <c r="O148" i="20"/>
  <c r="L148" i="20"/>
  <c r="I148" i="20"/>
  <c r="F148" i="20"/>
  <c r="V147" i="20"/>
  <c r="U147" i="20"/>
  <c r="R147" i="20"/>
  <c r="O147" i="20"/>
  <c r="I641" i="20" s="1"/>
  <c r="L147" i="20"/>
  <c r="I147" i="20"/>
  <c r="F147" i="20"/>
  <c r="U146" i="20"/>
  <c r="R146" i="20"/>
  <c r="O146" i="20"/>
  <c r="L146" i="20"/>
  <c r="I146" i="20"/>
  <c r="F146" i="20"/>
  <c r="U145" i="20"/>
  <c r="K640" i="20" s="1"/>
  <c r="R145" i="20"/>
  <c r="O145" i="20"/>
  <c r="I640" i="20" s="1"/>
  <c r="L145" i="20"/>
  <c r="H640" i="20" s="1"/>
  <c r="I145" i="20"/>
  <c r="F145" i="20"/>
  <c r="U144" i="20"/>
  <c r="R144" i="20"/>
  <c r="O144" i="20"/>
  <c r="L144" i="20"/>
  <c r="I144" i="20"/>
  <c r="F144" i="20"/>
  <c r="U143" i="20"/>
  <c r="R143" i="20"/>
  <c r="O143" i="20"/>
  <c r="I639" i="20" s="1"/>
  <c r="L143" i="20"/>
  <c r="H639" i="20" s="1"/>
  <c r="I143" i="20"/>
  <c r="F143" i="20"/>
  <c r="U142" i="20"/>
  <c r="R142" i="20"/>
  <c r="O142" i="20"/>
  <c r="L142" i="20"/>
  <c r="I142" i="20"/>
  <c r="F142" i="20"/>
  <c r="U141" i="20"/>
  <c r="R141" i="20"/>
  <c r="Q141" i="20"/>
  <c r="P141" i="20"/>
  <c r="O141" i="20"/>
  <c r="I638" i="20" s="1"/>
  <c r="L141" i="20"/>
  <c r="H638" i="20" s="1"/>
  <c r="I141" i="20"/>
  <c r="F141" i="20"/>
  <c r="U140" i="20"/>
  <c r="R140" i="20"/>
  <c r="O140" i="20"/>
  <c r="L140" i="20"/>
  <c r="I140" i="20"/>
  <c r="F140" i="20"/>
  <c r="U139" i="20"/>
  <c r="R139" i="20"/>
  <c r="O139" i="20"/>
  <c r="L139" i="20"/>
  <c r="I139" i="20"/>
  <c r="F139" i="20"/>
  <c r="F637" i="20" s="1"/>
  <c r="U138" i="20"/>
  <c r="R138" i="20"/>
  <c r="O138" i="20"/>
  <c r="L138" i="20"/>
  <c r="I138" i="20"/>
  <c r="F138" i="20"/>
  <c r="U137" i="20"/>
  <c r="K636" i="20" s="1"/>
  <c r="R137" i="20"/>
  <c r="J636" i="20" s="1"/>
  <c r="O137" i="20"/>
  <c r="I636" i="20" s="1"/>
  <c r="L137" i="20"/>
  <c r="H636" i="20" s="1"/>
  <c r="I137" i="20"/>
  <c r="G636" i="20" s="1"/>
  <c r="F137" i="20"/>
  <c r="F636" i="20" s="1"/>
  <c r="U136" i="20"/>
  <c r="R136" i="20"/>
  <c r="O136" i="20"/>
  <c r="L136" i="20"/>
  <c r="I136" i="20"/>
  <c r="F136" i="20"/>
  <c r="U135" i="20"/>
  <c r="R135" i="20"/>
  <c r="O135" i="20"/>
  <c r="L135" i="20"/>
  <c r="I135" i="20"/>
  <c r="F135" i="20"/>
  <c r="F635" i="20" s="1"/>
  <c r="U134" i="20"/>
  <c r="R134" i="20"/>
  <c r="O134" i="20"/>
  <c r="L134" i="20"/>
  <c r="F134" i="20"/>
  <c r="W133" i="20"/>
  <c r="V133" i="20"/>
  <c r="U133" i="20"/>
  <c r="K634" i="20" s="1"/>
  <c r="R133" i="20"/>
  <c r="J634" i="20" s="1"/>
  <c r="O133" i="20"/>
  <c r="I133" i="20"/>
  <c r="G634" i="20" s="1"/>
  <c r="F133" i="20"/>
  <c r="U132" i="20"/>
  <c r="R132" i="20"/>
  <c r="O132" i="20"/>
  <c r="L132" i="20"/>
  <c r="I132" i="20"/>
  <c r="F132" i="20"/>
  <c r="U131" i="20"/>
  <c r="R131" i="20"/>
  <c r="J633" i="20" s="1"/>
  <c r="O131" i="20"/>
  <c r="I131" i="20"/>
  <c r="F131" i="20"/>
  <c r="F633" i="20" s="1"/>
  <c r="U130" i="20"/>
  <c r="R130" i="20"/>
  <c r="O130" i="20"/>
  <c r="L130" i="20"/>
  <c r="I130" i="20"/>
  <c r="F130" i="20"/>
  <c r="U128" i="20"/>
  <c r="R128" i="20"/>
  <c r="J632" i="20" s="1"/>
  <c r="O128" i="20"/>
  <c r="I632" i="20" s="1"/>
  <c r="L128" i="20"/>
  <c r="H632" i="20" s="1"/>
  <c r="I128" i="20"/>
  <c r="F128" i="20"/>
  <c r="F632" i="20" s="1"/>
  <c r="U127" i="20"/>
  <c r="R127" i="20"/>
  <c r="O127" i="20"/>
  <c r="L127" i="20"/>
  <c r="I127" i="20"/>
  <c r="F127" i="20"/>
  <c r="U125" i="20"/>
  <c r="R125" i="20"/>
  <c r="O125" i="20"/>
  <c r="L125" i="20"/>
  <c r="H631" i="20" s="1"/>
  <c r="I125" i="20"/>
  <c r="F125" i="20"/>
  <c r="F631" i="20" s="1"/>
  <c r="U124" i="20"/>
  <c r="R124" i="20"/>
  <c r="O124" i="20"/>
  <c r="L124" i="20"/>
  <c r="I124" i="20"/>
  <c r="F124" i="20"/>
  <c r="U122" i="20"/>
  <c r="R122" i="20"/>
  <c r="J630" i="20" s="1"/>
  <c r="O122" i="20"/>
  <c r="L122" i="20"/>
  <c r="H630" i="20" s="1"/>
  <c r="I122" i="20"/>
  <c r="F122" i="20"/>
  <c r="U121" i="20"/>
  <c r="R121" i="20"/>
  <c r="O121" i="20"/>
  <c r="L121" i="20"/>
  <c r="I121" i="20"/>
  <c r="F121" i="20"/>
  <c r="U119" i="20"/>
  <c r="K629" i="20" s="1"/>
  <c r="R119" i="20"/>
  <c r="O119" i="20"/>
  <c r="L119" i="20"/>
  <c r="H629" i="20" s="1"/>
  <c r="I119" i="20"/>
  <c r="F119" i="20"/>
  <c r="U118" i="20"/>
  <c r="R118" i="20"/>
  <c r="O118" i="20"/>
  <c r="L118" i="20"/>
  <c r="I118" i="20"/>
  <c r="F118" i="20"/>
  <c r="U116" i="20"/>
  <c r="K628" i="20" s="1"/>
  <c r="R116" i="20"/>
  <c r="O116" i="20"/>
  <c r="L116" i="20"/>
  <c r="I116" i="20"/>
  <c r="F116" i="20"/>
  <c r="U115" i="20"/>
  <c r="R115" i="20"/>
  <c r="O115" i="20"/>
  <c r="L115" i="20"/>
  <c r="I115" i="20"/>
  <c r="F115" i="20"/>
  <c r="U113" i="20"/>
  <c r="R113" i="20"/>
  <c r="J627" i="20" s="1"/>
  <c r="O113" i="20"/>
  <c r="L113" i="20"/>
  <c r="H627" i="20" s="1"/>
  <c r="AJ113" i="20" s="1"/>
  <c r="I113" i="20"/>
  <c r="F113" i="20"/>
  <c r="F627" i="20" s="1"/>
  <c r="U112" i="20"/>
  <c r="R112" i="20"/>
  <c r="O112" i="20"/>
  <c r="L112" i="20"/>
  <c r="I112" i="20"/>
  <c r="F112" i="20"/>
  <c r="U110" i="20"/>
  <c r="R110" i="20"/>
  <c r="O110" i="20"/>
  <c r="L110" i="20"/>
  <c r="H626" i="20" s="1"/>
  <c r="I110" i="20"/>
  <c r="F110" i="20"/>
  <c r="U109" i="20"/>
  <c r="R109" i="20"/>
  <c r="O109" i="20"/>
  <c r="L109" i="20"/>
  <c r="I109" i="20"/>
  <c r="F109" i="20"/>
  <c r="U107" i="20"/>
  <c r="R107" i="20"/>
  <c r="J625" i="20" s="1"/>
  <c r="O107" i="20"/>
  <c r="L107" i="20"/>
  <c r="I107" i="20"/>
  <c r="F107" i="20"/>
  <c r="U106" i="20"/>
  <c r="R106" i="20"/>
  <c r="O106" i="20"/>
  <c r="L106" i="20"/>
  <c r="I106" i="20"/>
  <c r="F106" i="20"/>
  <c r="U104" i="20"/>
  <c r="K624" i="20" s="1"/>
  <c r="R104" i="20"/>
  <c r="O104" i="20"/>
  <c r="L104" i="20"/>
  <c r="I104" i="20"/>
  <c r="F104" i="20"/>
  <c r="U103" i="20"/>
  <c r="R103" i="20"/>
  <c r="O103" i="20"/>
  <c r="L103" i="20"/>
  <c r="I103" i="20"/>
  <c r="F103" i="20"/>
  <c r="U101" i="20"/>
  <c r="R101" i="20"/>
  <c r="O101" i="20"/>
  <c r="I623" i="20" s="1"/>
  <c r="L101" i="20"/>
  <c r="I101" i="20"/>
  <c r="G623" i="20" s="1"/>
  <c r="F101" i="20"/>
  <c r="F623" i="20" s="1"/>
  <c r="U100" i="20"/>
  <c r="R100" i="20"/>
  <c r="O100" i="20"/>
  <c r="L100" i="20"/>
  <c r="I100" i="20"/>
  <c r="F100" i="20"/>
  <c r="W98" i="20"/>
  <c r="U98" i="20"/>
  <c r="K622" i="20" s="1"/>
  <c r="R98" i="20"/>
  <c r="O98" i="20"/>
  <c r="I622" i="20" s="1"/>
  <c r="L98" i="20"/>
  <c r="H622" i="20" s="1"/>
  <c r="I98" i="20"/>
  <c r="G622" i="20" s="1"/>
  <c r="F98" i="20"/>
  <c r="U97" i="20"/>
  <c r="R97" i="20"/>
  <c r="O97" i="20"/>
  <c r="L97" i="20"/>
  <c r="I97" i="20"/>
  <c r="F97" i="20"/>
  <c r="U95" i="20"/>
  <c r="R95" i="20"/>
  <c r="J621" i="20" s="1"/>
  <c r="O95" i="20"/>
  <c r="L95" i="20"/>
  <c r="I95" i="20"/>
  <c r="F95" i="20"/>
  <c r="F621" i="20" s="1"/>
  <c r="U94" i="20"/>
  <c r="R94" i="20"/>
  <c r="O94" i="20"/>
  <c r="L94" i="20"/>
  <c r="I94" i="20"/>
  <c r="F94" i="20"/>
  <c r="U92" i="20"/>
  <c r="K620" i="20" s="1"/>
  <c r="R92" i="20"/>
  <c r="O92" i="20"/>
  <c r="L92" i="20"/>
  <c r="H620" i="20" s="1"/>
  <c r="I92" i="20"/>
  <c r="F92" i="20"/>
  <c r="F620" i="20" s="1"/>
  <c r="U91" i="20"/>
  <c r="R91" i="20"/>
  <c r="O91" i="20"/>
  <c r="L91" i="20"/>
  <c r="I91" i="20"/>
  <c r="F91" i="20"/>
  <c r="U89" i="20"/>
  <c r="R89" i="20"/>
  <c r="J619" i="20" s="1"/>
  <c r="O89" i="20"/>
  <c r="L89" i="20"/>
  <c r="H619" i="20" s="1"/>
  <c r="I89" i="20"/>
  <c r="G619" i="20" s="1"/>
  <c r="F89" i="20"/>
  <c r="F619" i="20" s="1"/>
  <c r="U88" i="20"/>
  <c r="R88" i="20"/>
  <c r="O88" i="20"/>
  <c r="L88" i="20"/>
  <c r="I88" i="20"/>
  <c r="F88" i="20"/>
  <c r="U86" i="20"/>
  <c r="R86" i="20"/>
  <c r="O86" i="20"/>
  <c r="L86" i="20"/>
  <c r="I86" i="20"/>
  <c r="H86" i="20"/>
  <c r="F86" i="20"/>
  <c r="F618" i="20" s="1"/>
  <c r="U85" i="20"/>
  <c r="R85" i="20"/>
  <c r="O85" i="20"/>
  <c r="L85" i="20"/>
  <c r="I85" i="20"/>
  <c r="F85" i="20"/>
  <c r="U83" i="20"/>
  <c r="R83" i="20"/>
  <c r="O83" i="20"/>
  <c r="I617" i="20" s="1"/>
  <c r="L83" i="20"/>
  <c r="I83" i="20"/>
  <c r="F83" i="20"/>
  <c r="F617" i="20" s="1"/>
  <c r="U82" i="20"/>
  <c r="R82" i="20"/>
  <c r="O82" i="20"/>
  <c r="L82" i="20"/>
  <c r="I82" i="20"/>
  <c r="F82" i="20"/>
  <c r="U80" i="20"/>
  <c r="K616" i="20" s="1"/>
  <c r="R80" i="20"/>
  <c r="J616" i="20" s="1"/>
  <c r="O80" i="20"/>
  <c r="I616" i="20" s="1"/>
  <c r="N80" i="20"/>
  <c r="M80" i="20"/>
  <c r="L80" i="20"/>
  <c r="I80" i="20"/>
  <c r="G616" i="20" s="1"/>
  <c r="F80" i="20"/>
  <c r="U79" i="20"/>
  <c r="R79" i="20"/>
  <c r="O79" i="20"/>
  <c r="L79" i="20"/>
  <c r="I79" i="20"/>
  <c r="F79" i="20"/>
  <c r="U77" i="20"/>
  <c r="K615" i="20" s="1"/>
  <c r="R77" i="20"/>
  <c r="O77" i="20"/>
  <c r="L77" i="20"/>
  <c r="I77" i="20"/>
  <c r="F77" i="20"/>
  <c r="U76" i="20"/>
  <c r="R76" i="20"/>
  <c r="O76" i="20"/>
  <c r="L76" i="20"/>
  <c r="I76" i="20"/>
  <c r="F76" i="20"/>
  <c r="U74" i="20"/>
  <c r="R74" i="20"/>
  <c r="O74" i="20"/>
  <c r="L74" i="20"/>
  <c r="H614" i="20" s="1"/>
  <c r="I74" i="20"/>
  <c r="F74" i="20"/>
  <c r="U73" i="20"/>
  <c r="R73" i="20"/>
  <c r="O73" i="20"/>
  <c r="L73" i="20"/>
  <c r="I73" i="20"/>
  <c r="F73" i="20"/>
  <c r="U71" i="20"/>
  <c r="R71" i="20"/>
  <c r="J613" i="20" s="1"/>
  <c r="O71" i="20"/>
  <c r="L71" i="20"/>
  <c r="H613" i="20" s="1"/>
  <c r="I71" i="20"/>
  <c r="G613" i="20" s="1"/>
  <c r="AJ71" i="20" s="1"/>
  <c r="F71" i="20"/>
  <c r="F613" i="20" s="1"/>
  <c r="U70" i="20"/>
  <c r="R70" i="20"/>
  <c r="O70" i="20"/>
  <c r="L70" i="20"/>
  <c r="I70" i="20"/>
  <c r="F70" i="20"/>
  <c r="U68" i="20"/>
  <c r="R68" i="20"/>
  <c r="J612" i="20" s="1"/>
  <c r="O68" i="20"/>
  <c r="L68" i="20"/>
  <c r="H612" i="20" s="1"/>
  <c r="I68" i="20"/>
  <c r="F68" i="20"/>
  <c r="U67" i="20"/>
  <c r="R67" i="20"/>
  <c r="O67" i="20"/>
  <c r="L67" i="20"/>
  <c r="I67" i="20"/>
  <c r="F67" i="20"/>
  <c r="U65" i="20"/>
  <c r="K611" i="20" s="1"/>
  <c r="R65" i="20"/>
  <c r="O65" i="20"/>
  <c r="L65" i="20"/>
  <c r="H611" i="20" s="1"/>
  <c r="I65" i="20"/>
  <c r="F65" i="20"/>
  <c r="U64" i="20"/>
  <c r="R64" i="20"/>
  <c r="O64" i="20"/>
  <c r="L64" i="20"/>
  <c r="I64" i="20"/>
  <c r="F64" i="20"/>
  <c r="U62" i="20"/>
  <c r="R62" i="20"/>
  <c r="J610" i="20" s="1"/>
  <c r="Q62" i="20"/>
  <c r="P62" i="20"/>
  <c r="O62" i="20"/>
  <c r="L62" i="20"/>
  <c r="H610" i="20" s="1"/>
  <c r="I62" i="20"/>
  <c r="F62" i="20"/>
  <c r="F610" i="20" s="1"/>
  <c r="U61" i="20"/>
  <c r="R61" i="20"/>
  <c r="O61" i="20"/>
  <c r="L61" i="20"/>
  <c r="I61" i="20"/>
  <c r="F61" i="20"/>
  <c r="U59" i="20"/>
  <c r="K609" i="20" s="1"/>
  <c r="R59" i="20"/>
  <c r="O59" i="20"/>
  <c r="I609" i="20" s="1"/>
  <c r="L59" i="20"/>
  <c r="I59" i="20"/>
  <c r="F59" i="20"/>
  <c r="U58" i="20"/>
  <c r="R58" i="20"/>
  <c r="O58" i="20"/>
  <c r="L58" i="20"/>
  <c r="I58" i="20"/>
  <c r="F58" i="20"/>
  <c r="U56" i="20"/>
  <c r="R56" i="20"/>
  <c r="O56" i="20"/>
  <c r="L56" i="20"/>
  <c r="I56" i="20"/>
  <c r="H56" i="20"/>
  <c r="G56" i="20"/>
  <c r="F56" i="20"/>
  <c r="U55" i="20"/>
  <c r="R55" i="20"/>
  <c r="O55" i="20"/>
  <c r="L55" i="20"/>
  <c r="I55" i="20"/>
  <c r="F55" i="20"/>
  <c r="U53" i="20"/>
  <c r="K607" i="20" s="1"/>
  <c r="R53" i="20"/>
  <c r="O53" i="20"/>
  <c r="I607" i="20" s="1"/>
  <c r="L53" i="20"/>
  <c r="I53" i="20"/>
  <c r="F53" i="20"/>
  <c r="F607" i="20" s="1"/>
  <c r="U52" i="20"/>
  <c r="R52" i="20"/>
  <c r="O52" i="20"/>
  <c r="L52" i="20"/>
  <c r="I52" i="20"/>
  <c r="F52" i="20"/>
  <c r="U50" i="20"/>
  <c r="R50" i="20"/>
  <c r="J606" i="20" s="1"/>
  <c r="O50" i="20"/>
  <c r="L50" i="20"/>
  <c r="H606" i="20" s="1"/>
  <c r="I50" i="20"/>
  <c r="F50" i="20"/>
  <c r="U49" i="20"/>
  <c r="R49" i="20"/>
  <c r="O49" i="20"/>
  <c r="L49" i="20"/>
  <c r="I49" i="20"/>
  <c r="F49" i="20"/>
  <c r="U47" i="20"/>
  <c r="R47" i="20"/>
  <c r="J605" i="20" s="1"/>
  <c r="O47" i="20"/>
  <c r="I605" i="20" s="1"/>
  <c r="L47" i="20"/>
  <c r="I47" i="20"/>
  <c r="F47" i="20"/>
  <c r="F605" i="20" s="1"/>
  <c r="U46" i="20"/>
  <c r="R46" i="20"/>
  <c r="O46" i="20"/>
  <c r="L46" i="20"/>
  <c r="I46" i="20"/>
  <c r="F46" i="20"/>
  <c r="U44" i="20"/>
  <c r="R44" i="20"/>
  <c r="J604" i="20" s="1"/>
  <c r="O44" i="20"/>
  <c r="L44" i="20"/>
  <c r="H604" i="20" s="1"/>
  <c r="I44" i="20"/>
  <c r="F44" i="20"/>
  <c r="U43" i="20"/>
  <c r="R43" i="20"/>
  <c r="O43" i="20"/>
  <c r="L43" i="20"/>
  <c r="I43" i="20"/>
  <c r="F43" i="20"/>
  <c r="U41" i="20"/>
  <c r="K603" i="20" s="1"/>
  <c r="R41" i="20"/>
  <c r="J603" i="20" s="1"/>
  <c r="O41" i="20"/>
  <c r="L41" i="20"/>
  <c r="I41" i="20"/>
  <c r="G603" i="20" s="1"/>
  <c r="F41" i="20"/>
  <c r="F603" i="20" s="1"/>
  <c r="U40" i="20"/>
  <c r="R40" i="20"/>
  <c r="O40" i="20"/>
  <c r="L40" i="20"/>
  <c r="I40" i="20"/>
  <c r="F40" i="20"/>
  <c r="U38" i="20"/>
  <c r="R38" i="20"/>
  <c r="O38" i="20"/>
  <c r="I602" i="20" s="1"/>
  <c r="L38" i="20"/>
  <c r="I38" i="20"/>
  <c r="G602" i="20" s="1"/>
  <c r="F38" i="20"/>
  <c r="U37" i="20"/>
  <c r="R37" i="20"/>
  <c r="O37" i="20"/>
  <c r="L37" i="20"/>
  <c r="I37" i="20"/>
  <c r="F37" i="20"/>
  <c r="U35" i="20"/>
  <c r="K601" i="20" s="1"/>
  <c r="R35" i="20"/>
  <c r="J601" i="20" s="1"/>
  <c r="O35" i="20"/>
  <c r="I35" i="20"/>
  <c r="G601" i="20" s="1"/>
  <c r="F35" i="20"/>
  <c r="F601" i="20" s="1"/>
  <c r="U34" i="20"/>
  <c r="R34" i="20"/>
  <c r="O34" i="20"/>
  <c r="L34" i="20"/>
  <c r="I34" i="20"/>
  <c r="F34" i="20"/>
  <c r="U33" i="20"/>
  <c r="K600" i="20" s="1"/>
  <c r="R33" i="20"/>
  <c r="J600" i="20" s="1"/>
  <c r="O33" i="20"/>
  <c r="N33" i="20"/>
  <c r="M33" i="20"/>
  <c r="L33" i="20"/>
  <c r="H600" i="20" s="1"/>
  <c r="I33" i="20"/>
  <c r="G600" i="20" s="1"/>
  <c r="F33" i="20"/>
  <c r="U32" i="20"/>
  <c r="R32" i="20"/>
  <c r="O32" i="20"/>
  <c r="L32" i="20"/>
  <c r="I32" i="20"/>
  <c r="F32" i="20"/>
  <c r="U31" i="20"/>
  <c r="K599" i="20" s="1"/>
  <c r="R31" i="20"/>
  <c r="O31" i="20"/>
  <c r="L31" i="20"/>
  <c r="I31" i="20"/>
  <c r="G599" i="20" s="1"/>
  <c r="F31" i="20"/>
  <c r="U30" i="20"/>
  <c r="R30" i="20"/>
  <c r="O30" i="20"/>
  <c r="L30" i="20"/>
  <c r="I30" i="20"/>
  <c r="F30" i="20"/>
  <c r="U29" i="20"/>
  <c r="R29" i="20"/>
  <c r="O29" i="20"/>
  <c r="I598" i="20" s="1"/>
  <c r="L29" i="20"/>
  <c r="I29" i="20"/>
  <c r="G598" i="20" s="1"/>
  <c r="F29" i="20"/>
  <c r="F598" i="20" s="1"/>
  <c r="U28" i="20"/>
  <c r="R28" i="20"/>
  <c r="O28" i="20"/>
  <c r="L28" i="20"/>
  <c r="I28" i="20"/>
  <c r="F28" i="20"/>
  <c r="U27" i="20"/>
  <c r="R27" i="20"/>
  <c r="O27" i="20"/>
  <c r="I597" i="20" s="1"/>
  <c r="L27" i="20"/>
  <c r="I27" i="20"/>
  <c r="G597" i="20" s="1"/>
  <c r="F27" i="20"/>
  <c r="U26" i="20"/>
  <c r="R26" i="20"/>
  <c r="O26" i="20"/>
  <c r="L26" i="20"/>
  <c r="I26" i="20"/>
  <c r="F26" i="20"/>
  <c r="U25" i="20"/>
  <c r="R25" i="20"/>
  <c r="J596" i="20" s="1"/>
  <c r="O25" i="20"/>
  <c r="L25" i="20"/>
  <c r="H596" i="20" s="1"/>
  <c r="I25" i="20"/>
  <c r="F25" i="20"/>
  <c r="U24" i="20"/>
  <c r="R24" i="20"/>
  <c r="O24" i="20"/>
  <c r="L24" i="20"/>
  <c r="I24" i="20"/>
  <c r="F24" i="20"/>
  <c r="U23" i="20"/>
  <c r="R23" i="20"/>
  <c r="J595" i="20" s="1"/>
  <c r="O23" i="20"/>
  <c r="I595" i="20" s="1"/>
  <c r="L23" i="20"/>
  <c r="H595" i="20" s="1"/>
  <c r="I23" i="20"/>
  <c r="G595" i="20" s="1"/>
  <c r="F23" i="20"/>
  <c r="F595" i="20" s="1"/>
  <c r="AJ23" i="20" s="1"/>
  <c r="U22" i="20"/>
  <c r="R22" i="20"/>
  <c r="O22" i="20"/>
  <c r="L22" i="20"/>
  <c r="I22" i="20"/>
  <c r="F22" i="20"/>
  <c r="U21" i="20"/>
  <c r="R21" i="20"/>
  <c r="J594" i="20" s="1"/>
  <c r="O21" i="20"/>
  <c r="N21" i="20"/>
  <c r="M21" i="20"/>
  <c r="L21" i="20"/>
  <c r="H594" i="20" s="1"/>
  <c r="I21" i="20"/>
  <c r="F21" i="20"/>
  <c r="U20" i="20"/>
  <c r="R20" i="20"/>
  <c r="O20" i="20"/>
  <c r="L20" i="20"/>
  <c r="I20" i="20"/>
  <c r="F20" i="20"/>
  <c r="U19" i="20"/>
  <c r="R19" i="20"/>
  <c r="O19" i="20"/>
  <c r="I593" i="20" s="1"/>
  <c r="I19" i="20"/>
  <c r="F19" i="20"/>
  <c r="U18" i="20"/>
  <c r="R18" i="20"/>
  <c r="O18" i="20"/>
  <c r="L18" i="20"/>
  <c r="I18" i="20"/>
  <c r="F18" i="20"/>
  <c r="U16" i="20"/>
  <c r="R16" i="20"/>
  <c r="J592" i="20" s="1"/>
  <c r="O16" i="20"/>
  <c r="I592" i="20" s="1"/>
  <c r="L16" i="20"/>
  <c r="I16" i="20"/>
  <c r="G592" i="20" s="1"/>
  <c r="H16" i="20"/>
  <c r="G16" i="20"/>
  <c r="F16" i="20"/>
  <c r="F592" i="20" s="1"/>
  <c r="E16" i="20"/>
  <c r="U15" i="20"/>
  <c r="R15" i="20"/>
  <c r="O15" i="20"/>
  <c r="L15" i="20"/>
  <c r="I15" i="20"/>
  <c r="F15" i="20"/>
  <c r="U13" i="20"/>
  <c r="R13" i="20"/>
  <c r="O13" i="20"/>
  <c r="I591" i="20" s="1"/>
  <c r="L13" i="20"/>
  <c r="I13" i="20"/>
  <c r="G591" i="20" s="1"/>
  <c r="F13" i="20"/>
  <c r="E13" i="20"/>
  <c r="V6" i="20"/>
  <c r="S6" i="20"/>
  <c r="P6" i="20"/>
  <c r="M6" i="20"/>
  <c r="J6" i="20"/>
  <c r="G6" i="20"/>
  <c r="U5" i="20"/>
  <c r="P5" i="20"/>
  <c r="G5" i="20"/>
  <c r="U4" i="20"/>
  <c r="P4" i="20"/>
  <c r="L4" i="20"/>
  <c r="G4" i="20"/>
  <c r="L2" i="20"/>
  <c r="AY1" i="20"/>
  <c r="AX1" i="20"/>
  <c r="AW1" i="20"/>
  <c r="AV1" i="20"/>
  <c r="B1" i="20"/>
  <c r="P340" i="19"/>
  <c r="Q340" i="19" s="1"/>
  <c r="G340" i="19"/>
  <c r="F340" i="19"/>
  <c r="R340" i="19" s="1"/>
  <c r="D340" i="19"/>
  <c r="G339" i="19"/>
  <c r="F339" i="19"/>
  <c r="P339" i="19" s="1"/>
  <c r="Q339" i="19" s="1"/>
  <c r="D339" i="19"/>
  <c r="G338" i="19"/>
  <c r="F338" i="19"/>
  <c r="D338" i="19"/>
  <c r="P337" i="19"/>
  <c r="Q337" i="19" s="1"/>
  <c r="G337" i="19"/>
  <c r="F337" i="19"/>
  <c r="D337" i="19"/>
  <c r="R336" i="19"/>
  <c r="P336" i="19"/>
  <c r="Q336" i="19" s="1"/>
  <c r="G336" i="19"/>
  <c r="F336" i="19"/>
  <c r="D336" i="19"/>
  <c r="G335" i="19"/>
  <c r="F335" i="19"/>
  <c r="P335" i="19" s="1"/>
  <c r="Q335" i="19" s="1"/>
  <c r="D335" i="19"/>
  <c r="P334" i="19"/>
  <c r="Q334" i="19" s="1"/>
  <c r="G334" i="19"/>
  <c r="F334" i="19"/>
  <c r="D334" i="19"/>
  <c r="G333" i="19"/>
  <c r="F333" i="19"/>
  <c r="P333" i="19" s="1"/>
  <c r="Q333" i="19" s="1"/>
  <c r="D333" i="19"/>
  <c r="G332" i="19"/>
  <c r="F332" i="19"/>
  <c r="D332" i="19"/>
  <c r="Q331" i="19"/>
  <c r="P331" i="19"/>
  <c r="G331" i="19"/>
  <c r="F331" i="19"/>
  <c r="D331" i="19"/>
  <c r="R330" i="19"/>
  <c r="P330" i="19"/>
  <c r="Q330" i="19" s="1"/>
  <c r="G330" i="19"/>
  <c r="F330" i="19"/>
  <c r="D330" i="19"/>
  <c r="G329" i="19"/>
  <c r="F329" i="19"/>
  <c r="D329" i="19"/>
  <c r="P328" i="19"/>
  <c r="Q328" i="19" s="1"/>
  <c r="G328" i="19"/>
  <c r="F328" i="19"/>
  <c r="R328" i="19" s="1"/>
  <c r="D328" i="19"/>
  <c r="G327" i="19"/>
  <c r="F327" i="19"/>
  <c r="P327" i="19" s="1"/>
  <c r="Q327" i="19" s="1"/>
  <c r="D327" i="19"/>
  <c r="G326" i="19"/>
  <c r="F326" i="19"/>
  <c r="D326" i="19"/>
  <c r="P325" i="19"/>
  <c r="Q325" i="19" s="1"/>
  <c r="G325" i="19"/>
  <c r="F325" i="19"/>
  <c r="D325" i="19"/>
  <c r="Q324" i="19"/>
  <c r="P324" i="19"/>
  <c r="G324" i="19"/>
  <c r="F324" i="19"/>
  <c r="D324" i="19"/>
  <c r="Q323" i="19"/>
  <c r="G323" i="19"/>
  <c r="F323" i="19"/>
  <c r="P323" i="19" s="1"/>
  <c r="D323" i="19"/>
  <c r="G322" i="19"/>
  <c r="F322" i="19"/>
  <c r="D322" i="19"/>
  <c r="G321" i="19"/>
  <c r="F321" i="19"/>
  <c r="P321" i="19" s="1"/>
  <c r="Q321" i="19" s="1"/>
  <c r="D321" i="19"/>
  <c r="G320" i="19"/>
  <c r="F320" i="19"/>
  <c r="D320" i="19"/>
  <c r="R319" i="19"/>
  <c r="P319" i="19"/>
  <c r="Q319" i="19" s="1"/>
  <c r="G319" i="19"/>
  <c r="F319" i="19"/>
  <c r="D319" i="19"/>
  <c r="R318" i="19"/>
  <c r="P318" i="19"/>
  <c r="Q318" i="19" s="1"/>
  <c r="G318" i="19"/>
  <c r="F318" i="19"/>
  <c r="D318" i="19"/>
  <c r="R317" i="19"/>
  <c r="Q317" i="19"/>
  <c r="G317" i="19"/>
  <c r="F317" i="19"/>
  <c r="P317" i="19" s="1"/>
  <c r="D317" i="19"/>
  <c r="P316" i="19"/>
  <c r="Q316" i="19" s="1"/>
  <c r="G316" i="19"/>
  <c r="F316" i="19"/>
  <c r="R316" i="19" s="1"/>
  <c r="D316" i="19"/>
  <c r="G315" i="19"/>
  <c r="F315" i="19"/>
  <c r="P315" i="19" s="1"/>
  <c r="Q315" i="19" s="1"/>
  <c r="D315" i="19"/>
  <c r="G314" i="19"/>
  <c r="F314" i="19"/>
  <c r="D314" i="19"/>
  <c r="Q313" i="19"/>
  <c r="P313" i="19"/>
  <c r="G313" i="19"/>
  <c r="F313" i="19"/>
  <c r="D313" i="19"/>
  <c r="R312" i="19"/>
  <c r="Q312" i="19"/>
  <c r="P312" i="19"/>
  <c r="G312" i="19"/>
  <c r="F312" i="19"/>
  <c r="D312" i="19"/>
  <c r="G311" i="19"/>
  <c r="F311" i="19"/>
  <c r="D311" i="19"/>
  <c r="G310" i="19"/>
  <c r="F310" i="19"/>
  <c r="D310" i="19"/>
  <c r="G309" i="19"/>
  <c r="F309" i="19"/>
  <c r="P309" i="19" s="1"/>
  <c r="Q309" i="19" s="1"/>
  <c r="D309" i="19"/>
  <c r="P308" i="19"/>
  <c r="Q308" i="19" s="1"/>
  <c r="G308" i="19"/>
  <c r="F308" i="19"/>
  <c r="D308" i="19"/>
  <c r="P307" i="19"/>
  <c r="Q307" i="19" s="1"/>
  <c r="G307" i="19"/>
  <c r="F307" i="19"/>
  <c r="D307" i="19"/>
  <c r="P306" i="19"/>
  <c r="Q306" i="19" s="1"/>
  <c r="G306" i="19"/>
  <c r="F306" i="19"/>
  <c r="D306" i="19"/>
  <c r="G305" i="19"/>
  <c r="F305" i="19"/>
  <c r="D305" i="19"/>
  <c r="Q304" i="19"/>
  <c r="G304" i="19"/>
  <c r="F304" i="19"/>
  <c r="P304" i="19" s="1"/>
  <c r="D304" i="19"/>
  <c r="G303" i="19"/>
  <c r="F303" i="19"/>
  <c r="D303" i="19"/>
  <c r="G302" i="19"/>
  <c r="F302" i="19"/>
  <c r="D302" i="19"/>
  <c r="Q301" i="19"/>
  <c r="P301" i="19"/>
  <c r="G301" i="19"/>
  <c r="F301" i="19"/>
  <c r="D301" i="19"/>
  <c r="Q300" i="19"/>
  <c r="P300" i="19"/>
  <c r="G300" i="19"/>
  <c r="F300" i="19"/>
  <c r="D300" i="19"/>
  <c r="Q299" i="19"/>
  <c r="P299" i="19"/>
  <c r="G299" i="19"/>
  <c r="F299" i="19"/>
  <c r="D299" i="19"/>
  <c r="P298" i="19"/>
  <c r="Q298" i="19" s="1"/>
  <c r="G298" i="19"/>
  <c r="F298" i="19"/>
  <c r="D298" i="19"/>
  <c r="G297" i="19"/>
  <c r="F297" i="19"/>
  <c r="D297" i="19"/>
  <c r="G296" i="19"/>
  <c r="F296" i="19"/>
  <c r="D296" i="19"/>
  <c r="P295" i="19"/>
  <c r="Q295" i="19" s="1"/>
  <c r="G295" i="19"/>
  <c r="F295" i="19"/>
  <c r="D295" i="19"/>
  <c r="P294" i="19"/>
  <c r="Q294" i="19" s="1"/>
  <c r="G294" i="19"/>
  <c r="F294" i="19"/>
  <c r="R294" i="19" s="1"/>
  <c r="D294" i="19"/>
  <c r="G293" i="19"/>
  <c r="F293" i="19"/>
  <c r="D293" i="19"/>
  <c r="G292" i="19"/>
  <c r="F292" i="19"/>
  <c r="D292" i="19"/>
  <c r="R291" i="19"/>
  <c r="G291" i="19"/>
  <c r="F291" i="19"/>
  <c r="P291" i="19" s="1"/>
  <c r="Q291" i="19" s="1"/>
  <c r="D291" i="19"/>
  <c r="G290" i="19"/>
  <c r="F290" i="19"/>
  <c r="D290" i="19"/>
  <c r="R289" i="19"/>
  <c r="Q289" i="19"/>
  <c r="P289" i="19"/>
  <c r="G289" i="19"/>
  <c r="F289" i="19"/>
  <c r="D289" i="19"/>
  <c r="P288" i="19"/>
  <c r="Q288" i="19" s="1"/>
  <c r="G288" i="19"/>
  <c r="F288" i="19"/>
  <c r="R288" i="19" s="1"/>
  <c r="D288" i="19"/>
  <c r="G287" i="19"/>
  <c r="F287" i="19"/>
  <c r="R287" i="19" s="1"/>
  <c r="E287" i="19"/>
  <c r="D287" i="19"/>
  <c r="R286" i="19"/>
  <c r="Q286" i="19"/>
  <c r="P286" i="19"/>
  <c r="G286" i="19"/>
  <c r="F286" i="19"/>
  <c r="D286" i="19"/>
  <c r="R285" i="19"/>
  <c r="G285" i="19"/>
  <c r="F285" i="19"/>
  <c r="P285" i="19" s="1"/>
  <c r="Q285" i="19" s="1"/>
  <c r="D285" i="19"/>
  <c r="P284" i="19"/>
  <c r="Q284" i="19" s="1"/>
  <c r="G284" i="19"/>
  <c r="F284" i="19"/>
  <c r="R284" i="19" s="1"/>
  <c r="D284" i="19"/>
  <c r="R283" i="19"/>
  <c r="P283" i="19"/>
  <c r="Q283" i="19" s="1"/>
  <c r="G283" i="19"/>
  <c r="F283" i="19"/>
  <c r="D283" i="19"/>
  <c r="P282" i="19"/>
  <c r="Q282" i="19" s="1"/>
  <c r="G282" i="19"/>
  <c r="F282" i="19"/>
  <c r="R282" i="19" s="1"/>
  <c r="D282" i="19"/>
  <c r="G281" i="19"/>
  <c r="F281" i="19"/>
  <c r="P281" i="19" s="1"/>
  <c r="Q281" i="19" s="1"/>
  <c r="D281" i="19"/>
  <c r="G280" i="19"/>
  <c r="F280" i="19"/>
  <c r="D280" i="19"/>
  <c r="G279" i="19"/>
  <c r="F279" i="19"/>
  <c r="D279" i="19"/>
  <c r="G278" i="19"/>
  <c r="F278" i="19"/>
  <c r="D278" i="19"/>
  <c r="P277" i="19"/>
  <c r="Q277" i="19" s="1"/>
  <c r="G277" i="19"/>
  <c r="F277" i="19"/>
  <c r="D277" i="19"/>
  <c r="P276" i="19"/>
  <c r="Q276" i="19" s="1"/>
  <c r="G276" i="19"/>
  <c r="F276" i="19"/>
  <c r="D276" i="19"/>
  <c r="P275" i="19"/>
  <c r="Q275" i="19" s="1"/>
  <c r="G275" i="19"/>
  <c r="F275" i="19"/>
  <c r="D275" i="19"/>
  <c r="G274" i="19"/>
  <c r="F274" i="19"/>
  <c r="P274" i="19" s="1"/>
  <c r="Q274" i="19" s="1"/>
  <c r="D274" i="19"/>
  <c r="G273" i="19"/>
  <c r="F273" i="19"/>
  <c r="D273" i="19"/>
  <c r="G272" i="19"/>
  <c r="F272" i="19"/>
  <c r="D272" i="19"/>
  <c r="P271" i="19"/>
  <c r="Q271" i="19" s="1"/>
  <c r="G271" i="19"/>
  <c r="F271" i="19"/>
  <c r="D271" i="19"/>
  <c r="Q270" i="19"/>
  <c r="P270" i="19"/>
  <c r="G270" i="19"/>
  <c r="F270" i="19"/>
  <c r="D270" i="19"/>
  <c r="P269" i="19"/>
  <c r="Q269" i="19" s="1"/>
  <c r="G269" i="19"/>
  <c r="F269" i="19"/>
  <c r="D269" i="19"/>
  <c r="P268" i="19"/>
  <c r="Q268" i="19" s="1"/>
  <c r="G268" i="19"/>
  <c r="F268" i="19"/>
  <c r="D268" i="19"/>
  <c r="G267" i="19"/>
  <c r="F267" i="19"/>
  <c r="D267" i="19"/>
  <c r="G266" i="19"/>
  <c r="F266" i="19"/>
  <c r="D266" i="19"/>
  <c r="P265" i="19"/>
  <c r="Q265" i="19" s="1"/>
  <c r="G265" i="19"/>
  <c r="F265" i="19"/>
  <c r="D265" i="19"/>
  <c r="P264" i="19"/>
  <c r="Q264" i="19" s="1"/>
  <c r="G264" i="19"/>
  <c r="F264" i="19"/>
  <c r="D264" i="19"/>
  <c r="P263" i="19"/>
  <c r="Q263" i="19" s="1"/>
  <c r="G263" i="19"/>
  <c r="F263" i="19"/>
  <c r="D263" i="19"/>
  <c r="P262" i="19"/>
  <c r="Q262" i="19" s="1"/>
  <c r="G262" i="19"/>
  <c r="F262" i="19"/>
  <c r="D262" i="19"/>
  <c r="G261" i="19"/>
  <c r="F261" i="19"/>
  <c r="P261" i="19" s="1"/>
  <c r="Q261" i="19" s="1"/>
  <c r="D261" i="19"/>
  <c r="G260" i="19"/>
  <c r="F260" i="19"/>
  <c r="D260" i="19"/>
  <c r="R259" i="19"/>
  <c r="P259" i="19"/>
  <c r="Q259" i="19" s="1"/>
  <c r="G259" i="19"/>
  <c r="F259" i="19"/>
  <c r="D259" i="19"/>
  <c r="P258" i="19"/>
  <c r="Q258" i="19" s="1"/>
  <c r="G258" i="19"/>
  <c r="F258" i="19"/>
  <c r="D258" i="19"/>
  <c r="P257" i="19"/>
  <c r="Q257" i="19" s="1"/>
  <c r="G257" i="19"/>
  <c r="F257" i="19"/>
  <c r="D257" i="19"/>
  <c r="Q256" i="19"/>
  <c r="P256" i="19"/>
  <c r="G256" i="19"/>
  <c r="F256" i="19"/>
  <c r="D256" i="19"/>
  <c r="G255" i="19"/>
  <c r="F255" i="19"/>
  <c r="P255" i="19" s="1"/>
  <c r="Q255" i="19" s="1"/>
  <c r="D255" i="19"/>
  <c r="Q254" i="19"/>
  <c r="P254" i="19"/>
  <c r="G254" i="19"/>
  <c r="F254" i="19"/>
  <c r="D254" i="19"/>
  <c r="R253" i="19"/>
  <c r="Q253" i="19"/>
  <c r="P253" i="19"/>
  <c r="G253" i="19"/>
  <c r="F253" i="19"/>
  <c r="D253" i="19"/>
  <c r="R252" i="19"/>
  <c r="P252" i="19"/>
  <c r="Q252" i="19" s="1"/>
  <c r="G252" i="19"/>
  <c r="F252" i="19"/>
  <c r="D252" i="19"/>
  <c r="R251" i="19"/>
  <c r="Q251" i="19"/>
  <c r="P251" i="19"/>
  <c r="G251" i="19"/>
  <c r="F251" i="19"/>
  <c r="D251" i="19"/>
  <c r="R250" i="19"/>
  <c r="P250" i="19"/>
  <c r="Q250" i="19" s="1"/>
  <c r="G250" i="19"/>
  <c r="F250" i="19"/>
  <c r="D250" i="19"/>
  <c r="R249" i="19"/>
  <c r="G249" i="19"/>
  <c r="F249" i="19"/>
  <c r="P249" i="19" s="1"/>
  <c r="Q249" i="19" s="1"/>
  <c r="D249" i="19"/>
  <c r="P248" i="19"/>
  <c r="Q248" i="19" s="1"/>
  <c r="G248" i="19"/>
  <c r="F248" i="19"/>
  <c r="R248" i="19" s="1"/>
  <c r="D248" i="19"/>
  <c r="Q247" i="19"/>
  <c r="P247" i="19"/>
  <c r="G247" i="19"/>
  <c r="F247" i="19"/>
  <c r="D247" i="19"/>
  <c r="Q246" i="19"/>
  <c r="P246" i="19"/>
  <c r="G246" i="19"/>
  <c r="F246" i="19"/>
  <c r="D246" i="19"/>
  <c r="Q245" i="19"/>
  <c r="P245" i="19"/>
  <c r="G245" i="19"/>
  <c r="F245" i="19"/>
  <c r="D245" i="19"/>
  <c r="P244" i="19"/>
  <c r="Q244" i="19" s="1"/>
  <c r="G244" i="19"/>
  <c r="F244" i="19"/>
  <c r="D244" i="19"/>
  <c r="G243" i="19"/>
  <c r="F243" i="19"/>
  <c r="P243" i="19" s="1"/>
  <c r="Q243" i="19" s="1"/>
  <c r="D243" i="19"/>
  <c r="P242" i="19"/>
  <c r="Q242" i="19" s="1"/>
  <c r="G242" i="19"/>
  <c r="F242" i="19"/>
  <c r="D242" i="19"/>
  <c r="P241" i="19"/>
  <c r="Q241" i="19" s="1"/>
  <c r="G241" i="19"/>
  <c r="F241" i="19"/>
  <c r="D241" i="19"/>
  <c r="G240" i="19"/>
  <c r="F240" i="19"/>
  <c r="D240" i="19"/>
  <c r="P239" i="19"/>
  <c r="Q239" i="19" s="1"/>
  <c r="G239" i="19"/>
  <c r="F239" i="19"/>
  <c r="D239" i="19"/>
  <c r="G238" i="19"/>
  <c r="F238" i="19"/>
  <c r="D238" i="19"/>
  <c r="G237" i="19"/>
  <c r="F237" i="19"/>
  <c r="P237" i="19" s="1"/>
  <c r="Q237" i="19" s="1"/>
  <c r="D237" i="19"/>
  <c r="G236" i="19"/>
  <c r="F236" i="19"/>
  <c r="D236" i="19"/>
  <c r="Q235" i="19"/>
  <c r="P235" i="19"/>
  <c r="G235" i="19"/>
  <c r="F235" i="19"/>
  <c r="D235" i="19"/>
  <c r="Q234" i="19"/>
  <c r="P234" i="19"/>
  <c r="G234" i="19"/>
  <c r="F234" i="19"/>
  <c r="D234" i="19"/>
  <c r="G233" i="19"/>
  <c r="F233" i="19"/>
  <c r="D233" i="19"/>
  <c r="G232" i="19"/>
  <c r="F232" i="19"/>
  <c r="P232" i="19" s="1"/>
  <c r="Q232" i="19" s="1"/>
  <c r="D232" i="19"/>
  <c r="G231" i="19"/>
  <c r="F231" i="19"/>
  <c r="P231" i="19" s="1"/>
  <c r="Q231" i="19" s="1"/>
  <c r="D231" i="19"/>
  <c r="P230" i="19"/>
  <c r="Q230" i="19" s="1"/>
  <c r="G230" i="19"/>
  <c r="F230" i="19"/>
  <c r="D230" i="19"/>
  <c r="P229" i="19"/>
  <c r="Q229" i="19" s="1"/>
  <c r="G229" i="19"/>
  <c r="F229" i="19"/>
  <c r="D229" i="19"/>
  <c r="G228" i="19"/>
  <c r="F228" i="19"/>
  <c r="D228" i="19"/>
  <c r="P227" i="19"/>
  <c r="Q227" i="19" s="1"/>
  <c r="G227" i="19"/>
  <c r="F227" i="19"/>
  <c r="D227" i="19"/>
  <c r="P226" i="19"/>
  <c r="Q226" i="19" s="1"/>
  <c r="G226" i="19"/>
  <c r="F226" i="19"/>
  <c r="D226" i="19"/>
  <c r="G225" i="19"/>
  <c r="F225" i="19"/>
  <c r="P225" i="19" s="1"/>
  <c r="Q225" i="19" s="1"/>
  <c r="D225" i="19"/>
  <c r="G224" i="19"/>
  <c r="F224" i="19"/>
  <c r="D224" i="19"/>
  <c r="P223" i="19"/>
  <c r="Q223" i="19" s="1"/>
  <c r="G223" i="19"/>
  <c r="F223" i="19"/>
  <c r="D223" i="19"/>
  <c r="Q222" i="19"/>
  <c r="G222" i="19"/>
  <c r="F222" i="19"/>
  <c r="P222" i="19" s="1"/>
  <c r="D222" i="19"/>
  <c r="G221" i="19"/>
  <c r="F221" i="19"/>
  <c r="D221" i="19"/>
  <c r="G220" i="19"/>
  <c r="F220" i="19"/>
  <c r="D220" i="19"/>
  <c r="G219" i="19"/>
  <c r="F219" i="19"/>
  <c r="P219" i="19" s="1"/>
  <c r="Q219" i="19" s="1"/>
  <c r="D219" i="19"/>
  <c r="G218" i="19"/>
  <c r="F218" i="19"/>
  <c r="P218" i="19" s="1"/>
  <c r="Q218" i="19" s="1"/>
  <c r="D218" i="19"/>
  <c r="G217" i="19"/>
  <c r="F217" i="19"/>
  <c r="D217" i="19"/>
  <c r="P216" i="19"/>
  <c r="Q216" i="19" s="1"/>
  <c r="G216" i="19"/>
  <c r="F216" i="19"/>
  <c r="R216" i="19" s="1"/>
  <c r="D216" i="19"/>
  <c r="R215" i="19"/>
  <c r="Q215" i="19"/>
  <c r="P215" i="19"/>
  <c r="G215" i="19"/>
  <c r="F215" i="19"/>
  <c r="D215" i="19"/>
  <c r="R214" i="19"/>
  <c r="Q214" i="19"/>
  <c r="P214" i="19"/>
  <c r="G214" i="19"/>
  <c r="F214" i="19"/>
  <c r="D214" i="19"/>
  <c r="R213" i="19"/>
  <c r="P213" i="19"/>
  <c r="Q213" i="19" s="1"/>
  <c r="G213" i="19"/>
  <c r="F213" i="19"/>
  <c r="D213" i="19"/>
  <c r="G212" i="19"/>
  <c r="F212" i="19"/>
  <c r="R212" i="19" s="1"/>
  <c r="D212" i="19"/>
  <c r="G211" i="19"/>
  <c r="F211" i="19"/>
  <c r="D211" i="19"/>
  <c r="R210" i="19"/>
  <c r="G210" i="19"/>
  <c r="F210" i="19"/>
  <c r="P210" i="19" s="1"/>
  <c r="Q210" i="19" s="1"/>
  <c r="D210" i="19"/>
  <c r="G209" i="19"/>
  <c r="F209" i="19"/>
  <c r="R209" i="19" s="1"/>
  <c r="D209" i="19"/>
  <c r="R208" i="19"/>
  <c r="Q208" i="19"/>
  <c r="G208" i="19"/>
  <c r="F208" i="19"/>
  <c r="P208" i="19" s="1"/>
  <c r="D208" i="19"/>
  <c r="G207" i="19"/>
  <c r="F207" i="19"/>
  <c r="P207" i="19" s="1"/>
  <c r="Q207" i="19" s="1"/>
  <c r="D207" i="19"/>
  <c r="G206" i="19"/>
  <c r="F206" i="19"/>
  <c r="D206" i="19"/>
  <c r="G205" i="19"/>
  <c r="F205" i="19"/>
  <c r="D205" i="19"/>
  <c r="G204" i="19"/>
  <c r="F204" i="19"/>
  <c r="D204" i="19"/>
  <c r="R203" i="19"/>
  <c r="P203" i="19"/>
  <c r="Q203" i="19" s="1"/>
  <c r="G203" i="19"/>
  <c r="F203" i="19"/>
  <c r="D203" i="19"/>
  <c r="P202" i="19"/>
  <c r="Q202" i="19" s="1"/>
  <c r="G202" i="19"/>
  <c r="F202" i="19"/>
  <c r="D202" i="19"/>
  <c r="R201" i="19"/>
  <c r="P201" i="19"/>
  <c r="Q201" i="19" s="1"/>
  <c r="G201" i="19"/>
  <c r="F201" i="19"/>
  <c r="D201" i="19"/>
  <c r="G200" i="19"/>
  <c r="F200" i="19"/>
  <c r="P200" i="19" s="1"/>
  <c r="Q200" i="19" s="1"/>
  <c r="D200" i="19"/>
  <c r="Q199" i="19"/>
  <c r="P199" i="19"/>
  <c r="G199" i="19"/>
  <c r="F199" i="19"/>
  <c r="D199" i="19"/>
  <c r="P198" i="19"/>
  <c r="Q198" i="19" s="1"/>
  <c r="G198" i="19"/>
  <c r="F198" i="19"/>
  <c r="D198" i="19"/>
  <c r="G197" i="19"/>
  <c r="F197" i="19"/>
  <c r="D197" i="19"/>
  <c r="G196" i="19"/>
  <c r="F196" i="19"/>
  <c r="D196" i="19"/>
  <c r="G195" i="19"/>
  <c r="F195" i="19"/>
  <c r="D195" i="19"/>
  <c r="P194" i="19"/>
  <c r="Q194" i="19" s="1"/>
  <c r="G194" i="19"/>
  <c r="F194" i="19"/>
  <c r="D194" i="19"/>
  <c r="P193" i="19"/>
  <c r="Q193" i="19" s="1"/>
  <c r="G193" i="19"/>
  <c r="F193" i="19"/>
  <c r="D193" i="19"/>
  <c r="Q192" i="19"/>
  <c r="P192" i="19"/>
  <c r="G192" i="19"/>
  <c r="F192" i="19"/>
  <c r="D192" i="19"/>
  <c r="G191" i="19"/>
  <c r="F191" i="19"/>
  <c r="P191" i="19" s="1"/>
  <c r="Q191" i="19" s="1"/>
  <c r="D191" i="19"/>
  <c r="Q190" i="19"/>
  <c r="P190" i="19"/>
  <c r="G190" i="19"/>
  <c r="F190" i="19"/>
  <c r="D190" i="19"/>
  <c r="G189" i="19"/>
  <c r="F189" i="19"/>
  <c r="P189" i="19" s="1"/>
  <c r="Q189" i="19" s="1"/>
  <c r="D189" i="19"/>
  <c r="P188" i="19"/>
  <c r="Q188" i="19" s="1"/>
  <c r="G188" i="19"/>
  <c r="F188" i="19"/>
  <c r="D188" i="19"/>
  <c r="Q187" i="19"/>
  <c r="P187" i="19"/>
  <c r="G187" i="19"/>
  <c r="F187" i="19"/>
  <c r="D187" i="19"/>
  <c r="G186" i="19"/>
  <c r="F186" i="19"/>
  <c r="P186" i="19" s="1"/>
  <c r="Q186" i="19" s="1"/>
  <c r="D186" i="19"/>
  <c r="P185" i="19"/>
  <c r="Q185" i="19" s="1"/>
  <c r="G185" i="19"/>
  <c r="F185" i="19"/>
  <c r="D185" i="19"/>
  <c r="G184" i="19"/>
  <c r="F184" i="19"/>
  <c r="D184" i="19"/>
  <c r="G183" i="19"/>
  <c r="F183" i="19"/>
  <c r="D183" i="19"/>
  <c r="P182" i="19"/>
  <c r="Q182" i="19" s="1"/>
  <c r="G182" i="19"/>
  <c r="F182" i="19"/>
  <c r="D182" i="19"/>
  <c r="Q181" i="19"/>
  <c r="P181" i="19"/>
  <c r="G181" i="19"/>
  <c r="F181" i="19"/>
  <c r="D181" i="19"/>
  <c r="G180" i="19"/>
  <c r="F180" i="19"/>
  <c r="P180" i="19" s="1"/>
  <c r="Q180" i="19" s="1"/>
  <c r="D180" i="19"/>
  <c r="G179" i="19"/>
  <c r="F179" i="19"/>
  <c r="P179" i="19" s="1"/>
  <c r="Q179" i="19" s="1"/>
  <c r="D179" i="19"/>
  <c r="P178" i="19"/>
  <c r="Q178" i="19" s="1"/>
  <c r="G178" i="19"/>
  <c r="F178" i="19"/>
  <c r="D178" i="19"/>
  <c r="R177" i="19"/>
  <c r="G177" i="19"/>
  <c r="F177" i="19"/>
  <c r="P177" i="19" s="1"/>
  <c r="Q177" i="19" s="1"/>
  <c r="D177" i="19"/>
  <c r="P176" i="19"/>
  <c r="Q176" i="19" s="1"/>
  <c r="G176" i="19"/>
  <c r="F176" i="19"/>
  <c r="D176" i="19"/>
  <c r="Q175" i="19"/>
  <c r="P175" i="19"/>
  <c r="G175" i="19"/>
  <c r="F175" i="19"/>
  <c r="D175" i="19"/>
  <c r="P174" i="19"/>
  <c r="Q174" i="19" s="1"/>
  <c r="G174" i="19"/>
  <c r="F174" i="19"/>
  <c r="D174" i="19"/>
  <c r="R173" i="19"/>
  <c r="Q173" i="19"/>
  <c r="P173" i="19"/>
  <c r="G173" i="19"/>
  <c r="F173" i="19"/>
  <c r="D173" i="19"/>
  <c r="P172" i="19"/>
  <c r="Q172" i="19" s="1"/>
  <c r="G172" i="19"/>
  <c r="F172" i="19"/>
  <c r="R172" i="19" s="1"/>
  <c r="D172" i="19"/>
  <c r="G171" i="19"/>
  <c r="F171" i="19"/>
  <c r="D171" i="19"/>
  <c r="G170" i="19"/>
  <c r="F170" i="19"/>
  <c r="D170" i="19"/>
  <c r="R169" i="19"/>
  <c r="Q169" i="19"/>
  <c r="P169" i="19"/>
  <c r="G169" i="19"/>
  <c r="F169" i="19"/>
  <c r="D169" i="19"/>
  <c r="G168" i="19"/>
  <c r="F168" i="19"/>
  <c r="D168" i="19"/>
  <c r="G167" i="19"/>
  <c r="F167" i="19"/>
  <c r="D167" i="19"/>
  <c r="G166" i="19"/>
  <c r="F166" i="19"/>
  <c r="P166" i="19" s="1"/>
  <c r="Q166" i="19" s="1"/>
  <c r="D166" i="19"/>
  <c r="G165" i="19"/>
  <c r="F165" i="19"/>
  <c r="P165" i="19" s="1"/>
  <c r="Q165" i="19" s="1"/>
  <c r="D165" i="19"/>
  <c r="P164" i="19"/>
  <c r="Q164" i="19" s="1"/>
  <c r="G164" i="19"/>
  <c r="F164" i="19"/>
  <c r="D164" i="19"/>
  <c r="P163" i="19"/>
  <c r="Q163" i="19" s="1"/>
  <c r="G163" i="19"/>
  <c r="F163" i="19"/>
  <c r="D163" i="19"/>
  <c r="Q162" i="19"/>
  <c r="P162" i="19"/>
  <c r="G162" i="19"/>
  <c r="F162" i="19"/>
  <c r="D162" i="19"/>
  <c r="P161" i="19"/>
  <c r="Q161" i="19" s="1"/>
  <c r="G161" i="19"/>
  <c r="F161" i="19"/>
  <c r="D161" i="19"/>
  <c r="P160" i="19"/>
  <c r="Q160" i="19" s="1"/>
  <c r="G160" i="19"/>
  <c r="F160" i="19"/>
  <c r="D160" i="19"/>
  <c r="G159" i="19"/>
  <c r="F159" i="19"/>
  <c r="P159" i="19" s="1"/>
  <c r="Q159" i="19" s="1"/>
  <c r="D159" i="19"/>
  <c r="P158" i="19"/>
  <c r="Q158" i="19" s="1"/>
  <c r="G158" i="19"/>
  <c r="F158" i="19"/>
  <c r="D158" i="19"/>
  <c r="P157" i="19"/>
  <c r="Q157" i="19" s="1"/>
  <c r="G157" i="19"/>
  <c r="F157" i="19"/>
  <c r="D157" i="19"/>
  <c r="G156" i="19"/>
  <c r="F156" i="19"/>
  <c r="D156" i="19"/>
  <c r="G155" i="19"/>
  <c r="F155" i="19"/>
  <c r="D155" i="19"/>
  <c r="P154" i="19"/>
  <c r="Q154" i="19" s="1"/>
  <c r="G154" i="19"/>
  <c r="F154" i="19"/>
  <c r="D154" i="19"/>
  <c r="G153" i="19"/>
  <c r="F153" i="19"/>
  <c r="D153" i="19"/>
  <c r="P152" i="19"/>
  <c r="Q152" i="19" s="1"/>
  <c r="G152" i="19"/>
  <c r="F152" i="19"/>
  <c r="D152" i="19"/>
  <c r="Q151" i="19"/>
  <c r="P151" i="19"/>
  <c r="G151" i="19"/>
  <c r="F151" i="19"/>
  <c r="D151" i="19"/>
  <c r="G150" i="19"/>
  <c r="F150" i="19"/>
  <c r="P150" i="19" s="1"/>
  <c r="Q150" i="19" s="1"/>
  <c r="D150" i="19"/>
  <c r="P149" i="19"/>
  <c r="Q149" i="19" s="1"/>
  <c r="G149" i="19"/>
  <c r="F149" i="19"/>
  <c r="D149" i="19"/>
  <c r="P148" i="19"/>
  <c r="Q148" i="19" s="1"/>
  <c r="G148" i="19"/>
  <c r="F148" i="19"/>
  <c r="R148" i="19" s="1"/>
  <c r="D148" i="19"/>
  <c r="R147" i="19"/>
  <c r="G147" i="19"/>
  <c r="F147" i="19"/>
  <c r="P147" i="19" s="1"/>
  <c r="Q147" i="19" s="1"/>
  <c r="D147" i="19"/>
  <c r="P146" i="19"/>
  <c r="Q146" i="19" s="1"/>
  <c r="G146" i="19"/>
  <c r="F146" i="19"/>
  <c r="D146" i="19"/>
  <c r="P145" i="19"/>
  <c r="Q145" i="19" s="1"/>
  <c r="G145" i="19"/>
  <c r="F145" i="19"/>
  <c r="D145" i="19"/>
  <c r="Q144" i="19"/>
  <c r="P144" i="19"/>
  <c r="G144" i="19"/>
  <c r="F144" i="19"/>
  <c r="D144" i="19"/>
  <c r="P143" i="19"/>
  <c r="Q143" i="19" s="1"/>
  <c r="G143" i="19"/>
  <c r="F143" i="19"/>
  <c r="D143" i="19"/>
  <c r="Q142" i="19"/>
  <c r="P142" i="19"/>
  <c r="G142" i="19"/>
  <c r="F142" i="19"/>
  <c r="D142" i="19"/>
  <c r="P141" i="19"/>
  <c r="Q141" i="19" s="1"/>
  <c r="G141" i="19"/>
  <c r="F141" i="19"/>
  <c r="D141" i="19"/>
  <c r="G140" i="19"/>
  <c r="F140" i="19"/>
  <c r="D140" i="19"/>
  <c r="G139" i="19"/>
  <c r="F139" i="19"/>
  <c r="P139" i="19" s="1"/>
  <c r="Q139" i="19" s="1"/>
  <c r="D139" i="19"/>
  <c r="R138" i="19"/>
  <c r="Q138" i="19"/>
  <c r="G138" i="19"/>
  <c r="F138" i="19"/>
  <c r="P138" i="19" s="1"/>
  <c r="D138" i="19"/>
  <c r="R137" i="19"/>
  <c r="P137" i="19"/>
  <c r="Q137" i="19" s="1"/>
  <c r="G137" i="19"/>
  <c r="F137" i="19"/>
  <c r="D137" i="19"/>
  <c r="R136" i="19"/>
  <c r="Q136" i="19"/>
  <c r="G136" i="19"/>
  <c r="F136" i="19"/>
  <c r="P136" i="19" s="1"/>
  <c r="D136" i="19"/>
  <c r="G135" i="19"/>
  <c r="F135" i="19"/>
  <c r="D135" i="19"/>
  <c r="G134" i="19"/>
  <c r="F134" i="19"/>
  <c r="D134" i="19"/>
  <c r="G133" i="19"/>
  <c r="F133" i="19"/>
  <c r="E133" i="19"/>
  <c r="D133" i="19"/>
  <c r="P132" i="19"/>
  <c r="Q132" i="19" s="1"/>
  <c r="G132" i="19"/>
  <c r="F132" i="19"/>
  <c r="R132" i="19" s="1"/>
  <c r="D132" i="19"/>
  <c r="R131" i="19"/>
  <c r="Q131" i="19"/>
  <c r="P131" i="19"/>
  <c r="G131" i="19"/>
  <c r="F131" i="19"/>
  <c r="D131" i="19"/>
  <c r="R130" i="19"/>
  <c r="Q130" i="19"/>
  <c r="P130" i="19"/>
  <c r="G130" i="19"/>
  <c r="F130" i="19"/>
  <c r="D130" i="19"/>
  <c r="R129" i="19"/>
  <c r="P129" i="19"/>
  <c r="Q129" i="19" s="1"/>
  <c r="G129" i="19"/>
  <c r="F129" i="19"/>
  <c r="D129" i="19"/>
  <c r="R128" i="19"/>
  <c r="P128" i="19"/>
  <c r="Q128" i="19" s="1"/>
  <c r="G128" i="19"/>
  <c r="F128" i="19"/>
  <c r="D128" i="19"/>
  <c r="R127" i="19"/>
  <c r="Q127" i="19"/>
  <c r="P127" i="19"/>
  <c r="G127" i="19"/>
  <c r="F127" i="19"/>
  <c r="D127" i="19"/>
  <c r="Q126" i="19"/>
  <c r="P126" i="19"/>
  <c r="G126" i="19"/>
  <c r="F126" i="19"/>
  <c r="R126" i="19" s="1"/>
  <c r="D126" i="19"/>
  <c r="G125" i="19"/>
  <c r="F125" i="19"/>
  <c r="D125" i="19"/>
  <c r="G124" i="19"/>
  <c r="F124" i="19"/>
  <c r="D124" i="19"/>
  <c r="R123" i="19"/>
  <c r="G123" i="19"/>
  <c r="F123" i="19"/>
  <c r="P123" i="19" s="1"/>
  <c r="Q123" i="19" s="1"/>
  <c r="D123" i="19"/>
  <c r="R122" i="19"/>
  <c r="G122" i="19"/>
  <c r="F122" i="19"/>
  <c r="P122" i="19" s="1"/>
  <c r="Q122" i="19" s="1"/>
  <c r="D122" i="19"/>
  <c r="G121" i="19"/>
  <c r="F121" i="19"/>
  <c r="D121" i="19"/>
  <c r="G120" i="19"/>
  <c r="F120" i="19"/>
  <c r="D120" i="19"/>
  <c r="P119" i="19"/>
  <c r="Q119" i="19" s="1"/>
  <c r="G119" i="19"/>
  <c r="F119" i="19"/>
  <c r="D119" i="19"/>
  <c r="P118" i="19"/>
  <c r="Q118" i="19" s="1"/>
  <c r="G118" i="19"/>
  <c r="F118" i="19"/>
  <c r="D118" i="19"/>
  <c r="P117" i="19"/>
  <c r="Q117" i="19" s="1"/>
  <c r="G117" i="19"/>
  <c r="F117" i="19"/>
  <c r="D117" i="19"/>
  <c r="G116" i="19"/>
  <c r="F116" i="19"/>
  <c r="D116" i="19"/>
  <c r="G115" i="19"/>
  <c r="F115" i="19"/>
  <c r="P115" i="19" s="1"/>
  <c r="Q115" i="19" s="1"/>
  <c r="D115" i="19"/>
  <c r="Q114" i="19"/>
  <c r="G114" i="19"/>
  <c r="F114" i="19"/>
  <c r="P114" i="19" s="1"/>
  <c r="D114" i="19"/>
  <c r="P113" i="19"/>
  <c r="Q113" i="19" s="1"/>
  <c r="G113" i="19"/>
  <c r="F113" i="19"/>
  <c r="D113" i="19"/>
  <c r="Q112" i="19"/>
  <c r="G112" i="19"/>
  <c r="F112" i="19"/>
  <c r="P112" i="19" s="1"/>
  <c r="D112" i="19"/>
  <c r="G111" i="19"/>
  <c r="F111" i="19"/>
  <c r="D111" i="19"/>
  <c r="Q110" i="19"/>
  <c r="P110" i="19"/>
  <c r="G110" i="19"/>
  <c r="F110" i="19"/>
  <c r="D110" i="19"/>
  <c r="P109" i="19"/>
  <c r="Q109" i="19" s="1"/>
  <c r="G109" i="19"/>
  <c r="F109" i="19"/>
  <c r="D109" i="19"/>
  <c r="P108" i="19"/>
  <c r="Q108" i="19" s="1"/>
  <c r="G108" i="19"/>
  <c r="F108" i="19"/>
  <c r="D108" i="19"/>
  <c r="P107" i="19"/>
  <c r="Q107" i="19" s="1"/>
  <c r="G107" i="19"/>
  <c r="F107" i="19"/>
  <c r="D107" i="19"/>
  <c r="Q106" i="19"/>
  <c r="G106" i="19"/>
  <c r="F106" i="19"/>
  <c r="P106" i="19" s="1"/>
  <c r="D106" i="19"/>
  <c r="G105" i="19"/>
  <c r="F105" i="19"/>
  <c r="D105" i="19"/>
  <c r="Q104" i="19"/>
  <c r="P104" i="19"/>
  <c r="G104" i="19"/>
  <c r="F104" i="19"/>
  <c r="D104" i="19"/>
  <c r="P103" i="19"/>
  <c r="Q103" i="19" s="1"/>
  <c r="G103" i="19"/>
  <c r="F103" i="19"/>
  <c r="D103" i="19"/>
  <c r="G102" i="19"/>
  <c r="F102" i="19"/>
  <c r="D102" i="19"/>
  <c r="G101" i="19"/>
  <c r="F101" i="19"/>
  <c r="P101" i="19" s="1"/>
  <c r="Q101" i="19" s="1"/>
  <c r="D101" i="19"/>
  <c r="R100" i="19"/>
  <c r="Q100" i="19"/>
  <c r="G100" i="19"/>
  <c r="F100" i="19"/>
  <c r="P100" i="19" s="1"/>
  <c r="D100" i="19"/>
  <c r="G99" i="19"/>
  <c r="F99" i="19"/>
  <c r="D99" i="19"/>
  <c r="P98" i="19"/>
  <c r="Q98" i="19" s="1"/>
  <c r="G98" i="19"/>
  <c r="F98" i="19"/>
  <c r="D98" i="19"/>
  <c r="Q97" i="19"/>
  <c r="P97" i="19"/>
  <c r="G97" i="19"/>
  <c r="F97" i="19"/>
  <c r="D97" i="19"/>
  <c r="G96" i="19"/>
  <c r="F96" i="19"/>
  <c r="P96" i="19" s="1"/>
  <c r="Q96" i="19" s="1"/>
  <c r="D96" i="19"/>
  <c r="Q95" i="19"/>
  <c r="P95" i="19"/>
  <c r="G95" i="19"/>
  <c r="F95" i="19"/>
  <c r="D95" i="19"/>
  <c r="Q94" i="19"/>
  <c r="G94" i="19"/>
  <c r="F94" i="19"/>
  <c r="P94" i="19" s="1"/>
  <c r="D94" i="19"/>
  <c r="G93" i="19"/>
  <c r="F93" i="19"/>
  <c r="D93" i="19"/>
  <c r="Q92" i="19"/>
  <c r="P92" i="19"/>
  <c r="G92" i="19"/>
  <c r="F92" i="19"/>
  <c r="R92" i="19" s="1"/>
  <c r="D92" i="19"/>
  <c r="R91" i="19"/>
  <c r="P91" i="19"/>
  <c r="Q91" i="19" s="1"/>
  <c r="G91" i="19"/>
  <c r="F91" i="19"/>
  <c r="D91" i="19"/>
  <c r="G90" i="19"/>
  <c r="F90" i="19"/>
  <c r="R90" i="19" s="1"/>
  <c r="D90" i="19"/>
  <c r="R89" i="19"/>
  <c r="P89" i="19"/>
  <c r="Q89" i="19" s="1"/>
  <c r="G89" i="19"/>
  <c r="F89" i="19"/>
  <c r="D89" i="19"/>
  <c r="G88" i="19"/>
  <c r="F88" i="19"/>
  <c r="D88" i="19"/>
  <c r="G87" i="19"/>
  <c r="F87" i="19"/>
  <c r="D87" i="19"/>
  <c r="Q86" i="19"/>
  <c r="P86" i="19"/>
  <c r="G86" i="19"/>
  <c r="F86" i="19"/>
  <c r="D86" i="19"/>
  <c r="P85" i="19"/>
  <c r="Q85" i="19" s="1"/>
  <c r="G85" i="19"/>
  <c r="F85" i="19"/>
  <c r="D85" i="19"/>
  <c r="P84" i="19"/>
  <c r="Q84" i="19" s="1"/>
  <c r="G84" i="19"/>
  <c r="F84" i="19"/>
  <c r="D84" i="19"/>
  <c r="G83" i="19"/>
  <c r="D83" i="19"/>
  <c r="P82" i="19"/>
  <c r="Q82" i="19" s="1"/>
  <c r="G82" i="19"/>
  <c r="F82" i="19"/>
  <c r="D82" i="19"/>
  <c r="Q81" i="19"/>
  <c r="G81" i="19"/>
  <c r="F81" i="19"/>
  <c r="P81" i="19" s="1"/>
  <c r="D81" i="19"/>
  <c r="P80" i="19"/>
  <c r="Q80" i="19" s="1"/>
  <c r="G80" i="19"/>
  <c r="F80" i="19"/>
  <c r="R80" i="19" s="1"/>
  <c r="D80" i="19"/>
  <c r="C80" i="19"/>
  <c r="I80" i="19" s="1"/>
  <c r="J80" i="19" s="1"/>
  <c r="K80" i="19" s="1"/>
  <c r="L80" i="19" s="1"/>
  <c r="M80" i="19" s="1"/>
  <c r="N80" i="19" s="1"/>
  <c r="R79" i="19"/>
  <c r="Q79" i="19"/>
  <c r="P79" i="19"/>
  <c r="G79" i="19"/>
  <c r="F79" i="19"/>
  <c r="D79" i="19"/>
  <c r="C79" i="19"/>
  <c r="I79" i="19" s="1"/>
  <c r="J79" i="19" s="1"/>
  <c r="R78" i="19"/>
  <c r="P78" i="19"/>
  <c r="Q78" i="19" s="1"/>
  <c r="G78" i="19"/>
  <c r="F78" i="19"/>
  <c r="D78" i="19"/>
  <c r="R77" i="19"/>
  <c r="P77" i="19"/>
  <c r="Q77" i="19" s="1"/>
  <c r="G77" i="19"/>
  <c r="F77" i="19"/>
  <c r="D77" i="19"/>
  <c r="G76" i="19"/>
  <c r="F76" i="19"/>
  <c r="D76" i="19"/>
  <c r="R75" i="19"/>
  <c r="G75" i="19"/>
  <c r="F75" i="19"/>
  <c r="P75" i="19" s="1"/>
  <c r="Q75" i="19" s="1"/>
  <c r="D75" i="19"/>
  <c r="G74" i="19"/>
  <c r="F74" i="19"/>
  <c r="D74" i="19"/>
  <c r="R73" i="19"/>
  <c r="P73" i="19"/>
  <c r="Q73" i="19" s="1"/>
  <c r="G73" i="19"/>
  <c r="F73" i="19"/>
  <c r="D73" i="19"/>
  <c r="P72" i="19"/>
  <c r="Q72" i="19" s="1"/>
  <c r="G72" i="19"/>
  <c r="F72" i="19"/>
  <c r="D72" i="19"/>
  <c r="P71" i="19"/>
  <c r="Q71" i="19" s="1"/>
  <c r="G71" i="19"/>
  <c r="F71" i="19"/>
  <c r="D71" i="19"/>
  <c r="Q70" i="19"/>
  <c r="P70" i="19"/>
  <c r="G70" i="19"/>
  <c r="F70" i="19"/>
  <c r="D70" i="19"/>
  <c r="G69" i="19"/>
  <c r="F69" i="19"/>
  <c r="D69" i="19"/>
  <c r="Q68" i="19"/>
  <c r="P68" i="19"/>
  <c r="G68" i="19"/>
  <c r="F68" i="19"/>
  <c r="D68" i="19"/>
  <c r="P67" i="19"/>
  <c r="Q67" i="19" s="1"/>
  <c r="G67" i="19"/>
  <c r="F67" i="19"/>
  <c r="D67" i="19"/>
  <c r="Q66" i="19"/>
  <c r="G66" i="19"/>
  <c r="F66" i="19"/>
  <c r="P66" i="19" s="1"/>
  <c r="D66" i="19"/>
  <c r="G65" i="19"/>
  <c r="F65" i="19"/>
  <c r="D65" i="19"/>
  <c r="G64" i="19"/>
  <c r="F64" i="19"/>
  <c r="D64" i="19"/>
  <c r="Q63" i="19"/>
  <c r="P63" i="19"/>
  <c r="G63" i="19"/>
  <c r="F63" i="19"/>
  <c r="D63" i="19"/>
  <c r="P62" i="19"/>
  <c r="Q62" i="19" s="1"/>
  <c r="G62" i="19"/>
  <c r="F62" i="19"/>
  <c r="D62" i="19"/>
  <c r="R61" i="19"/>
  <c r="Q61" i="19"/>
  <c r="P61" i="19"/>
  <c r="G61" i="19"/>
  <c r="F61" i="19"/>
  <c r="D61" i="19"/>
  <c r="P60" i="19"/>
  <c r="Q60" i="19" s="1"/>
  <c r="G60" i="19"/>
  <c r="F60" i="19"/>
  <c r="D60" i="19"/>
  <c r="Q59" i="19"/>
  <c r="G59" i="19"/>
  <c r="F59" i="19"/>
  <c r="P59" i="19" s="1"/>
  <c r="D59" i="19"/>
  <c r="G58" i="19"/>
  <c r="F58" i="19"/>
  <c r="P58" i="19" s="1"/>
  <c r="Q58" i="19" s="1"/>
  <c r="D58" i="19"/>
  <c r="G57" i="19"/>
  <c r="F57" i="19"/>
  <c r="D57" i="19"/>
  <c r="P56" i="19"/>
  <c r="Q56" i="19" s="1"/>
  <c r="G56" i="19"/>
  <c r="F56" i="19"/>
  <c r="D56" i="19"/>
  <c r="Q55" i="19"/>
  <c r="P55" i="19"/>
  <c r="G55" i="19"/>
  <c r="F55" i="19"/>
  <c r="D55" i="19"/>
  <c r="G54" i="19"/>
  <c r="F54" i="19"/>
  <c r="D54" i="19"/>
  <c r="G53" i="19"/>
  <c r="F53" i="19"/>
  <c r="D53" i="19"/>
  <c r="G52" i="19"/>
  <c r="F52" i="19"/>
  <c r="D52" i="19"/>
  <c r="G51" i="19"/>
  <c r="F51" i="19"/>
  <c r="D51" i="19"/>
  <c r="R50" i="19"/>
  <c r="Q50" i="19"/>
  <c r="P50" i="19"/>
  <c r="G50" i="19"/>
  <c r="F50" i="19"/>
  <c r="E50" i="19"/>
  <c r="D50" i="19"/>
  <c r="C50" i="19"/>
  <c r="I50" i="19" s="1"/>
  <c r="J50" i="19" s="1"/>
  <c r="R49" i="19"/>
  <c r="Q49" i="19"/>
  <c r="P49" i="19"/>
  <c r="G49" i="19"/>
  <c r="F49" i="19"/>
  <c r="D49" i="19"/>
  <c r="G48" i="19"/>
  <c r="F48" i="19"/>
  <c r="R48" i="19" s="1"/>
  <c r="E48" i="19"/>
  <c r="D48" i="19"/>
  <c r="R47" i="19"/>
  <c r="P47" i="19"/>
  <c r="Q47" i="19" s="1"/>
  <c r="G47" i="19"/>
  <c r="F47" i="19"/>
  <c r="D47" i="19"/>
  <c r="R46" i="19"/>
  <c r="G46" i="19"/>
  <c r="F46" i="19"/>
  <c r="P46" i="19" s="1"/>
  <c r="Q46" i="19" s="1"/>
  <c r="D46" i="19"/>
  <c r="G45" i="19"/>
  <c r="F45" i="19"/>
  <c r="D45" i="19"/>
  <c r="R44" i="19"/>
  <c r="P44" i="19"/>
  <c r="Q44" i="19" s="1"/>
  <c r="G44" i="19"/>
  <c r="F44" i="19"/>
  <c r="D44" i="19"/>
  <c r="R43" i="19"/>
  <c r="P43" i="19"/>
  <c r="Q43" i="19" s="1"/>
  <c r="G43" i="19"/>
  <c r="F43" i="19"/>
  <c r="D43" i="19"/>
  <c r="R42" i="19"/>
  <c r="P42" i="19"/>
  <c r="Q42" i="19" s="1"/>
  <c r="G42" i="19"/>
  <c r="F42" i="19"/>
  <c r="D42" i="19"/>
  <c r="Q41" i="19"/>
  <c r="P41" i="19"/>
  <c r="G41" i="19"/>
  <c r="F41" i="19"/>
  <c r="D41" i="19"/>
  <c r="R40" i="19"/>
  <c r="G40" i="19"/>
  <c r="F40" i="19"/>
  <c r="P40" i="19" s="1"/>
  <c r="Q40" i="19" s="1"/>
  <c r="D40" i="19"/>
  <c r="G39" i="19"/>
  <c r="F39" i="19"/>
  <c r="D39" i="19"/>
  <c r="Q38" i="19"/>
  <c r="P38" i="19"/>
  <c r="G38" i="19"/>
  <c r="F38" i="19"/>
  <c r="D38" i="19"/>
  <c r="P37" i="19"/>
  <c r="Q37" i="19" s="1"/>
  <c r="G37" i="19"/>
  <c r="F37" i="19"/>
  <c r="D37" i="19"/>
  <c r="P36" i="19"/>
  <c r="Q36" i="19" s="1"/>
  <c r="G36" i="19"/>
  <c r="F36" i="19"/>
  <c r="D36" i="19"/>
  <c r="G35" i="19"/>
  <c r="F35" i="19"/>
  <c r="D35" i="19"/>
  <c r="S34" i="19"/>
  <c r="G34" i="19"/>
  <c r="F34" i="19"/>
  <c r="D34" i="19"/>
  <c r="P33" i="19"/>
  <c r="Q33" i="19" s="1"/>
  <c r="G33" i="19"/>
  <c r="F33" i="19"/>
  <c r="D33" i="19"/>
  <c r="G32" i="19"/>
  <c r="F32" i="19"/>
  <c r="P32" i="19" s="1"/>
  <c r="Q32" i="19" s="1"/>
  <c r="D32" i="19"/>
  <c r="G31" i="19"/>
  <c r="F31" i="19"/>
  <c r="D31" i="19"/>
  <c r="G30" i="19"/>
  <c r="F30" i="19"/>
  <c r="D30" i="19"/>
  <c r="G29" i="19"/>
  <c r="F29" i="19"/>
  <c r="D29" i="19"/>
  <c r="P28" i="19"/>
  <c r="Q28" i="19" s="1"/>
  <c r="G28" i="19"/>
  <c r="F28" i="19"/>
  <c r="D28" i="19"/>
  <c r="P27" i="19"/>
  <c r="Q27" i="19" s="1"/>
  <c r="G27" i="19"/>
  <c r="F27" i="19"/>
  <c r="D27" i="19"/>
  <c r="Q26" i="19"/>
  <c r="P26" i="19"/>
  <c r="G26" i="19"/>
  <c r="F26" i="19"/>
  <c r="D26" i="19"/>
  <c r="Q25" i="19"/>
  <c r="G25" i="19"/>
  <c r="F25" i="19"/>
  <c r="P25" i="19" s="1"/>
  <c r="D25" i="19"/>
  <c r="Q24" i="19"/>
  <c r="P24" i="19"/>
  <c r="G24" i="19"/>
  <c r="F24" i="19"/>
  <c r="D24" i="19"/>
  <c r="Q23" i="19"/>
  <c r="G23" i="19"/>
  <c r="F23" i="19"/>
  <c r="P23" i="19" s="1"/>
  <c r="D23" i="19"/>
  <c r="G22" i="19"/>
  <c r="F22" i="19"/>
  <c r="P22" i="19" s="1"/>
  <c r="Q22" i="19" s="1"/>
  <c r="D22" i="19"/>
  <c r="S21" i="19"/>
  <c r="P21" i="19"/>
  <c r="Q21" i="19" s="1"/>
  <c r="G21" i="19"/>
  <c r="F21" i="19"/>
  <c r="D21" i="19"/>
  <c r="R20" i="19"/>
  <c r="Q20" i="19"/>
  <c r="P20" i="19"/>
  <c r="F20" i="19"/>
  <c r="D20" i="19"/>
  <c r="Q19" i="19"/>
  <c r="P19" i="19"/>
  <c r="F19" i="19"/>
  <c r="R19" i="19" s="1"/>
  <c r="D19" i="19"/>
  <c r="P18" i="19"/>
  <c r="Q18" i="19" s="1"/>
  <c r="F18" i="19"/>
  <c r="R18" i="19" s="1"/>
  <c r="D18" i="19"/>
  <c r="F17" i="19"/>
  <c r="D17" i="19"/>
  <c r="F16" i="19"/>
  <c r="D16" i="19"/>
  <c r="Q15" i="19"/>
  <c r="P15" i="19"/>
  <c r="F15" i="19"/>
  <c r="D15" i="19"/>
  <c r="Q14" i="19"/>
  <c r="P14" i="19"/>
  <c r="F14" i="19"/>
  <c r="D14" i="19"/>
  <c r="F13" i="19"/>
  <c r="D13" i="19"/>
  <c r="F12" i="19"/>
  <c r="D12" i="19"/>
  <c r="R11" i="19"/>
  <c r="F11" i="19"/>
  <c r="P11" i="19" s="1"/>
  <c r="Q11" i="19" s="1"/>
  <c r="D11" i="19"/>
  <c r="F10" i="19"/>
  <c r="D10" i="19"/>
  <c r="R9" i="19"/>
  <c r="Q9" i="19"/>
  <c r="P9" i="19"/>
  <c r="F9" i="19"/>
  <c r="D9" i="19"/>
  <c r="R8" i="19"/>
  <c r="P8" i="19"/>
  <c r="Q8" i="19" s="1"/>
  <c r="F8" i="19"/>
  <c r="D8" i="19"/>
  <c r="P7" i="19"/>
  <c r="Q7" i="19" s="1"/>
  <c r="F7" i="19"/>
  <c r="D7" i="19"/>
  <c r="Q6" i="19"/>
  <c r="P6" i="19"/>
  <c r="L6" i="19"/>
  <c r="F6" i="19"/>
  <c r="D6" i="19"/>
  <c r="F5" i="19"/>
  <c r="P5" i="19" s="1"/>
  <c r="Q5" i="19" s="1"/>
  <c r="D5" i="19"/>
  <c r="F4" i="19"/>
  <c r="D4" i="19"/>
  <c r="Q3" i="19"/>
  <c r="P3" i="19"/>
  <c r="F3" i="19"/>
  <c r="D3" i="19"/>
  <c r="Q2" i="19"/>
  <c r="P2" i="19"/>
  <c r="F2" i="19"/>
  <c r="D2" i="19"/>
  <c r="F1" i="19"/>
  <c r="D1" i="19"/>
  <c r="H15" i="18"/>
  <c r="H8" i="18"/>
  <c r="AJ109" i="17"/>
  <c r="AI109" i="17"/>
  <c r="AH109" i="17"/>
  <c r="L109" i="17"/>
  <c r="AJ108" i="17"/>
  <c r="AI108" i="17"/>
  <c r="AH108" i="17"/>
  <c r="L108" i="17"/>
  <c r="AJ107" i="17"/>
  <c r="AI107" i="17"/>
  <c r="AH107" i="17"/>
  <c r="L107" i="17"/>
  <c r="AJ106" i="17"/>
  <c r="AI106" i="17"/>
  <c r="AH106" i="17"/>
  <c r="L106" i="17"/>
  <c r="AJ105" i="17"/>
  <c r="AI105" i="17"/>
  <c r="AH105" i="17"/>
  <c r="L105" i="17"/>
  <c r="AJ104" i="17"/>
  <c r="AI104" i="17"/>
  <c r="AH104" i="17"/>
  <c r="L104" i="17"/>
  <c r="AJ103" i="17"/>
  <c r="AI103" i="17"/>
  <c r="AH103" i="17"/>
  <c r="L103" i="17"/>
  <c r="AJ102" i="17"/>
  <c r="AI102" i="17"/>
  <c r="AH102" i="17"/>
  <c r="AE102" i="17"/>
  <c r="AD102" i="17"/>
  <c r="L102" i="17"/>
  <c r="AJ101" i="17"/>
  <c r="AI101" i="17"/>
  <c r="AH101" i="17"/>
  <c r="L101" i="17"/>
  <c r="J101" i="17"/>
  <c r="I101" i="17"/>
  <c r="AJ100" i="17"/>
  <c r="AI100" i="17"/>
  <c r="AH100" i="17"/>
  <c r="L100" i="17"/>
  <c r="J100" i="17"/>
  <c r="I100" i="17"/>
  <c r="AJ99" i="17"/>
  <c r="AI99" i="17"/>
  <c r="AH99" i="17"/>
  <c r="L99" i="17"/>
  <c r="J99" i="17"/>
  <c r="I99" i="17"/>
  <c r="AJ98" i="17"/>
  <c r="AI98" i="17"/>
  <c r="AH98" i="17"/>
  <c r="AE98" i="17"/>
  <c r="AD98" i="17"/>
  <c r="L98" i="17"/>
  <c r="J98" i="17"/>
  <c r="I98" i="17"/>
  <c r="AJ97" i="17"/>
  <c r="AI97" i="17"/>
  <c r="AH97" i="17"/>
  <c r="L97" i="17"/>
  <c r="J97" i="17"/>
  <c r="I97" i="17"/>
  <c r="AJ96" i="17"/>
  <c r="AI96" i="17"/>
  <c r="AH96" i="17"/>
  <c r="L96" i="17"/>
  <c r="J96" i="17"/>
  <c r="I96" i="17"/>
  <c r="AJ95" i="17"/>
  <c r="AI95" i="17"/>
  <c r="AH95" i="17"/>
  <c r="L95" i="17"/>
  <c r="J95" i="17"/>
  <c r="I95" i="17"/>
  <c r="AJ94" i="17"/>
  <c r="AI94" i="17"/>
  <c r="AH94" i="17"/>
  <c r="AE94" i="17"/>
  <c r="AD94" i="17"/>
  <c r="L94" i="17"/>
  <c r="J94" i="17"/>
  <c r="I94" i="17"/>
  <c r="AJ93" i="17"/>
  <c r="AI93" i="17"/>
  <c r="AH93" i="17"/>
  <c r="L93" i="17"/>
  <c r="J93" i="17"/>
  <c r="I93" i="17"/>
  <c r="AJ92" i="17"/>
  <c r="AI92" i="17"/>
  <c r="AH92" i="17"/>
  <c r="L92" i="17"/>
  <c r="J92" i="17"/>
  <c r="I92" i="17"/>
  <c r="AJ91" i="17"/>
  <c r="AI91" i="17"/>
  <c r="AH91" i="17"/>
  <c r="L91" i="17"/>
  <c r="J91" i="17"/>
  <c r="I91" i="17"/>
  <c r="AJ90" i="17"/>
  <c r="AI90" i="17"/>
  <c r="AH90" i="17"/>
  <c r="AE90" i="17"/>
  <c r="AD90" i="17"/>
  <c r="L90" i="17"/>
  <c r="J90" i="17"/>
  <c r="I90" i="17"/>
  <c r="AJ89" i="17"/>
  <c r="AI89" i="17"/>
  <c r="AH89" i="17"/>
  <c r="L89" i="17"/>
  <c r="J89" i="17"/>
  <c r="I89" i="17"/>
  <c r="AJ88" i="17"/>
  <c r="AI88" i="17"/>
  <c r="AH88" i="17"/>
  <c r="L88" i="17"/>
  <c r="J88" i="17"/>
  <c r="I88" i="17"/>
  <c r="AJ87" i="17"/>
  <c r="AI87" i="17"/>
  <c r="AH87" i="17"/>
  <c r="L87" i="17"/>
  <c r="J87" i="17"/>
  <c r="I87" i="17"/>
  <c r="AJ86" i="17"/>
  <c r="AI86" i="17"/>
  <c r="AH86" i="17"/>
  <c r="AE86" i="17"/>
  <c r="AD86" i="17"/>
  <c r="L86" i="17"/>
  <c r="J86" i="17"/>
  <c r="I86" i="17"/>
  <c r="AJ85" i="17"/>
  <c r="AI85" i="17"/>
  <c r="AH85" i="17"/>
  <c r="L85" i="17"/>
  <c r="J85" i="17"/>
  <c r="I85" i="17"/>
  <c r="AJ84" i="17"/>
  <c r="AI84" i="17"/>
  <c r="AH84" i="17"/>
  <c r="L84" i="17"/>
  <c r="J84" i="17"/>
  <c r="I84" i="17"/>
  <c r="AJ83" i="17"/>
  <c r="AI83" i="17"/>
  <c r="AH83" i="17"/>
  <c r="L83" i="17"/>
  <c r="J83" i="17"/>
  <c r="I83" i="17"/>
  <c r="AJ82" i="17"/>
  <c r="AI82" i="17"/>
  <c r="AH82" i="17"/>
  <c r="AE82" i="17"/>
  <c r="AD82" i="17"/>
  <c r="L82" i="17"/>
  <c r="J82" i="17"/>
  <c r="I82" i="17"/>
  <c r="AJ81" i="17"/>
  <c r="AI81" i="17"/>
  <c r="AH81" i="17"/>
  <c r="L81" i="17"/>
  <c r="J81" i="17"/>
  <c r="I81" i="17"/>
  <c r="AJ80" i="17"/>
  <c r="AI80" i="17"/>
  <c r="AH80" i="17"/>
  <c r="L80" i="17"/>
  <c r="J80" i="17"/>
  <c r="I80" i="17"/>
  <c r="AJ79" i="17"/>
  <c r="AI79" i="17"/>
  <c r="AH79" i="17"/>
  <c r="L79" i="17"/>
  <c r="J79" i="17"/>
  <c r="I79" i="17"/>
  <c r="AJ78" i="17"/>
  <c r="AI78" i="17"/>
  <c r="AH78" i="17"/>
  <c r="AE78" i="17"/>
  <c r="AD78" i="17"/>
  <c r="L78" i="17"/>
  <c r="J78" i="17"/>
  <c r="I78" i="17"/>
  <c r="AJ77" i="17"/>
  <c r="AI77" i="17"/>
  <c r="AH77" i="17"/>
  <c r="L77" i="17"/>
  <c r="J77" i="17"/>
  <c r="I77" i="17"/>
  <c r="AJ76" i="17"/>
  <c r="AI76" i="17"/>
  <c r="AH76" i="17"/>
  <c r="L76" i="17"/>
  <c r="J76" i="17"/>
  <c r="I76" i="17"/>
  <c r="AJ75" i="17"/>
  <c r="AI75" i="17"/>
  <c r="AH75" i="17"/>
  <c r="L75" i="17"/>
  <c r="J75" i="17"/>
  <c r="I75" i="17"/>
  <c r="AJ74" i="17"/>
  <c r="AI74" i="17"/>
  <c r="AH74" i="17"/>
  <c r="AE74" i="17"/>
  <c r="AD74" i="17"/>
  <c r="L74" i="17"/>
  <c r="J74" i="17"/>
  <c r="I74" i="17"/>
  <c r="AJ73" i="17"/>
  <c r="AI73" i="17"/>
  <c r="AH73" i="17"/>
  <c r="L73" i="17"/>
  <c r="J73" i="17"/>
  <c r="I73" i="17"/>
  <c r="AJ72" i="17"/>
  <c r="AI72" i="17"/>
  <c r="AH72" i="17"/>
  <c r="L72" i="17"/>
  <c r="J72" i="17"/>
  <c r="I72" i="17"/>
  <c r="AJ71" i="17"/>
  <c r="AI71" i="17"/>
  <c r="AH71" i="17"/>
  <c r="L71" i="17"/>
  <c r="J71" i="17"/>
  <c r="I71" i="17"/>
  <c r="AJ70" i="17"/>
  <c r="AI70" i="17"/>
  <c r="AH70" i="17"/>
  <c r="AE70" i="17"/>
  <c r="AD70" i="17"/>
  <c r="L70" i="17"/>
  <c r="J70" i="17"/>
  <c r="I70" i="17"/>
  <c r="AJ69" i="17"/>
  <c r="AI69" i="17"/>
  <c r="AH69" i="17"/>
  <c r="AE69" i="17"/>
  <c r="AD69" i="17"/>
  <c r="L69" i="17"/>
  <c r="E320" i="19" s="1"/>
  <c r="J69" i="17"/>
  <c r="C320" i="19" s="1"/>
  <c r="I320" i="19" s="1"/>
  <c r="J320" i="19" s="1"/>
  <c r="K320" i="19" s="1"/>
  <c r="I69" i="17"/>
  <c r="AJ128" i="22" s="1"/>
  <c r="AJ68" i="17"/>
  <c r="AI68" i="17"/>
  <c r="AH68" i="17"/>
  <c r="AE68" i="17"/>
  <c r="AD68" i="17"/>
  <c r="L68" i="17"/>
  <c r="E288" i="19" s="1"/>
  <c r="J68" i="17"/>
  <c r="C288" i="19" s="1"/>
  <c r="I288" i="19" s="1"/>
  <c r="J288" i="19" s="1"/>
  <c r="I68" i="17"/>
  <c r="AJ125" i="22" s="1"/>
  <c r="AJ67" i="17"/>
  <c r="AI67" i="17"/>
  <c r="AH67" i="17"/>
  <c r="AE67" i="17"/>
  <c r="AD67" i="17"/>
  <c r="L67" i="17"/>
  <c r="E216" i="19" s="1"/>
  <c r="J67" i="17"/>
  <c r="C216" i="19" s="1"/>
  <c r="I216" i="19" s="1"/>
  <c r="J216" i="19" s="1"/>
  <c r="K216" i="19" s="1"/>
  <c r="L216" i="19" s="1"/>
  <c r="M216" i="19" s="1"/>
  <c r="N216" i="19" s="1"/>
  <c r="I67" i="17"/>
  <c r="AJ122" i="22" s="1"/>
  <c r="AJ66" i="17"/>
  <c r="AI66" i="17"/>
  <c r="AH66" i="17"/>
  <c r="AE66" i="17"/>
  <c r="AD66" i="17"/>
  <c r="L66" i="17"/>
  <c r="E208" i="19" s="1"/>
  <c r="J66" i="17"/>
  <c r="C208" i="19" s="1"/>
  <c r="I208" i="19" s="1"/>
  <c r="J208" i="19" s="1"/>
  <c r="K208" i="19" s="1"/>
  <c r="L208" i="19" s="1"/>
  <c r="M208" i="19" s="1"/>
  <c r="N208" i="19" s="1"/>
  <c r="I66" i="17"/>
  <c r="AJ119" i="22" s="1"/>
  <c r="AJ65" i="17"/>
  <c r="AI65" i="17"/>
  <c r="AH65" i="17"/>
  <c r="AE65" i="17"/>
  <c r="AD65" i="17"/>
  <c r="L65" i="17"/>
  <c r="E319" i="19" s="1"/>
  <c r="J65" i="17"/>
  <c r="C319" i="19" s="1"/>
  <c r="I319" i="19" s="1"/>
  <c r="J319" i="19" s="1"/>
  <c r="I65" i="17"/>
  <c r="AJ116" i="22" s="1"/>
  <c r="AJ64" i="17"/>
  <c r="AI64" i="17"/>
  <c r="AH64" i="17"/>
  <c r="AE64" i="17"/>
  <c r="AD64" i="17"/>
  <c r="L64" i="17"/>
  <c r="J64" i="17"/>
  <c r="C287" i="19" s="1"/>
  <c r="I287" i="19" s="1"/>
  <c r="J287" i="19" s="1"/>
  <c r="K287" i="19" s="1"/>
  <c r="I64" i="17"/>
  <c r="AJ113" i="22" s="1"/>
  <c r="AJ63" i="17"/>
  <c r="AI63" i="17"/>
  <c r="AH63" i="17"/>
  <c r="AE63" i="17"/>
  <c r="AD63" i="17"/>
  <c r="L63" i="17"/>
  <c r="E340" i="19" s="1"/>
  <c r="J63" i="17"/>
  <c r="C340" i="19" s="1"/>
  <c r="I340" i="19" s="1"/>
  <c r="J340" i="19" s="1"/>
  <c r="I63" i="17"/>
  <c r="AJ110" i="22" s="1"/>
  <c r="AJ62" i="17"/>
  <c r="AI62" i="17"/>
  <c r="AH62" i="17"/>
  <c r="AE62" i="17"/>
  <c r="AD62" i="17"/>
  <c r="L62" i="17"/>
  <c r="E330" i="19" s="1"/>
  <c r="J62" i="17"/>
  <c r="C330" i="19" s="1"/>
  <c r="I330" i="19" s="1"/>
  <c r="J330" i="19" s="1"/>
  <c r="I62" i="17"/>
  <c r="AJ107" i="22" s="1"/>
  <c r="AJ61" i="17"/>
  <c r="AI61" i="17"/>
  <c r="AH61" i="17"/>
  <c r="AE61" i="17"/>
  <c r="AD61" i="17"/>
  <c r="L61" i="17"/>
  <c r="E214" i="19" s="1"/>
  <c r="J61" i="17"/>
  <c r="C214" i="19" s="1"/>
  <c r="I214" i="19" s="1"/>
  <c r="J214" i="19" s="1"/>
  <c r="I61" i="17"/>
  <c r="AJ104" i="22" s="1"/>
  <c r="AJ60" i="17"/>
  <c r="AI60" i="17"/>
  <c r="AH60" i="17"/>
  <c r="AE60" i="17"/>
  <c r="AD60" i="17"/>
  <c r="L60" i="17"/>
  <c r="E210" i="19" s="1"/>
  <c r="J60" i="17"/>
  <c r="C210" i="19" s="1"/>
  <c r="I210" i="19" s="1"/>
  <c r="J210" i="19" s="1"/>
  <c r="K210" i="19" s="1"/>
  <c r="L210" i="19" s="1"/>
  <c r="M210" i="19" s="1"/>
  <c r="N210" i="19" s="1"/>
  <c r="I60" i="17"/>
  <c r="AJ101" i="22" s="1"/>
  <c r="AJ59" i="17"/>
  <c r="AI59" i="17"/>
  <c r="AH59" i="17"/>
  <c r="AE59" i="17"/>
  <c r="AD59" i="17"/>
  <c r="L59" i="17"/>
  <c r="E318" i="19" s="1"/>
  <c r="J59" i="17"/>
  <c r="C318" i="19" s="1"/>
  <c r="I318" i="19" s="1"/>
  <c r="J318" i="19" s="1"/>
  <c r="I59" i="17"/>
  <c r="AJ98" i="22" s="1"/>
  <c r="AJ58" i="17"/>
  <c r="AI58" i="17"/>
  <c r="AH58" i="17"/>
  <c r="AE58" i="17"/>
  <c r="AD58" i="17"/>
  <c r="L58" i="17"/>
  <c r="E286" i="19" s="1"/>
  <c r="J58" i="17"/>
  <c r="C286" i="19" s="1"/>
  <c r="I286" i="19" s="1"/>
  <c r="J286" i="19" s="1"/>
  <c r="K286" i="19" s="1"/>
  <c r="L286" i="19" s="1"/>
  <c r="M286" i="19" s="1"/>
  <c r="N286" i="19" s="1"/>
  <c r="I58" i="17"/>
  <c r="AJ95" i="22" s="1"/>
  <c r="AJ57" i="17"/>
  <c r="AI57" i="17"/>
  <c r="AH57" i="17"/>
  <c r="AE57" i="17"/>
  <c r="AD57" i="17"/>
  <c r="L57" i="17"/>
  <c r="J57" i="17"/>
  <c r="C133" i="19" s="1"/>
  <c r="I133" i="19" s="1"/>
  <c r="J133" i="19" s="1"/>
  <c r="K133" i="19" s="1"/>
  <c r="I57" i="17"/>
  <c r="AJ92" i="22" s="1"/>
  <c r="AJ56" i="17"/>
  <c r="AI56" i="17"/>
  <c r="AH56" i="17"/>
  <c r="AE56" i="17"/>
  <c r="AD56" i="17"/>
  <c r="L56" i="17"/>
  <c r="E128" i="19" s="1"/>
  <c r="J56" i="17"/>
  <c r="C128" i="19" s="1"/>
  <c r="I128" i="19" s="1"/>
  <c r="J128" i="19" s="1"/>
  <c r="K128" i="19" s="1"/>
  <c r="L128" i="19" s="1"/>
  <c r="M128" i="19" s="1"/>
  <c r="N128" i="19" s="1"/>
  <c r="I56" i="17"/>
  <c r="AJ89" i="22" s="1"/>
  <c r="AJ55" i="17"/>
  <c r="AI55" i="17"/>
  <c r="AH55" i="17"/>
  <c r="AE55" i="17"/>
  <c r="AD55" i="17"/>
  <c r="L55" i="17"/>
  <c r="E251" i="19" s="1"/>
  <c r="J55" i="17"/>
  <c r="C251" i="19" s="1"/>
  <c r="I251" i="19" s="1"/>
  <c r="J251" i="19" s="1"/>
  <c r="I55" i="17"/>
  <c r="AJ86" i="22" s="1"/>
  <c r="AJ54" i="17"/>
  <c r="AI54" i="17"/>
  <c r="AH54" i="17"/>
  <c r="AE54" i="17"/>
  <c r="AD54" i="17"/>
  <c r="L54" i="17"/>
  <c r="E250" i="19" s="1"/>
  <c r="J54" i="17"/>
  <c r="C250" i="19" s="1"/>
  <c r="I250" i="19" s="1"/>
  <c r="J250" i="19" s="1"/>
  <c r="K250" i="19" s="1"/>
  <c r="L250" i="19" s="1"/>
  <c r="M250" i="19" s="1"/>
  <c r="N250" i="19" s="1"/>
  <c r="I54" i="17"/>
  <c r="AJ83" i="22" s="1"/>
  <c r="AJ53" i="17"/>
  <c r="AI53" i="17"/>
  <c r="AH53" i="17"/>
  <c r="AE53" i="17"/>
  <c r="AD53" i="17"/>
  <c r="L53" i="17"/>
  <c r="E51" i="19" s="1"/>
  <c r="J53" i="17"/>
  <c r="C51" i="19" s="1"/>
  <c r="I51" i="19" s="1"/>
  <c r="J51" i="19" s="1"/>
  <c r="K51" i="19" s="1"/>
  <c r="I53" i="17"/>
  <c r="AJ80" i="22" s="1"/>
  <c r="AJ52" i="17"/>
  <c r="AI52" i="17"/>
  <c r="AH52" i="17"/>
  <c r="AE52" i="17"/>
  <c r="AD52" i="17"/>
  <c r="L52" i="17"/>
  <c r="J52" i="17"/>
  <c r="I52" i="17"/>
  <c r="AJ77" i="22" s="1"/>
  <c r="AJ51" i="17"/>
  <c r="AI51" i="17"/>
  <c r="AH51" i="17"/>
  <c r="AE51" i="17"/>
  <c r="AD51" i="17"/>
  <c r="L51" i="17"/>
  <c r="E132" i="19" s="1"/>
  <c r="J51" i="17"/>
  <c r="C132" i="19" s="1"/>
  <c r="I132" i="19" s="1"/>
  <c r="J132" i="19" s="1"/>
  <c r="I51" i="17"/>
  <c r="AJ74" i="22" s="1"/>
  <c r="AJ50" i="17"/>
  <c r="AI50" i="17"/>
  <c r="AH50" i="17"/>
  <c r="AE50" i="17"/>
  <c r="AD50" i="17"/>
  <c r="L50" i="17"/>
  <c r="E129" i="19" s="1"/>
  <c r="J50" i="17"/>
  <c r="C129" i="19" s="1"/>
  <c r="I129" i="19" s="1"/>
  <c r="J129" i="19" s="1"/>
  <c r="K129" i="19" s="1"/>
  <c r="L129" i="19" s="1"/>
  <c r="M129" i="19" s="1"/>
  <c r="N129" i="19" s="1"/>
  <c r="I50" i="17"/>
  <c r="AJ71" i="22" s="1"/>
  <c r="AJ49" i="17"/>
  <c r="AI49" i="17"/>
  <c r="AH49" i="17"/>
  <c r="AE49" i="17"/>
  <c r="AD49" i="17"/>
  <c r="L49" i="17"/>
  <c r="E80" i="19" s="1"/>
  <c r="J49" i="17"/>
  <c r="I49" i="17"/>
  <c r="AJ68" i="22" s="1"/>
  <c r="AJ48" i="17"/>
  <c r="AI48" i="17"/>
  <c r="AH48" i="17"/>
  <c r="AE48" i="17"/>
  <c r="AD48" i="17"/>
  <c r="L48" i="17"/>
  <c r="E49" i="19" s="1"/>
  <c r="J48" i="17"/>
  <c r="C49" i="19" s="1"/>
  <c r="I49" i="19" s="1"/>
  <c r="J49" i="19" s="1"/>
  <c r="K49" i="19" s="1"/>
  <c r="L49" i="19" s="1"/>
  <c r="M49" i="19" s="1"/>
  <c r="N49" i="19" s="1"/>
  <c r="I48" i="17"/>
  <c r="AJ65" i="22" s="1"/>
  <c r="AJ47" i="17"/>
  <c r="AI47" i="17"/>
  <c r="AH47" i="17"/>
  <c r="AE47" i="17"/>
  <c r="AD47" i="17"/>
  <c r="L47" i="17"/>
  <c r="E170" i="19" s="1"/>
  <c r="J47" i="17"/>
  <c r="C170" i="19" s="1"/>
  <c r="I170" i="19" s="1"/>
  <c r="J170" i="19" s="1"/>
  <c r="K170" i="19" s="1"/>
  <c r="I47" i="17"/>
  <c r="AJ62" i="22" s="1"/>
  <c r="AJ46" i="17"/>
  <c r="AI46" i="17"/>
  <c r="AH46" i="17"/>
  <c r="AE46" i="17"/>
  <c r="AD46" i="17"/>
  <c r="L46" i="17"/>
  <c r="E169" i="19" s="1"/>
  <c r="J46" i="17"/>
  <c r="C169" i="19" s="1"/>
  <c r="I169" i="19" s="1"/>
  <c r="J169" i="19" s="1"/>
  <c r="I46" i="17"/>
  <c r="AJ59" i="22" s="1"/>
  <c r="AJ45" i="17"/>
  <c r="AI45" i="17"/>
  <c r="AH45" i="17"/>
  <c r="AE45" i="17"/>
  <c r="AD45" i="17"/>
  <c r="L45" i="17"/>
  <c r="E131" i="19" s="1"/>
  <c r="J45" i="17"/>
  <c r="C131" i="19" s="1"/>
  <c r="I131" i="19" s="1"/>
  <c r="J131" i="19" s="1"/>
  <c r="K131" i="19" s="1"/>
  <c r="L131" i="19" s="1"/>
  <c r="M131" i="19" s="1"/>
  <c r="N131" i="19" s="1"/>
  <c r="I45" i="17"/>
  <c r="AJ56" i="22" s="1"/>
  <c r="AJ44" i="17"/>
  <c r="AI44" i="17"/>
  <c r="AH44" i="17"/>
  <c r="AE44" i="17"/>
  <c r="AD44" i="17"/>
  <c r="L44" i="17"/>
  <c r="E130" i="19" s="1"/>
  <c r="J44" i="17"/>
  <c r="C130" i="19" s="1"/>
  <c r="I130" i="19" s="1"/>
  <c r="J130" i="19" s="1"/>
  <c r="K130" i="19" s="1"/>
  <c r="L130" i="19" s="1"/>
  <c r="M130" i="19" s="1"/>
  <c r="N130" i="19" s="1"/>
  <c r="I44" i="17"/>
  <c r="AJ53" i="22" s="1"/>
  <c r="AJ43" i="17"/>
  <c r="AI43" i="17"/>
  <c r="AH43" i="17"/>
  <c r="AE43" i="17"/>
  <c r="AD43" i="17"/>
  <c r="L43" i="17"/>
  <c r="E79" i="19" s="1"/>
  <c r="J43" i="17"/>
  <c r="I43" i="17"/>
  <c r="AJ50" i="22" s="1"/>
  <c r="AJ42" i="17"/>
  <c r="AI42" i="17"/>
  <c r="AH42" i="17"/>
  <c r="AE42" i="17"/>
  <c r="AD42" i="17"/>
  <c r="L42" i="17"/>
  <c r="J42" i="17"/>
  <c r="C48" i="19" s="1"/>
  <c r="I48" i="19" s="1"/>
  <c r="J48" i="19" s="1"/>
  <c r="K48" i="19" s="1"/>
  <c r="I42" i="17"/>
  <c r="AJ47" i="22" s="1"/>
  <c r="AJ41" i="17"/>
  <c r="AI41" i="17"/>
  <c r="AH41" i="17"/>
  <c r="AE41" i="17"/>
  <c r="AD41" i="17"/>
  <c r="L41" i="17"/>
  <c r="E215" i="19" s="1"/>
  <c r="J41" i="17"/>
  <c r="C215" i="19" s="1"/>
  <c r="I215" i="19" s="1"/>
  <c r="J215" i="19" s="1"/>
  <c r="I41" i="17"/>
  <c r="AJ44" i="22" s="1"/>
  <c r="AJ40" i="17"/>
  <c r="AI40" i="17"/>
  <c r="AH40" i="17"/>
  <c r="AE40" i="17"/>
  <c r="AD40" i="17"/>
  <c r="L40" i="17"/>
  <c r="E209" i="19" s="1"/>
  <c r="J40" i="17"/>
  <c r="C209" i="19" s="1"/>
  <c r="I209" i="19" s="1"/>
  <c r="J209" i="19" s="1"/>
  <c r="K209" i="19" s="1"/>
  <c r="I40" i="17"/>
  <c r="AJ41" i="22" s="1"/>
  <c r="AJ39" i="17"/>
  <c r="AI39" i="17"/>
  <c r="AH39" i="17"/>
  <c r="AE39" i="17"/>
  <c r="AD39" i="17"/>
  <c r="L39" i="17"/>
  <c r="E91" i="19" s="1"/>
  <c r="J39" i="17"/>
  <c r="C91" i="19" s="1"/>
  <c r="I91" i="19" s="1"/>
  <c r="J91" i="19" s="1"/>
  <c r="K91" i="19" s="1"/>
  <c r="L91" i="19" s="1"/>
  <c r="M91" i="19" s="1"/>
  <c r="N91" i="19" s="1"/>
  <c r="I39" i="17"/>
  <c r="AJ38" i="22" s="1"/>
  <c r="AJ38" i="17"/>
  <c r="AI38" i="17"/>
  <c r="AH38" i="17"/>
  <c r="AE38" i="17"/>
  <c r="AD38" i="17"/>
  <c r="L38" i="17"/>
  <c r="E90" i="19" s="1"/>
  <c r="J38" i="17"/>
  <c r="C90" i="19" s="1"/>
  <c r="I90" i="19" s="1"/>
  <c r="J90" i="19" s="1"/>
  <c r="I38" i="17"/>
  <c r="AJ35" i="22" s="1"/>
  <c r="AJ37" i="17"/>
  <c r="AI37" i="17"/>
  <c r="AH37" i="17"/>
  <c r="L37" i="17"/>
  <c r="J37" i="17"/>
  <c r="I37" i="17"/>
  <c r="AJ36" i="17"/>
  <c r="AI36" i="17"/>
  <c r="AH36" i="17"/>
  <c r="L36" i="17"/>
  <c r="J36" i="17"/>
  <c r="I36" i="17"/>
  <c r="AJ35" i="17"/>
  <c r="AI35" i="17"/>
  <c r="AH35" i="17"/>
  <c r="L35" i="17"/>
  <c r="J35" i="17"/>
  <c r="I35" i="17"/>
  <c r="AJ34" i="17"/>
  <c r="AI34" i="17"/>
  <c r="AH34" i="17"/>
  <c r="AE34" i="17"/>
  <c r="AD34" i="17"/>
  <c r="L34" i="17"/>
  <c r="J34" i="17"/>
  <c r="I34" i="17"/>
  <c r="AJ33" i="17"/>
  <c r="AI33" i="17"/>
  <c r="AH33" i="17"/>
  <c r="L33" i="17"/>
  <c r="J33" i="17"/>
  <c r="I33" i="17"/>
  <c r="AJ32" i="17"/>
  <c r="AI32" i="17"/>
  <c r="AH32" i="17"/>
  <c r="L32" i="17"/>
  <c r="J32" i="17"/>
  <c r="I32" i="17"/>
  <c r="AJ31" i="17"/>
  <c r="AI31" i="17"/>
  <c r="AH31" i="17"/>
  <c r="L31" i="17"/>
  <c r="J31" i="17"/>
  <c r="I31" i="17"/>
  <c r="AJ30" i="17"/>
  <c r="AI30" i="17"/>
  <c r="AH30" i="17"/>
  <c r="AE30" i="17"/>
  <c r="AD30" i="17"/>
  <c r="L30" i="17"/>
  <c r="J30" i="17"/>
  <c r="I30" i="17"/>
  <c r="AJ29" i="17"/>
  <c r="AI29" i="17"/>
  <c r="AH29" i="17"/>
  <c r="L29" i="17"/>
  <c r="J29" i="17"/>
  <c r="I29" i="17"/>
  <c r="AJ28" i="17"/>
  <c r="AI28" i="17"/>
  <c r="AH28" i="17"/>
  <c r="L28" i="17"/>
  <c r="J28" i="17"/>
  <c r="I28" i="17"/>
  <c r="AJ27" i="17"/>
  <c r="AI27" i="17"/>
  <c r="AH27" i="17"/>
  <c r="L27" i="17"/>
  <c r="J27" i="17"/>
  <c r="I27" i="17"/>
  <c r="AJ26" i="17"/>
  <c r="AI26" i="17"/>
  <c r="AH26" i="17"/>
  <c r="AE26" i="17"/>
  <c r="AD26" i="17"/>
  <c r="L26" i="17"/>
  <c r="J26" i="17"/>
  <c r="I26" i="17"/>
  <c r="AJ25" i="17"/>
  <c r="AI25" i="17"/>
  <c r="AH25" i="17"/>
  <c r="L25" i="17"/>
  <c r="J25" i="17"/>
  <c r="I25" i="17"/>
  <c r="AJ24" i="17"/>
  <c r="AI24" i="17"/>
  <c r="AH24" i="17"/>
  <c r="L24" i="17"/>
  <c r="J24" i="17"/>
  <c r="I24" i="17"/>
  <c r="AJ23" i="17"/>
  <c r="AI23" i="17"/>
  <c r="AH23" i="17"/>
  <c r="L23" i="17"/>
  <c r="J23" i="17"/>
  <c r="I23" i="17"/>
  <c r="AJ22" i="17"/>
  <c r="AI22" i="17"/>
  <c r="AH22" i="17"/>
  <c r="AE22" i="17"/>
  <c r="AD22" i="17"/>
  <c r="N22" i="17"/>
  <c r="L22" i="17"/>
  <c r="J22" i="17"/>
  <c r="I22" i="17"/>
  <c r="AJ21" i="17"/>
  <c r="AI21" i="17"/>
  <c r="AH21" i="17"/>
  <c r="L21" i="17"/>
  <c r="J21" i="17"/>
  <c r="I21" i="17"/>
  <c r="AJ20" i="17"/>
  <c r="AI20" i="17"/>
  <c r="AH20" i="17"/>
  <c r="L20" i="17"/>
  <c r="J20" i="17"/>
  <c r="I20" i="17"/>
  <c r="AJ19" i="17"/>
  <c r="AI19" i="17"/>
  <c r="AH19" i="17"/>
  <c r="L19" i="17"/>
  <c r="J19" i="17"/>
  <c r="I19" i="17"/>
  <c r="AJ18" i="17"/>
  <c r="AI18" i="17"/>
  <c r="AH18" i="17"/>
  <c r="AE18" i="17"/>
  <c r="AD18" i="17"/>
  <c r="L18" i="17"/>
  <c r="J18" i="17"/>
  <c r="I18" i="17"/>
  <c r="AJ17" i="17"/>
  <c r="AI17" i="17"/>
  <c r="AH17" i="17"/>
  <c r="L17" i="17"/>
  <c r="J17" i="17"/>
  <c r="I17" i="17"/>
  <c r="AJ16" i="17"/>
  <c r="AI16" i="17"/>
  <c r="AH16" i="17"/>
  <c r="L16" i="17"/>
  <c r="J16" i="17"/>
  <c r="I16" i="17"/>
  <c r="AJ15" i="17"/>
  <c r="AI15" i="17"/>
  <c r="AH15" i="17"/>
  <c r="L15" i="17"/>
  <c r="J15" i="17"/>
  <c r="I15" i="17"/>
  <c r="AJ14" i="17"/>
  <c r="AI14" i="17"/>
  <c r="AH14" i="17"/>
  <c r="AE14" i="17"/>
  <c r="AD14" i="17"/>
  <c r="L14" i="17"/>
  <c r="J14" i="17"/>
  <c r="I14" i="17"/>
  <c r="AJ13" i="17"/>
  <c r="AI13" i="17"/>
  <c r="AH13" i="17"/>
  <c r="L13" i="17"/>
  <c r="J13" i="17"/>
  <c r="I13" i="17"/>
  <c r="AJ12" i="17"/>
  <c r="AI12" i="17"/>
  <c r="AH12" i="17"/>
  <c r="L12" i="17"/>
  <c r="J12" i="17"/>
  <c r="I12" i="17"/>
  <c r="AJ11" i="17"/>
  <c r="AI11" i="17"/>
  <c r="AH11" i="17"/>
  <c r="L11" i="17"/>
  <c r="J11" i="17"/>
  <c r="I11" i="17"/>
  <c r="AJ10" i="17"/>
  <c r="AI10" i="17"/>
  <c r="AH10" i="17"/>
  <c r="AE10" i="17"/>
  <c r="AD10" i="17"/>
  <c r="L10" i="17"/>
  <c r="J10" i="17"/>
  <c r="I10" i="17"/>
  <c r="AJ9" i="17"/>
  <c r="AI9" i="17"/>
  <c r="AH9" i="17"/>
  <c r="L9" i="17"/>
  <c r="J9" i="17"/>
  <c r="I9" i="17"/>
  <c r="AJ8" i="17"/>
  <c r="AI8" i="17"/>
  <c r="AH8" i="17"/>
  <c r="L8" i="17"/>
  <c r="J8" i="17"/>
  <c r="I8" i="17"/>
  <c r="AJ7" i="17"/>
  <c r="AI7" i="17"/>
  <c r="AH7" i="17"/>
  <c r="L7" i="17"/>
  <c r="J7" i="17"/>
  <c r="I7" i="17"/>
  <c r="AJ6" i="17"/>
  <c r="AI6" i="17"/>
  <c r="AH6" i="17"/>
  <c r="AE6" i="17"/>
  <c r="AD6" i="17"/>
  <c r="L6" i="17"/>
  <c r="J6" i="17"/>
  <c r="I6" i="17"/>
  <c r="AJ5" i="17"/>
  <c r="AI5" i="17"/>
  <c r="AH5" i="17"/>
  <c r="AE5" i="17"/>
  <c r="AD5" i="17"/>
  <c r="L5" i="17"/>
  <c r="E20" i="19" s="1"/>
  <c r="J5" i="17"/>
  <c r="C20" i="19" s="1"/>
  <c r="I20" i="19" s="1"/>
  <c r="J20" i="19" s="1"/>
  <c r="K20" i="19" s="1"/>
  <c r="L20" i="19" s="1"/>
  <c r="I5" i="17"/>
  <c r="AJ16" i="22" s="1"/>
  <c r="D5" i="17"/>
  <c r="AJ4" i="17"/>
  <c r="AI4" i="17"/>
  <c r="AH4" i="17"/>
  <c r="AE4" i="17"/>
  <c r="AD4" i="17"/>
  <c r="L4" i="17"/>
  <c r="E10" i="19" s="1"/>
  <c r="J4" i="17"/>
  <c r="C10" i="19" s="1"/>
  <c r="I10" i="19" s="1"/>
  <c r="J10" i="19" s="1"/>
  <c r="K10" i="19" s="1"/>
  <c r="I4" i="17"/>
  <c r="AJ13" i="22" s="1"/>
  <c r="D4" i="17"/>
  <c r="AH3" i="17"/>
  <c r="K2" i="17"/>
  <c r="AH1" i="17"/>
  <c r="AD1" i="17"/>
  <c r="L109" i="16"/>
  <c r="L108" i="16"/>
  <c r="L107" i="16"/>
  <c r="L106" i="16"/>
  <c r="AJ105" i="16"/>
  <c r="AI105" i="16"/>
  <c r="AH105" i="16"/>
  <c r="L105" i="16"/>
  <c r="AJ104" i="16"/>
  <c r="AI104" i="16"/>
  <c r="AH104" i="16"/>
  <c r="L104" i="16"/>
  <c r="AJ103" i="16"/>
  <c r="AI103" i="16"/>
  <c r="AH103" i="16"/>
  <c r="L103" i="16"/>
  <c r="AJ102" i="16"/>
  <c r="AI102" i="16"/>
  <c r="AH102" i="16"/>
  <c r="AE102" i="16"/>
  <c r="AD102" i="16"/>
  <c r="L102" i="16"/>
  <c r="AJ101" i="16"/>
  <c r="AI101" i="16"/>
  <c r="AH101" i="16"/>
  <c r="L101" i="16"/>
  <c r="J101" i="16"/>
  <c r="I101" i="16"/>
  <c r="AJ100" i="16"/>
  <c r="AI100" i="16"/>
  <c r="AH100" i="16"/>
  <c r="L100" i="16"/>
  <c r="J100" i="16"/>
  <c r="I100" i="16"/>
  <c r="AJ99" i="16"/>
  <c r="AI99" i="16"/>
  <c r="AH99" i="16"/>
  <c r="L99" i="16"/>
  <c r="J99" i="16"/>
  <c r="I99" i="16"/>
  <c r="AJ98" i="16"/>
  <c r="AI98" i="16"/>
  <c r="AH98" i="16"/>
  <c r="AE98" i="16"/>
  <c r="AD98" i="16"/>
  <c r="L98" i="16"/>
  <c r="J98" i="16"/>
  <c r="I98" i="16"/>
  <c r="AJ97" i="16"/>
  <c r="AI97" i="16"/>
  <c r="AH97" i="16"/>
  <c r="L97" i="16"/>
  <c r="J97" i="16"/>
  <c r="I97" i="16"/>
  <c r="AJ96" i="16"/>
  <c r="AI96" i="16"/>
  <c r="AH96" i="16"/>
  <c r="L96" i="16"/>
  <c r="J96" i="16"/>
  <c r="I96" i="16"/>
  <c r="AJ95" i="16"/>
  <c r="AI95" i="16"/>
  <c r="AH95" i="16"/>
  <c r="L95" i="16"/>
  <c r="J95" i="16"/>
  <c r="I95" i="16"/>
  <c r="AJ94" i="16"/>
  <c r="AI94" i="16"/>
  <c r="AH94" i="16"/>
  <c r="AE94" i="16"/>
  <c r="AD94" i="16"/>
  <c r="L94" i="16"/>
  <c r="J94" i="16"/>
  <c r="I94" i="16"/>
  <c r="AJ93" i="16"/>
  <c r="AI93" i="16"/>
  <c r="AH93" i="16"/>
  <c r="L93" i="16"/>
  <c r="J93" i="16"/>
  <c r="I93" i="16"/>
  <c r="AJ92" i="16"/>
  <c r="AI92" i="16"/>
  <c r="AH92" i="16"/>
  <c r="L92" i="16"/>
  <c r="J92" i="16"/>
  <c r="I92" i="16"/>
  <c r="AJ91" i="16"/>
  <c r="AI91" i="16"/>
  <c r="AH91" i="16"/>
  <c r="L91" i="16"/>
  <c r="J91" i="16"/>
  <c r="I91" i="16"/>
  <c r="AJ90" i="16"/>
  <c r="AI90" i="16"/>
  <c r="AH90" i="16"/>
  <c r="AE90" i="16"/>
  <c r="AD90" i="16"/>
  <c r="L90" i="16"/>
  <c r="J90" i="16"/>
  <c r="I90" i="16"/>
  <c r="AJ89" i="16"/>
  <c r="AI89" i="16"/>
  <c r="AH89" i="16"/>
  <c r="L89" i="16"/>
  <c r="J89" i="16"/>
  <c r="I89" i="16"/>
  <c r="AJ88" i="16"/>
  <c r="AI88" i="16"/>
  <c r="AH88" i="16"/>
  <c r="L88" i="16"/>
  <c r="J88" i="16"/>
  <c r="I88" i="16"/>
  <c r="AJ87" i="16"/>
  <c r="AI87" i="16"/>
  <c r="AH87" i="16"/>
  <c r="L87" i="16"/>
  <c r="J87" i="16"/>
  <c r="I87" i="16"/>
  <c r="AJ86" i="16"/>
  <c r="AI86" i="16"/>
  <c r="AH86" i="16"/>
  <c r="AE86" i="16"/>
  <c r="AD86" i="16"/>
  <c r="L86" i="16"/>
  <c r="J86" i="16"/>
  <c r="I86" i="16"/>
  <c r="AJ85" i="16"/>
  <c r="AI85" i="16"/>
  <c r="AH85" i="16"/>
  <c r="L85" i="16"/>
  <c r="J85" i="16"/>
  <c r="I85" i="16"/>
  <c r="AJ84" i="16"/>
  <c r="AI84" i="16"/>
  <c r="AH84" i="16"/>
  <c r="L84" i="16"/>
  <c r="J84" i="16"/>
  <c r="I84" i="16"/>
  <c r="AJ83" i="16"/>
  <c r="AI83" i="16"/>
  <c r="AH83" i="16"/>
  <c r="L83" i="16"/>
  <c r="J83" i="16"/>
  <c r="I83" i="16"/>
  <c r="AJ82" i="16"/>
  <c r="AI82" i="16"/>
  <c r="AH82" i="16"/>
  <c r="AE82" i="16"/>
  <c r="AD82" i="16"/>
  <c r="L82" i="16"/>
  <c r="J82" i="16"/>
  <c r="I82" i="16"/>
  <c r="AJ81" i="16"/>
  <c r="AI81" i="16"/>
  <c r="AH81" i="16"/>
  <c r="L81" i="16"/>
  <c r="J81" i="16"/>
  <c r="I81" i="16"/>
  <c r="AJ80" i="16"/>
  <c r="AI80" i="16"/>
  <c r="AH80" i="16"/>
  <c r="L80" i="16"/>
  <c r="J80" i="16"/>
  <c r="I80" i="16"/>
  <c r="AJ79" i="16"/>
  <c r="AI79" i="16"/>
  <c r="AH79" i="16"/>
  <c r="L79" i="16"/>
  <c r="J79" i="16"/>
  <c r="I79" i="16"/>
  <c r="AJ78" i="16"/>
  <c r="AI78" i="16"/>
  <c r="AH78" i="16"/>
  <c r="AE78" i="16"/>
  <c r="AD78" i="16"/>
  <c r="L78" i="16"/>
  <c r="J78" i="16"/>
  <c r="I78" i="16"/>
  <c r="AJ77" i="16"/>
  <c r="AI77" i="16"/>
  <c r="AH77" i="16"/>
  <c r="L77" i="16"/>
  <c r="J77" i="16"/>
  <c r="I77" i="16"/>
  <c r="AJ76" i="16"/>
  <c r="AI76" i="16"/>
  <c r="AH76" i="16"/>
  <c r="L76" i="16"/>
  <c r="J76" i="16"/>
  <c r="I76" i="16"/>
  <c r="AJ75" i="16"/>
  <c r="AI75" i="16"/>
  <c r="AH75" i="16"/>
  <c r="L75" i="16"/>
  <c r="J75" i="16"/>
  <c r="I75" i="16"/>
  <c r="AJ74" i="16"/>
  <c r="AI74" i="16"/>
  <c r="AH74" i="16"/>
  <c r="AE74" i="16"/>
  <c r="AD74" i="16"/>
  <c r="L74" i="16"/>
  <c r="J74" i="16"/>
  <c r="I74" i="16"/>
  <c r="AJ73" i="16"/>
  <c r="AI73" i="16"/>
  <c r="AH73" i="16"/>
  <c r="L73" i="16"/>
  <c r="J73" i="16"/>
  <c r="I73" i="16"/>
  <c r="AJ72" i="16"/>
  <c r="AI72" i="16"/>
  <c r="AH72" i="16"/>
  <c r="L72" i="16"/>
  <c r="J72" i="16"/>
  <c r="I72" i="16"/>
  <c r="AJ71" i="16"/>
  <c r="AI71" i="16"/>
  <c r="AH71" i="16"/>
  <c r="L71" i="16"/>
  <c r="J71" i="16"/>
  <c r="I71" i="16"/>
  <c r="AJ70" i="16"/>
  <c r="AI70" i="16"/>
  <c r="AH70" i="16"/>
  <c r="AE70" i="16"/>
  <c r="AD70" i="16"/>
  <c r="L70" i="16"/>
  <c r="J70" i="16"/>
  <c r="I70" i="16"/>
  <c r="AJ69" i="16"/>
  <c r="AI69" i="16"/>
  <c r="AH69" i="16"/>
  <c r="AE69" i="16"/>
  <c r="AD69" i="16"/>
  <c r="L69" i="16"/>
  <c r="E316" i="19" s="1"/>
  <c r="J69" i="16"/>
  <c r="C316" i="19" s="1"/>
  <c r="I316" i="19" s="1"/>
  <c r="J316" i="19" s="1"/>
  <c r="I69" i="16"/>
  <c r="AG128" i="22" s="1"/>
  <c r="AJ68" i="16"/>
  <c r="AI68" i="16"/>
  <c r="AH68" i="16"/>
  <c r="AE68" i="16"/>
  <c r="AD68" i="16"/>
  <c r="L68" i="16"/>
  <c r="E289" i="19" s="1"/>
  <c r="J68" i="16"/>
  <c r="C289" i="19" s="1"/>
  <c r="I289" i="19" s="1"/>
  <c r="J289" i="19" s="1"/>
  <c r="K289" i="19" s="1"/>
  <c r="L289" i="19" s="1"/>
  <c r="M289" i="19" s="1"/>
  <c r="N289" i="19" s="1"/>
  <c r="I68" i="16"/>
  <c r="AG125" i="22" s="1"/>
  <c r="AJ67" i="16"/>
  <c r="AI67" i="16"/>
  <c r="AH67" i="16"/>
  <c r="AE67" i="16"/>
  <c r="AD67" i="16"/>
  <c r="L67" i="16"/>
  <c r="E212" i="19" s="1"/>
  <c r="J67" i="16"/>
  <c r="C212" i="19" s="1"/>
  <c r="I212" i="19" s="1"/>
  <c r="J212" i="19" s="1"/>
  <c r="K212" i="19" s="1"/>
  <c r="I67" i="16"/>
  <c r="AG122" i="22" s="1"/>
  <c r="AJ66" i="16"/>
  <c r="AI66" i="16"/>
  <c r="AH66" i="16"/>
  <c r="AE66" i="16"/>
  <c r="AD66" i="16"/>
  <c r="L66" i="16"/>
  <c r="E205" i="19" s="1"/>
  <c r="J66" i="16"/>
  <c r="C205" i="19" s="1"/>
  <c r="I205" i="19" s="1"/>
  <c r="J205" i="19" s="1"/>
  <c r="I66" i="16"/>
  <c r="AG119" i="22" s="1"/>
  <c r="AJ65" i="16"/>
  <c r="AI65" i="16"/>
  <c r="AH65" i="16"/>
  <c r="AE65" i="16"/>
  <c r="AD65" i="16"/>
  <c r="L65" i="16"/>
  <c r="E317" i="19" s="1"/>
  <c r="J65" i="16"/>
  <c r="C317" i="19" s="1"/>
  <c r="I317" i="19" s="1"/>
  <c r="J317" i="19" s="1"/>
  <c r="I65" i="16"/>
  <c r="AG116" i="22" s="1"/>
  <c r="AJ64" i="16"/>
  <c r="AI64" i="16"/>
  <c r="AH64" i="16"/>
  <c r="AE64" i="16"/>
  <c r="AD64" i="16"/>
  <c r="L64" i="16"/>
  <c r="E290" i="19" s="1"/>
  <c r="J64" i="16"/>
  <c r="C290" i="19" s="1"/>
  <c r="I290" i="19" s="1"/>
  <c r="J290" i="19" s="1"/>
  <c r="K290" i="19" s="1"/>
  <c r="I64" i="16"/>
  <c r="AG113" i="22" s="1"/>
  <c r="AJ63" i="16"/>
  <c r="AI63" i="16"/>
  <c r="AH63" i="16"/>
  <c r="AE63" i="16"/>
  <c r="AD63" i="16"/>
  <c r="L63" i="16"/>
  <c r="E336" i="19" s="1"/>
  <c r="J63" i="16"/>
  <c r="C336" i="19" s="1"/>
  <c r="I336" i="19" s="1"/>
  <c r="J336" i="19" s="1"/>
  <c r="K336" i="19" s="1"/>
  <c r="L336" i="19" s="1"/>
  <c r="M336" i="19" s="1"/>
  <c r="N336" i="19" s="1"/>
  <c r="I63" i="16"/>
  <c r="AG110" i="22" s="1"/>
  <c r="AJ62" i="16"/>
  <c r="AI62" i="16"/>
  <c r="AH62" i="16"/>
  <c r="AE62" i="16"/>
  <c r="AD62" i="16"/>
  <c r="L62" i="16"/>
  <c r="E329" i="19" s="1"/>
  <c r="J62" i="16"/>
  <c r="C329" i="19" s="1"/>
  <c r="I329" i="19" s="1"/>
  <c r="J329" i="19" s="1"/>
  <c r="I62" i="16"/>
  <c r="AG107" i="22" s="1"/>
  <c r="AJ61" i="16"/>
  <c r="AI61" i="16"/>
  <c r="AH61" i="16"/>
  <c r="AE61" i="16"/>
  <c r="AD61" i="16"/>
  <c r="L61" i="16"/>
  <c r="E211" i="19" s="1"/>
  <c r="J61" i="16"/>
  <c r="C211" i="19" s="1"/>
  <c r="I211" i="19" s="1"/>
  <c r="J211" i="19" s="1"/>
  <c r="K211" i="19" s="1"/>
  <c r="I61" i="16"/>
  <c r="AG104" i="22" s="1"/>
  <c r="AJ60" i="16"/>
  <c r="AI60" i="16"/>
  <c r="AH60" i="16"/>
  <c r="AE60" i="16"/>
  <c r="AD60" i="16"/>
  <c r="L60" i="16"/>
  <c r="E207" i="19" s="1"/>
  <c r="J60" i="16"/>
  <c r="C207" i="19" s="1"/>
  <c r="I207" i="19" s="1"/>
  <c r="J207" i="19" s="1"/>
  <c r="K207" i="19" s="1"/>
  <c r="L207" i="19" s="1"/>
  <c r="M207" i="19" s="1"/>
  <c r="N207" i="19" s="1"/>
  <c r="I60" i="16"/>
  <c r="AG101" i="22" s="1"/>
  <c r="AJ59" i="16"/>
  <c r="AI59" i="16"/>
  <c r="AH59" i="16"/>
  <c r="AE59" i="16"/>
  <c r="AD59" i="16"/>
  <c r="L59" i="16"/>
  <c r="E293" i="19" s="1"/>
  <c r="J59" i="16"/>
  <c r="C293" i="19" s="1"/>
  <c r="I293" i="19" s="1"/>
  <c r="I59" i="16"/>
  <c r="AG98" i="22" s="1"/>
  <c r="AJ58" i="16"/>
  <c r="AI58" i="16"/>
  <c r="AH58" i="16"/>
  <c r="AE58" i="16"/>
  <c r="AD58" i="16"/>
  <c r="L58" i="16"/>
  <c r="E283" i="19" s="1"/>
  <c r="J58" i="16"/>
  <c r="C283" i="19" s="1"/>
  <c r="I283" i="19" s="1"/>
  <c r="J283" i="19" s="1"/>
  <c r="I58" i="16"/>
  <c r="AG95" i="22" s="1"/>
  <c r="AJ57" i="16"/>
  <c r="AI57" i="16"/>
  <c r="AH57" i="16"/>
  <c r="AE57" i="16"/>
  <c r="AD57" i="16"/>
  <c r="L57" i="16"/>
  <c r="E136" i="19" s="1"/>
  <c r="J57" i="16"/>
  <c r="C136" i="19" s="1"/>
  <c r="I136" i="19" s="1"/>
  <c r="J136" i="19" s="1"/>
  <c r="I57" i="16"/>
  <c r="AG92" i="22" s="1"/>
  <c r="AJ56" i="16"/>
  <c r="AI56" i="16"/>
  <c r="AH56" i="16"/>
  <c r="AE56" i="16"/>
  <c r="AD56" i="16"/>
  <c r="L56" i="16"/>
  <c r="E126" i="19" s="1"/>
  <c r="J56" i="16"/>
  <c r="C126" i="19" s="1"/>
  <c r="I126" i="19" s="1"/>
  <c r="J126" i="19" s="1"/>
  <c r="K126" i="19" s="1"/>
  <c r="L126" i="19" s="1"/>
  <c r="M126" i="19" s="1"/>
  <c r="N126" i="19" s="1"/>
  <c r="I56" i="16"/>
  <c r="AG89" i="22" s="1"/>
  <c r="AJ55" i="16"/>
  <c r="AI55" i="16"/>
  <c r="AH55" i="16"/>
  <c r="AE55" i="16"/>
  <c r="AD55" i="16"/>
  <c r="L55" i="16"/>
  <c r="E252" i="19" s="1"/>
  <c r="J55" i="16"/>
  <c r="C252" i="19" s="1"/>
  <c r="I252" i="19" s="1"/>
  <c r="J252" i="19" s="1"/>
  <c r="K252" i="19" s="1"/>
  <c r="L252" i="19" s="1"/>
  <c r="M252" i="19" s="1"/>
  <c r="N252" i="19" s="1"/>
  <c r="I55" i="16"/>
  <c r="AG86" i="22" s="1"/>
  <c r="AJ54" i="16"/>
  <c r="AI54" i="16"/>
  <c r="AH54" i="16"/>
  <c r="AE54" i="16"/>
  <c r="AD54" i="16"/>
  <c r="L54" i="16"/>
  <c r="E248" i="19" s="1"/>
  <c r="J54" i="16"/>
  <c r="C248" i="19" s="1"/>
  <c r="I248" i="19" s="1"/>
  <c r="J248" i="19" s="1"/>
  <c r="I54" i="16"/>
  <c r="AG83" i="22" s="1"/>
  <c r="AJ53" i="16"/>
  <c r="AI53" i="16"/>
  <c r="AH53" i="16"/>
  <c r="AE53" i="16"/>
  <c r="AD53" i="16"/>
  <c r="L53" i="16"/>
  <c r="E78" i="19" s="1"/>
  <c r="J53" i="16"/>
  <c r="C78" i="19" s="1"/>
  <c r="I78" i="19" s="1"/>
  <c r="J78" i="19" s="1"/>
  <c r="I53" i="16"/>
  <c r="AG80" i="22" s="1"/>
  <c r="AJ52" i="16"/>
  <c r="AI52" i="16"/>
  <c r="AH52" i="16"/>
  <c r="AE52" i="16"/>
  <c r="AD52" i="16"/>
  <c r="L52" i="16"/>
  <c r="E47" i="19" s="1"/>
  <c r="J52" i="16"/>
  <c r="C47" i="19" s="1"/>
  <c r="I47" i="19" s="1"/>
  <c r="J47" i="19" s="1"/>
  <c r="K47" i="19" s="1"/>
  <c r="L47" i="19" s="1"/>
  <c r="M47" i="19" s="1"/>
  <c r="N47" i="19" s="1"/>
  <c r="I52" i="16"/>
  <c r="AG77" i="22" s="1"/>
  <c r="AJ51" i="16"/>
  <c r="AI51" i="16"/>
  <c r="AH51" i="16"/>
  <c r="AE51" i="16"/>
  <c r="AD51" i="16"/>
  <c r="L51" i="16"/>
  <c r="E135" i="19" s="1"/>
  <c r="J51" i="16"/>
  <c r="C135" i="19" s="1"/>
  <c r="I135" i="19" s="1"/>
  <c r="J135" i="19" s="1"/>
  <c r="K135" i="19" s="1"/>
  <c r="I51" i="16"/>
  <c r="AG74" i="22" s="1"/>
  <c r="AJ50" i="16"/>
  <c r="AI50" i="16"/>
  <c r="AH50" i="16"/>
  <c r="AE50" i="16"/>
  <c r="AD50" i="16"/>
  <c r="L50" i="16"/>
  <c r="E125" i="19" s="1"/>
  <c r="J50" i="16"/>
  <c r="C125" i="19" s="1"/>
  <c r="I125" i="19" s="1"/>
  <c r="J125" i="19" s="1"/>
  <c r="I50" i="16"/>
  <c r="AG71" i="22" s="1"/>
  <c r="AJ49" i="16"/>
  <c r="AI49" i="16"/>
  <c r="AH49" i="16"/>
  <c r="AE49" i="16"/>
  <c r="AD49" i="16"/>
  <c r="L49" i="16"/>
  <c r="E77" i="19" s="1"/>
  <c r="J49" i="16"/>
  <c r="C77" i="19" s="1"/>
  <c r="I77" i="19" s="1"/>
  <c r="J77" i="19" s="1"/>
  <c r="K77" i="19" s="1"/>
  <c r="I49" i="16"/>
  <c r="AG68" i="22" s="1"/>
  <c r="AJ48" i="16"/>
  <c r="AI48" i="16"/>
  <c r="AH48" i="16"/>
  <c r="AE48" i="16"/>
  <c r="AD48" i="16"/>
  <c r="L48" i="16"/>
  <c r="E46" i="19" s="1"/>
  <c r="J48" i="16"/>
  <c r="C46" i="19" s="1"/>
  <c r="I46" i="19" s="1"/>
  <c r="J46" i="19" s="1"/>
  <c r="K46" i="19" s="1"/>
  <c r="L46" i="19" s="1"/>
  <c r="M46" i="19" s="1"/>
  <c r="N46" i="19" s="1"/>
  <c r="I48" i="16"/>
  <c r="AG65" i="22" s="1"/>
  <c r="AJ47" i="16"/>
  <c r="AI47" i="16"/>
  <c r="AH47" i="16"/>
  <c r="AE47" i="16"/>
  <c r="AD47" i="16"/>
  <c r="L47" i="16"/>
  <c r="E171" i="19" s="1"/>
  <c r="J47" i="16"/>
  <c r="C171" i="19" s="1"/>
  <c r="I171" i="19" s="1"/>
  <c r="J171" i="19" s="1"/>
  <c r="K171" i="19" s="1"/>
  <c r="I47" i="16"/>
  <c r="AG62" i="22" s="1"/>
  <c r="AJ46" i="16"/>
  <c r="AI46" i="16"/>
  <c r="AH46" i="16"/>
  <c r="AE46" i="16"/>
  <c r="AD46" i="16"/>
  <c r="L46" i="16"/>
  <c r="E168" i="19" s="1"/>
  <c r="J46" i="16"/>
  <c r="C168" i="19" s="1"/>
  <c r="I168" i="19" s="1"/>
  <c r="J168" i="19" s="1"/>
  <c r="I46" i="16"/>
  <c r="AG59" i="22" s="1"/>
  <c r="AJ45" i="16"/>
  <c r="AI45" i="16"/>
  <c r="AH45" i="16"/>
  <c r="AE45" i="16"/>
  <c r="AD45" i="16"/>
  <c r="L45" i="16"/>
  <c r="E134" i="19" s="1"/>
  <c r="J45" i="16"/>
  <c r="C134" i="19" s="1"/>
  <c r="I134" i="19" s="1"/>
  <c r="J134" i="19" s="1"/>
  <c r="I45" i="16"/>
  <c r="AG56" i="22" s="1"/>
  <c r="AJ44" i="16"/>
  <c r="AI44" i="16"/>
  <c r="AH44" i="16"/>
  <c r="AE44" i="16"/>
  <c r="AD44" i="16"/>
  <c r="L44" i="16"/>
  <c r="E127" i="19" s="1"/>
  <c r="J44" i="16"/>
  <c r="C127" i="19" s="1"/>
  <c r="I127" i="19" s="1"/>
  <c r="J127" i="19" s="1"/>
  <c r="K127" i="19" s="1"/>
  <c r="L127" i="19" s="1"/>
  <c r="M127" i="19" s="1"/>
  <c r="N127" i="19" s="1"/>
  <c r="I44" i="16"/>
  <c r="AG53" i="22" s="1"/>
  <c r="AJ43" i="16"/>
  <c r="AI43" i="16"/>
  <c r="AH43" i="16"/>
  <c r="AE43" i="16"/>
  <c r="AD43" i="16"/>
  <c r="L43" i="16"/>
  <c r="E76" i="19" s="1"/>
  <c r="J43" i="16"/>
  <c r="C76" i="19" s="1"/>
  <c r="I76" i="19" s="1"/>
  <c r="J76" i="19" s="1"/>
  <c r="K76" i="19" s="1"/>
  <c r="I43" i="16"/>
  <c r="AG50" i="22" s="1"/>
  <c r="AJ42" i="16"/>
  <c r="AI42" i="16"/>
  <c r="AH42" i="16"/>
  <c r="AE42" i="16"/>
  <c r="AD42" i="16"/>
  <c r="L42" i="16"/>
  <c r="E45" i="19" s="1"/>
  <c r="J42" i="16"/>
  <c r="C45" i="19" s="1"/>
  <c r="I45" i="19" s="1"/>
  <c r="J45" i="19" s="1"/>
  <c r="I42" i="16"/>
  <c r="AG47" i="22" s="1"/>
  <c r="AJ41" i="16"/>
  <c r="AI41" i="16"/>
  <c r="AH41" i="16"/>
  <c r="AE41" i="16"/>
  <c r="AD41" i="16"/>
  <c r="L41" i="16"/>
  <c r="E213" i="19" s="1"/>
  <c r="J41" i="16"/>
  <c r="C213" i="19" s="1"/>
  <c r="I213" i="19" s="1"/>
  <c r="J213" i="19" s="1"/>
  <c r="I41" i="16"/>
  <c r="AG44" i="22" s="1"/>
  <c r="AJ40" i="16"/>
  <c r="AI40" i="16"/>
  <c r="AH40" i="16"/>
  <c r="AE40" i="16"/>
  <c r="AD40" i="16"/>
  <c r="L40" i="16"/>
  <c r="E206" i="19" s="1"/>
  <c r="J40" i="16"/>
  <c r="C206" i="19" s="1"/>
  <c r="I206" i="19" s="1"/>
  <c r="J206" i="19" s="1"/>
  <c r="K206" i="19" s="1"/>
  <c r="I40" i="16"/>
  <c r="AG41" i="22" s="1"/>
  <c r="AJ39" i="16"/>
  <c r="AI39" i="16"/>
  <c r="AH39" i="16"/>
  <c r="AE39" i="16"/>
  <c r="AD39" i="16"/>
  <c r="L39" i="16"/>
  <c r="E92" i="19" s="1"/>
  <c r="J39" i="16"/>
  <c r="C92" i="19" s="1"/>
  <c r="I92" i="19" s="1"/>
  <c r="J92" i="19" s="1"/>
  <c r="K92" i="19" s="1"/>
  <c r="L92" i="19" s="1"/>
  <c r="M92" i="19" s="1"/>
  <c r="N92" i="19" s="1"/>
  <c r="I39" i="16"/>
  <c r="AG38" i="22" s="1"/>
  <c r="AJ38" i="16"/>
  <c r="AI38" i="16"/>
  <c r="AH38" i="16"/>
  <c r="AE38" i="16"/>
  <c r="AD38" i="16"/>
  <c r="L38" i="16"/>
  <c r="E89" i="19" s="1"/>
  <c r="J38" i="16"/>
  <c r="C89" i="19" s="1"/>
  <c r="I89" i="19" s="1"/>
  <c r="J89" i="19" s="1"/>
  <c r="I38" i="16"/>
  <c r="AG35" i="22" s="1"/>
  <c r="AJ37" i="16"/>
  <c r="AI37" i="16"/>
  <c r="AH37" i="16"/>
  <c r="L37" i="16"/>
  <c r="J37" i="16"/>
  <c r="I37" i="16"/>
  <c r="AJ36" i="16"/>
  <c r="AI36" i="16"/>
  <c r="AH36" i="16"/>
  <c r="L36" i="16"/>
  <c r="J36" i="16"/>
  <c r="I36" i="16"/>
  <c r="AJ35" i="16"/>
  <c r="AI35" i="16"/>
  <c r="AH35" i="16"/>
  <c r="L35" i="16"/>
  <c r="J35" i="16"/>
  <c r="I35" i="16"/>
  <c r="AJ34" i="16"/>
  <c r="AI34" i="16"/>
  <c r="AH34" i="16"/>
  <c r="AE34" i="16"/>
  <c r="AD34" i="16"/>
  <c r="L34" i="16"/>
  <c r="J34" i="16"/>
  <c r="I34" i="16"/>
  <c r="AJ33" i="16"/>
  <c r="AI33" i="16"/>
  <c r="AH33" i="16"/>
  <c r="L33" i="16"/>
  <c r="J33" i="16"/>
  <c r="I33" i="16"/>
  <c r="AJ32" i="16"/>
  <c r="AI32" i="16"/>
  <c r="AH32" i="16"/>
  <c r="L32" i="16"/>
  <c r="J32" i="16"/>
  <c r="I32" i="16"/>
  <c r="AJ31" i="16"/>
  <c r="AI31" i="16"/>
  <c r="AH31" i="16"/>
  <c r="L31" i="16"/>
  <c r="J31" i="16"/>
  <c r="I31" i="16"/>
  <c r="AJ30" i="16"/>
  <c r="AI30" i="16"/>
  <c r="AH30" i="16"/>
  <c r="AE30" i="16"/>
  <c r="AD30" i="16"/>
  <c r="L30" i="16"/>
  <c r="J30" i="16"/>
  <c r="I30" i="16"/>
  <c r="AJ29" i="16"/>
  <c r="AI29" i="16"/>
  <c r="AH29" i="16"/>
  <c r="L29" i="16"/>
  <c r="J29" i="16"/>
  <c r="I29" i="16"/>
  <c r="AJ28" i="16"/>
  <c r="AI28" i="16"/>
  <c r="AH28" i="16"/>
  <c r="L28" i="16"/>
  <c r="J28" i="16"/>
  <c r="I28" i="16"/>
  <c r="AJ27" i="16"/>
  <c r="AI27" i="16"/>
  <c r="AH27" i="16"/>
  <c r="L27" i="16"/>
  <c r="J27" i="16"/>
  <c r="I27" i="16"/>
  <c r="AJ26" i="16"/>
  <c r="AI26" i="16"/>
  <c r="AH26" i="16"/>
  <c r="AE26" i="16"/>
  <c r="AD26" i="16"/>
  <c r="L26" i="16"/>
  <c r="J26" i="16"/>
  <c r="I26" i="16"/>
  <c r="AJ25" i="16"/>
  <c r="AI25" i="16"/>
  <c r="AH25" i="16"/>
  <c r="L25" i="16"/>
  <c r="J25" i="16"/>
  <c r="I25" i="16"/>
  <c r="AJ24" i="16"/>
  <c r="AI24" i="16"/>
  <c r="AH24" i="16"/>
  <c r="L24" i="16"/>
  <c r="J24" i="16"/>
  <c r="I24" i="16"/>
  <c r="AJ23" i="16"/>
  <c r="AI23" i="16"/>
  <c r="AH23" i="16"/>
  <c r="L23" i="16"/>
  <c r="J23" i="16"/>
  <c r="I23" i="16"/>
  <c r="AJ22" i="16"/>
  <c r="AI22" i="16"/>
  <c r="AH22" i="16"/>
  <c r="AE22" i="16"/>
  <c r="AD22" i="16"/>
  <c r="N22" i="16"/>
  <c r="L22" i="16"/>
  <c r="J22" i="16"/>
  <c r="I22" i="16"/>
  <c r="AJ21" i="16"/>
  <c r="AI21" i="16"/>
  <c r="AH21" i="16"/>
  <c r="L21" i="16"/>
  <c r="J21" i="16"/>
  <c r="I21" i="16"/>
  <c r="AJ20" i="16"/>
  <c r="AI20" i="16"/>
  <c r="AH20" i="16"/>
  <c r="L20" i="16"/>
  <c r="J20" i="16"/>
  <c r="I20" i="16"/>
  <c r="AJ19" i="16"/>
  <c r="AI19" i="16"/>
  <c r="AH19" i="16"/>
  <c r="L19" i="16"/>
  <c r="J19" i="16"/>
  <c r="I19" i="16"/>
  <c r="AJ18" i="16"/>
  <c r="AI18" i="16"/>
  <c r="AH18" i="16"/>
  <c r="AE18" i="16"/>
  <c r="AD18" i="16"/>
  <c r="L18" i="16"/>
  <c r="J18" i="16"/>
  <c r="I18" i="16"/>
  <c r="AJ17" i="16"/>
  <c r="AI17" i="16"/>
  <c r="AH17" i="16"/>
  <c r="L17" i="16"/>
  <c r="J17" i="16"/>
  <c r="I17" i="16"/>
  <c r="AJ16" i="16"/>
  <c r="AI16" i="16"/>
  <c r="AH16" i="16"/>
  <c r="L16" i="16"/>
  <c r="J16" i="16"/>
  <c r="I16" i="16"/>
  <c r="AJ15" i="16"/>
  <c r="AI15" i="16"/>
  <c r="AH15" i="16"/>
  <c r="L15" i="16"/>
  <c r="J15" i="16"/>
  <c r="I15" i="16"/>
  <c r="AJ14" i="16"/>
  <c r="AI14" i="16"/>
  <c r="AH14" i="16"/>
  <c r="AE14" i="16"/>
  <c r="AD14" i="16"/>
  <c r="L14" i="16"/>
  <c r="J14" i="16"/>
  <c r="I14" i="16"/>
  <c r="AJ13" i="16"/>
  <c r="AI13" i="16"/>
  <c r="AH13" i="16"/>
  <c r="L13" i="16"/>
  <c r="J13" i="16"/>
  <c r="I13" i="16"/>
  <c r="AJ12" i="16"/>
  <c r="AI12" i="16"/>
  <c r="AH12" i="16"/>
  <c r="L12" i="16"/>
  <c r="J12" i="16"/>
  <c r="I12" i="16"/>
  <c r="AJ11" i="16"/>
  <c r="AI11" i="16"/>
  <c r="AH11" i="16"/>
  <c r="L11" i="16"/>
  <c r="J11" i="16"/>
  <c r="I11" i="16"/>
  <c r="AJ10" i="16"/>
  <c r="AI10" i="16"/>
  <c r="AH10" i="16"/>
  <c r="AE10" i="16"/>
  <c r="AD10" i="16"/>
  <c r="L10" i="16"/>
  <c r="J10" i="16"/>
  <c r="I10" i="16"/>
  <c r="AJ9" i="16"/>
  <c r="AI9" i="16"/>
  <c r="AH9" i="16"/>
  <c r="L9" i="16"/>
  <c r="J9" i="16"/>
  <c r="I9" i="16"/>
  <c r="AJ8" i="16"/>
  <c r="AI8" i="16"/>
  <c r="AH8" i="16"/>
  <c r="L8" i="16"/>
  <c r="J8" i="16"/>
  <c r="I8" i="16"/>
  <c r="AJ7" i="16"/>
  <c r="AI7" i="16"/>
  <c r="AH7" i="16"/>
  <c r="L7" i="16"/>
  <c r="J7" i="16"/>
  <c r="I7" i="16"/>
  <c r="AJ6" i="16"/>
  <c r="AI6" i="16"/>
  <c r="AH6" i="16"/>
  <c r="AE6" i="16"/>
  <c r="AD6" i="16"/>
  <c r="L6" i="16"/>
  <c r="J6" i="16"/>
  <c r="I6" i="16"/>
  <c r="AJ5" i="16"/>
  <c r="AI5" i="16"/>
  <c r="AH5" i="16"/>
  <c r="AE5" i="16"/>
  <c r="AD5" i="16"/>
  <c r="L5" i="16"/>
  <c r="E19" i="19" s="1"/>
  <c r="J5" i="16"/>
  <c r="C19" i="19" s="1"/>
  <c r="I19" i="19" s="1"/>
  <c r="J19" i="19" s="1"/>
  <c r="I5" i="16"/>
  <c r="AG16" i="22" s="1"/>
  <c r="D5" i="16"/>
  <c r="AJ4" i="16"/>
  <c r="AI4" i="16"/>
  <c r="AH4" i="16"/>
  <c r="AE4" i="16"/>
  <c r="AD4" i="16"/>
  <c r="L4" i="16"/>
  <c r="E9" i="19" s="1"/>
  <c r="J4" i="16"/>
  <c r="C9" i="19" s="1"/>
  <c r="I9" i="19" s="1"/>
  <c r="J9" i="19" s="1"/>
  <c r="K9" i="19" s="1"/>
  <c r="L9" i="19" s="1"/>
  <c r="I4" i="16"/>
  <c r="AG13" i="22" s="1"/>
  <c r="D4" i="16"/>
  <c r="AH3" i="16"/>
  <c r="K2" i="16"/>
  <c r="AH1" i="16"/>
  <c r="AD1" i="16"/>
  <c r="AJ109" i="15"/>
  <c r="AI109" i="15"/>
  <c r="AH109" i="15"/>
  <c r="L109" i="15"/>
  <c r="AJ108" i="15"/>
  <c r="AI108" i="15"/>
  <c r="AH108" i="15"/>
  <c r="L108" i="15"/>
  <c r="AJ107" i="15"/>
  <c r="AI107" i="15"/>
  <c r="AH107" i="15"/>
  <c r="L107" i="15"/>
  <c r="AJ106" i="15"/>
  <c r="AI106" i="15"/>
  <c r="AH106" i="15"/>
  <c r="L106" i="15"/>
  <c r="AJ105" i="15"/>
  <c r="AI105" i="15"/>
  <c r="AH105" i="15"/>
  <c r="L105" i="15"/>
  <c r="AJ104" i="15"/>
  <c r="AI104" i="15"/>
  <c r="AH104" i="15"/>
  <c r="L104" i="15"/>
  <c r="AJ103" i="15"/>
  <c r="AI103" i="15"/>
  <c r="AH103" i="15"/>
  <c r="L103" i="15"/>
  <c r="AJ102" i="15"/>
  <c r="AI102" i="15"/>
  <c r="AH102" i="15"/>
  <c r="AE102" i="15"/>
  <c r="AD102" i="15"/>
  <c r="L102" i="15"/>
  <c r="AJ101" i="15"/>
  <c r="AI101" i="15"/>
  <c r="AH101" i="15"/>
  <c r="L101" i="15"/>
  <c r="J101" i="15"/>
  <c r="I101" i="15"/>
  <c r="AJ100" i="15"/>
  <c r="AI100" i="15"/>
  <c r="AH100" i="15"/>
  <c r="L100" i="15"/>
  <c r="J100" i="15"/>
  <c r="I100" i="15"/>
  <c r="AJ99" i="15"/>
  <c r="AI99" i="15"/>
  <c r="AH99" i="15"/>
  <c r="L99" i="15"/>
  <c r="J99" i="15"/>
  <c r="I99" i="15"/>
  <c r="AJ98" i="15"/>
  <c r="AI98" i="15"/>
  <c r="AH98" i="15"/>
  <c r="AE98" i="15"/>
  <c r="AD98" i="15"/>
  <c r="L98" i="15"/>
  <c r="J98" i="15"/>
  <c r="I98" i="15"/>
  <c r="AJ97" i="15"/>
  <c r="AI97" i="15"/>
  <c r="AH97" i="15"/>
  <c r="L97" i="15"/>
  <c r="J97" i="15"/>
  <c r="I97" i="15"/>
  <c r="AJ96" i="15"/>
  <c r="AI96" i="15"/>
  <c r="AH96" i="15"/>
  <c r="L96" i="15"/>
  <c r="J96" i="15"/>
  <c r="I96" i="15"/>
  <c r="AJ95" i="15"/>
  <c r="AI95" i="15"/>
  <c r="AH95" i="15"/>
  <c r="L95" i="15"/>
  <c r="J95" i="15"/>
  <c r="I95" i="15"/>
  <c r="AJ94" i="15"/>
  <c r="AI94" i="15"/>
  <c r="AH94" i="15"/>
  <c r="AE94" i="15"/>
  <c r="AD94" i="15"/>
  <c r="L94" i="15"/>
  <c r="J94" i="15"/>
  <c r="I94" i="15"/>
  <c r="AJ93" i="15"/>
  <c r="AI93" i="15"/>
  <c r="AH93" i="15"/>
  <c r="L93" i="15"/>
  <c r="J93" i="15"/>
  <c r="I93" i="15"/>
  <c r="AJ92" i="15"/>
  <c r="AI92" i="15"/>
  <c r="AH92" i="15"/>
  <c r="L92" i="15"/>
  <c r="J92" i="15"/>
  <c r="I92" i="15"/>
  <c r="AJ91" i="15"/>
  <c r="AI91" i="15"/>
  <c r="AH91" i="15"/>
  <c r="L91" i="15"/>
  <c r="J91" i="15"/>
  <c r="I91" i="15"/>
  <c r="AJ90" i="15"/>
  <c r="AI90" i="15"/>
  <c r="AH90" i="15"/>
  <c r="AE90" i="15"/>
  <c r="AD90" i="15"/>
  <c r="L90" i="15"/>
  <c r="J90" i="15"/>
  <c r="I90" i="15"/>
  <c r="AJ89" i="15"/>
  <c r="AI89" i="15"/>
  <c r="AH89" i="15"/>
  <c r="L89" i="15"/>
  <c r="J89" i="15"/>
  <c r="I89" i="15"/>
  <c r="AJ88" i="15"/>
  <c r="AI88" i="15"/>
  <c r="AH88" i="15"/>
  <c r="L88" i="15"/>
  <c r="J88" i="15"/>
  <c r="I88" i="15"/>
  <c r="AJ87" i="15"/>
  <c r="AI87" i="15"/>
  <c r="AH87" i="15"/>
  <c r="L87" i="15"/>
  <c r="J87" i="15"/>
  <c r="I87" i="15"/>
  <c r="AJ86" i="15"/>
  <c r="AI86" i="15"/>
  <c r="AH86" i="15"/>
  <c r="AE86" i="15"/>
  <c r="AD86" i="15"/>
  <c r="L86" i="15"/>
  <c r="J86" i="15"/>
  <c r="I86" i="15"/>
  <c r="AJ85" i="15"/>
  <c r="AI85" i="15"/>
  <c r="AH85" i="15"/>
  <c r="L85" i="15"/>
  <c r="J85" i="15"/>
  <c r="I85" i="15"/>
  <c r="AJ84" i="15"/>
  <c r="AI84" i="15"/>
  <c r="AH84" i="15"/>
  <c r="L84" i="15"/>
  <c r="J84" i="15"/>
  <c r="I84" i="15"/>
  <c r="AJ83" i="15"/>
  <c r="AI83" i="15"/>
  <c r="AH83" i="15"/>
  <c r="L83" i="15"/>
  <c r="J83" i="15"/>
  <c r="I83" i="15"/>
  <c r="AJ82" i="15"/>
  <c r="AI82" i="15"/>
  <c r="AH82" i="15"/>
  <c r="AE82" i="15"/>
  <c r="AD82" i="15"/>
  <c r="L82" i="15"/>
  <c r="J82" i="15"/>
  <c r="I82" i="15"/>
  <c r="AJ81" i="15"/>
  <c r="AI81" i="15"/>
  <c r="AH81" i="15"/>
  <c r="L81" i="15"/>
  <c r="J81" i="15"/>
  <c r="I81" i="15"/>
  <c r="AJ80" i="15"/>
  <c r="AI80" i="15"/>
  <c r="AH80" i="15"/>
  <c r="L80" i="15"/>
  <c r="J80" i="15"/>
  <c r="I80" i="15"/>
  <c r="AJ79" i="15"/>
  <c r="AI79" i="15"/>
  <c r="AH79" i="15"/>
  <c r="L79" i="15"/>
  <c r="J79" i="15"/>
  <c r="I79" i="15"/>
  <c r="AJ78" i="15"/>
  <c r="AI78" i="15"/>
  <c r="AH78" i="15"/>
  <c r="AE78" i="15"/>
  <c r="AD78" i="15"/>
  <c r="L78" i="15"/>
  <c r="J78" i="15"/>
  <c r="I78" i="15"/>
  <c r="AJ77" i="15"/>
  <c r="AI77" i="15"/>
  <c r="AH77" i="15"/>
  <c r="L77" i="15"/>
  <c r="J77" i="15"/>
  <c r="I77" i="15"/>
  <c r="AJ76" i="15"/>
  <c r="AI76" i="15"/>
  <c r="AH76" i="15"/>
  <c r="L76" i="15"/>
  <c r="J76" i="15"/>
  <c r="I76" i="15"/>
  <c r="AJ75" i="15"/>
  <c r="AI75" i="15"/>
  <c r="AH75" i="15"/>
  <c r="L75" i="15"/>
  <c r="J75" i="15"/>
  <c r="I75" i="15"/>
  <c r="AJ74" i="15"/>
  <c r="AI74" i="15"/>
  <c r="AH74" i="15"/>
  <c r="AE74" i="15"/>
  <c r="AD74" i="15"/>
  <c r="L74" i="15"/>
  <c r="J74" i="15"/>
  <c r="I74" i="15"/>
  <c r="AJ73" i="15"/>
  <c r="AI73" i="15"/>
  <c r="AH73" i="15"/>
  <c r="L73" i="15"/>
  <c r="J73" i="15"/>
  <c r="I73" i="15"/>
  <c r="AJ72" i="15"/>
  <c r="AI72" i="15"/>
  <c r="AH72" i="15"/>
  <c r="L72" i="15"/>
  <c r="J72" i="15"/>
  <c r="I72" i="15"/>
  <c r="AJ71" i="15"/>
  <c r="AI71" i="15"/>
  <c r="AH71" i="15"/>
  <c r="L71" i="15"/>
  <c r="J71" i="15"/>
  <c r="I71" i="15"/>
  <c r="AJ70" i="15"/>
  <c r="AI70" i="15"/>
  <c r="AH70" i="15"/>
  <c r="AE70" i="15"/>
  <c r="AD70" i="15"/>
  <c r="L70" i="15"/>
  <c r="J70" i="15"/>
  <c r="I70" i="15"/>
  <c r="AJ69" i="15"/>
  <c r="AI69" i="15"/>
  <c r="AH69" i="15"/>
  <c r="AE69" i="15"/>
  <c r="AD69" i="15"/>
  <c r="L69" i="15"/>
  <c r="E291" i="19" s="1"/>
  <c r="J69" i="15"/>
  <c r="C291" i="19" s="1"/>
  <c r="I291" i="19" s="1"/>
  <c r="J291" i="19" s="1"/>
  <c r="K291" i="19" s="1"/>
  <c r="L291" i="19" s="1"/>
  <c r="M291" i="19" s="1"/>
  <c r="N291" i="19" s="1"/>
  <c r="I69" i="15"/>
  <c r="AD128" i="22" s="1"/>
  <c r="AA128" i="21" s="1"/>
  <c r="AJ68" i="15"/>
  <c r="AI68" i="15"/>
  <c r="AH68" i="15"/>
  <c r="AE68" i="15"/>
  <c r="AD68" i="15"/>
  <c r="L68" i="15"/>
  <c r="E285" i="19" s="1"/>
  <c r="J68" i="15"/>
  <c r="C285" i="19" s="1"/>
  <c r="I285" i="19" s="1"/>
  <c r="J285" i="19" s="1"/>
  <c r="K285" i="19" s="1"/>
  <c r="L285" i="19" s="1"/>
  <c r="M285" i="19" s="1"/>
  <c r="N285" i="19" s="1"/>
  <c r="I68" i="15"/>
  <c r="AD125" i="22" s="1"/>
  <c r="AA125" i="21" s="1"/>
  <c r="AJ67" i="15"/>
  <c r="AI67" i="15"/>
  <c r="AH67" i="15"/>
  <c r="AE67" i="15"/>
  <c r="AD67" i="15"/>
  <c r="L67" i="15"/>
  <c r="E220" i="19" s="1"/>
  <c r="J67" i="15"/>
  <c r="C220" i="19" s="1"/>
  <c r="I220" i="19" s="1"/>
  <c r="J220" i="19" s="1"/>
  <c r="I67" i="15"/>
  <c r="AD122" i="22" s="1"/>
  <c r="AA122" i="21" s="1"/>
  <c r="AJ66" i="15"/>
  <c r="AI66" i="15"/>
  <c r="AH66" i="15"/>
  <c r="AE66" i="15"/>
  <c r="AD66" i="15"/>
  <c r="L66" i="15"/>
  <c r="E201" i="19" s="1"/>
  <c r="J66" i="15"/>
  <c r="C201" i="19" s="1"/>
  <c r="I201" i="19" s="1"/>
  <c r="J201" i="19" s="1"/>
  <c r="I66" i="15"/>
  <c r="AD119" i="22" s="1"/>
  <c r="AA119" i="21" s="1"/>
  <c r="AJ65" i="15"/>
  <c r="AI65" i="15"/>
  <c r="AH65" i="15"/>
  <c r="AE65" i="15"/>
  <c r="AD65" i="15"/>
  <c r="L65" i="15"/>
  <c r="E292" i="19" s="1"/>
  <c r="J65" i="15"/>
  <c r="C292" i="19" s="1"/>
  <c r="I292" i="19" s="1"/>
  <c r="J292" i="19" s="1"/>
  <c r="K292" i="19" s="1"/>
  <c r="I65" i="15"/>
  <c r="AD116" i="22" s="1"/>
  <c r="AA116" i="21" s="1"/>
  <c r="AJ64" i="15"/>
  <c r="AI64" i="15"/>
  <c r="AH64" i="15"/>
  <c r="AE64" i="15"/>
  <c r="AD64" i="15"/>
  <c r="L64" i="15"/>
  <c r="E284" i="19" s="1"/>
  <c r="J64" i="15"/>
  <c r="C284" i="19" s="1"/>
  <c r="I284" i="19" s="1"/>
  <c r="J284" i="19" s="1"/>
  <c r="K284" i="19" s="1"/>
  <c r="L284" i="19" s="1"/>
  <c r="M284" i="19" s="1"/>
  <c r="N284" i="19" s="1"/>
  <c r="I64" i="15"/>
  <c r="AD113" i="22" s="1"/>
  <c r="AA113" i="21" s="1"/>
  <c r="AJ63" i="15"/>
  <c r="AI63" i="15"/>
  <c r="AH63" i="15"/>
  <c r="AE63" i="15"/>
  <c r="AD63" i="15"/>
  <c r="L63" i="15"/>
  <c r="E335" i="19" s="1"/>
  <c r="J63" i="15"/>
  <c r="C335" i="19" s="1"/>
  <c r="I335" i="19" s="1"/>
  <c r="J335" i="19" s="1"/>
  <c r="I63" i="15"/>
  <c r="AD110" i="22" s="1"/>
  <c r="AA110" i="21" s="1"/>
  <c r="AJ62" i="15"/>
  <c r="AI62" i="15"/>
  <c r="AH62" i="15"/>
  <c r="AE62" i="15"/>
  <c r="AD62" i="15"/>
  <c r="L62" i="15"/>
  <c r="E328" i="19" s="1"/>
  <c r="J62" i="15"/>
  <c r="C328" i="19" s="1"/>
  <c r="I328" i="19" s="1"/>
  <c r="J328" i="19" s="1"/>
  <c r="I62" i="15"/>
  <c r="AD107" i="22" s="1"/>
  <c r="AA107" i="21" s="1"/>
  <c r="AJ61" i="15"/>
  <c r="AI61" i="15"/>
  <c r="AH61" i="15"/>
  <c r="AE61" i="15"/>
  <c r="AD61" i="15"/>
  <c r="L61" i="15"/>
  <c r="E221" i="19" s="1"/>
  <c r="J61" i="15"/>
  <c r="C221" i="19" s="1"/>
  <c r="I221" i="19" s="1"/>
  <c r="J221" i="19" s="1"/>
  <c r="I61" i="15"/>
  <c r="AD104" i="22" s="1"/>
  <c r="AA104" i="21" s="1"/>
  <c r="AJ60" i="15"/>
  <c r="AI60" i="15"/>
  <c r="AH60" i="15"/>
  <c r="AE60" i="15"/>
  <c r="AD60" i="15"/>
  <c r="L60" i="15"/>
  <c r="E203" i="19" s="1"/>
  <c r="J60" i="15"/>
  <c r="C203" i="19" s="1"/>
  <c r="I203" i="19" s="1"/>
  <c r="J203" i="19" s="1"/>
  <c r="I60" i="15"/>
  <c r="AD101" i="22" s="1"/>
  <c r="AA101" i="21" s="1"/>
  <c r="AJ59" i="15"/>
  <c r="AI59" i="15"/>
  <c r="AH59" i="15"/>
  <c r="AE59" i="15"/>
  <c r="AD59" i="15"/>
  <c r="L59" i="15"/>
  <c r="E294" i="19" s="1"/>
  <c r="J59" i="15"/>
  <c r="C294" i="19" s="1"/>
  <c r="I294" i="19" s="1"/>
  <c r="J294" i="19" s="1"/>
  <c r="I59" i="15"/>
  <c r="AD98" i="22" s="1"/>
  <c r="AA98" i="21" s="1"/>
  <c r="AJ58" i="15"/>
  <c r="AI58" i="15"/>
  <c r="AH58" i="15"/>
  <c r="AE58" i="15"/>
  <c r="AD58" i="15"/>
  <c r="L58" i="15"/>
  <c r="E282" i="19" s="1"/>
  <c r="J58" i="15"/>
  <c r="C282" i="19" s="1"/>
  <c r="I282" i="19" s="1"/>
  <c r="J282" i="19" s="1"/>
  <c r="I58" i="15"/>
  <c r="AD95" i="22" s="1"/>
  <c r="AA95" i="21" s="1"/>
  <c r="AJ57" i="15"/>
  <c r="AI57" i="15"/>
  <c r="AH57" i="15"/>
  <c r="AE57" i="15"/>
  <c r="AD57" i="15"/>
  <c r="L57" i="15"/>
  <c r="E139" i="19" s="1"/>
  <c r="J57" i="15"/>
  <c r="C139" i="19" s="1"/>
  <c r="I139" i="19" s="1"/>
  <c r="J139" i="19" s="1"/>
  <c r="K139" i="19" s="1"/>
  <c r="L139" i="19" s="1"/>
  <c r="M139" i="19" s="1"/>
  <c r="N139" i="19" s="1"/>
  <c r="I57" i="15"/>
  <c r="AD92" i="22" s="1"/>
  <c r="AA92" i="21" s="1"/>
  <c r="AJ56" i="15"/>
  <c r="AI56" i="15"/>
  <c r="AH56" i="15"/>
  <c r="AE56" i="15"/>
  <c r="AD56" i="15"/>
  <c r="L56" i="15"/>
  <c r="E122" i="19" s="1"/>
  <c r="J56" i="15"/>
  <c r="C122" i="19" s="1"/>
  <c r="I122" i="19" s="1"/>
  <c r="J122" i="19" s="1"/>
  <c r="K122" i="19" s="1"/>
  <c r="L122" i="19" s="1"/>
  <c r="M122" i="19" s="1"/>
  <c r="N122" i="19" s="1"/>
  <c r="I56" i="15"/>
  <c r="AD89" i="22" s="1"/>
  <c r="AA89" i="21" s="1"/>
  <c r="AJ55" i="15"/>
  <c r="AI55" i="15"/>
  <c r="AH55" i="15"/>
  <c r="AE55" i="15"/>
  <c r="AD55" i="15"/>
  <c r="L55" i="15"/>
  <c r="E253" i="19" s="1"/>
  <c r="J55" i="15"/>
  <c r="C253" i="19" s="1"/>
  <c r="I253" i="19" s="1"/>
  <c r="J253" i="19" s="1"/>
  <c r="I55" i="15"/>
  <c r="AD86" i="22" s="1"/>
  <c r="AA86" i="21" s="1"/>
  <c r="AJ54" i="15"/>
  <c r="AI54" i="15"/>
  <c r="AH54" i="15"/>
  <c r="AE54" i="15"/>
  <c r="AD54" i="15"/>
  <c r="L54" i="15"/>
  <c r="E249" i="19" s="1"/>
  <c r="J54" i="15"/>
  <c r="C249" i="19" s="1"/>
  <c r="I249" i="19" s="1"/>
  <c r="J249" i="19" s="1"/>
  <c r="I54" i="15"/>
  <c r="AD83" i="22" s="1"/>
  <c r="AA83" i="21" s="1"/>
  <c r="AJ53" i="15"/>
  <c r="AI53" i="15"/>
  <c r="AH53" i="15"/>
  <c r="AE53" i="15"/>
  <c r="AD53" i="15"/>
  <c r="L53" i="15"/>
  <c r="E75" i="19" s="1"/>
  <c r="J53" i="15"/>
  <c r="C75" i="19" s="1"/>
  <c r="I75" i="19" s="1"/>
  <c r="J75" i="19" s="1"/>
  <c r="K75" i="19" s="1"/>
  <c r="L75" i="19" s="1"/>
  <c r="M75" i="19" s="1"/>
  <c r="N75" i="19" s="1"/>
  <c r="I53" i="15"/>
  <c r="AD80" i="22" s="1"/>
  <c r="AA80" i="21" s="1"/>
  <c r="AJ52" i="15"/>
  <c r="AI52" i="15"/>
  <c r="AH52" i="15"/>
  <c r="AE52" i="15"/>
  <c r="AD52" i="15"/>
  <c r="L52" i="15"/>
  <c r="E44" i="19" s="1"/>
  <c r="J52" i="15"/>
  <c r="C44" i="19" s="1"/>
  <c r="I44" i="19" s="1"/>
  <c r="J44" i="19" s="1"/>
  <c r="K44" i="19" s="1"/>
  <c r="L44" i="19" s="1"/>
  <c r="M44" i="19" s="1"/>
  <c r="N44" i="19" s="1"/>
  <c r="I52" i="15"/>
  <c r="AD77" i="22" s="1"/>
  <c r="AA77" i="21" s="1"/>
  <c r="AJ51" i="15"/>
  <c r="AI51" i="15"/>
  <c r="AH51" i="15"/>
  <c r="AE51" i="15"/>
  <c r="AD51" i="15"/>
  <c r="L51" i="15"/>
  <c r="E138" i="19" s="1"/>
  <c r="J51" i="15"/>
  <c r="C138" i="19" s="1"/>
  <c r="I138" i="19" s="1"/>
  <c r="J138" i="19" s="1"/>
  <c r="I51" i="15"/>
  <c r="AD74" i="22" s="1"/>
  <c r="AA74" i="21" s="1"/>
  <c r="AJ50" i="15"/>
  <c r="AI50" i="15"/>
  <c r="AH50" i="15"/>
  <c r="AE50" i="15"/>
  <c r="AD50" i="15"/>
  <c r="L50" i="15"/>
  <c r="E123" i="19" s="1"/>
  <c r="J50" i="15"/>
  <c r="C123" i="19" s="1"/>
  <c r="I123" i="19" s="1"/>
  <c r="J123" i="19" s="1"/>
  <c r="I50" i="15"/>
  <c r="AD71" i="22" s="1"/>
  <c r="AA71" i="21" s="1"/>
  <c r="AJ49" i="15"/>
  <c r="AI49" i="15"/>
  <c r="AH49" i="15"/>
  <c r="AE49" i="15"/>
  <c r="AD49" i="15"/>
  <c r="L49" i="15"/>
  <c r="E74" i="19" s="1"/>
  <c r="J49" i="15"/>
  <c r="C74" i="19" s="1"/>
  <c r="I74" i="19" s="1"/>
  <c r="J74" i="19" s="1"/>
  <c r="I49" i="15"/>
  <c r="AD68" i="22" s="1"/>
  <c r="AA68" i="21" s="1"/>
  <c r="AJ48" i="15"/>
  <c r="AI48" i="15"/>
  <c r="AH48" i="15"/>
  <c r="AE48" i="15"/>
  <c r="AD48" i="15"/>
  <c r="L48" i="15"/>
  <c r="E43" i="19" s="1"/>
  <c r="J48" i="15"/>
  <c r="C43" i="19" s="1"/>
  <c r="I43" i="19" s="1"/>
  <c r="J43" i="19" s="1"/>
  <c r="I48" i="15"/>
  <c r="AD65" i="22" s="1"/>
  <c r="AA65" i="21" s="1"/>
  <c r="AJ47" i="15"/>
  <c r="AI47" i="15"/>
  <c r="AH47" i="15"/>
  <c r="AE47" i="15"/>
  <c r="AD47" i="15"/>
  <c r="L47" i="15"/>
  <c r="E173" i="19" s="1"/>
  <c r="J47" i="15"/>
  <c r="C173" i="19" s="1"/>
  <c r="I173" i="19" s="1"/>
  <c r="J173" i="19" s="1"/>
  <c r="K173" i="19" s="1"/>
  <c r="L173" i="19" s="1"/>
  <c r="M173" i="19" s="1"/>
  <c r="N173" i="19" s="1"/>
  <c r="I47" i="15"/>
  <c r="AD62" i="22" s="1"/>
  <c r="AA62" i="21" s="1"/>
  <c r="AJ46" i="15"/>
  <c r="AI46" i="15"/>
  <c r="AH46" i="15"/>
  <c r="AE46" i="15"/>
  <c r="AD46" i="15"/>
  <c r="L46" i="15"/>
  <c r="E172" i="19" s="1"/>
  <c r="J46" i="15"/>
  <c r="C172" i="19" s="1"/>
  <c r="I172" i="19" s="1"/>
  <c r="J172" i="19" s="1"/>
  <c r="I46" i="15"/>
  <c r="AD59" i="22" s="1"/>
  <c r="AA59" i="21" s="1"/>
  <c r="AJ45" i="15"/>
  <c r="AI45" i="15"/>
  <c r="AH45" i="15"/>
  <c r="AE45" i="15"/>
  <c r="AD45" i="15"/>
  <c r="L45" i="15"/>
  <c r="E137" i="19" s="1"/>
  <c r="J45" i="15"/>
  <c r="C137" i="19" s="1"/>
  <c r="I137" i="19" s="1"/>
  <c r="J137" i="19" s="1"/>
  <c r="K137" i="19" s="1"/>
  <c r="L137" i="19" s="1"/>
  <c r="M137" i="19" s="1"/>
  <c r="N137" i="19" s="1"/>
  <c r="I45" i="15"/>
  <c r="AD56" i="22" s="1"/>
  <c r="AA56" i="21" s="1"/>
  <c r="AJ44" i="15"/>
  <c r="AI44" i="15"/>
  <c r="AH44" i="15"/>
  <c r="AE44" i="15"/>
  <c r="AD44" i="15"/>
  <c r="L44" i="15"/>
  <c r="E124" i="19" s="1"/>
  <c r="J44" i="15"/>
  <c r="C124" i="19" s="1"/>
  <c r="I124" i="19" s="1"/>
  <c r="J124" i="19" s="1"/>
  <c r="K124" i="19" s="1"/>
  <c r="I44" i="15"/>
  <c r="AD53" i="22" s="1"/>
  <c r="AA53" i="21" s="1"/>
  <c r="AJ43" i="15"/>
  <c r="AI43" i="15"/>
  <c r="AH43" i="15"/>
  <c r="AE43" i="15"/>
  <c r="AD43" i="15"/>
  <c r="L43" i="15"/>
  <c r="E73" i="19" s="1"/>
  <c r="J43" i="15"/>
  <c r="C73" i="19" s="1"/>
  <c r="I73" i="19" s="1"/>
  <c r="J73" i="19" s="1"/>
  <c r="I43" i="15"/>
  <c r="AD50" i="22" s="1"/>
  <c r="AA50" i="21" s="1"/>
  <c r="AJ42" i="15"/>
  <c r="AI42" i="15"/>
  <c r="AH42" i="15"/>
  <c r="AE42" i="15"/>
  <c r="AD42" i="15"/>
  <c r="L42" i="15"/>
  <c r="E42" i="19" s="1"/>
  <c r="J42" i="15"/>
  <c r="C42" i="19" s="1"/>
  <c r="I42" i="19" s="1"/>
  <c r="J42" i="19" s="1"/>
  <c r="I42" i="15"/>
  <c r="AD47" i="22" s="1"/>
  <c r="AA47" i="21" s="1"/>
  <c r="AJ41" i="15"/>
  <c r="AI41" i="15"/>
  <c r="AH41" i="15"/>
  <c r="AE41" i="15"/>
  <c r="AD41" i="15"/>
  <c r="L41" i="15"/>
  <c r="E217" i="19" s="1"/>
  <c r="J41" i="15"/>
  <c r="C217" i="19" s="1"/>
  <c r="I217" i="19" s="1"/>
  <c r="J217" i="19" s="1"/>
  <c r="K217" i="19" s="1"/>
  <c r="I41" i="15"/>
  <c r="AD44" i="22" s="1"/>
  <c r="AA44" i="21" s="1"/>
  <c r="AJ40" i="15"/>
  <c r="AI40" i="15"/>
  <c r="AH40" i="15"/>
  <c r="AE40" i="15"/>
  <c r="AD40" i="15"/>
  <c r="L40" i="15"/>
  <c r="E204" i="19" s="1"/>
  <c r="J40" i="15"/>
  <c r="C204" i="19" s="1"/>
  <c r="I204" i="19" s="1"/>
  <c r="J204" i="19" s="1"/>
  <c r="K204" i="19" s="1"/>
  <c r="I40" i="15"/>
  <c r="AD41" i="22" s="1"/>
  <c r="AA41" i="21" s="1"/>
  <c r="AJ39" i="15"/>
  <c r="AI39" i="15"/>
  <c r="AH39" i="15"/>
  <c r="AE39" i="15"/>
  <c r="AD39" i="15"/>
  <c r="L39" i="15"/>
  <c r="E93" i="19" s="1"/>
  <c r="J39" i="15"/>
  <c r="C93" i="19" s="1"/>
  <c r="I93" i="19" s="1"/>
  <c r="J93" i="19" s="1"/>
  <c r="I39" i="15"/>
  <c r="AD38" i="22" s="1"/>
  <c r="AA38" i="21" s="1"/>
  <c r="AJ38" i="15"/>
  <c r="AI38" i="15"/>
  <c r="AH38" i="15"/>
  <c r="AE38" i="15"/>
  <c r="AD38" i="15"/>
  <c r="L38" i="15"/>
  <c r="E88" i="19" s="1"/>
  <c r="J38" i="15"/>
  <c r="C88" i="19" s="1"/>
  <c r="I88" i="19" s="1"/>
  <c r="J88" i="19" s="1"/>
  <c r="I38" i="15"/>
  <c r="AD35" i="22" s="1"/>
  <c r="AA35" i="21" s="1"/>
  <c r="AJ37" i="15"/>
  <c r="AI37" i="15"/>
  <c r="AH37" i="15"/>
  <c r="L37" i="15"/>
  <c r="J37" i="15"/>
  <c r="I37" i="15"/>
  <c r="AJ36" i="15"/>
  <c r="AI36" i="15"/>
  <c r="AH36" i="15"/>
  <c r="L36" i="15"/>
  <c r="J36" i="15"/>
  <c r="I36" i="15"/>
  <c r="AJ35" i="15"/>
  <c r="AI35" i="15"/>
  <c r="AH35" i="15"/>
  <c r="L35" i="15"/>
  <c r="J35" i="15"/>
  <c r="I35" i="15"/>
  <c r="AJ34" i="15"/>
  <c r="AI34" i="15"/>
  <c r="AH34" i="15"/>
  <c r="AE34" i="15"/>
  <c r="AD34" i="15"/>
  <c r="L34" i="15"/>
  <c r="J34" i="15"/>
  <c r="I34" i="15"/>
  <c r="AJ33" i="15"/>
  <c r="AI33" i="15"/>
  <c r="AH33" i="15"/>
  <c r="L33" i="15"/>
  <c r="J33" i="15"/>
  <c r="I33" i="15"/>
  <c r="AJ32" i="15"/>
  <c r="AI32" i="15"/>
  <c r="AH32" i="15"/>
  <c r="L32" i="15"/>
  <c r="J32" i="15"/>
  <c r="I32" i="15"/>
  <c r="AJ31" i="15"/>
  <c r="AI31" i="15"/>
  <c r="AH31" i="15"/>
  <c r="L31" i="15"/>
  <c r="J31" i="15"/>
  <c r="I31" i="15"/>
  <c r="AJ30" i="15"/>
  <c r="AI30" i="15"/>
  <c r="AH30" i="15"/>
  <c r="AE30" i="15"/>
  <c r="AD30" i="15"/>
  <c r="L30" i="15"/>
  <c r="J30" i="15"/>
  <c r="I30" i="15"/>
  <c r="AJ29" i="15"/>
  <c r="AI29" i="15"/>
  <c r="AH29" i="15"/>
  <c r="L29" i="15"/>
  <c r="J29" i="15"/>
  <c r="I29" i="15"/>
  <c r="AJ28" i="15"/>
  <c r="AI28" i="15"/>
  <c r="AH28" i="15"/>
  <c r="L28" i="15"/>
  <c r="J28" i="15"/>
  <c r="I28" i="15"/>
  <c r="AJ27" i="15"/>
  <c r="AI27" i="15"/>
  <c r="AH27" i="15"/>
  <c r="L27" i="15"/>
  <c r="J27" i="15"/>
  <c r="I27" i="15"/>
  <c r="AJ26" i="15"/>
  <c r="AI26" i="15"/>
  <c r="AH26" i="15"/>
  <c r="AE26" i="15"/>
  <c r="AD26" i="15"/>
  <c r="L26" i="15"/>
  <c r="J26" i="15"/>
  <c r="I26" i="15"/>
  <c r="AJ25" i="15"/>
  <c r="AI25" i="15"/>
  <c r="AH25" i="15"/>
  <c r="L25" i="15"/>
  <c r="J25" i="15"/>
  <c r="I25" i="15"/>
  <c r="AJ24" i="15"/>
  <c r="AI24" i="15"/>
  <c r="AH24" i="15"/>
  <c r="L24" i="15"/>
  <c r="J24" i="15"/>
  <c r="I24" i="15"/>
  <c r="AJ23" i="15"/>
  <c r="AI23" i="15"/>
  <c r="AH23" i="15"/>
  <c r="L23" i="15"/>
  <c r="J23" i="15"/>
  <c r="I23" i="15"/>
  <c r="AJ22" i="15"/>
  <c r="AI22" i="15"/>
  <c r="AH22" i="15"/>
  <c r="AE22" i="15"/>
  <c r="AD22" i="15"/>
  <c r="N22" i="15"/>
  <c r="L22" i="15"/>
  <c r="J22" i="15"/>
  <c r="I22" i="15"/>
  <c r="AJ21" i="15"/>
  <c r="AI21" i="15"/>
  <c r="AH21" i="15"/>
  <c r="L21" i="15"/>
  <c r="J21" i="15"/>
  <c r="I21" i="15"/>
  <c r="AJ20" i="15"/>
  <c r="AI20" i="15"/>
  <c r="AH20" i="15"/>
  <c r="L20" i="15"/>
  <c r="J20" i="15"/>
  <c r="I20" i="15"/>
  <c r="AJ19" i="15"/>
  <c r="AI19" i="15"/>
  <c r="AH19" i="15"/>
  <c r="L19" i="15"/>
  <c r="J19" i="15"/>
  <c r="I19" i="15"/>
  <c r="AJ18" i="15"/>
  <c r="AI18" i="15"/>
  <c r="AH18" i="15"/>
  <c r="AE18" i="15"/>
  <c r="AD18" i="15"/>
  <c r="L18" i="15"/>
  <c r="J18" i="15"/>
  <c r="I18" i="15"/>
  <c r="AJ17" i="15"/>
  <c r="AI17" i="15"/>
  <c r="AH17" i="15"/>
  <c r="L17" i="15"/>
  <c r="J17" i="15"/>
  <c r="I17" i="15"/>
  <c r="AJ16" i="15"/>
  <c r="AI16" i="15"/>
  <c r="AH16" i="15"/>
  <c r="L16" i="15"/>
  <c r="J16" i="15"/>
  <c r="I16" i="15"/>
  <c r="AJ15" i="15"/>
  <c r="AI15" i="15"/>
  <c r="AH15" i="15"/>
  <c r="L15" i="15"/>
  <c r="J15" i="15"/>
  <c r="I15" i="15"/>
  <c r="AJ14" i="15"/>
  <c r="AI14" i="15"/>
  <c r="AH14" i="15"/>
  <c r="AE14" i="15"/>
  <c r="AD14" i="15"/>
  <c r="L14" i="15"/>
  <c r="J14" i="15"/>
  <c r="I14" i="15"/>
  <c r="AJ13" i="15"/>
  <c r="AI13" i="15"/>
  <c r="AH13" i="15"/>
  <c r="L13" i="15"/>
  <c r="J13" i="15"/>
  <c r="I13" i="15"/>
  <c r="AJ12" i="15"/>
  <c r="AI12" i="15"/>
  <c r="AH12" i="15"/>
  <c r="L12" i="15"/>
  <c r="J12" i="15"/>
  <c r="I12" i="15"/>
  <c r="AJ11" i="15"/>
  <c r="AI11" i="15"/>
  <c r="AH11" i="15"/>
  <c r="L11" i="15"/>
  <c r="J11" i="15"/>
  <c r="I11" i="15"/>
  <c r="AJ10" i="15"/>
  <c r="AI10" i="15"/>
  <c r="AH10" i="15"/>
  <c r="AE10" i="15"/>
  <c r="AD10" i="15"/>
  <c r="L10" i="15"/>
  <c r="J10" i="15"/>
  <c r="I10" i="15"/>
  <c r="AJ9" i="15"/>
  <c r="AI9" i="15"/>
  <c r="AH9" i="15"/>
  <c r="L9" i="15"/>
  <c r="J9" i="15"/>
  <c r="I9" i="15"/>
  <c r="AJ8" i="15"/>
  <c r="AI8" i="15"/>
  <c r="AH8" i="15"/>
  <c r="L8" i="15"/>
  <c r="J8" i="15"/>
  <c r="I8" i="15"/>
  <c r="AJ7" i="15"/>
  <c r="AI7" i="15"/>
  <c r="AH7" i="15"/>
  <c r="L7" i="15"/>
  <c r="J7" i="15"/>
  <c r="I7" i="15"/>
  <c r="AJ6" i="15"/>
  <c r="AI6" i="15"/>
  <c r="AH6" i="15"/>
  <c r="AE6" i="15"/>
  <c r="AD6" i="15"/>
  <c r="L6" i="15"/>
  <c r="J6" i="15"/>
  <c r="I6" i="15"/>
  <c r="AJ5" i="15"/>
  <c r="AI5" i="15"/>
  <c r="AH5" i="15"/>
  <c r="AE5" i="15"/>
  <c r="AD5" i="15"/>
  <c r="L5" i="15"/>
  <c r="E18" i="19" s="1"/>
  <c r="J5" i="15"/>
  <c r="C18" i="19" s="1"/>
  <c r="I18" i="19" s="1"/>
  <c r="J18" i="19" s="1"/>
  <c r="K18" i="19" s="1"/>
  <c r="L18" i="19" s="1"/>
  <c r="I5" i="15"/>
  <c r="AD16" i="22" s="1"/>
  <c r="AA16" i="21" s="1"/>
  <c r="D5" i="15"/>
  <c r="AJ4" i="15"/>
  <c r="AI4" i="15"/>
  <c r="AH4" i="15"/>
  <c r="AE4" i="15"/>
  <c r="AD4" i="15"/>
  <c r="L4" i="15"/>
  <c r="E8" i="19" s="1"/>
  <c r="J4" i="15"/>
  <c r="C8" i="19" s="1"/>
  <c r="I8" i="19" s="1"/>
  <c r="J8" i="19" s="1"/>
  <c r="K8" i="19" s="1"/>
  <c r="L8" i="19" s="1"/>
  <c r="I4" i="15"/>
  <c r="AD13" i="22" s="1"/>
  <c r="AA13" i="21" s="1"/>
  <c r="D4" i="15"/>
  <c r="AH3" i="15"/>
  <c r="K2" i="15"/>
  <c r="AH1" i="15"/>
  <c r="AD1" i="15"/>
  <c r="L109" i="14"/>
  <c r="L108" i="14"/>
  <c r="L107" i="14"/>
  <c r="L106" i="14"/>
  <c r="AJ105" i="14"/>
  <c r="AI105" i="14"/>
  <c r="AH105" i="14"/>
  <c r="L105" i="14"/>
  <c r="AJ104" i="14"/>
  <c r="AI104" i="14"/>
  <c r="AH104" i="14"/>
  <c r="L104" i="14"/>
  <c r="AJ103" i="14"/>
  <c r="AI103" i="14"/>
  <c r="AH103" i="14"/>
  <c r="L103" i="14"/>
  <c r="AJ102" i="14"/>
  <c r="AI102" i="14"/>
  <c r="AH102" i="14"/>
  <c r="AE102" i="14"/>
  <c r="AD102" i="14"/>
  <c r="L102" i="14"/>
  <c r="AJ101" i="14"/>
  <c r="AI101" i="14"/>
  <c r="AH101" i="14"/>
  <c r="L101" i="14"/>
  <c r="J101" i="14"/>
  <c r="I101" i="14"/>
  <c r="AJ100" i="14"/>
  <c r="AI100" i="14"/>
  <c r="AH100" i="14"/>
  <c r="L100" i="14"/>
  <c r="J100" i="14"/>
  <c r="I100" i="14"/>
  <c r="AJ99" i="14"/>
  <c r="AI99" i="14"/>
  <c r="AH99" i="14"/>
  <c r="L99" i="14"/>
  <c r="J99" i="14"/>
  <c r="I99" i="14"/>
  <c r="AJ98" i="14"/>
  <c r="AI98" i="14"/>
  <c r="AH98" i="14"/>
  <c r="AE98" i="14"/>
  <c r="AD98" i="14"/>
  <c r="L98" i="14"/>
  <c r="J98" i="14"/>
  <c r="I98" i="14"/>
  <c r="AJ97" i="14"/>
  <c r="AI97" i="14"/>
  <c r="AH97" i="14"/>
  <c r="L97" i="14"/>
  <c r="J97" i="14"/>
  <c r="I97" i="14"/>
  <c r="AJ96" i="14"/>
  <c r="AI96" i="14"/>
  <c r="AH96" i="14"/>
  <c r="L96" i="14"/>
  <c r="J96" i="14"/>
  <c r="I96" i="14"/>
  <c r="AJ95" i="14"/>
  <c r="AI95" i="14"/>
  <c r="AH95" i="14"/>
  <c r="L95" i="14"/>
  <c r="J95" i="14"/>
  <c r="I95" i="14"/>
  <c r="AJ94" i="14"/>
  <c r="AI94" i="14"/>
  <c r="AH94" i="14"/>
  <c r="AE94" i="14"/>
  <c r="AD94" i="14"/>
  <c r="L94" i="14"/>
  <c r="J94" i="14"/>
  <c r="I94" i="14"/>
  <c r="AJ93" i="14"/>
  <c r="AI93" i="14"/>
  <c r="AH93" i="14"/>
  <c r="L93" i="14"/>
  <c r="J93" i="14"/>
  <c r="I93" i="14"/>
  <c r="AJ92" i="14"/>
  <c r="AI92" i="14"/>
  <c r="AH92" i="14"/>
  <c r="L92" i="14"/>
  <c r="J92" i="14"/>
  <c r="I92" i="14"/>
  <c r="AJ91" i="14"/>
  <c r="AI91" i="14"/>
  <c r="AH91" i="14"/>
  <c r="L91" i="14"/>
  <c r="J91" i="14"/>
  <c r="I91" i="14"/>
  <c r="AJ90" i="14"/>
  <c r="AI90" i="14"/>
  <c r="AH90" i="14"/>
  <c r="AE90" i="14"/>
  <c r="AD90" i="14"/>
  <c r="L90" i="14"/>
  <c r="J90" i="14"/>
  <c r="I90" i="14"/>
  <c r="AJ89" i="14"/>
  <c r="AI89" i="14"/>
  <c r="AH89" i="14"/>
  <c r="L89" i="14"/>
  <c r="J89" i="14"/>
  <c r="I89" i="14"/>
  <c r="AJ88" i="14"/>
  <c r="AI88" i="14"/>
  <c r="AH88" i="14"/>
  <c r="L88" i="14"/>
  <c r="J88" i="14"/>
  <c r="I88" i="14"/>
  <c r="AJ87" i="14"/>
  <c r="AI87" i="14"/>
  <c r="AH87" i="14"/>
  <c r="L87" i="14"/>
  <c r="J87" i="14"/>
  <c r="I87" i="14"/>
  <c r="AJ86" i="14"/>
  <c r="AI86" i="14"/>
  <c r="AH86" i="14"/>
  <c r="AE86" i="14"/>
  <c r="AD86" i="14"/>
  <c r="L86" i="14"/>
  <c r="J86" i="14"/>
  <c r="I86" i="14"/>
  <c r="AJ85" i="14"/>
  <c r="AI85" i="14"/>
  <c r="AH85" i="14"/>
  <c r="L85" i="14"/>
  <c r="J85" i="14"/>
  <c r="I85" i="14"/>
  <c r="AJ84" i="14"/>
  <c r="AI84" i="14"/>
  <c r="AH84" i="14"/>
  <c r="L84" i="14"/>
  <c r="J84" i="14"/>
  <c r="I84" i="14"/>
  <c r="AJ83" i="14"/>
  <c r="AI83" i="14"/>
  <c r="AH83" i="14"/>
  <c r="L83" i="14"/>
  <c r="J83" i="14"/>
  <c r="I83" i="14"/>
  <c r="AJ82" i="14"/>
  <c r="AI82" i="14"/>
  <c r="AH82" i="14"/>
  <c r="AE82" i="14"/>
  <c r="AD82" i="14"/>
  <c r="L82" i="14"/>
  <c r="J82" i="14"/>
  <c r="I82" i="14"/>
  <c r="AJ81" i="14"/>
  <c r="AI81" i="14"/>
  <c r="AH81" i="14"/>
  <c r="L81" i="14"/>
  <c r="J81" i="14"/>
  <c r="I81" i="14"/>
  <c r="AJ80" i="14"/>
  <c r="AI80" i="14"/>
  <c r="AH80" i="14"/>
  <c r="L80" i="14"/>
  <c r="J80" i="14"/>
  <c r="I80" i="14"/>
  <c r="AJ79" i="14"/>
  <c r="AI79" i="14"/>
  <c r="AH79" i="14"/>
  <c r="L79" i="14"/>
  <c r="J79" i="14"/>
  <c r="I79" i="14"/>
  <c r="AJ78" i="14"/>
  <c r="AI78" i="14"/>
  <c r="AH78" i="14"/>
  <c r="AE78" i="14"/>
  <c r="AD78" i="14"/>
  <c r="L78" i="14"/>
  <c r="J78" i="14"/>
  <c r="I78" i="14"/>
  <c r="AJ77" i="14"/>
  <c r="AI77" i="14"/>
  <c r="AH77" i="14"/>
  <c r="L77" i="14"/>
  <c r="J77" i="14"/>
  <c r="I77" i="14"/>
  <c r="AJ76" i="14"/>
  <c r="AI76" i="14"/>
  <c r="AH76" i="14"/>
  <c r="L76" i="14"/>
  <c r="J76" i="14"/>
  <c r="I76" i="14"/>
  <c r="AJ75" i="14"/>
  <c r="AI75" i="14"/>
  <c r="AH75" i="14"/>
  <c r="L75" i="14"/>
  <c r="J75" i="14"/>
  <c r="I75" i="14"/>
  <c r="AJ74" i="14"/>
  <c r="AI74" i="14"/>
  <c r="AH74" i="14"/>
  <c r="AE74" i="14"/>
  <c r="AD74" i="14"/>
  <c r="L74" i="14"/>
  <c r="J74" i="14"/>
  <c r="I74" i="14"/>
  <c r="AJ73" i="14"/>
  <c r="AI73" i="14"/>
  <c r="AH73" i="14"/>
  <c r="L73" i="14"/>
  <c r="J73" i="14"/>
  <c r="I73" i="14"/>
  <c r="AJ72" i="14"/>
  <c r="AI72" i="14"/>
  <c r="AH72" i="14"/>
  <c r="L72" i="14"/>
  <c r="J72" i="14"/>
  <c r="I72" i="14"/>
  <c r="AJ71" i="14"/>
  <c r="AI71" i="14"/>
  <c r="AH71" i="14"/>
  <c r="L71" i="14"/>
  <c r="J71" i="14"/>
  <c r="I71" i="14"/>
  <c r="AJ70" i="14"/>
  <c r="AI70" i="14"/>
  <c r="AH70" i="14"/>
  <c r="AE70" i="14"/>
  <c r="AD70" i="14"/>
  <c r="L70" i="14"/>
  <c r="J70" i="14"/>
  <c r="I70" i="14"/>
  <c r="AJ69" i="14"/>
  <c r="AI69" i="14"/>
  <c r="AH69" i="14"/>
  <c r="AE69" i="14"/>
  <c r="AD69" i="14"/>
  <c r="L69" i="14"/>
  <c r="E298" i="19" s="1"/>
  <c r="J69" i="14"/>
  <c r="C298" i="19" s="1"/>
  <c r="I298" i="19" s="1"/>
  <c r="J298" i="19" s="1"/>
  <c r="I69" i="14"/>
  <c r="AA128" i="22" s="1"/>
  <c r="X128" i="21" s="1"/>
  <c r="AJ68" i="14"/>
  <c r="AI68" i="14"/>
  <c r="AH68" i="14"/>
  <c r="AE68" i="14"/>
  <c r="AD68" i="14"/>
  <c r="L68" i="14"/>
  <c r="E278" i="19" s="1"/>
  <c r="J68" i="14"/>
  <c r="C278" i="19" s="1"/>
  <c r="I278" i="19" s="1"/>
  <c r="J278" i="19" s="1"/>
  <c r="K278" i="19" s="1"/>
  <c r="I68" i="14"/>
  <c r="AA125" i="22" s="1"/>
  <c r="X125" i="21" s="1"/>
  <c r="AJ67" i="14"/>
  <c r="AI67" i="14"/>
  <c r="AH67" i="14"/>
  <c r="AE67" i="14"/>
  <c r="AD67" i="14"/>
  <c r="L67" i="14"/>
  <c r="E218" i="19" s="1"/>
  <c r="J67" i="14"/>
  <c r="C218" i="19" s="1"/>
  <c r="I218" i="19" s="1"/>
  <c r="J218" i="19" s="1"/>
  <c r="I67" i="14"/>
  <c r="AA122" i="22" s="1"/>
  <c r="X122" i="21" s="1"/>
  <c r="AJ66" i="14"/>
  <c r="AI66" i="14"/>
  <c r="AH66" i="14"/>
  <c r="AE66" i="14"/>
  <c r="AD66" i="14"/>
  <c r="L66" i="14"/>
  <c r="E202" i="19" s="1"/>
  <c r="J66" i="14"/>
  <c r="C202" i="19" s="1"/>
  <c r="I202" i="19" s="1"/>
  <c r="J202" i="19" s="1"/>
  <c r="I66" i="14"/>
  <c r="AA119" i="22" s="1"/>
  <c r="X119" i="21" s="1"/>
  <c r="AJ65" i="14"/>
  <c r="AI65" i="14"/>
  <c r="AH65" i="14"/>
  <c r="AE65" i="14"/>
  <c r="AD65" i="14"/>
  <c r="L65" i="14"/>
  <c r="E296" i="19" s="1"/>
  <c r="J65" i="14"/>
  <c r="C296" i="19" s="1"/>
  <c r="I296" i="19" s="1"/>
  <c r="J296" i="19" s="1"/>
  <c r="K296" i="19" s="1"/>
  <c r="I65" i="14"/>
  <c r="AA116" i="22" s="1"/>
  <c r="X116" i="21" s="1"/>
  <c r="AJ64" i="14"/>
  <c r="AI64" i="14"/>
  <c r="AH64" i="14"/>
  <c r="AE64" i="14"/>
  <c r="AD64" i="14"/>
  <c r="L64" i="14"/>
  <c r="E279" i="19" s="1"/>
  <c r="J64" i="14"/>
  <c r="C279" i="19" s="1"/>
  <c r="I279" i="19" s="1"/>
  <c r="J279" i="19" s="1"/>
  <c r="K279" i="19" s="1"/>
  <c r="I64" i="14"/>
  <c r="AA113" i="22" s="1"/>
  <c r="X113" i="21" s="1"/>
  <c r="AJ63" i="14"/>
  <c r="AI63" i="14"/>
  <c r="AH63" i="14"/>
  <c r="AE63" i="14"/>
  <c r="AD63" i="14"/>
  <c r="L63" i="14"/>
  <c r="E334" i="19" s="1"/>
  <c r="J63" i="14"/>
  <c r="C334" i="19" s="1"/>
  <c r="I334" i="19" s="1"/>
  <c r="J334" i="19" s="1"/>
  <c r="I63" i="14"/>
  <c r="AA110" i="22" s="1"/>
  <c r="X110" i="21" s="1"/>
  <c r="AJ62" i="14"/>
  <c r="AI62" i="14"/>
  <c r="AH62" i="14"/>
  <c r="AE62" i="14"/>
  <c r="AD62" i="14"/>
  <c r="L62" i="14"/>
  <c r="E326" i="19" s="1"/>
  <c r="J62" i="14"/>
  <c r="C326" i="19" s="1"/>
  <c r="I326" i="19" s="1"/>
  <c r="J326" i="19" s="1"/>
  <c r="I62" i="14"/>
  <c r="AA107" i="22" s="1"/>
  <c r="X107" i="21" s="1"/>
  <c r="AJ61" i="14"/>
  <c r="AI61" i="14"/>
  <c r="AH61" i="14"/>
  <c r="AE61" i="14"/>
  <c r="AD61" i="14"/>
  <c r="L61" i="14"/>
  <c r="E219" i="19" s="1"/>
  <c r="J61" i="14"/>
  <c r="C219" i="19" s="1"/>
  <c r="I219" i="19" s="1"/>
  <c r="J219" i="19" s="1"/>
  <c r="K219" i="19" s="1"/>
  <c r="L219" i="19" s="1"/>
  <c r="M219" i="19" s="1"/>
  <c r="N219" i="19" s="1"/>
  <c r="R219" i="19" s="1"/>
  <c r="I61" i="14"/>
  <c r="AA104" i="22" s="1"/>
  <c r="X104" i="21" s="1"/>
  <c r="AJ60" i="14"/>
  <c r="AI60" i="14"/>
  <c r="AH60" i="14"/>
  <c r="AE60" i="14"/>
  <c r="AD60" i="14"/>
  <c r="L60" i="14"/>
  <c r="E200" i="19" s="1"/>
  <c r="J60" i="14"/>
  <c r="C200" i="19" s="1"/>
  <c r="I200" i="19" s="1"/>
  <c r="J200" i="19" s="1"/>
  <c r="K200" i="19" s="1"/>
  <c r="L200" i="19" s="1"/>
  <c r="M200" i="19" s="1"/>
  <c r="N200" i="19" s="1"/>
  <c r="R200" i="19" s="1"/>
  <c r="I60" i="14"/>
  <c r="AA101" i="22" s="1"/>
  <c r="X101" i="21" s="1"/>
  <c r="AJ59" i="14"/>
  <c r="AI59" i="14"/>
  <c r="AH59" i="14"/>
  <c r="AE59" i="14"/>
  <c r="AD59" i="14"/>
  <c r="L59" i="14"/>
  <c r="E297" i="19" s="1"/>
  <c r="J59" i="14"/>
  <c r="C297" i="19" s="1"/>
  <c r="I297" i="19" s="1"/>
  <c r="J297" i="19" s="1"/>
  <c r="K297" i="19" s="1"/>
  <c r="I59" i="14"/>
  <c r="AA98" i="22" s="1"/>
  <c r="X98" i="21" s="1"/>
  <c r="AJ58" i="14"/>
  <c r="AI58" i="14"/>
  <c r="AH58" i="14"/>
  <c r="AE58" i="14"/>
  <c r="AD58" i="14"/>
  <c r="L58" i="14"/>
  <c r="E280" i="19" s="1"/>
  <c r="J58" i="14"/>
  <c r="C280" i="19" s="1"/>
  <c r="I280" i="19" s="1"/>
  <c r="J280" i="19" s="1"/>
  <c r="I58" i="14"/>
  <c r="AA95" i="22" s="1"/>
  <c r="X95" i="21" s="1"/>
  <c r="AJ57" i="14"/>
  <c r="AI57" i="14"/>
  <c r="AH57" i="14"/>
  <c r="AE57" i="14"/>
  <c r="AD57" i="14"/>
  <c r="L57" i="14"/>
  <c r="E142" i="19" s="1"/>
  <c r="J57" i="14"/>
  <c r="C142" i="19" s="1"/>
  <c r="I142" i="19" s="1"/>
  <c r="J142" i="19" s="1"/>
  <c r="K142" i="19" s="1"/>
  <c r="L142" i="19" s="1"/>
  <c r="M142" i="19" s="1"/>
  <c r="N142" i="19" s="1"/>
  <c r="R142" i="19" s="1"/>
  <c r="I57" i="14"/>
  <c r="AA92" i="22" s="1"/>
  <c r="X92" i="21" s="1"/>
  <c r="AJ56" i="14"/>
  <c r="AI56" i="14"/>
  <c r="AH56" i="14"/>
  <c r="AE56" i="14"/>
  <c r="AD56" i="14"/>
  <c r="L56" i="14"/>
  <c r="E119" i="19" s="1"/>
  <c r="J56" i="14"/>
  <c r="C119" i="19" s="1"/>
  <c r="I119" i="19" s="1"/>
  <c r="J119" i="19" s="1"/>
  <c r="K119" i="19" s="1"/>
  <c r="L119" i="19" s="1"/>
  <c r="M119" i="19" s="1"/>
  <c r="N119" i="19" s="1"/>
  <c r="R119" i="19" s="1"/>
  <c r="I56" i="14"/>
  <c r="AA89" i="22" s="1"/>
  <c r="X89" i="21" s="1"/>
  <c r="AJ55" i="14"/>
  <c r="AI55" i="14"/>
  <c r="AH55" i="14"/>
  <c r="AE55" i="14"/>
  <c r="AD55" i="14"/>
  <c r="L55" i="14"/>
  <c r="E255" i="19" s="1"/>
  <c r="J55" i="14"/>
  <c r="C255" i="19" s="1"/>
  <c r="I255" i="19" s="1"/>
  <c r="J255" i="19" s="1"/>
  <c r="I55" i="14"/>
  <c r="AA86" i="22" s="1"/>
  <c r="X86" i="21" s="1"/>
  <c r="AJ54" i="14"/>
  <c r="AI54" i="14"/>
  <c r="AH54" i="14"/>
  <c r="AE54" i="14"/>
  <c r="AD54" i="14"/>
  <c r="L54" i="14"/>
  <c r="E247" i="19" s="1"/>
  <c r="J54" i="14"/>
  <c r="C247" i="19" s="1"/>
  <c r="I247" i="19" s="1"/>
  <c r="J247" i="19" s="1"/>
  <c r="I54" i="14"/>
  <c r="AA83" i="22" s="1"/>
  <c r="X83" i="21" s="1"/>
  <c r="AJ53" i="14"/>
  <c r="AI53" i="14"/>
  <c r="AH53" i="14"/>
  <c r="AE53" i="14"/>
  <c r="AD53" i="14"/>
  <c r="L53" i="14"/>
  <c r="E72" i="19" s="1"/>
  <c r="J53" i="14"/>
  <c r="C72" i="19" s="1"/>
  <c r="I72" i="19" s="1"/>
  <c r="J72" i="19" s="1"/>
  <c r="K72" i="19" s="1"/>
  <c r="L72" i="19" s="1"/>
  <c r="M72" i="19" s="1"/>
  <c r="N72" i="19" s="1"/>
  <c r="R72" i="19" s="1"/>
  <c r="I53" i="14"/>
  <c r="AA80" i="22" s="1"/>
  <c r="X80" i="21" s="1"/>
  <c r="AJ52" i="14"/>
  <c r="AI52" i="14"/>
  <c r="AH52" i="14"/>
  <c r="AE52" i="14"/>
  <c r="AD52" i="14"/>
  <c r="L52" i="14"/>
  <c r="E41" i="19" s="1"/>
  <c r="J52" i="14"/>
  <c r="C41" i="19" s="1"/>
  <c r="I41" i="19" s="1"/>
  <c r="J41" i="19" s="1"/>
  <c r="K41" i="19" s="1"/>
  <c r="L41" i="19" s="1"/>
  <c r="M41" i="19" s="1"/>
  <c r="N41" i="19" s="1"/>
  <c r="R41" i="19" s="1"/>
  <c r="I52" i="14"/>
  <c r="AA77" i="22" s="1"/>
  <c r="X77" i="21" s="1"/>
  <c r="AJ51" i="14"/>
  <c r="AI51" i="14"/>
  <c r="AH51" i="14"/>
  <c r="AE51" i="14"/>
  <c r="AD51" i="14"/>
  <c r="L51" i="14"/>
  <c r="E141" i="19" s="1"/>
  <c r="J51" i="14"/>
  <c r="C141" i="19" s="1"/>
  <c r="I141" i="19" s="1"/>
  <c r="J141" i="19" s="1"/>
  <c r="I51" i="14"/>
  <c r="AA74" i="22" s="1"/>
  <c r="X74" i="21" s="1"/>
  <c r="AJ50" i="14"/>
  <c r="AI50" i="14"/>
  <c r="AH50" i="14"/>
  <c r="AE50" i="14"/>
  <c r="AD50" i="14"/>
  <c r="L50" i="14"/>
  <c r="E120" i="19" s="1"/>
  <c r="J50" i="14"/>
  <c r="C120" i="19" s="1"/>
  <c r="I120" i="19" s="1"/>
  <c r="J120" i="19" s="1"/>
  <c r="I50" i="14"/>
  <c r="AA71" i="22" s="1"/>
  <c r="X71" i="21" s="1"/>
  <c r="AJ49" i="14"/>
  <c r="AI49" i="14"/>
  <c r="AH49" i="14"/>
  <c r="AE49" i="14"/>
  <c r="AD49" i="14"/>
  <c r="L49" i="14"/>
  <c r="E71" i="19" s="1"/>
  <c r="J49" i="14"/>
  <c r="C71" i="19" s="1"/>
  <c r="I71" i="19" s="1"/>
  <c r="J71" i="19" s="1"/>
  <c r="K71" i="19" s="1"/>
  <c r="L71" i="19" s="1"/>
  <c r="M71" i="19" s="1"/>
  <c r="N71" i="19" s="1"/>
  <c r="R71" i="19" s="1"/>
  <c r="I49" i="14"/>
  <c r="AA68" i="22" s="1"/>
  <c r="X68" i="21" s="1"/>
  <c r="AJ48" i="14"/>
  <c r="AI48" i="14"/>
  <c r="AH48" i="14"/>
  <c r="AE48" i="14"/>
  <c r="AD48" i="14"/>
  <c r="L48" i="14"/>
  <c r="E40" i="19" s="1"/>
  <c r="J48" i="14"/>
  <c r="C40" i="19" s="1"/>
  <c r="I40" i="19" s="1"/>
  <c r="J40" i="19" s="1"/>
  <c r="K40" i="19" s="1"/>
  <c r="L40" i="19" s="1"/>
  <c r="M40" i="19" s="1"/>
  <c r="N40" i="19" s="1"/>
  <c r="I48" i="14"/>
  <c r="AA65" i="22" s="1"/>
  <c r="X65" i="21" s="1"/>
  <c r="AJ47" i="14"/>
  <c r="AI47" i="14"/>
  <c r="AH47" i="14"/>
  <c r="AE47" i="14"/>
  <c r="AD47" i="14"/>
  <c r="L47" i="14"/>
  <c r="E174" i="19" s="1"/>
  <c r="J47" i="14"/>
  <c r="C174" i="19" s="1"/>
  <c r="I174" i="19" s="1"/>
  <c r="J174" i="19" s="1"/>
  <c r="K174" i="19" s="1"/>
  <c r="L174" i="19" s="1"/>
  <c r="M174" i="19" s="1"/>
  <c r="N174" i="19" s="1"/>
  <c r="R174" i="19" s="1"/>
  <c r="I47" i="14"/>
  <c r="AA62" i="22" s="1"/>
  <c r="X62" i="21" s="1"/>
  <c r="AJ46" i="14"/>
  <c r="AI46" i="14"/>
  <c r="AH46" i="14"/>
  <c r="AE46" i="14"/>
  <c r="AD46" i="14"/>
  <c r="L46" i="14"/>
  <c r="E166" i="19" s="1"/>
  <c r="J46" i="14"/>
  <c r="C166" i="19" s="1"/>
  <c r="I166" i="19" s="1"/>
  <c r="J166" i="19" s="1"/>
  <c r="I46" i="14"/>
  <c r="AA59" i="22" s="1"/>
  <c r="X59" i="21" s="1"/>
  <c r="AJ45" i="14"/>
  <c r="AI45" i="14"/>
  <c r="AH45" i="14"/>
  <c r="AE45" i="14"/>
  <c r="AD45" i="14"/>
  <c r="L45" i="14"/>
  <c r="E140" i="19" s="1"/>
  <c r="J45" i="14"/>
  <c r="C140" i="19" s="1"/>
  <c r="I140" i="19" s="1"/>
  <c r="J140" i="19" s="1"/>
  <c r="K140" i="19" s="1"/>
  <c r="I45" i="14"/>
  <c r="AA56" i="22" s="1"/>
  <c r="X56" i="21" s="1"/>
  <c r="AJ44" i="14"/>
  <c r="AI44" i="14"/>
  <c r="AH44" i="14"/>
  <c r="AE44" i="14"/>
  <c r="AD44" i="14"/>
  <c r="L44" i="14"/>
  <c r="E121" i="19" s="1"/>
  <c r="J44" i="14"/>
  <c r="C121" i="19" s="1"/>
  <c r="I121" i="19" s="1"/>
  <c r="J121" i="19" s="1"/>
  <c r="K121" i="19" s="1"/>
  <c r="I44" i="14"/>
  <c r="AA53" i="22" s="1"/>
  <c r="X53" i="21" s="1"/>
  <c r="AJ43" i="14"/>
  <c r="AI43" i="14"/>
  <c r="AH43" i="14"/>
  <c r="AE43" i="14"/>
  <c r="AD43" i="14"/>
  <c r="L43" i="14"/>
  <c r="E70" i="19" s="1"/>
  <c r="J43" i="14"/>
  <c r="C70" i="19" s="1"/>
  <c r="I70" i="19" s="1"/>
  <c r="J70" i="19" s="1"/>
  <c r="I43" i="14"/>
  <c r="AA50" i="22" s="1"/>
  <c r="X50" i="21" s="1"/>
  <c r="AJ42" i="14"/>
  <c r="AI42" i="14"/>
  <c r="AH42" i="14"/>
  <c r="AE42" i="14"/>
  <c r="AD42" i="14"/>
  <c r="L42" i="14"/>
  <c r="E39" i="19" s="1"/>
  <c r="J42" i="14"/>
  <c r="C39" i="19" s="1"/>
  <c r="I39" i="19" s="1"/>
  <c r="J39" i="19" s="1"/>
  <c r="I42" i="14"/>
  <c r="AA47" i="22" s="1"/>
  <c r="X47" i="21" s="1"/>
  <c r="AJ41" i="14"/>
  <c r="AI41" i="14"/>
  <c r="AH41" i="14"/>
  <c r="AE41" i="14"/>
  <c r="AD41" i="14"/>
  <c r="L41" i="14"/>
  <c r="E224" i="19" s="1"/>
  <c r="J41" i="14"/>
  <c r="C224" i="19" s="1"/>
  <c r="I224" i="19" s="1"/>
  <c r="J224" i="19" s="1"/>
  <c r="K224" i="19" s="1"/>
  <c r="I41" i="14"/>
  <c r="AA44" i="22" s="1"/>
  <c r="X44" i="21" s="1"/>
  <c r="AJ40" i="14"/>
  <c r="AI40" i="14"/>
  <c r="AH40" i="14"/>
  <c r="AE40" i="14"/>
  <c r="AD40" i="14"/>
  <c r="L40" i="14"/>
  <c r="E197" i="19" s="1"/>
  <c r="J40" i="14"/>
  <c r="C197" i="19" s="1"/>
  <c r="I197" i="19" s="1"/>
  <c r="J197" i="19" s="1"/>
  <c r="K197" i="19" s="1"/>
  <c r="I40" i="14"/>
  <c r="AA41" i="22" s="1"/>
  <c r="X41" i="21" s="1"/>
  <c r="AJ39" i="14"/>
  <c r="AI39" i="14"/>
  <c r="AH39" i="14"/>
  <c r="AE39" i="14"/>
  <c r="AD39" i="14"/>
  <c r="L39" i="14"/>
  <c r="E94" i="19" s="1"/>
  <c r="J39" i="14"/>
  <c r="C94" i="19" s="1"/>
  <c r="I94" i="19" s="1"/>
  <c r="J94" i="19" s="1"/>
  <c r="I39" i="14"/>
  <c r="AA38" i="22" s="1"/>
  <c r="X38" i="21" s="1"/>
  <c r="AJ38" i="14"/>
  <c r="AI38" i="14"/>
  <c r="AH38" i="14"/>
  <c r="AE38" i="14"/>
  <c r="AD38" i="14"/>
  <c r="L38" i="14"/>
  <c r="E87" i="19" s="1"/>
  <c r="J38" i="14"/>
  <c r="C87" i="19" s="1"/>
  <c r="I87" i="19" s="1"/>
  <c r="J87" i="19" s="1"/>
  <c r="I38" i="14"/>
  <c r="AA35" i="22" s="1"/>
  <c r="X35" i="21" s="1"/>
  <c r="AJ37" i="14"/>
  <c r="AI37" i="14"/>
  <c r="AH37" i="14"/>
  <c r="L37" i="14"/>
  <c r="J37" i="14"/>
  <c r="I37" i="14"/>
  <c r="AJ36" i="14"/>
  <c r="AI36" i="14"/>
  <c r="AH36" i="14"/>
  <c r="L36" i="14"/>
  <c r="J36" i="14"/>
  <c r="I36" i="14"/>
  <c r="AJ35" i="14"/>
  <c r="AI35" i="14"/>
  <c r="AH35" i="14"/>
  <c r="L35" i="14"/>
  <c r="J35" i="14"/>
  <c r="I35" i="14"/>
  <c r="AJ34" i="14"/>
  <c r="AI34" i="14"/>
  <c r="AH34" i="14"/>
  <c r="AE34" i="14"/>
  <c r="AD34" i="14"/>
  <c r="L34" i="14"/>
  <c r="J34" i="14"/>
  <c r="I34" i="14"/>
  <c r="AJ33" i="14"/>
  <c r="AI33" i="14"/>
  <c r="AH33" i="14"/>
  <c r="L33" i="14"/>
  <c r="J33" i="14"/>
  <c r="I33" i="14"/>
  <c r="AJ32" i="14"/>
  <c r="AI32" i="14"/>
  <c r="AH32" i="14"/>
  <c r="L32" i="14"/>
  <c r="J32" i="14"/>
  <c r="I32" i="14"/>
  <c r="AJ31" i="14"/>
  <c r="AI31" i="14"/>
  <c r="AH31" i="14"/>
  <c r="L31" i="14"/>
  <c r="J31" i="14"/>
  <c r="I31" i="14"/>
  <c r="AJ30" i="14"/>
  <c r="AI30" i="14"/>
  <c r="AH30" i="14"/>
  <c r="AE30" i="14"/>
  <c r="AD30" i="14"/>
  <c r="L30" i="14"/>
  <c r="J30" i="14"/>
  <c r="I30" i="14"/>
  <c r="AJ29" i="14"/>
  <c r="AI29" i="14"/>
  <c r="AH29" i="14"/>
  <c r="L29" i="14"/>
  <c r="J29" i="14"/>
  <c r="I29" i="14"/>
  <c r="AJ28" i="14"/>
  <c r="AI28" i="14"/>
  <c r="AH28" i="14"/>
  <c r="L28" i="14"/>
  <c r="J28" i="14"/>
  <c r="I28" i="14"/>
  <c r="AJ27" i="14"/>
  <c r="AI27" i="14"/>
  <c r="AH27" i="14"/>
  <c r="L27" i="14"/>
  <c r="J27" i="14"/>
  <c r="I27" i="14"/>
  <c r="AJ26" i="14"/>
  <c r="AI26" i="14"/>
  <c r="AH26" i="14"/>
  <c r="AE26" i="14"/>
  <c r="AD26" i="14"/>
  <c r="L26" i="14"/>
  <c r="J26" i="14"/>
  <c r="I26" i="14"/>
  <c r="AJ25" i="14"/>
  <c r="AI25" i="14"/>
  <c r="AH25" i="14"/>
  <c r="L25" i="14"/>
  <c r="J25" i="14"/>
  <c r="I25" i="14"/>
  <c r="AJ24" i="14"/>
  <c r="AI24" i="14"/>
  <c r="AH24" i="14"/>
  <c r="L24" i="14"/>
  <c r="J24" i="14"/>
  <c r="I24" i="14"/>
  <c r="AJ23" i="14"/>
  <c r="AI23" i="14"/>
  <c r="AH23" i="14"/>
  <c r="L23" i="14"/>
  <c r="J23" i="14"/>
  <c r="I23" i="14"/>
  <c r="AJ22" i="14"/>
  <c r="AI22" i="14"/>
  <c r="AH22" i="14"/>
  <c r="AE22" i="14"/>
  <c r="AD22" i="14"/>
  <c r="N22" i="14"/>
  <c r="L22" i="14"/>
  <c r="J22" i="14"/>
  <c r="I22" i="14"/>
  <c r="AJ21" i="14"/>
  <c r="AI21" i="14"/>
  <c r="AH21" i="14"/>
  <c r="L21" i="14"/>
  <c r="J21" i="14"/>
  <c r="I21" i="14"/>
  <c r="AJ20" i="14"/>
  <c r="AI20" i="14"/>
  <c r="AH20" i="14"/>
  <c r="L20" i="14"/>
  <c r="J20" i="14"/>
  <c r="I20" i="14"/>
  <c r="AJ19" i="14"/>
  <c r="AI19" i="14"/>
  <c r="AH19" i="14"/>
  <c r="L19" i="14"/>
  <c r="J19" i="14"/>
  <c r="I19" i="14"/>
  <c r="AJ18" i="14"/>
  <c r="AI18" i="14"/>
  <c r="AH18" i="14"/>
  <c r="AE18" i="14"/>
  <c r="AD18" i="14"/>
  <c r="L18" i="14"/>
  <c r="J18" i="14"/>
  <c r="I18" i="14"/>
  <c r="AJ17" i="14"/>
  <c r="AI17" i="14"/>
  <c r="AH17" i="14"/>
  <c r="L17" i="14"/>
  <c r="J17" i="14"/>
  <c r="I17" i="14"/>
  <c r="AJ16" i="14"/>
  <c r="AI16" i="14"/>
  <c r="AH16" i="14"/>
  <c r="L16" i="14"/>
  <c r="J16" i="14"/>
  <c r="I16" i="14"/>
  <c r="AJ15" i="14"/>
  <c r="AI15" i="14"/>
  <c r="AH15" i="14"/>
  <c r="L15" i="14"/>
  <c r="J15" i="14"/>
  <c r="I15" i="14"/>
  <c r="AJ14" i="14"/>
  <c r="AI14" i="14"/>
  <c r="AH14" i="14"/>
  <c r="AE14" i="14"/>
  <c r="AD14" i="14"/>
  <c r="L14" i="14"/>
  <c r="J14" i="14"/>
  <c r="I14" i="14"/>
  <c r="AJ13" i="14"/>
  <c r="AI13" i="14"/>
  <c r="AH13" i="14"/>
  <c r="L13" i="14"/>
  <c r="J13" i="14"/>
  <c r="I13" i="14"/>
  <c r="AJ12" i="14"/>
  <c r="AI12" i="14"/>
  <c r="AH12" i="14"/>
  <c r="L12" i="14"/>
  <c r="J12" i="14"/>
  <c r="I12" i="14"/>
  <c r="AJ11" i="14"/>
  <c r="AI11" i="14"/>
  <c r="AH11" i="14"/>
  <c r="L11" i="14"/>
  <c r="J11" i="14"/>
  <c r="I11" i="14"/>
  <c r="AJ10" i="14"/>
  <c r="AI10" i="14"/>
  <c r="AH10" i="14"/>
  <c r="AE10" i="14"/>
  <c r="AD10" i="14"/>
  <c r="L10" i="14"/>
  <c r="J10" i="14"/>
  <c r="I10" i="14"/>
  <c r="AJ9" i="14"/>
  <c r="AI9" i="14"/>
  <c r="AH9" i="14"/>
  <c r="L9" i="14"/>
  <c r="J9" i="14"/>
  <c r="I9" i="14"/>
  <c r="AJ8" i="14"/>
  <c r="AI8" i="14"/>
  <c r="AH8" i="14"/>
  <c r="L8" i="14"/>
  <c r="J8" i="14"/>
  <c r="I8" i="14"/>
  <c r="AJ7" i="14"/>
  <c r="AI7" i="14"/>
  <c r="AH7" i="14"/>
  <c r="L7" i="14"/>
  <c r="J7" i="14"/>
  <c r="I7" i="14"/>
  <c r="AJ6" i="14"/>
  <c r="AI6" i="14"/>
  <c r="AH6" i="14"/>
  <c r="AE6" i="14"/>
  <c r="AD6" i="14"/>
  <c r="L6" i="14"/>
  <c r="J6" i="14"/>
  <c r="I6" i="14"/>
  <c r="AJ5" i="14"/>
  <c r="AI5" i="14"/>
  <c r="AH5" i="14"/>
  <c r="AE5" i="14"/>
  <c r="AD5" i="14"/>
  <c r="L5" i="14"/>
  <c r="E17" i="19" s="1"/>
  <c r="J5" i="14"/>
  <c r="C17" i="19" s="1"/>
  <c r="I17" i="19" s="1"/>
  <c r="J17" i="19" s="1"/>
  <c r="I5" i="14"/>
  <c r="AA16" i="22" s="1"/>
  <c r="X16" i="21" s="1"/>
  <c r="D5" i="14"/>
  <c r="AJ4" i="14"/>
  <c r="AI4" i="14"/>
  <c r="AH4" i="14"/>
  <c r="AE4" i="14"/>
  <c r="AD4" i="14"/>
  <c r="L4" i="14"/>
  <c r="E7" i="19" s="1"/>
  <c r="J4" i="14"/>
  <c r="C7" i="19" s="1"/>
  <c r="I7" i="19" s="1"/>
  <c r="J7" i="19" s="1"/>
  <c r="I4" i="14"/>
  <c r="AA13" i="22" s="1"/>
  <c r="X13" i="21" s="1"/>
  <c r="D4" i="14"/>
  <c r="AH3" i="14"/>
  <c r="K2" i="14"/>
  <c r="AH1" i="14"/>
  <c r="AD1" i="14"/>
  <c r="AJ109" i="13"/>
  <c r="AI109" i="13"/>
  <c r="AH109" i="13"/>
  <c r="L109" i="13"/>
  <c r="AJ108" i="13"/>
  <c r="AI108" i="13"/>
  <c r="AH108" i="13"/>
  <c r="L108" i="13"/>
  <c r="AJ107" i="13"/>
  <c r="AI107" i="13"/>
  <c r="AH107" i="13"/>
  <c r="L107" i="13"/>
  <c r="AJ106" i="13"/>
  <c r="AI106" i="13"/>
  <c r="AH106" i="13"/>
  <c r="L106" i="13"/>
  <c r="AJ105" i="13"/>
  <c r="AI105" i="13"/>
  <c r="AH105" i="13"/>
  <c r="L105" i="13"/>
  <c r="AJ104" i="13"/>
  <c r="AI104" i="13"/>
  <c r="AH104" i="13"/>
  <c r="L104" i="13"/>
  <c r="AJ103" i="13"/>
  <c r="AI103" i="13"/>
  <c r="AH103" i="13"/>
  <c r="L103" i="13"/>
  <c r="AJ102" i="13"/>
  <c r="AI102" i="13"/>
  <c r="AH102" i="13"/>
  <c r="AE102" i="13"/>
  <c r="AD102" i="13"/>
  <c r="L102" i="13"/>
  <c r="AJ101" i="13"/>
  <c r="AI101" i="13"/>
  <c r="AH101" i="13"/>
  <c r="L101" i="13"/>
  <c r="J101" i="13"/>
  <c r="I101" i="13"/>
  <c r="AJ100" i="13"/>
  <c r="AI100" i="13"/>
  <c r="AH100" i="13"/>
  <c r="L100" i="13"/>
  <c r="J100" i="13"/>
  <c r="I100" i="13"/>
  <c r="AJ99" i="13"/>
  <c r="AI99" i="13"/>
  <c r="AH99" i="13"/>
  <c r="L99" i="13"/>
  <c r="J99" i="13"/>
  <c r="I99" i="13"/>
  <c r="AJ98" i="13"/>
  <c r="AI98" i="13"/>
  <c r="AH98" i="13"/>
  <c r="AE98" i="13"/>
  <c r="AD98" i="13"/>
  <c r="L98" i="13"/>
  <c r="J98" i="13"/>
  <c r="I98" i="13"/>
  <c r="AJ97" i="13"/>
  <c r="AI97" i="13"/>
  <c r="AH97" i="13"/>
  <c r="L97" i="13"/>
  <c r="J97" i="13"/>
  <c r="I97" i="13"/>
  <c r="AJ96" i="13"/>
  <c r="AI96" i="13"/>
  <c r="AH96" i="13"/>
  <c r="L96" i="13"/>
  <c r="J96" i="13"/>
  <c r="I96" i="13"/>
  <c r="AJ95" i="13"/>
  <c r="AI95" i="13"/>
  <c r="AH95" i="13"/>
  <c r="L95" i="13"/>
  <c r="J95" i="13"/>
  <c r="I95" i="13"/>
  <c r="AJ94" i="13"/>
  <c r="AI94" i="13"/>
  <c r="AH94" i="13"/>
  <c r="AE94" i="13"/>
  <c r="AD94" i="13"/>
  <c r="L94" i="13"/>
  <c r="J94" i="13"/>
  <c r="I94" i="13"/>
  <c r="AJ93" i="13"/>
  <c r="AI93" i="13"/>
  <c r="AH93" i="13"/>
  <c r="L93" i="13"/>
  <c r="J93" i="13"/>
  <c r="I93" i="13"/>
  <c r="AJ92" i="13"/>
  <c r="AI92" i="13"/>
  <c r="AH92" i="13"/>
  <c r="L92" i="13"/>
  <c r="J92" i="13"/>
  <c r="I92" i="13"/>
  <c r="AJ91" i="13"/>
  <c r="AI91" i="13"/>
  <c r="AH91" i="13"/>
  <c r="L91" i="13"/>
  <c r="J91" i="13"/>
  <c r="I91" i="13"/>
  <c r="AJ90" i="13"/>
  <c r="AI90" i="13"/>
  <c r="AH90" i="13"/>
  <c r="AE90" i="13"/>
  <c r="AD90" i="13"/>
  <c r="L90" i="13"/>
  <c r="J90" i="13"/>
  <c r="I90" i="13"/>
  <c r="AJ89" i="13"/>
  <c r="AI89" i="13"/>
  <c r="AH89" i="13"/>
  <c r="L89" i="13"/>
  <c r="J89" i="13"/>
  <c r="I89" i="13"/>
  <c r="AJ88" i="13"/>
  <c r="AI88" i="13"/>
  <c r="AH88" i="13"/>
  <c r="L88" i="13"/>
  <c r="J88" i="13"/>
  <c r="I88" i="13"/>
  <c r="AJ87" i="13"/>
  <c r="AI87" i="13"/>
  <c r="AH87" i="13"/>
  <c r="L87" i="13"/>
  <c r="J87" i="13"/>
  <c r="I87" i="13"/>
  <c r="AJ86" i="13"/>
  <c r="AI86" i="13"/>
  <c r="AH86" i="13"/>
  <c r="AE86" i="13"/>
  <c r="AD86" i="13"/>
  <c r="L86" i="13"/>
  <c r="J86" i="13"/>
  <c r="I86" i="13"/>
  <c r="AJ85" i="13"/>
  <c r="AI85" i="13"/>
  <c r="AH85" i="13"/>
  <c r="L85" i="13"/>
  <c r="J85" i="13"/>
  <c r="I85" i="13"/>
  <c r="AJ84" i="13"/>
  <c r="AI84" i="13"/>
  <c r="AH84" i="13"/>
  <c r="L84" i="13"/>
  <c r="J84" i="13"/>
  <c r="I84" i="13"/>
  <c r="AJ83" i="13"/>
  <c r="AI83" i="13"/>
  <c r="AH83" i="13"/>
  <c r="L83" i="13"/>
  <c r="J83" i="13"/>
  <c r="I83" i="13"/>
  <c r="AJ82" i="13"/>
  <c r="AI82" i="13"/>
  <c r="AH82" i="13"/>
  <c r="AE82" i="13"/>
  <c r="AD82" i="13"/>
  <c r="L82" i="13"/>
  <c r="J82" i="13"/>
  <c r="I82" i="13"/>
  <c r="AJ81" i="13"/>
  <c r="AI81" i="13"/>
  <c r="AH81" i="13"/>
  <c r="L81" i="13"/>
  <c r="J81" i="13"/>
  <c r="I81" i="13"/>
  <c r="AJ80" i="13"/>
  <c r="AI80" i="13"/>
  <c r="AH80" i="13"/>
  <c r="L80" i="13"/>
  <c r="J80" i="13"/>
  <c r="I80" i="13"/>
  <c r="AJ79" i="13"/>
  <c r="AI79" i="13"/>
  <c r="AH79" i="13"/>
  <c r="L79" i="13"/>
  <c r="J79" i="13"/>
  <c r="I79" i="13"/>
  <c r="AJ78" i="13"/>
  <c r="AI78" i="13"/>
  <c r="AH78" i="13"/>
  <c r="AE78" i="13"/>
  <c r="AD78" i="13"/>
  <c r="L78" i="13"/>
  <c r="J78" i="13"/>
  <c r="I78" i="13"/>
  <c r="AJ77" i="13"/>
  <c r="AI77" i="13"/>
  <c r="AH77" i="13"/>
  <c r="L77" i="13"/>
  <c r="J77" i="13"/>
  <c r="I77" i="13"/>
  <c r="AJ76" i="13"/>
  <c r="AI76" i="13"/>
  <c r="AH76" i="13"/>
  <c r="L76" i="13"/>
  <c r="J76" i="13"/>
  <c r="I76" i="13"/>
  <c r="AJ75" i="13"/>
  <c r="AI75" i="13"/>
  <c r="AH75" i="13"/>
  <c r="L75" i="13"/>
  <c r="J75" i="13"/>
  <c r="I75" i="13"/>
  <c r="AJ74" i="13"/>
  <c r="AI74" i="13"/>
  <c r="AH74" i="13"/>
  <c r="AE74" i="13"/>
  <c r="AD74" i="13"/>
  <c r="L74" i="13"/>
  <c r="J74" i="13"/>
  <c r="I74" i="13"/>
  <c r="AJ73" i="13"/>
  <c r="AI73" i="13"/>
  <c r="AH73" i="13"/>
  <c r="L73" i="13"/>
  <c r="J73" i="13"/>
  <c r="I73" i="13"/>
  <c r="AJ72" i="13"/>
  <c r="AI72" i="13"/>
  <c r="AH72" i="13"/>
  <c r="L72" i="13"/>
  <c r="J72" i="13"/>
  <c r="I72" i="13"/>
  <c r="AJ71" i="13"/>
  <c r="AI71" i="13"/>
  <c r="AH71" i="13"/>
  <c r="L71" i="13"/>
  <c r="J71" i="13"/>
  <c r="I71" i="13"/>
  <c r="AJ70" i="13"/>
  <c r="AI70" i="13"/>
  <c r="AH70" i="13"/>
  <c r="AE70" i="13"/>
  <c r="AD70" i="13"/>
  <c r="L70" i="13"/>
  <c r="J70" i="13"/>
  <c r="I70" i="13"/>
  <c r="AJ69" i="13"/>
  <c r="AI69" i="13"/>
  <c r="AH69" i="13"/>
  <c r="AE69" i="13"/>
  <c r="AD69" i="13"/>
  <c r="L69" i="13"/>
  <c r="E295" i="19" s="1"/>
  <c r="J69" i="13"/>
  <c r="C295" i="19" s="1"/>
  <c r="I295" i="19" s="1"/>
  <c r="J295" i="19" s="1"/>
  <c r="K295" i="19" s="1"/>
  <c r="L295" i="19" s="1"/>
  <c r="M295" i="19" s="1"/>
  <c r="N295" i="19" s="1"/>
  <c r="R295" i="19" s="1"/>
  <c r="I69" i="13"/>
  <c r="X128" i="22" s="1"/>
  <c r="AJ68" i="13"/>
  <c r="AI68" i="13"/>
  <c r="AH68" i="13"/>
  <c r="AE68" i="13"/>
  <c r="AD68" i="13"/>
  <c r="L68" i="13"/>
  <c r="E281" i="19" s="1"/>
  <c r="J68" i="13"/>
  <c r="C281" i="19" s="1"/>
  <c r="I281" i="19" s="1"/>
  <c r="J281" i="19" s="1"/>
  <c r="K281" i="19" s="1"/>
  <c r="L281" i="19" s="1"/>
  <c r="M281" i="19" s="1"/>
  <c r="N281" i="19" s="1"/>
  <c r="I68" i="13"/>
  <c r="X125" i="22" s="1"/>
  <c r="AJ67" i="13"/>
  <c r="AI67" i="13"/>
  <c r="AH67" i="13"/>
  <c r="AE67" i="13"/>
  <c r="AD67" i="13"/>
  <c r="L67" i="13"/>
  <c r="E222" i="19" s="1"/>
  <c r="J67" i="13"/>
  <c r="C222" i="19" s="1"/>
  <c r="I222" i="19" s="1"/>
  <c r="J222" i="19" s="1"/>
  <c r="I67" i="13"/>
  <c r="X122" i="22" s="1"/>
  <c r="AJ66" i="13"/>
  <c r="AI66" i="13"/>
  <c r="AH66" i="13"/>
  <c r="AE66" i="13"/>
  <c r="AD66" i="13"/>
  <c r="L66" i="13"/>
  <c r="E199" i="19" s="1"/>
  <c r="J66" i="13"/>
  <c r="C199" i="19" s="1"/>
  <c r="I199" i="19" s="1"/>
  <c r="J199" i="19" s="1"/>
  <c r="K199" i="19" s="1"/>
  <c r="L199" i="19" s="1"/>
  <c r="M199" i="19" s="1"/>
  <c r="N199" i="19" s="1"/>
  <c r="R199" i="19" s="1"/>
  <c r="I66" i="13"/>
  <c r="X119" i="22" s="1"/>
  <c r="AJ65" i="13"/>
  <c r="AI65" i="13"/>
  <c r="AH65" i="13"/>
  <c r="AE65" i="13"/>
  <c r="AD65" i="13"/>
  <c r="L65" i="13"/>
  <c r="E299" i="19" s="1"/>
  <c r="J65" i="13"/>
  <c r="C299" i="19" s="1"/>
  <c r="I299" i="19" s="1"/>
  <c r="J299" i="19" s="1"/>
  <c r="I65" i="13"/>
  <c r="X116" i="22" s="1"/>
  <c r="AJ64" i="13"/>
  <c r="AI64" i="13"/>
  <c r="AH64" i="13"/>
  <c r="AE64" i="13"/>
  <c r="AD64" i="13"/>
  <c r="L64" i="13"/>
  <c r="E277" i="19" s="1"/>
  <c r="J64" i="13"/>
  <c r="C277" i="19" s="1"/>
  <c r="I277" i="19" s="1"/>
  <c r="J277" i="19" s="1"/>
  <c r="I64" i="13"/>
  <c r="X113" i="22" s="1"/>
  <c r="AJ63" i="13"/>
  <c r="AI63" i="13"/>
  <c r="AH63" i="13"/>
  <c r="AE63" i="13"/>
  <c r="AD63" i="13"/>
  <c r="L63" i="13"/>
  <c r="E333" i="19" s="1"/>
  <c r="J63" i="13"/>
  <c r="C333" i="19" s="1"/>
  <c r="I333" i="19" s="1"/>
  <c r="J333" i="19" s="1"/>
  <c r="I63" i="13"/>
  <c r="X110" i="22" s="1"/>
  <c r="AJ62" i="13"/>
  <c r="AI62" i="13"/>
  <c r="AH62" i="13"/>
  <c r="AE62" i="13"/>
  <c r="AD62" i="13"/>
  <c r="L62" i="13"/>
  <c r="E325" i="19" s="1"/>
  <c r="J62" i="13"/>
  <c r="C325" i="19" s="1"/>
  <c r="I325" i="19" s="1"/>
  <c r="J325" i="19" s="1"/>
  <c r="K325" i="19" s="1"/>
  <c r="L325" i="19" s="1"/>
  <c r="M325" i="19" s="1"/>
  <c r="N325" i="19" s="1"/>
  <c r="R325" i="19" s="1"/>
  <c r="I62" i="13"/>
  <c r="X107" i="22" s="1"/>
  <c r="AJ61" i="13"/>
  <c r="AI61" i="13"/>
  <c r="AH61" i="13"/>
  <c r="AE61" i="13"/>
  <c r="AD61" i="13"/>
  <c r="L61" i="13"/>
  <c r="E223" i="19" s="1"/>
  <c r="J61" i="13"/>
  <c r="C223" i="19" s="1"/>
  <c r="I223" i="19" s="1"/>
  <c r="J223" i="19" s="1"/>
  <c r="K223" i="19" s="1"/>
  <c r="L223" i="19" s="1"/>
  <c r="M223" i="19" s="1"/>
  <c r="N223" i="19" s="1"/>
  <c r="R223" i="19" s="1"/>
  <c r="I61" i="13"/>
  <c r="X104" i="22" s="1"/>
  <c r="AJ60" i="13"/>
  <c r="AI60" i="13"/>
  <c r="AH60" i="13"/>
  <c r="AE60" i="13"/>
  <c r="AD60" i="13"/>
  <c r="L60" i="13"/>
  <c r="E198" i="19" s="1"/>
  <c r="J60" i="13"/>
  <c r="C198" i="19" s="1"/>
  <c r="I198" i="19" s="1"/>
  <c r="J198" i="19" s="1"/>
  <c r="I60" i="13"/>
  <c r="X101" i="22" s="1"/>
  <c r="AJ59" i="13"/>
  <c r="AI59" i="13"/>
  <c r="AH59" i="13"/>
  <c r="AE59" i="13"/>
  <c r="AD59" i="13"/>
  <c r="L59" i="13"/>
  <c r="E312" i="19" s="1"/>
  <c r="J59" i="13"/>
  <c r="C312" i="19" s="1"/>
  <c r="I312" i="19" s="1"/>
  <c r="J312" i="19" s="1"/>
  <c r="I59" i="13"/>
  <c r="X98" i="22" s="1"/>
  <c r="AJ58" i="13"/>
  <c r="AI58" i="13"/>
  <c r="AH58" i="13"/>
  <c r="AE58" i="13"/>
  <c r="AD58" i="13"/>
  <c r="L58" i="13"/>
  <c r="E276" i="19" s="1"/>
  <c r="J58" i="13"/>
  <c r="C276" i="19" s="1"/>
  <c r="I276" i="19" s="1"/>
  <c r="J276" i="19" s="1"/>
  <c r="K276" i="19" s="1"/>
  <c r="L276" i="19" s="1"/>
  <c r="M276" i="19" s="1"/>
  <c r="N276" i="19" s="1"/>
  <c r="I58" i="13"/>
  <c r="X95" i="22" s="1"/>
  <c r="AJ57" i="13"/>
  <c r="AI57" i="13"/>
  <c r="AH57" i="13"/>
  <c r="AE57" i="13"/>
  <c r="AD57" i="13"/>
  <c r="L57" i="13"/>
  <c r="E143" i="19" s="1"/>
  <c r="J57" i="13"/>
  <c r="C143" i="19" s="1"/>
  <c r="I143" i="19" s="1"/>
  <c r="J143" i="19" s="1"/>
  <c r="K143" i="19" s="1"/>
  <c r="L143" i="19" s="1"/>
  <c r="M143" i="19" s="1"/>
  <c r="N143" i="19" s="1"/>
  <c r="R143" i="19" s="1"/>
  <c r="I57" i="13"/>
  <c r="X92" i="22" s="1"/>
  <c r="AJ56" i="13"/>
  <c r="AI56" i="13"/>
  <c r="AH56" i="13"/>
  <c r="AE56" i="13"/>
  <c r="AD56" i="13"/>
  <c r="L56" i="13"/>
  <c r="E118" i="19" s="1"/>
  <c r="J56" i="13"/>
  <c r="C118" i="19" s="1"/>
  <c r="I118" i="19" s="1"/>
  <c r="J118" i="19" s="1"/>
  <c r="K118" i="19" s="1"/>
  <c r="L118" i="19" s="1"/>
  <c r="M118" i="19" s="1"/>
  <c r="N118" i="19" s="1"/>
  <c r="R118" i="19" s="1"/>
  <c r="I56" i="13"/>
  <c r="X89" i="22" s="1"/>
  <c r="AJ55" i="13"/>
  <c r="AI55" i="13"/>
  <c r="AH55" i="13"/>
  <c r="AE55" i="13"/>
  <c r="AD55" i="13"/>
  <c r="L55" i="13"/>
  <c r="E254" i="19" s="1"/>
  <c r="J55" i="13"/>
  <c r="C254" i="19" s="1"/>
  <c r="I254" i="19" s="1"/>
  <c r="J254" i="19" s="1"/>
  <c r="I55" i="13"/>
  <c r="X86" i="22" s="1"/>
  <c r="AJ54" i="13"/>
  <c r="AI54" i="13"/>
  <c r="AH54" i="13"/>
  <c r="AE54" i="13"/>
  <c r="AD54" i="13"/>
  <c r="L54" i="13"/>
  <c r="E246" i="19" s="1"/>
  <c r="J54" i="13"/>
  <c r="C246" i="19" s="1"/>
  <c r="I246" i="19" s="1"/>
  <c r="J246" i="19" s="1"/>
  <c r="K246" i="19" s="1"/>
  <c r="L246" i="19" s="1"/>
  <c r="M246" i="19" s="1"/>
  <c r="N246" i="19" s="1"/>
  <c r="R246" i="19" s="1"/>
  <c r="I54" i="13"/>
  <c r="X83" i="22" s="1"/>
  <c r="AJ53" i="13"/>
  <c r="AI53" i="13"/>
  <c r="AH53" i="13"/>
  <c r="AE53" i="13"/>
  <c r="AD53" i="13"/>
  <c r="L53" i="13"/>
  <c r="E69" i="19" s="1"/>
  <c r="J53" i="13"/>
  <c r="C69" i="19" s="1"/>
  <c r="I69" i="19" s="1"/>
  <c r="J69" i="19" s="1"/>
  <c r="I53" i="13"/>
  <c r="X80" i="22" s="1"/>
  <c r="AJ52" i="13"/>
  <c r="AI52" i="13"/>
  <c r="AH52" i="13"/>
  <c r="AE52" i="13"/>
  <c r="AD52" i="13"/>
  <c r="L52" i="13"/>
  <c r="E38" i="19" s="1"/>
  <c r="J52" i="13"/>
  <c r="C38" i="19" s="1"/>
  <c r="I38" i="19" s="1"/>
  <c r="J38" i="19" s="1"/>
  <c r="I52" i="13"/>
  <c r="X77" i="22" s="1"/>
  <c r="AJ51" i="13"/>
  <c r="AI51" i="13"/>
  <c r="AH51" i="13"/>
  <c r="AE51" i="13"/>
  <c r="AD51" i="13"/>
  <c r="L51" i="13"/>
  <c r="E145" i="19" s="1"/>
  <c r="J51" i="13"/>
  <c r="C145" i="19" s="1"/>
  <c r="I145" i="19" s="1"/>
  <c r="J145" i="19" s="1"/>
  <c r="I51" i="13"/>
  <c r="X74" i="22" s="1"/>
  <c r="AJ50" i="13"/>
  <c r="AI50" i="13"/>
  <c r="AH50" i="13"/>
  <c r="AE50" i="13"/>
  <c r="AD50" i="13"/>
  <c r="L50" i="13"/>
  <c r="E117" i="19" s="1"/>
  <c r="J50" i="13"/>
  <c r="C117" i="19" s="1"/>
  <c r="I117" i="19" s="1"/>
  <c r="J117" i="19" s="1"/>
  <c r="I50" i="13"/>
  <c r="X71" i="22" s="1"/>
  <c r="AJ49" i="13"/>
  <c r="AI49" i="13"/>
  <c r="AH49" i="13"/>
  <c r="AE49" i="13"/>
  <c r="AD49" i="13"/>
  <c r="L49" i="13"/>
  <c r="E53" i="19" s="1"/>
  <c r="J49" i="13"/>
  <c r="C53" i="19" s="1"/>
  <c r="I53" i="19" s="1"/>
  <c r="J53" i="19" s="1"/>
  <c r="K53" i="19" s="1"/>
  <c r="I49" i="13"/>
  <c r="X68" i="22" s="1"/>
  <c r="AJ48" i="13"/>
  <c r="AI48" i="13"/>
  <c r="AH48" i="13"/>
  <c r="AE48" i="13"/>
  <c r="AD48" i="13"/>
  <c r="L48" i="13"/>
  <c r="E37" i="19" s="1"/>
  <c r="J48" i="13"/>
  <c r="C37" i="19" s="1"/>
  <c r="I37" i="19" s="1"/>
  <c r="J37" i="19" s="1"/>
  <c r="I48" i="13"/>
  <c r="X65" i="22" s="1"/>
  <c r="AJ47" i="13"/>
  <c r="AI47" i="13"/>
  <c r="AH47" i="13"/>
  <c r="AE47" i="13"/>
  <c r="AD47" i="13"/>
  <c r="L47" i="13"/>
  <c r="E175" i="19" s="1"/>
  <c r="J47" i="13"/>
  <c r="C175" i="19" s="1"/>
  <c r="I175" i="19" s="1"/>
  <c r="J175" i="19" s="1"/>
  <c r="I47" i="13"/>
  <c r="X62" i="22" s="1"/>
  <c r="AJ46" i="13"/>
  <c r="AI46" i="13"/>
  <c r="AH46" i="13"/>
  <c r="AE46" i="13"/>
  <c r="AD46" i="13"/>
  <c r="L46" i="13"/>
  <c r="E167" i="19" s="1"/>
  <c r="J46" i="13"/>
  <c r="C167" i="19" s="1"/>
  <c r="I167" i="19" s="1"/>
  <c r="J167" i="19" s="1"/>
  <c r="K167" i="19" s="1"/>
  <c r="I46" i="13"/>
  <c r="X59" i="22" s="1"/>
  <c r="AJ45" i="13"/>
  <c r="AI45" i="13"/>
  <c r="AH45" i="13"/>
  <c r="AE45" i="13"/>
  <c r="AD45" i="13"/>
  <c r="L45" i="13"/>
  <c r="E144" i="19" s="1"/>
  <c r="J45" i="13"/>
  <c r="C144" i="19" s="1"/>
  <c r="I144" i="19" s="1"/>
  <c r="J144" i="19" s="1"/>
  <c r="K144" i="19" s="1"/>
  <c r="L144" i="19" s="1"/>
  <c r="M144" i="19" s="1"/>
  <c r="N144" i="19" s="1"/>
  <c r="R144" i="19" s="1"/>
  <c r="I45" i="13"/>
  <c r="X56" i="22" s="1"/>
  <c r="AJ44" i="13"/>
  <c r="AI44" i="13"/>
  <c r="AH44" i="13"/>
  <c r="AE44" i="13"/>
  <c r="AD44" i="13"/>
  <c r="L44" i="13"/>
  <c r="E116" i="19" s="1"/>
  <c r="J44" i="13"/>
  <c r="C116" i="19" s="1"/>
  <c r="I116" i="19" s="1"/>
  <c r="J116" i="19" s="1"/>
  <c r="K116" i="19" s="1"/>
  <c r="I44" i="13"/>
  <c r="X53" i="22" s="1"/>
  <c r="AJ43" i="13"/>
  <c r="AI43" i="13"/>
  <c r="AH43" i="13"/>
  <c r="AE43" i="13"/>
  <c r="AD43" i="13"/>
  <c r="L43" i="13"/>
  <c r="E52" i="19" s="1"/>
  <c r="J43" i="13"/>
  <c r="C52" i="19" s="1"/>
  <c r="I52" i="19" s="1"/>
  <c r="J52" i="19" s="1"/>
  <c r="I43" i="13"/>
  <c r="X50" i="22" s="1"/>
  <c r="AJ42" i="13"/>
  <c r="AI42" i="13"/>
  <c r="AH42" i="13"/>
  <c r="AE42" i="13"/>
  <c r="AD42" i="13"/>
  <c r="L42" i="13"/>
  <c r="E36" i="19" s="1"/>
  <c r="J42" i="13"/>
  <c r="C36" i="19" s="1"/>
  <c r="I36" i="19" s="1"/>
  <c r="J36" i="19" s="1"/>
  <c r="K36" i="19" s="1"/>
  <c r="L36" i="19" s="1"/>
  <c r="M36" i="19" s="1"/>
  <c r="N36" i="19" s="1"/>
  <c r="I42" i="13"/>
  <c r="X47" i="22" s="1"/>
  <c r="AJ41" i="13"/>
  <c r="AI41" i="13"/>
  <c r="AH41" i="13"/>
  <c r="AE41" i="13"/>
  <c r="AD41" i="13"/>
  <c r="L41" i="13"/>
  <c r="E227" i="19" s="1"/>
  <c r="J41" i="13"/>
  <c r="C227" i="19" s="1"/>
  <c r="I227" i="19" s="1"/>
  <c r="J227" i="19" s="1"/>
  <c r="I41" i="13"/>
  <c r="X44" i="22" s="1"/>
  <c r="AJ40" i="13"/>
  <c r="AI40" i="13"/>
  <c r="AH40" i="13"/>
  <c r="AE40" i="13"/>
  <c r="AD40" i="13"/>
  <c r="L40" i="13"/>
  <c r="E194" i="19" s="1"/>
  <c r="J40" i="13"/>
  <c r="C194" i="19" s="1"/>
  <c r="I194" i="19" s="1"/>
  <c r="J194" i="19" s="1"/>
  <c r="I40" i="13"/>
  <c r="X41" i="22" s="1"/>
  <c r="AJ39" i="13"/>
  <c r="AI39" i="13"/>
  <c r="AH39" i="13"/>
  <c r="AE39" i="13"/>
  <c r="AD39" i="13"/>
  <c r="L39" i="13"/>
  <c r="E95" i="19" s="1"/>
  <c r="J39" i="13"/>
  <c r="C95" i="19" s="1"/>
  <c r="I95" i="19" s="1"/>
  <c r="J95" i="19" s="1"/>
  <c r="I39" i="13"/>
  <c r="X38" i="22" s="1"/>
  <c r="AJ38" i="13"/>
  <c r="AI38" i="13"/>
  <c r="AH38" i="13"/>
  <c r="AE38" i="13"/>
  <c r="AD38" i="13"/>
  <c r="L38" i="13"/>
  <c r="E86" i="19" s="1"/>
  <c r="J38" i="13"/>
  <c r="C86" i="19" s="1"/>
  <c r="I86" i="19" s="1"/>
  <c r="J86" i="19" s="1"/>
  <c r="I38" i="13"/>
  <c r="X35" i="22" s="1"/>
  <c r="AJ37" i="13"/>
  <c r="AI37" i="13"/>
  <c r="AH37" i="13"/>
  <c r="L37" i="13"/>
  <c r="J37" i="13"/>
  <c r="I37" i="13"/>
  <c r="AJ36" i="13"/>
  <c r="AI36" i="13"/>
  <c r="AH36" i="13"/>
  <c r="L36" i="13"/>
  <c r="J36" i="13"/>
  <c r="I36" i="13"/>
  <c r="AJ35" i="13"/>
  <c r="AI35" i="13"/>
  <c r="AH35" i="13"/>
  <c r="L35" i="13"/>
  <c r="J35" i="13"/>
  <c r="I35" i="13"/>
  <c r="AJ34" i="13"/>
  <c r="AI34" i="13"/>
  <c r="AH34" i="13"/>
  <c r="AE34" i="13"/>
  <c r="AD34" i="13"/>
  <c r="L34" i="13"/>
  <c r="J34" i="13"/>
  <c r="I34" i="13"/>
  <c r="AJ33" i="13"/>
  <c r="AI33" i="13"/>
  <c r="AH33" i="13"/>
  <c r="L33" i="13"/>
  <c r="J33" i="13"/>
  <c r="I33" i="13"/>
  <c r="AJ32" i="13"/>
  <c r="AI32" i="13"/>
  <c r="AH32" i="13"/>
  <c r="L32" i="13"/>
  <c r="J32" i="13"/>
  <c r="I32" i="13"/>
  <c r="AJ31" i="13"/>
  <c r="AI31" i="13"/>
  <c r="AH31" i="13"/>
  <c r="L31" i="13"/>
  <c r="J31" i="13"/>
  <c r="I31" i="13"/>
  <c r="AJ30" i="13"/>
  <c r="AI30" i="13"/>
  <c r="AH30" i="13"/>
  <c r="AE30" i="13"/>
  <c r="AD30" i="13"/>
  <c r="L30" i="13"/>
  <c r="J30" i="13"/>
  <c r="I30" i="13"/>
  <c r="AJ29" i="13"/>
  <c r="AI29" i="13"/>
  <c r="AH29" i="13"/>
  <c r="L29" i="13"/>
  <c r="J29" i="13"/>
  <c r="I29" i="13"/>
  <c r="AJ28" i="13"/>
  <c r="AI28" i="13"/>
  <c r="AH28" i="13"/>
  <c r="L28" i="13"/>
  <c r="J28" i="13"/>
  <c r="I28" i="13"/>
  <c r="AJ27" i="13"/>
  <c r="AI27" i="13"/>
  <c r="AH27" i="13"/>
  <c r="L27" i="13"/>
  <c r="J27" i="13"/>
  <c r="I27" i="13"/>
  <c r="AJ26" i="13"/>
  <c r="AI26" i="13"/>
  <c r="AH26" i="13"/>
  <c r="AE26" i="13"/>
  <c r="AD26" i="13"/>
  <c r="L26" i="13"/>
  <c r="J26" i="13"/>
  <c r="I26" i="13"/>
  <c r="AJ25" i="13"/>
  <c r="AI25" i="13"/>
  <c r="AH25" i="13"/>
  <c r="L25" i="13"/>
  <c r="J25" i="13"/>
  <c r="I25" i="13"/>
  <c r="AJ24" i="13"/>
  <c r="AI24" i="13"/>
  <c r="AH24" i="13"/>
  <c r="L24" i="13"/>
  <c r="J24" i="13"/>
  <c r="I24" i="13"/>
  <c r="AJ23" i="13"/>
  <c r="AI23" i="13"/>
  <c r="AH23" i="13"/>
  <c r="L23" i="13"/>
  <c r="J23" i="13"/>
  <c r="I23" i="13"/>
  <c r="AJ22" i="13"/>
  <c r="AI22" i="13"/>
  <c r="AH22" i="13"/>
  <c r="AE22" i="13"/>
  <c r="AD22" i="13"/>
  <c r="N22" i="13"/>
  <c r="L22" i="13"/>
  <c r="J22" i="13"/>
  <c r="I22" i="13"/>
  <c r="AJ21" i="13"/>
  <c r="AI21" i="13"/>
  <c r="AH21" i="13"/>
  <c r="L21" i="13"/>
  <c r="J21" i="13"/>
  <c r="I21" i="13"/>
  <c r="AJ20" i="13"/>
  <c r="AI20" i="13"/>
  <c r="AH20" i="13"/>
  <c r="L20" i="13"/>
  <c r="J20" i="13"/>
  <c r="I20" i="13"/>
  <c r="AJ19" i="13"/>
  <c r="AI19" i="13"/>
  <c r="AH19" i="13"/>
  <c r="L19" i="13"/>
  <c r="J19" i="13"/>
  <c r="I19" i="13"/>
  <c r="AJ18" i="13"/>
  <c r="AI18" i="13"/>
  <c r="AH18" i="13"/>
  <c r="AE18" i="13"/>
  <c r="AD18" i="13"/>
  <c r="L18" i="13"/>
  <c r="J18" i="13"/>
  <c r="I18" i="13"/>
  <c r="AJ17" i="13"/>
  <c r="AI17" i="13"/>
  <c r="AH17" i="13"/>
  <c r="L17" i="13"/>
  <c r="J17" i="13"/>
  <c r="I17" i="13"/>
  <c r="AJ16" i="13"/>
  <c r="AI16" i="13"/>
  <c r="AH16" i="13"/>
  <c r="L16" i="13"/>
  <c r="J16" i="13"/>
  <c r="I16" i="13"/>
  <c r="AJ15" i="13"/>
  <c r="AI15" i="13"/>
  <c r="AH15" i="13"/>
  <c r="L15" i="13"/>
  <c r="J15" i="13"/>
  <c r="I15" i="13"/>
  <c r="AJ14" i="13"/>
  <c r="AI14" i="13"/>
  <c r="AH14" i="13"/>
  <c r="AE14" i="13"/>
  <c r="AD14" i="13"/>
  <c r="L14" i="13"/>
  <c r="J14" i="13"/>
  <c r="I14" i="13"/>
  <c r="AJ13" i="13"/>
  <c r="AI13" i="13"/>
  <c r="AH13" i="13"/>
  <c r="L13" i="13"/>
  <c r="J13" i="13"/>
  <c r="I13" i="13"/>
  <c r="AJ12" i="13"/>
  <c r="AI12" i="13"/>
  <c r="AH12" i="13"/>
  <c r="L12" i="13"/>
  <c r="J12" i="13"/>
  <c r="I12" i="13"/>
  <c r="AJ11" i="13"/>
  <c r="AI11" i="13"/>
  <c r="AH11" i="13"/>
  <c r="L11" i="13"/>
  <c r="J11" i="13"/>
  <c r="I11" i="13"/>
  <c r="AJ10" i="13"/>
  <c r="AI10" i="13"/>
  <c r="AH10" i="13"/>
  <c r="AE10" i="13"/>
  <c r="AD10" i="13"/>
  <c r="L10" i="13"/>
  <c r="J10" i="13"/>
  <c r="I10" i="13"/>
  <c r="AJ9" i="13"/>
  <c r="AI9" i="13"/>
  <c r="AH9" i="13"/>
  <c r="L9" i="13"/>
  <c r="J9" i="13"/>
  <c r="I9" i="13"/>
  <c r="AJ8" i="13"/>
  <c r="AI8" i="13"/>
  <c r="AH8" i="13"/>
  <c r="L8" i="13"/>
  <c r="J8" i="13"/>
  <c r="I8" i="13"/>
  <c r="AJ7" i="13"/>
  <c r="AI7" i="13"/>
  <c r="AH7" i="13"/>
  <c r="L7" i="13"/>
  <c r="J7" i="13"/>
  <c r="I7" i="13"/>
  <c r="AJ6" i="13"/>
  <c r="AI6" i="13"/>
  <c r="AH6" i="13"/>
  <c r="AE6" i="13"/>
  <c r="AD6" i="13"/>
  <c r="L6" i="13"/>
  <c r="J6" i="13"/>
  <c r="I6" i="13"/>
  <c r="AJ5" i="13"/>
  <c r="AI5" i="13"/>
  <c r="AH5" i="13"/>
  <c r="AE5" i="13"/>
  <c r="AD5" i="13"/>
  <c r="L5" i="13"/>
  <c r="E16" i="19" s="1"/>
  <c r="J5" i="13"/>
  <c r="C16" i="19" s="1"/>
  <c r="I16" i="19" s="1"/>
  <c r="J16" i="19" s="1"/>
  <c r="K16" i="19" s="1"/>
  <c r="I5" i="13"/>
  <c r="X16" i="22" s="1"/>
  <c r="D5" i="13"/>
  <c r="AJ4" i="13"/>
  <c r="AI4" i="13"/>
  <c r="AH4" i="13"/>
  <c r="AE4" i="13"/>
  <c r="AD4" i="13"/>
  <c r="L4" i="13"/>
  <c r="E6" i="19" s="1"/>
  <c r="J4" i="13"/>
  <c r="C6" i="19" s="1"/>
  <c r="I6" i="19" s="1"/>
  <c r="J6" i="19" s="1"/>
  <c r="K6" i="19" s="1"/>
  <c r="I4" i="13"/>
  <c r="X13" i="22" s="1"/>
  <c r="D4" i="13"/>
  <c r="AH3" i="13"/>
  <c r="K2" i="13"/>
  <c r="AH1" i="13"/>
  <c r="AD1" i="13"/>
  <c r="AJ109" i="12"/>
  <c r="AI109" i="12"/>
  <c r="AH109" i="12"/>
  <c r="L109" i="12"/>
  <c r="AJ108" i="12"/>
  <c r="AI108" i="12"/>
  <c r="AH108" i="12"/>
  <c r="L108" i="12"/>
  <c r="AJ107" i="12"/>
  <c r="AI107" i="12"/>
  <c r="AH107" i="12"/>
  <c r="L107" i="12"/>
  <c r="AJ106" i="12"/>
  <c r="AI106" i="12"/>
  <c r="AH106" i="12"/>
  <c r="L106" i="12"/>
  <c r="AJ105" i="12"/>
  <c r="AI105" i="12"/>
  <c r="AH105" i="12"/>
  <c r="L105" i="12"/>
  <c r="AJ104" i="12"/>
  <c r="AI104" i="12"/>
  <c r="AH104" i="12"/>
  <c r="L104" i="12"/>
  <c r="AJ103" i="12"/>
  <c r="AI103" i="12"/>
  <c r="AH103" i="12"/>
  <c r="L103" i="12"/>
  <c r="AJ102" i="12"/>
  <c r="AI102" i="12"/>
  <c r="AH102" i="12"/>
  <c r="AE102" i="12"/>
  <c r="AD102" i="12"/>
  <c r="L102" i="12"/>
  <c r="AJ101" i="12"/>
  <c r="AI101" i="12"/>
  <c r="AH101" i="12"/>
  <c r="L101" i="12"/>
  <c r="J101" i="12"/>
  <c r="I101" i="12"/>
  <c r="AJ100" i="12"/>
  <c r="AI100" i="12"/>
  <c r="AH100" i="12"/>
  <c r="L100" i="12"/>
  <c r="J100" i="12"/>
  <c r="I100" i="12"/>
  <c r="AJ99" i="12"/>
  <c r="AI99" i="12"/>
  <c r="AH99" i="12"/>
  <c r="L99" i="12"/>
  <c r="J99" i="12"/>
  <c r="I99" i="12"/>
  <c r="AJ98" i="12"/>
  <c r="AI98" i="12"/>
  <c r="AH98" i="12"/>
  <c r="AE98" i="12"/>
  <c r="AD98" i="12"/>
  <c r="L98" i="12"/>
  <c r="J98" i="12"/>
  <c r="I98" i="12"/>
  <c r="AJ97" i="12"/>
  <c r="AI97" i="12"/>
  <c r="AH97" i="12"/>
  <c r="L97" i="12"/>
  <c r="J97" i="12"/>
  <c r="I97" i="12"/>
  <c r="AJ96" i="12"/>
  <c r="AI96" i="12"/>
  <c r="AH96" i="12"/>
  <c r="L96" i="12"/>
  <c r="J96" i="12"/>
  <c r="I96" i="12"/>
  <c r="AJ95" i="12"/>
  <c r="AI95" i="12"/>
  <c r="AH95" i="12"/>
  <c r="L95" i="12"/>
  <c r="J95" i="12"/>
  <c r="I95" i="12"/>
  <c r="AJ94" i="12"/>
  <c r="AI94" i="12"/>
  <c r="AH94" i="12"/>
  <c r="AE94" i="12"/>
  <c r="AD94" i="12"/>
  <c r="L94" i="12"/>
  <c r="J94" i="12"/>
  <c r="I94" i="12"/>
  <c r="AJ93" i="12"/>
  <c r="AI93" i="12"/>
  <c r="AH93" i="12"/>
  <c r="L93" i="12"/>
  <c r="J93" i="12"/>
  <c r="I93" i="12"/>
  <c r="AJ92" i="12"/>
  <c r="AI92" i="12"/>
  <c r="AH92" i="12"/>
  <c r="L92" i="12"/>
  <c r="J92" i="12"/>
  <c r="I92" i="12"/>
  <c r="AJ91" i="12"/>
  <c r="AI91" i="12"/>
  <c r="AH91" i="12"/>
  <c r="L91" i="12"/>
  <c r="J91" i="12"/>
  <c r="I91" i="12"/>
  <c r="AJ90" i="12"/>
  <c r="AI90" i="12"/>
  <c r="AH90" i="12"/>
  <c r="AE90" i="12"/>
  <c r="AD90" i="12"/>
  <c r="L90" i="12"/>
  <c r="J90" i="12"/>
  <c r="I90" i="12"/>
  <c r="AJ89" i="12"/>
  <c r="AI89" i="12"/>
  <c r="AH89" i="12"/>
  <c r="L89" i="12"/>
  <c r="J89" i="12"/>
  <c r="I89" i="12"/>
  <c r="AJ88" i="12"/>
  <c r="AI88" i="12"/>
  <c r="AH88" i="12"/>
  <c r="L88" i="12"/>
  <c r="J88" i="12"/>
  <c r="I88" i="12"/>
  <c r="AJ87" i="12"/>
  <c r="AI87" i="12"/>
  <c r="AH87" i="12"/>
  <c r="L87" i="12"/>
  <c r="J87" i="12"/>
  <c r="I87" i="12"/>
  <c r="AJ86" i="12"/>
  <c r="AI86" i="12"/>
  <c r="AH86" i="12"/>
  <c r="AE86" i="12"/>
  <c r="AD86" i="12"/>
  <c r="L86" i="12"/>
  <c r="J86" i="12"/>
  <c r="I86" i="12"/>
  <c r="AJ85" i="12"/>
  <c r="AI85" i="12"/>
  <c r="AH85" i="12"/>
  <c r="L85" i="12"/>
  <c r="J85" i="12"/>
  <c r="I85" i="12"/>
  <c r="AJ84" i="12"/>
  <c r="AI84" i="12"/>
  <c r="AH84" i="12"/>
  <c r="L84" i="12"/>
  <c r="J84" i="12"/>
  <c r="I84" i="12"/>
  <c r="AJ83" i="12"/>
  <c r="AI83" i="12"/>
  <c r="AH83" i="12"/>
  <c r="L83" i="12"/>
  <c r="J83" i="12"/>
  <c r="I83" i="12"/>
  <c r="AJ82" i="12"/>
  <c r="AI82" i="12"/>
  <c r="AH82" i="12"/>
  <c r="AE82" i="12"/>
  <c r="AD82" i="12"/>
  <c r="L82" i="12"/>
  <c r="J82" i="12"/>
  <c r="I82" i="12"/>
  <c r="AJ81" i="12"/>
  <c r="AI81" i="12"/>
  <c r="AH81" i="12"/>
  <c r="L81" i="12"/>
  <c r="J81" i="12"/>
  <c r="I81" i="12"/>
  <c r="AJ80" i="12"/>
  <c r="AI80" i="12"/>
  <c r="AH80" i="12"/>
  <c r="L80" i="12"/>
  <c r="J80" i="12"/>
  <c r="I80" i="12"/>
  <c r="AJ79" i="12"/>
  <c r="AI79" i="12"/>
  <c r="AH79" i="12"/>
  <c r="L79" i="12"/>
  <c r="J79" i="12"/>
  <c r="I79" i="12"/>
  <c r="AJ78" i="12"/>
  <c r="AI78" i="12"/>
  <c r="AH78" i="12"/>
  <c r="AE78" i="12"/>
  <c r="AD78" i="12"/>
  <c r="L78" i="12"/>
  <c r="J78" i="12"/>
  <c r="I78" i="12"/>
  <c r="AJ77" i="12"/>
  <c r="AI77" i="12"/>
  <c r="AH77" i="12"/>
  <c r="L77" i="12"/>
  <c r="J77" i="12"/>
  <c r="I77" i="12"/>
  <c r="AJ76" i="12"/>
  <c r="AI76" i="12"/>
  <c r="AH76" i="12"/>
  <c r="L76" i="12"/>
  <c r="J76" i="12"/>
  <c r="I76" i="12"/>
  <c r="AJ75" i="12"/>
  <c r="AI75" i="12"/>
  <c r="AH75" i="12"/>
  <c r="L75" i="12"/>
  <c r="J75" i="12"/>
  <c r="I75" i="12"/>
  <c r="AJ74" i="12"/>
  <c r="AI74" i="12"/>
  <c r="AH74" i="12"/>
  <c r="AE74" i="12"/>
  <c r="AD74" i="12"/>
  <c r="L74" i="12"/>
  <c r="J74" i="12"/>
  <c r="I74" i="12"/>
  <c r="AJ73" i="12"/>
  <c r="AI73" i="12"/>
  <c r="AH73" i="12"/>
  <c r="L73" i="12"/>
  <c r="J73" i="12"/>
  <c r="I73" i="12"/>
  <c r="AJ72" i="12"/>
  <c r="AI72" i="12"/>
  <c r="AH72" i="12"/>
  <c r="L72" i="12"/>
  <c r="J72" i="12"/>
  <c r="I72" i="12"/>
  <c r="AJ71" i="12"/>
  <c r="AI71" i="12"/>
  <c r="AH71" i="12"/>
  <c r="L71" i="12"/>
  <c r="J71" i="12"/>
  <c r="I71" i="12"/>
  <c r="AJ70" i="12"/>
  <c r="AI70" i="12"/>
  <c r="AH70" i="12"/>
  <c r="AE70" i="12"/>
  <c r="AD70" i="12"/>
  <c r="L70" i="12"/>
  <c r="J70" i="12"/>
  <c r="I70" i="12"/>
  <c r="AJ69" i="12"/>
  <c r="AI69" i="12"/>
  <c r="AH69" i="12"/>
  <c r="AE69" i="12"/>
  <c r="AD69" i="12"/>
  <c r="L69" i="12"/>
  <c r="E313" i="19" s="1"/>
  <c r="J69" i="12"/>
  <c r="C313" i="19" s="1"/>
  <c r="I313" i="19" s="1"/>
  <c r="J313" i="19" s="1"/>
  <c r="I69" i="12"/>
  <c r="U128" i="22" s="1"/>
  <c r="AJ68" i="12"/>
  <c r="AI68" i="12"/>
  <c r="AH68" i="12"/>
  <c r="AE68" i="12"/>
  <c r="AD68" i="12"/>
  <c r="L68" i="12"/>
  <c r="E275" i="19" s="1"/>
  <c r="J68" i="12"/>
  <c r="C275" i="19" s="1"/>
  <c r="I275" i="19" s="1"/>
  <c r="J275" i="19" s="1"/>
  <c r="I68" i="12"/>
  <c r="U125" i="22" s="1"/>
  <c r="AJ67" i="12"/>
  <c r="AI67" i="12"/>
  <c r="AH67" i="12"/>
  <c r="AE67" i="12"/>
  <c r="AD67" i="12"/>
  <c r="L67" i="12"/>
  <c r="E225" i="19" s="1"/>
  <c r="J67" i="12"/>
  <c r="C225" i="19" s="1"/>
  <c r="I225" i="19" s="1"/>
  <c r="J225" i="19" s="1"/>
  <c r="K225" i="19" s="1"/>
  <c r="L225" i="19" s="1"/>
  <c r="M225" i="19" s="1"/>
  <c r="N225" i="19" s="1"/>
  <c r="I67" i="12"/>
  <c r="U122" i="22" s="1"/>
  <c r="AJ66" i="12"/>
  <c r="AI66" i="12"/>
  <c r="AH66" i="12"/>
  <c r="AE66" i="12"/>
  <c r="AD66" i="12"/>
  <c r="L66" i="12"/>
  <c r="E196" i="19" s="1"/>
  <c r="J66" i="12"/>
  <c r="C196" i="19" s="1"/>
  <c r="I196" i="19" s="1"/>
  <c r="J196" i="19" s="1"/>
  <c r="K196" i="19" s="1"/>
  <c r="I66" i="12"/>
  <c r="U119" i="22" s="1"/>
  <c r="AJ65" i="12"/>
  <c r="AI65" i="12"/>
  <c r="AH65" i="12"/>
  <c r="AE65" i="12"/>
  <c r="AD65" i="12"/>
  <c r="L65" i="12"/>
  <c r="E314" i="19" s="1"/>
  <c r="J65" i="12"/>
  <c r="C314" i="19" s="1"/>
  <c r="I314" i="19" s="1"/>
  <c r="J314" i="19" s="1"/>
  <c r="I65" i="12"/>
  <c r="U116" i="22" s="1"/>
  <c r="AJ64" i="12"/>
  <c r="AI64" i="12"/>
  <c r="AH64" i="12"/>
  <c r="AE64" i="12"/>
  <c r="AD64" i="12"/>
  <c r="L64" i="12"/>
  <c r="E274" i="19" s="1"/>
  <c r="J64" i="12"/>
  <c r="C274" i="19" s="1"/>
  <c r="I274" i="19" s="1"/>
  <c r="J274" i="19" s="1"/>
  <c r="I64" i="12"/>
  <c r="U113" i="22" s="1"/>
  <c r="AJ63" i="12"/>
  <c r="AI63" i="12"/>
  <c r="AH63" i="12"/>
  <c r="AE63" i="12"/>
  <c r="AD63" i="12"/>
  <c r="L63" i="12"/>
  <c r="E331" i="19" s="1"/>
  <c r="J63" i="12"/>
  <c r="C331" i="19" s="1"/>
  <c r="I331" i="19" s="1"/>
  <c r="J331" i="19" s="1"/>
  <c r="K331" i="19" s="1"/>
  <c r="L331" i="19" s="1"/>
  <c r="M331" i="19" s="1"/>
  <c r="N331" i="19" s="1"/>
  <c r="R331" i="19" s="1"/>
  <c r="I63" i="12"/>
  <c r="U110" i="22" s="1"/>
  <c r="AJ62" i="12"/>
  <c r="AI62" i="12"/>
  <c r="AH62" i="12"/>
  <c r="AE62" i="12"/>
  <c r="AD62" i="12"/>
  <c r="L62" i="12"/>
  <c r="E324" i="19" s="1"/>
  <c r="J62" i="12"/>
  <c r="C324" i="19" s="1"/>
  <c r="I324" i="19" s="1"/>
  <c r="J324" i="19" s="1"/>
  <c r="I62" i="12"/>
  <c r="U107" i="22" s="1"/>
  <c r="AJ61" i="12"/>
  <c r="AI61" i="12"/>
  <c r="AH61" i="12"/>
  <c r="AE61" i="12"/>
  <c r="AD61" i="12"/>
  <c r="L61" i="12"/>
  <c r="E226" i="19" s="1"/>
  <c r="J61" i="12"/>
  <c r="C226" i="19" s="1"/>
  <c r="I226" i="19" s="1"/>
  <c r="J226" i="19" s="1"/>
  <c r="I61" i="12"/>
  <c r="U104" i="22" s="1"/>
  <c r="AJ60" i="12"/>
  <c r="AI60" i="12"/>
  <c r="AH60" i="12"/>
  <c r="AE60" i="12"/>
  <c r="AD60" i="12"/>
  <c r="L60" i="12"/>
  <c r="E195" i="19" s="1"/>
  <c r="J60" i="12"/>
  <c r="C195" i="19" s="1"/>
  <c r="I195" i="19" s="1"/>
  <c r="J195" i="19" s="1"/>
  <c r="I60" i="12"/>
  <c r="U101" i="22" s="1"/>
  <c r="AJ59" i="12"/>
  <c r="AI59" i="12"/>
  <c r="AH59" i="12"/>
  <c r="AE59" i="12"/>
  <c r="AD59" i="12"/>
  <c r="L59" i="12"/>
  <c r="E315" i="19" s="1"/>
  <c r="J59" i="12"/>
  <c r="C315" i="19" s="1"/>
  <c r="I315" i="19" s="1"/>
  <c r="J315" i="19" s="1"/>
  <c r="I59" i="12"/>
  <c r="U98" i="22" s="1"/>
  <c r="AJ58" i="12"/>
  <c r="AI58" i="12"/>
  <c r="AH58" i="12"/>
  <c r="AE58" i="12"/>
  <c r="AD58" i="12"/>
  <c r="L58" i="12"/>
  <c r="E273" i="19" s="1"/>
  <c r="J58" i="12"/>
  <c r="C273" i="19" s="1"/>
  <c r="I273" i="19" s="1"/>
  <c r="J273" i="19" s="1"/>
  <c r="K273" i="19" s="1"/>
  <c r="I58" i="12"/>
  <c r="U95" i="22" s="1"/>
  <c r="AJ57" i="12"/>
  <c r="AI57" i="12"/>
  <c r="AH57" i="12"/>
  <c r="AE57" i="12"/>
  <c r="AD57" i="12"/>
  <c r="L57" i="12"/>
  <c r="E158" i="19" s="1"/>
  <c r="J57" i="12"/>
  <c r="C158" i="19" s="1"/>
  <c r="I158" i="19" s="1"/>
  <c r="J158" i="19" s="1"/>
  <c r="I57" i="12"/>
  <c r="U92" i="22" s="1"/>
  <c r="AJ56" i="12"/>
  <c r="AI56" i="12"/>
  <c r="AH56" i="12"/>
  <c r="AE56" i="12"/>
  <c r="AD56" i="12"/>
  <c r="L56" i="12"/>
  <c r="E115" i="19" s="1"/>
  <c r="J56" i="12"/>
  <c r="C115" i="19" s="1"/>
  <c r="I115" i="19" s="1"/>
  <c r="J115" i="19" s="1"/>
  <c r="I56" i="12"/>
  <c r="U89" i="22" s="1"/>
  <c r="AJ55" i="12"/>
  <c r="AI55" i="12"/>
  <c r="AH55" i="12"/>
  <c r="AE55" i="12"/>
  <c r="AD55" i="12"/>
  <c r="L55" i="12"/>
  <c r="E256" i="19" s="1"/>
  <c r="J55" i="12"/>
  <c r="C256" i="19" s="1"/>
  <c r="I256" i="19" s="1"/>
  <c r="J256" i="19" s="1"/>
  <c r="K256" i="19" s="1"/>
  <c r="L256" i="19" s="1"/>
  <c r="M256" i="19" s="1"/>
  <c r="N256" i="19" s="1"/>
  <c r="R256" i="19" s="1"/>
  <c r="I55" i="12"/>
  <c r="U86" i="22" s="1"/>
  <c r="AJ54" i="12"/>
  <c r="AI54" i="12"/>
  <c r="AH54" i="12"/>
  <c r="AE54" i="12"/>
  <c r="AD54" i="12"/>
  <c r="L54" i="12"/>
  <c r="E245" i="19" s="1"/>
  <c r="J54" i="12"/>
  <c r="C245" i="19" s="1"/>
  <c r="I245" i="19" s="1"/>
  <c r="J245" i="19" s="1"/>
  <c r="K245" i="19" s="1"/>
  <c r="L245" i="19" s="1"/>
  <c r="M245" i="19" s="1"/>
  <c r="N245" i="19" s="1"/>
  <c r="R245" i="19" s="1"/>
  <c r="I54" i="12"/>
  <c r="U83" i="22" s="1"/>
  <c r="AJ53" i="12"/>
  <c r="AI53" i="12"/>
  <c r="AH53" i="12"/>
  <c r="AE53" i="12"/>
  <c r="AD53" i="12"/>
  <c r="L53" i="12"/>
  <c r="E68" i="19" s="1"/>
  <c r="J53" i="12"/>
  <c r="C68" i="19" s="1"/>
  <c r="I68" i="19" s="1"/>
  <c r="J68" i="19" s="1"/>
  <c r="I53" i="12"/>
  <c r="U80" i="22" s="1"/>
  <c r="AJ52" i="12"/>
  <c r="AI52" i="12"/>
  <c r="AH52" i="12"/>
  <c r="AE52" i="12"/>
  <c r="AD52" i="12"/>
  <c r="L52" i="12"/>
  <c r="E35" i="19" s="1"/>
  <c r="J52" i="12"/>
  <c r="C35" i="19" s="1"/>
  <c r="I35" i="19" s="1"/>
  <c r="J35" i="19" s="1"/>
  <c r="I52" i="12"/>
  <c r="U77" i="22" s="1"/>
  <c r="AJ51" i="12"/>
  <c r="AI51" i="12"/>
  <c r="AH51" i="12"/>
  <c r="AE51" i="12"/>
  <c r="AD51" i="12"/>
  <c r="L51" i="12"/>
  <c r="E159" i="19" s="1"/>
  <c r="J51" i="12"/>
  <c r="C159" i="19" s="1"/>
  <c r="I159" i="19" s="1"/>
  <c r="J159" i="19" s="1"/>
  <c r="K159" i="19" s="1"/>
  <c r="L159" i="19" s="1"/>
  <c r="M159" i="19" s="1"/>
  <c r="N159" i="19" s="1"/>
  <c r="R159" i="19" s="1"/>
  <c r="I51" i="12"/>
  <c r="U74" i="22" s="1"/>
  <c r="AJ50" i="12"/>
  <c r="AI50" i="12"/>
  <c r="AH50" i="12"/>
  <c r="AE50" i="12"/>
  <c r="AD50" i="12"/>
  <c r="L50" i="12"/>
  <c r="E113" i="19" s="1"/>
  <c r="J50" i="12"/>
  <c r="C113" i="19" s="1"/>
  <c r="I113" i="19" s="1"/>
  <c r="J113" i="19" s="1"/>
  <c r="I50" i="12"/>
  <c r="U71" i="22" s="1"/>
  <c r="AJ49" i="12"/>
  <c r="AI49" i="12"/>
  <c r="AH49" i="12"/>
  <c r="AE49" i="12"/>
  <c r="AD49" i="12"/>
  <c r="L49" i="12"/>
  <c r="E54" i="19" s="1"/>
  <c r="J49" i="12"/>
  <c r="C54" i="19" s="1"/>
  <c r="I54" i="19" s="1"/>
  <c r="J54" i="19" s="1"/>
  <c r="I49" i="12"/>
  <c r="U68" i="22" s="1"/>
  <c r="AJ48" i="12"/>
  <c r="AI48" i="12"/>
  <c r="AH48" i="12"/>
  <c r="AE48" i="12"/>
  <c r="AD48" i="12"/>
  <c r="L48" i="12"/>
  <c r="E34" i="19" s="1"/>
  <c r="J48" i="12"/>
  <c r="C34" i="19" s="1"/>
  <c r="I34" i="19" s="1"/>
  <c r="J34" i="19" s="1"/>
  <c r="I48" i="12"/>
  <c r="U65" i="22" s="1"/>
  <c r="AJ47" i="12"/>
  <c r="AI47" i="12"/>
  <c r="AH47" i="12"/>
  <c r="AE47" i="12"/>
  <c r="AD47" i="12"/>
  <c r="L47" i="12"/>
  <c r="E176" i="19" s="1"/>
  <c r="J47" i="12"/>
  <c r="C176" i="19" s="1"/>
  <c r="I176" i="19" s="1"/>
  <c r="J176" i="19" s="1"/>
  <c r="I47" i="12"/>
  <c r="U62" i="22" s="1"/>
  <c r="AJ46" i="12"/>
  <c r="AI46" i="12"/>
  <c r="AH46" i="12"/>
  <c r="AE46" i="12"/>
  <c r="AD46" i="12"/>
  <c r="L46" i="12"/>
  <c r="E165" i="19" s="1"/>
  <c r="J46" i="12"/>
  <c r="C165" i="19" s="1"/>
  <c r="I165" i="19" s="1"/>
  <c r="J165" i="19" s="1"/>
  <c r="K165" i="19" s="1"/>
  <c r="L165" i="19" s="1"/>
  <c r="M165" i="19" s="1"/>
  <c r="N165" i="19" s="1"/>
  <c r="R165" i="19" s="1"/>
  <c r="I46" i="12"/>
  <c r="U59" i="22" s="1"/>
  <c r="AJ45" i="12"/>
  <c r="AI45" i="12"/>
  <c r="AH45" i="12"/>
  <c r="AE45" i="12"/>
  <c r="AD45" i="12"/>
  <c r="L45" i="12"/>
  <c r="E160" i="19" s="1"/>
  <c r="J45" i="12"/>
  <c r="C160" i="19" s="1"/>
  <c r="I160" i="19" s="1"/>
  <c r="J160" i="19" s="1"/>
  <c r="I45" i="12"/>
  <c r="U56" i="22" s="1"/>
  <c r="AJ44" i="12"/>
  <c r="AI44" i="12"/>
  <c r="AH44" i="12"/>
  <c r="AE44" i="12"/>
  <c r="AD44" i="12"/>
  <c r="L44" i="12"/>
  <c r="E114" i="19" s="1"/>
  <c r="J44" i="12"/>
  <c r="C114" i="19" s="1"/>
  <c r="I114" i="19" s="1"/>
  <c r="J114" i="19" s="1"/>
  <c r="I44" i="12"/>
  <c r="U53" i="22" s="1"/>
  <c r="AJ43" i="12"/>
  <c r="AI43" i="12"/>
  <c r="AH43" i="12"/>
  <c r="AE43" i="12"/>
  <c r="AD43" i="12"/>
  <c r="L43" i="12"/>
  <c r="E55" i="19" s="1"/>
  <c r="J43" i="12"/>
  <c r="C55" i="19" s="1"/>
  <c r="I55" i="19" s="1"/>
  <c r="J55" i="19" s="1"/>
  <c r="K55" i="19" s="1"/>
  <c r="L55" i="19" s="1"/>
  <c r="M55" i="19" s="1"/>
  <c r="N55" i="19" s="1"/>
  <c r="R55" i="19" s="1"/>
  <c r="I43" i="12"/>
  <c r="U50" i="22" s="1"/>
  <c r="AJ42" i="12"/>
  <c r="AI42" i="12"/>
  <c r="AH42" i="12"/>
  <c r="AE42" i="12"/>
  <c r="AD42" i="12"/>
  <c r="L42" i="12"/>
  <c r="E33" i="19" s="1"/>
  <c r="J42" i="12"/>
  <c r="C33" i="19" s="1"/>
  <c r="I33" i="19" s="1"/>
  <c r="J33" i="19" s="1"/>
  <c r="K33" i="19" s="1"/>
  <c r="L33" i="19" s="1"/>
  <c r="M33" i="19" s="1"/>
  <c r="N33" i="19" s="1"/>
  <c r="R33" i="19" s="1"/>
  <c r="I42" i="12"/>
  <c r="U47" i="22" s="1"/>
  <c r="AJ41" i="12"/>
  <c r="AI41" i="12"/>
  <c r="AH41" i="12"/>
  <c r="AE41" i="12"/>
  <c r="AD41" i="12"/>
  <c r="L41" i="12"/>
  <c r="E230" i="19" s="1"/>
  <c r="J41" i="12"/>
  <c r="C230" i="19" s="1"/>
  <c r="I230" i="19" s="1"/>
  <c r="J230" i="19" s="1"/>
  <c r="I41" i="12"/>
  <c r="U44" i="22" s="1"/>
  <c r="AJ40" i="12"/>
  <c r="AI40" i="12"/>
  <c r="AH40" i="12"/>
  <c r="AE40" i="12"/>
  <c r="AD40" i="12"/>
  <c r="L40" i="12"/>
  <c r="E191" i="19" s="1"/>
  <c r="J40" i="12"/>
  <c r="C191" i="19" s="1"/>
  <c r="I191" i="19" s="1"/>
  <c r="J191" i="19" s="1"/>
  <c r="K191" i="19" s="1"/>
  <c r="L191" i="19" s="1"/>
  <c r="M191" i="19" s="1"/>
  <c r="N191" i="19" s="1"/>
  <c r="R191" i="19" s="1"/>
  <c r="I40" i="12"/>
  <c r="U41" i="22" s="1"/>
  <c r="AJ39" i="12"/>
  <c r="AI39" i="12"/>
  <c r="AH39" i="12"/>
  <c r="AE39" i="12"/>
  <c r="AD39" i="12"/>
  <c r="L39" i="12"/>
  <c r="E96" i="19" s="1"/>
  <c r="J39" i="12"/>
  <c r="C96" i="19" s="1"/>
  <c r="I96" i="19" s="1"/>
  <c r="J96" i="19" s="1"/>
  <c r="K96" i="19" s="1"/>
  <c r="L96" i="19" s="1"/>
  <c r="M96" i="19" s="1"/>
  <c r="N96" i="19" s="1"/>
  <c r="R96" i="19" s="1"/>
  <c r="I39" i="12"/>
  <c r="U38" i="22" s="1"/>
  <c r="AJ38" i="12"/>
  <c r="AI38" i="12"/>
  <c r="AH38" i="12"/>
  <c r="AE38" i="12"/>
  <c r="AD38" i="12"/>
  <c r="L38" i="12"/>
  <c r="E85" i="19" s="1"/>
  <c r="J38" i="12"/>
  <c r="C85" i="19" s="1"/>
  <c r="I85" i="19" s="1"/>
  <c r="J85" i="19" s="1"/>
  <c r="I38" i="12"/>
  <c r="U35" i="22" s="1"/>
  <c r="AJ37" i="12"/>
  <c r="AI37" i="12"/>
  <c r="AH37" i="12"/>
  <c r="L37" i="12"/>
  <c r="J37" i="12"/>
  <c r="I37" i="12"/>
  <c r="AJ36" i="12"/>
  <c r="AI36" i="12"/>
  <c r="AH36" i="12"/>
  <c r="L36" i="12"/>
  <c r="J36" i="12"/>
  <c r="I36" i="12"/>
  <c r="AJ35" i="12"/>
  <c r="AI35" i="12"/>
  <c r="AH35" i="12"/>
  <c r="L35" i="12"/>
  <c r="J35" i="12"/>
  <c r="I35" i="12"/>
  <c r="AJ34" i="12"/>
  <c r="AI34" i="12"/>
  <c r="AH34" i="12"/>
  <c r="AE34" i="12"/>
  <c r="AD34" i="12"/>
  <c r="L34" i="12"/>
  <c r="J34" i="12"/>
  <c r="I34" i="12"/>
  <c r="AJ33" i="12"/>
  <c r="AI33" i="12"/>
  <c r="AH33" i="12"/>
  <c r="L33" i="12"/>
  <c r="J33" i="12"/>
  <c r="I33" i="12"/>
  <c r="AJ32" i="12"/>
  <c r="AI32" i="12"/>
  <c r="AH32" i="12"/>
  <c r="L32" i="12"/>
  <c r="J32" i="12"/>
  <c r="I32" i="12"/>
  <c r="AJ31" i="12"/>
  <c r="AI31" i="12"/>
  <c r="AH31" i="12"/>
  <c r="L31" i="12"/>
  <c r="J31" i="12"/>
  <c r="I31" i="12"/>
  <c r="AJ30" i="12"/>
  <c r="AI30" i="12"/>
  <c r="AH30" i="12"/>
  <c r="AE30" i="12"/>
  <c r="AD30" i="12"/>
  <c r="L30" i="12"/>
  <c r="J30" i="12"/>
  <c r="I30" i="12"/>
  <c r="AJ29" i="12"/>
  <c r="AI29" i="12"/>
  <c r="AH29" i="12"/>
  <c r="L29" i="12"/>
  <c r="J29" i="12"/>
  <c r="I29" i="12"/>
  <c r="AJ28" i="12"/>
  <c r="AI28" i="12"/>
  <c r="AH28" i="12"/>
  <c r="L28" i="12"/>
  <c r="J28" i="12"/>
  <c r="I28" i="12"/>
  <c r="AJ27" i="12"/>
  <c r="AI27" i="12"/>
  <c r="AH27" i="12"/>
  <c r="L27" i="12"/>
  <c r="J27" i="12"/>
  <c r="I27" i="12"/>
  <c r="AJ26" i="12"/>
  <c r="AI26" i="12"/>
  <c r="AH26" i="12"/>
  <c r="AE26" i="12"/>
  <c r="AD26" i="12"/>
  <c r="L26" i="12"/>
  <c r="J26" i="12"/>
  <c r="I26" i="12"/>
  <c r="AJ25" i="12"/>
  <c r="AI25" i="12"/>
  <c r="AH25" i="12"/>
  <c r="L25" i="12"/>
  <c r="J25" i="12"/>
  <c r="I25" i="12"/>
  <c r="AJ24" i="12"/>
  <c r="AI24" i="12"/>
  <c r="AH24" i="12"/>
  <c r="L24" i="12"/>
  <c r="J24" i="12"/>
  <c r="I24" i="12"/>
  <c r="AJ23" i="12"/>
  <c r="AI23" i="12"/>
  <c r="AH23" i="12"/>
  <c r="L23" i="12"/>
  <c r="J23" i="12"/>
  <c r="I23" i="12"/>
  <c r="AJ22" i="12"/>
  <c r="AI22" i="12"/>
  <c r="AH22" i="12"/>
  <c r="AE22" i="12"/>
  <c r="AD22" i="12"/>
  <c r="N22" i="12"/>
  <c r="L22" i="12"/>
  <c r="J22" i="12"/>
  <c r="I22" i="12"/>
  <c r="AJ21" i="12"/>
  <c r="AI21" i="12"/>
  <c r="AH21" i="12"/>
  <c r="L21" i="12"/>
  <c r="J21" i="12"/>
  <c r="I21" i="12"/>
  <c r="AJ20" i="12"/>
  <c r="AI20" i="12"/>
  <c r="AH20" i="12"/>
  <c r="L20" i="12"/>
  <c r="J20" i="12"/>
  <c r="I20" i="12"/>
  <c r="AJ19" i="12"/>
  <c r="AI19" i="12"/>
  <c r="AH19" i="12"/>
  <c r="L19" i="12"/>
  <c r="J19" i="12"/>
  <c r="I19" i="12"/>
  <c r="AJ18" i="12"/>
  <c r="AI18" i="12"/>
  <c r="AH18" i="12"/>
  <c r="AE18" i="12"/>
  <c r="AD18" i="12"/>
  <c r="L18" i="12"/>
  <c r="J18" i="12"/>
  <c r="I18" i="12"/>
  <c r="AJ17" i="12"/>
  <c r="AI17" i="12"/>
  <c r="AH17" i="12"/>
  <c r="L17" i="12"/>
  <c r="J17" i="12"/>
  <c r="I17" i="12"/>
  <c r="AJ16" i="12"/>
  <c r="AI16" i="12"/>
  <c r="AH16" i="12"/>
  <c r="L16" i="12"/>
  <c r="J16" i="12"/>
  <c r="I16" i="12"/>
  <c r="AJ15" i="12"/>
  <c r="AI15" i="12"/>
  <c r="AH15" i="12"/>
  <c r="L15" i="12"/>
  <c r="J15" i="12"/>
  <c r="I15" i="12"/>
  <c r="AJ14" i="12"/>
  <c r="AI14" i="12"/>
  <c r="AH14" i="12"/>
  <c r="AE14" i="12"/>
  <c r="AD14" i="12"/>
  <c r="L14" i="12"/>
  <c r="J14" i="12"/>
  <c r="I14" i="12"/>
  <c r="AJ13" i="12"/>
  <c r="AI13" i="12"/>
  <c r="AH13" i="12"/>
  <c r="L13" i="12"/>
  <c r="J13" i="12"/>
  <c r="I13" i="12"/>
  <c r="AJ12" i="12"/>
  <c r="AI12" i="12"/>
  <c r="AH12" i="12"/>
  <c r="L12" i="12"/>
  <c r="J12" i="12"/>
  <c r="I12" i="12"/>
  <c r="AJ11" i="12"/>
  <c r="AI11" i="12"/>
  <c r="AH11" i="12"/>
  <c r="L11" i="12"/>
  <c r="J11" i="12"/>
  <c r="I11" i="12"/>
  <c r="AJ10" i="12"/>
  <c r="AI10" i="12"/>
  <c r="AH10" i="12"/>
  <c r="AE10" i="12"/>
  <c r="AD10" i="12"/>
  <c r="L10" i="12"/>
  <c r="J10" i="12"/>
  <c r="I10" i="12"/>
  <c r="AJ9" i="12"/>
  <c r="AI9" i="12"/>
  <c r="AH9" i="12"/>
  <c r="L9" i="12"/>
  <c r="J9" i="12"/>
  <c r="I9" i="12"/>
  <c r="AJ8" i="12"/>
  <c r="AI8" i="12"/>
  <c r="AH8" i="12"/>
  <c r="L8" i="12"/>
  <c r="J8" i="12"/>
  <c r="I8" i="12"/>
  <c r="AJ7" i="12"/>
  <c r="AI7" i="12"/>
  <c r="AH7" i="12"/>
  <c r="L7" i="12"/>
  <c r="J7" i="12"/>
  <c r="I7" i="12"/>
  <c r="AJ6" i="12"/>
  <c r="AI6" i="12"/>
  <c r="AH6" i="12"/>
  <c r="AE6" i="12"/>
  <c r="AD6" i="12"/>
  <c r="L6" i="12"/>
  <c r="J6" i="12"/>
  <c r="I6" i="12"/>
  <c r="AJ5" i="12"/>
  <c r="AI5" i="12"/>
  <c r="AH5" i="12"/>
  <c r="AE5" i="12"/>
  <c r="AD5" i="12"/>
  <c r="L5" i="12"/>
  <c r="E15" i="19" s="1"/>
  <c r="J5" i="12"/>
  <c r="C15" i="19" s="1"/>
  <c r="I15" i="19" s="1"/>
  <c r="J15" i="19" s="1"/>
  <c r="K15" i="19" s="1"/>
  <c r="L15" i="19" s="1"/>
  <c r="I5" i="12"/>
  <c r="U16" i="22" s="1"/>
  <c r="D5" i="12"/>
  <c r="AJ4" i="12"/>
  <c r="AI4" i="12"/>
  <c r="AH4" i="12"/>
  <c r="AE4" i="12"/>
  <c r="AD4" i="12"/>
  <c r="L4" i="12"/>
  <c r="E5" i="19" s="1"/>
  <c r="J4" i="12"/>
  <c r="C5" i="19" s="1"/>
  <c r="I5" i="19" s="1"/>
  <c r="J5" i="19" s="1"/>
  <c r="K5" i="19" s="1"/>
  <c r="L5" i="19" s="1"/>
  <c r="I4" i="12"/>
  <c r="U13" i="22" s="1"/>
  <c r="D4" i="12"/>
  <c r="AH3" i="12"/>
  <c r="K2" i="12"/>
  <c r="AH1" i="12"/>
  <c r="AD1" i="12"/>
  <c r="AJ109" i="11"/>
  <c r="AI109" i="11"/>
  <c r="AH109" i="11"/>
  <c r="L109" i="11"/>
  <c r="AJ108" i="11"/>
  <c r="AI108" i="11"/>
  <c r="AH108" i="11"/>
  <c r="L108" i="11"/>
  <c r="AJ107" i="11"/>
  <c r="AI107" i="11"/>
  <c r="AH107" i="11"/>
  <c r="L107" i="11"/>
  <c r="AJ106" i="11"/>
  <c r="AI106" i="11"/>
  <c r="AH106" i="11"/>
  <c r="L106" i="11"/>
  <c r="AJ105" i="11"/>
  <c r="AI105" i="11"/>
  <c r="AH105" i="11"/>
  <c r="L105" i="11"/>
  <c r="AJ104" i="11"/>
  <c r="AI104" i="11"/>
  <c r="AH104" i="11"/>
  <c r="L104" i="11"/>
  <c r="AJ103" i="11"/>
  <c r="AI103" i="11"/>
  <c r="AH103" i="11"/>
  <c r="L103" i="11"/>
  <c r="AJ102" i="11"/>
  <c r="AI102" i="11"/>
  <c r="AH102" i="11"/>
  <c r="AE102" i="11"/>
  <c r="AD102" i="11"/>
  <c r="L102" i="11"/>
  <c r="AJ101" i="11"/>
  <c r="AI101" i="11"/>
  <c r="AH101" i="11"/>
  <c r="L101" i="11"/>
  <c r="J101" i="11"/>
  <c r="I101" i="11"/>
  <c r="AJ100" i="11"/>
  <c r="AI100" i="11"/>
  <c r="AH100" i="11"/>
  <c r="L100" i="11"/>
  <c r="J100" i="11"/>
  <c r="I100" i="11"/>
  <c r="AJ99" i="11"/>
  <c r="AI99" i="11"/>
  <c r="AH99" i="11"/>
  <c r="L99" i="11"/>
  <c r="J99" i="11"/>
  <c r="I99" i="11"/>
  <c r="AJ98" i="11"/>
  <c r="AI98" i="11"/>
  <c r="AH98" i="11"/>
  <c r="AE98" i="11"/>
  <c r="AD98" i="11"/>
  <c r="L98" i="11"/>
  <c r="J98" i="11"/>
  <c r="I98" i="11"/>
  <c r="AJ97" i="11"/>
  <c r="AI97" i="11"/>
  <c r="AH97" i="11"/>
  <c r="L97" i="11"/>
  <c r="J97" i="11"/>
  <c r="I97" i="11"/>
  <c r="AJ96" i="11"/>
  <c r="AI96" i="11"/>
  <c r="AH96" i="11"/>
  <c r="L96" i="11"/>
  <c r="J96" i="11"/>
  <c r="I96" i="11"/>
  <c r="AJ95" i="11"/>
  <c r="AI95" i="11"/>
  <c r="AH95" i="11"/>
  <c r="L95" i="11"/>
  <c r="J95" i="11"/>
  <c r="I95" i="11"/>
  <c r="AJ94" i="11"/>
  <c r="AI94" i="11"/>
  <c r="AH94" i="11"/>
  <c r="AE94" i="11"/>
  <c r="AD94" i="11"/>
  <c r="L94" i="11"/>
  <c r="J94" i="11"/>
  <c r="I94" i="11"/>
  <c r="AJ93" i="11"/>
  <c r="AI93" i="11"/>
  <c r="AH93" i="11"/>
  <c r="L93" i="11"/>
  <c r="J93" i="11"/>
  <c r="I93" i="11"/>
  <c r="AJ92" i="11"/>
  <c r="AI92" i="11"/>
  <c r="AH92" i="11"/>
  <c r="L92" i="11"/>
  <c r="J92" i="11"/>
  <c r="I92" i="11"/>
  <c r="AJ91" i="11"/>
  <c r="AI91" i="11"/>
  <c r="AH91" i="11"/>
  <c r="L91" i="11"/>
  <c r="J91" i="11"/>
  <c r="I91" i="11"/>
  <c r="AJ90" i="11"/>
  <c r="AI90" i="11"/>
  <c r="AH90" i="11"/>
  <c r="AE90" i="11"/>
  <c r="AD90" i="11"/>
  <c r="L90" i="11"/>
  <c r="J90" i="11"/>
  <c r="I90" i="11"/>
  <c r="AJ89" i="11"/>
  <c r="AI89" i="11"/>
  <c r="AH89" i="11"/>
  <c r="L89" i="11"/>
  <c r="J89" i="11"/>
  <c r="I89" i="11"/>
  <c r="AJ88" i="11"/>
  <c r="AI88" i="11"/>
  <c r="AH88" i="11"/>
  <c r="L88" i="11"/>
  <c r="J88" i="11"/>
  <c r="I88" i="11"/>
  <c r="AJ87" i="11"/>
  <c r="AI87" i="11"/>
  <c r="AH87" i="11"/>
  <c r="L87" i="11"/>
  <c r="J87" i="11"/>
  <c r="I87" i="11"/>
  <c r="AJ86" i="11"/>
  <c r="AI86" i="11"/>
  <c r="AH86" i="11"/>
  <c r="AE86" i="11"/>
  <c r="AD86" i="11"/>
  <c r="L86" i="11"/>
  <c r="J86" i="11"/>
  <c r="I86" i="11"/>
  <c r="AJ85" i="11"/>
  <c r="AI85" i="11"/>
  <c r="AH85" i="11"/>
  <c r="L85" i="11"/>
  <c r="J85" i="11"/>
  <c r="I85" i="11"/>
  <c r="AJ84" i="11"/>
  <c r="AI84" i="11"/>
  <c r="AH84" i="11"/>
  <c r="L84" i="11"/>
  <c r="J84" i="11"/>
  <c r="I84" i="11"/>
  <c r="AJ83" i="11"/>
  <c r="AI83" i="11"/>
  <c r="AH83" i="11"/>
  <c r="L83" i="11"/>
  <c r="J83" i="11"/>
  <c r="I83" i="11"/>
  <c r="AJ82" i="11"/>
  <c r="AI82" i="11"/>
  <c r="AH82" i="11"/>
  <c r="AE82" i="11"/>
  <c r="AD82" i="11"/>
  <c r="L82" i="11"/>
  <c r="J82" i="11"/>
  <c r="I82" i="11"/>
  <c r="AJ81" i="11"/>
  <c r="AI81" i="11"/>
  <c r="AH81" i="11"/>
  <c r="L81" i="11"/>
  <c r="J81" i="11"/>
  <c r="I81" i="11"/>
  <c r="AJ80" i="11"/>
  <c r="AI80" i="11"/>
  <c r="AH80" i="11"/>
  <c r="L80" i="11"/>
  <c r="J80" i="11"/>
  <c r="I80" i="11"/>
  <c r="AJ79" i="11"/>
  <c r="AI79" i="11"/>
  <c r="AH79" i="11"/>
  <c r="L79" i="11"/>
  <c r="J79" i="11"/>
  <c r="I79" i="11"/>
  <c r="AJ78" i="11"/>
  <c r="AI78" i="11"/>
  <c r="AH78" i="11"/>
  <c r="AE78" i="11"/>
  <c r="AD78" i="11"/>
  <c r="L78" i="11"/>
  <c r="J78" i="11"/>
  <c r="I78" i="11"/>
  <c r="AJ77" i="11"/>
  <c r="AI77" i="11"/>
  <c r="AH77" i="11"/>
  <c r="L77" i="11"/>
  <c r="J77" i="11"/>
  <c r="I77" i="11"/>
  <c r="AJ76" i="11"/>
  <c r="AI76" i="11"/>
  <c r="AH76" i="11"/>
  <c r="L76" i="11"/>
  <c r="J76" i="11"/>
  <c r="I76" i="11"/>
  <c r="AJ75" i="11"/>
  <c r="AI75" i="11"/>
  <c r="AH75" i="11"/>
  <c r="L75" i="11"/>
  <c r="J75" i="11"/>
  <c r="I75" i="11"/>
  <c r="AJ74" i="11"/>
  <c r="AI74" i="11"/>
  <c r="AH74" i="11"/>
  <c r="AE74" i="11"/>
  <c r="AD74" i="11"/>
  <c r="L74" i="11"/>
  <c r="J74" i="11"/>
  <c r="I74" i="11"/>
  <c r="AJ73" i="11"/>
  <c r="AI73" i="11"/>
  <c r="AH73" i="11"/>
  <c r="L73" i="11"/>
  <c r="J73" i="11"/>
  <c r="I73" i="11"/>
  <c r="AJ72" i="11"/>
  <c r="AI72" i="11"/>
  <c r="AH72" i="11"/>
  <c r="L72" i="11"/>
  <c r="J72" i="11"/>
  <c r="I72" i="11"/>
  <c r="AJ71" i="11"/>
  <c r="AI71" i="11"/>
  <c r="AH71" i="11"/>
  <c r="L71" i="11"/>
  <c r="J71" i="11"/>
  <c r="I71" i="11"/>
  <c r="AJ70" i="11"/>
  <c r="AI70" i="11"/>
  <c r="AH70" i="11"/>
  <c r="AE70" i="11"/>
  <c r="AD70" i="11"/>
  <c r="L70" i="11"/>
  <c r="J70" i="11"/>
  <c r="I70" i="11"/>
  <c r="AJ69" i="11"/>
  <c r="AI69" i="11"/>
  <c r="AH69" i="11"/>
  <c r="AE69" i="11"/>
  <c r="AD69" i="11"/>
  <c r="L69" i="11"/>
  <c r="E300" i="19" s="1"/>
  <c r="J69" i="11"/>
  <c r="C300" i="19" s="1"/>
  <c r="I300" i="19" s="1"/>
  <c r="J300" i="19" s="1"/>
  <c r="I69" i="11"/>
  <c r="R128" i="22" s="1"/>
  <c r="AJ68" i="11"/>
  <c r="AI68" i="11"/>
  <c r="AH68" i="11"/>
  <c r="AE68" i="11"/>
  <c r="AD68" i="11"/>
  <c r="L68" i="11"/>
  <c r="E272" i="19" s="1"/>
  <c r="J68" i="11"/>
  <c r="C272" i="19" s="1"/>
  <c r="I272" i="19" s="1"/>
  <c r="J272" i="19" s="1"/>
  <c r="I68" i="11"/>
  <c r="R125" i="22" s="1"/>
  <c r="AJ67" i="11"/>
  <c r="AI67" i="11"/>
  <c r="AH67" i="11"/>
  <c r="AE67" i="11"/>
  <c r="AD67" i="11"/>
  <c r="L67" i="11"/>
  <c r="E229" i="19" s="1"/>
  <c r="J67" i="11"/>
  <c r="C229" i="19" s="1"/>
  <c r="I229" i="19" s="1"/>
  <c r="J229" i="19" s="1"/>
  <c r="K229" i="19" s="1"/>
  <c r="L229" i="19" s="1"/>
  <c r="M229" i="19" s="1"/>
  <c r="N229" i="19" s="1"/>
  <c r="R229" i="19" s="1"/>
  <c r="I67" i="11"/>
  <c r="R122" i="22" s="1"/>
  <c r="AJ66" i="11"/>
  <c r="AI66" i="11"/>
  <c r="AH66" i="11"/>
  <c r="AE66" i="11"/>
  <c r="AD66" i="11"/>
  <c r="L66" i="11"/>
  <c r="E192" i="19" s="1"/>
  <c r="J66" i="11"/>
  <c r="C192" i="19" s="1"/>
  <c r="I192" i="19" s="1"/>
  <c r="J192" i="19" s="1"/>
  <c r="I66" i="11"/>
  <c r="R119" i="22" s="1"/>
  <c r="AJ65" i="11"/>
  <c r="AI65" i="11"/>
  <c r="AH65" i="11"/>
  <c r="AE65" i="11"/>
  <c r="AD65" i="11"/>
  <c r="L65" i="11"/>
  <c r="E301" i="19" s="1"/>
  <c r="J65" i="11"/>
  <c r="C301" i="19" s="1"/>
  <c r="I301" i="19" s="1"/>
  <c r="J301" i="19" s="1"/>
  <c r="I65" i="11"/>
  <c r="R116" i="22" s="1"/>
  <c r="AJ64" i="11"/>
  <c r="AI64" i="11"/>
  <c r="AH64" i="11"/>
  <c r="AE64" i="11"/>
  <c r="AD64" i="11"/>
  <c r="L64" i="11"/>
  <c r="E271" i="19" s="1"/>
  <c r="J64" i="11"/>
  <c r="C271" i="19" s="1"/>
  <c r="I271" i="19" s="1"/>
  <c r="J271" i="19" s="1"/>
  <c r="I64" i="11"/>
  <c r="R113" i="22" s="1"/>
  <c r="AJ63" i="11"/>
  <c r="AI63" i="11"/>
  <c r="AH63" i="11"/>
  <c r="AE63" i="11"/>
  <c r="AD63" i="11"/>
  <c r="L63" i="11"/>
  <c r="E332" i="19" s="1"/>
  <c r="J63" i="11"/>
  <c r="C332" i="19" s="1"/>
  <c r="I332" i="19" s="1"/>
  <c r="J332" i="19" s="1"/>
  <c r="K332" i="19" s="1"/>
  <c r="I63" i="11"/>
  <c r="R110" i="22" s="1"/>
  <c r="AJ62" i="11"/>
  <c r="AI62" i="11"/>
  <c r="AH62" i="11"/>
  <c r="AE62" i="11"/>
  <c r="AD62" i="11"/>
  <c r="L62" i="11"/>
  <c r="E327" i="19" s="1"/>
  <c r="J62" i="11"/>
  <c r="C327" i="19" s="1"/>
  <c r="I327" i="19" s="1"/>
  <c r="J327" i="19" s="1"/>
  <c r="I62" i="11"/>
  <c r="R107" i="22" s="1"/>
  <c r="AJ61" i="11"/>
  <c r="AI61" i="11"/>
  <c r="AH61" i="11"/>
  <c r="AE61" i="11"/>
  <c r="AD61" i="11"/>
  <c r="L61" i="11"/>
  <c r="E228" i="19" s="1"/>
  <c r="J61" i="11"/>
  <c r="C228" i="19" s="1"/>
  <c r="I228" i="19" s="1"/>
  <c r="J228" i="19" s="1"/>
  <c r="K228" i="19" s="1"/>
  <c r="I61" i="11"/>
  <c r="R104" i="22" s="1"/>
  <c r="AJ60" i="11"/>
  <c r="AI60" i="11"/>
  <c r="AH60" i="11"/>
  <c r="AE60" i="11"/>
  <c r="AD60" i="11"/>
  <c r="L60" i="11"/>
  <c r="E193" i="19" s="1"/>
  <c r="J60" i="11"/>
  <c r="C193" i="19" s="1"/>
  <c r="I193" i="19" s="1"/>
  <c r="J193" i="19" s="1"/>
  <c r="K193" i="19" s="1"/>
  <c r="L193" i="19" s="1"/>
  <c r="M193" i="19" s="1"/>
  <c r="N193" i="19" s="1"/>
  <c r="R193" i="19" s="1"/>
  <c r="I60" i="11"/>
  <c r="R101" i="22" s="1"/>
  <c r="AJ59" i="11"/>
  <c r="AI59" i="11"/>
  <c r="AH59" i="11"/>
  <c r="AE59" i="11"/>
  <c r="AD59" i="11"/>
  <c r="L59" i="11"/>
  <c r="E302" i="19" s="1"/>
  <c r="J59" i="11"/>
  <c r="C302" i="19" s="1"/>
  <c r="I302" i="19" s="1"/>
  <c r="J302" i="19" s="1"/>
  <c r="I59" i="11"/>
  <c r="R98" i="22" s="1"/>
  <c r="AJ58" i="11"/>
  <c r="AI58" i="11"/>
  <c r="AH58" i="11"/>
  <c r="AE58" i="11"/>
  <c r="AD58" i="11"/>
  <c r="L58" i="11"/>
  <c r="E270" i="19" s="1"/>
  <c r="J58" i="11"/>
  <c r="C270" i="19" s="1"/>
  <c r="I270" i="19" s="1"/>
  <c r="J270" i="19" s="1"/>
  <c r="I58" i="11"/>
  <c r="R95" i="22" s="1"/>
  <c r="AJ57" i="11"/>
  <c r="AI57" i="11"/>
  <c r="AH57" i="11"/>
  <c r="AE57" i="11"/>
  <c r="AD57" i="11"/>
  <c r="L57" i="11"/>
  <c r="E155" i="19" s="1"/>
  <c r="J57" i="11"/>
  <c r="C155" i="19" s="1"/>
  <c r="I155" i="19" s="1"/>
  <c r="J155" i="19" s="1"/>
  <c r="I57" i="11"/>
  <c r="R92" i="22" s="1"/>
  <c r="AJ56" i="11"/>
  <c r="AI56" i="11"/>
  <c r="AH56" i="11"/>
  <c r="AE56" i="11"/>
  <c r="AD56" i="11"/>
  <c r="L56" i="11"/>
  <c r="E112" i="19" s="1"/>
  <c r="J56" i="11"/>
  <c r="C112" i="19" s="1"/>
  <c r="I112" i="19" s="1"/>
  <c r="J112" i="19" s="1"/>
  <c r="I56" i="11"/>
  <c r="R89" i="22" s="1"/>
  <c r="AJ55" i="11"/>
  <c r="AI55" i="11"/>
  <c r="AH55" i="11"/>
  <c r="AE55" i="11"/>
  <c r="AD55" i="11"/>
  <c r="L55" i="11"/>
  <c r="E257" i="19" s="1"/>
  <c r="J55" i="11"/>
  <c r="C257" i="19" s="1"/>
  <c r="I257" i="19" s="1"/>
  <c r="J257" i="19" s="1"/>
  <c r="I55" i="11"/>
  <c r="R86" i="22" s="1"/>
  <c r="AJ54" i="11"/>
  <c r="AI54" i="11"/>
  <c r="AH54" i="11"/>
  <c r="AE54" i="11"/>
  <c r="AD54" i="11"/>
  <c r="L54" i="11"/>
  <c r="E244" i="19" s="1"/>
  <c r="J54" i="11"/>
  <c r="C244" i="19" s="1"/>
  <c r="I244" i="19" s="1"/>
  <c r="J244" i="19" s="1"/>
  <c r="I54" i="11"/>
  <c r="R83" i="22" s="1"/>
  <c r="AJ53" i="11"/>
  <c r="AI53" i="11"/>
  <c r="AH53" i="11"/>
  <c r="AE53" i="11"/>
  <c r="AD53" i="11"/>
  <c r="L53" i="11"/>
  <c r="E56" i="19" s="1"/>
  <c r="J53" i="11"/>
  <c r="C56" i="19" s="1"/>
  <c r="I56" i="19" s="1"/>
  <c r="J56" i="19" s="1"/>
  <c r="K56" i="19" s="1"/>
  <c r="L56" i="19" s="1"/>
  <c r="M56" i="19" s="1"/>
  <c r="N56" i="19" s="1"/>
  <c r="R56" i="19" s="1"/>
  <c r="I53" i="11"/>
  <c r="R80" i="22" s="1"/>
  <c r="AJ52" i="11"/>
  <c r="AI52" i="11"/>
  <c r="AH52" i="11"/>
  <c r="AE52" i="11"/>
  <c r="AD52" i="11"/>
  <c r="L52" i="11"/>
  <c r="E32" i="19" s="1"/>
  <c r="J52" i="11"/>
  <c r="C32" i="19" s="1"/>
  <c r="I32" i="19" s="1"/>
  <c r="J32" i="19" s="1"/>
  <c r="I52" i="11"/>
  <c r="R77" i="22" s="1"/>
  <c r="AJ51" i="11"/>
  <c r="AI51" i="11"/>
  <c r="AH51" i="11"/>
  <c r="AE51" i="11"/>
  <c r="AD51" i="11"/>
  <c r="L51" i="11"/>
  <c r="E157" i="19" s="1"/>
  <c r="J51" i="11"/>
  <c r="C157" i="19" s="1"/>
  <c r="I157" i="19" s="1"/>
  <c r="J157" i="19" s="1"/>
  <c r="K157" i="19" s="1"/>
  <c r="L157" i="19" s="1"/>
  <c r="M157" i="19" s="1"/>
  <c r="N157" i="19" s="1"/>
  <c r="R157" i="19" s="1"/>
  <c r="I51" i="11"/>
  <c r="R74" i="22" s="1"/>
  <c r="AJ50" i="11"/>
  <c r="AI50" i="11"/>
  <c r="AH50" i="11"/>
  <c r="AE50" i="11"/>
  <c r="AD50" i="11"/>
  <c r="L50" i="11"/>
  <c r="E110" i="19" s="1"/>
  <c r="J50" i="11"/>
  <c r="C110" i="19" s="1"/>
  <c r="I110" i="19" s="1"/>
  <c r="J110" i="19" s="1"/>
  <c r="K110" i="19" s="1"/>
  <c r="L110" i="19" s="1"/>
  <c r="M110" i="19" s="1"/>
  <c r="N110" i="19" s="1"/>
  <c r="I50" i="11"/>
  <c r="R71" i="22" s="1"/>
  <c r="AJ49" i="11"/>
  <c r="AI49" i="11"/>
  <c r="AH49" i="11"/>
  <c r="AE49" i="11"/>
  <c r="AD49" i="11"/>
  <c r="L49" i="11"/>
  <c r="E57" i="19" s="1"/>
  <c r="J49" i="11"/>
  <c r="C57" i="19" s="1"/>
  <c r="I57" i="19" s="1"/>
  <c r="J57" i="19" s="1"/>
  <c r="K57" i="19" s="1"/>
  <c r="I49" i="11"/>
  <c r="R68" i="22" s="1"/>
  <c r="AJ48" i="11"/>
  <c r="AI48" i="11"/>
  <c r="AH48" i="11"/>
  <c r="AE48" i="11"/>
  <c r="AD48" i="11"/>
  <c r="L48" i="11"/>
  <c r="E31" i="19" s="1"/>
  <c r="J48" i="11"/>
  <c r="C31" i="19" s="1"/>
  <c r="I31" i="19" s="1"/>
  <c r="J31" i="19" s="1"/>
  <c r="K31" i="19" s="1"/>
  <c r="I48" i="11"/>
  <c r="R65" i="22" s="1"/>
  <c r="AJ47" i="11"/>
  <c r="AI47" i="11"/>
  <c r="AH47" i="11"/>
  <c r="AE47" i="11"/>
  <c r="AD47" i="11"/>
  <c r="L47" i="11"/>
  <c r="E177" i="19" s="1"/>
  <c r="J47" i="11"/>
  <c r="C177" i="19" s="1"/>
  <c r="I177" i="19" s="1"/>
  <c r="J177" i="19" s="1"/>
  <c r="I47" i="11"/>
  <c r="R62" i="22" s="1"/>
  <c r="AJ46" i="11"/>
  <c r="AI46" i="11"/>
  <c r="AH46" i="11"/>
  <c r="AE46" i="11"/>
  <c r="AD46" i="11"/>
  <c r="L46" i="11"/>
  <c r="E164" i="19" s="1"/>
  <c r="J46" i="11"/>
  <c r="C164" i="19" s="1"/>
  <c r="I164" i="19" s="1"/>
  <c r="J164" i="19" s="1"/>
  <c r="I46" i="11"/>
  <c r="R59" i="22" s="1"/>
  <c r="AJ45" i="11"/>
  <c r="AI45" i="11"/>
  <c r="AH45" i="11"/>
  <c r="AE45" i="11"/>
  <c r="AD45" i="11"/>
  <c r="L45" i="11"/>
  <c r="E156" i="19" s="1"/>
  <c r="J45" i="11"/>
  <c r="C156" i="19" s="1"/>
  <c r="I156" i="19" s="1"/>
  <c r="J156" i="19" s="1"/>
  <c r="I45" i="11"/>
  <c r="R56" i="22" s="1"/>
  <c r="AJ44" i="11"/>
  <c r="AI44" i="11"/>
  <c r="AH44" i="11"/>
  <c r="AE44" i="11"/>
  <c r="AD44" i="11"/>
  <c r="L44" i="11"/>
  <c r="E111" i="19" s="1"/>
  <c r="J44" i="11"/>
  <c r="C111" i="19" s="1"/>
  <c r="I111" i="19" s="1"/>
  <c r="J111" i="19" s="1"/>
  <c r="I44" i="11"/>
  <c r="R53" i="22" s="1"/>
  <c r="AJ43" i="11"/>
  <c r="AI43" i="11"/>
  <c r="AH43" i="11"/>
  <c r="AE43" i="11"/>
  <c r="AD43" i="11"/>
  <c r="L43" i="11"/>
  <c r="E62" i="19" s="1"/>
  <c r="J43" i="11"/>
  <c r="C62" i="19" s="1"/>
  <c r="I62" i="19" s="1"/>
  <c r="J62" i="19" s="1"/>
  <c r="K62" i="19" s="1"/>
  <c r="L62" i="19" s="1"/>
  <c r="M62" i="19" s="1"/>
  <c r="N62" i="19" s="1"/>
  <c r="R62" i="19" s="1"/>
  <c r="I43" i="11"/>
  <c r="R50" i="22" s="1"/>
  <c r="AJ42" i="11"/>
  <c r="AI42" i="11"/>
  <c r="AH42" i="11"/>
  <c r="AE42" i="11"/>
  <c r="AD42" i="11"/>
  <c r="L42" i="11"/>
  <c r="E30" i="19" s="1"/>
  <c r="J42" i="11"/>
  <c r="C30" i="19" s="1"/>
  <c r="I30" i="19" s="1"/>
  <c r="J30" i="19" s="1"/>
  <c r="I42" i="11"/>
  <c r="R47" i="22" s="1"/>
  <c r="AJ41" i="11"/>
  <c r="AI41" i="11"/>
  <c r="AH41" i="11"/>
  <c r="AE41" i="11"/>
  <c r="AD41" i="11"/>
  <c r="L41" i="11"/>
  <c r="E233" i="19" s="1"/>
  <c r="J41" i="11"/>
  <c r="C233" i="19" s="1"/>
  <c r="I233" i="19" s="1"/>
  <c r="J233" i="19" s="1"/>
  <c r="I41" i="11"/>
  <c r="R44" i="22" s="1"/>
  <c r="AJ40" i="11"/>
  <c r="AI40" i="11"/>
  <c r="AH40" i="11"/>
  <c r="AE40" i="11"/>
  <c r="AD40" i="11"/>
  <c r="L40" i="11"/>
  <c r="E188" i="19" s="1"/>
  <c r="J40" i="11"/>
  <c r="C188" i="19" s="1"/>
  <c r="I188" i="19" s="1"/>
  <c r="J188" i="19" s="1"/>
  <c r="I40" i="11"/>
  <c r="R41" i="22" s="1"/>
  <c r="AJ39" i="11"/>
  <c r="AI39" i="11"/>
  <c r="AH39" i="11"/>
  <c r="AE39" i="11"/>
  <c r="AD39" i="11"/>
  <c r="L39" i="11"/>
  <c r="E97" i="19" s="1"/>
  <c r="J39" i="11"/>
  <c r="C97" i="19" s="1"/>
  <c r="I97" i="19" s="1"/>
  <c r="J97" i="19" s="1"/>
  <c r="K97" i="19" s="1"/>
  <c r="L97" i="19" s="1"/>
  <c r="M97" i="19" s="1"/>
  <c r="N97" i="19" s="1"/>
  <c r="R97" i="19" s="1"/>
  <c r="I39" i="11"/>
  <c r="R38" i="22" s="1"/>
  <c r="AJ38" i="11"/>
  <c r="AI38" i="11"/>
  <c r="AH38" i="11"/>
  <c r="AE38" i="11"/>
  <c r="AD38" i="11"/>
  <c r="L38" i="11"/>
  <c r="E84" i="19" s="1"/>
  <c r="J38" i="11"/>
  <c r="C84" i="19" s="1"/>
  <c r="I84" i="19" s="1"/>
  <c r="J84" i="19" s="1"/>
  <c r="I38" i="11"/>
  <c r="R35" i="22" s="1"/>
  <c r="AJ37" i="11"/>
  <c r="AI37" i="11"/>
  <c r="AH37" i="11"/>
  <c r="L37" i="11"/>
  <c r="J37" i="11"/>
  <c r="I37" i="11"/>
  <c r="AJ36" i="11"/>
  <c r="AI36" i="11"/>
  <c r="AH36" i="11"/>
  <c r="L36" i="11"/>
  <c r="J36" i="11"/>
  <c r="I36" i="11"/>
  <c r="AJ35" i="11"/>
  <c r="AI35" i="11"/>
  <c r="AH35" i="11"/>
  <c r="L35" i="11"/>
  <c r="J35" i="11"/>
  <c r="I35" i="11"/>
  <c r="AJ34" i="11"/>
  <c r="AI34" i="11"/>
  <c r="AH34" i="11"/>
  <c r="AE34" i="11"/>
  <c r="AD34" i="11"/>
  <c r="L34" i="11"/>
  <c r="J34" i="11"/>
  <c r="I34" i="11"/>
  <c r="AJ33" i="11"/>
  <c r="AI33" i="11"/>
  <c r="AH33" i="11"/>
  <c r="L33" i="11"/>
  <c r="J33" i="11"/>
  <c r="I33" i="11"/>
  <c r="AJ32" i="11"/>
  <c r="AI32" i="11"/>
  <c r="AH32" i="11"/>
  <c r="L32" i="11"/>
  <c r="J32" i="11"/>
  <c r="I32" i="11"/>
  <c r="AJ31" i="11"/>
  <c r="AI31" i="11"/>
  <c r="AH31" i="11"/>
  <c r="L31" i="11"/>
  <c r="J31" i="11"/>
  <c r="I31" i="11"/>
  <c r="AJ30" i="11"/>
  <c r="AI30" i="11"/>
  <c r="AH30" i="11"/>
  <c r="AE30" i="11"/>
  <c r="AD30" i="11"/>
  <c r="L30" i="11"/>
  <c r="J30" i="11"/>
  <c r="I30" i="11"/>
  <c r="AJ29" i="11"/>
  <c r="AI29" i="11"/>
  <c r="AH29" i="11"/>
  <c r="L29" i="11"/>
  <c r="J29" i="11"/>
  <c r="I29" i="11"/>
  <c r="AJ28" i="11"/>
  <c r="AI28" i="11"/>
  <c r="AH28" i="11"/>
  <c r="L28" i="11"/>
  <c r="J28" i="11"/>
  <c r="I28" i="11"/>
  <c r="AJ27" i="11"/>
  <c r="AI27" i="11"/>
  <c r="AH27" i="11"/>
  <c r="L27" i="11"/>
  <c r="J27" i="11"/>
  <c r="I27" i="11"/>
  <c r="AJ26" i="11"/>
  <c r="AI26" i="11"/>
  <c r="AH26" i="11"/>
  <c r="AE26" i="11"/>
  <c r="AD26" i="11"/>
  <c r="L26" i="11"/>
  <c r="J26" i="11"/>
  <c r="I26" i="11"/>
  <c r="AJ25" i="11"/>
  <c r="AI25" i="11"/>
  <c r="AH25" i="11"/>
  <c r="L25" i="11"/>
  <c r="J25" i="11"/>
  <c r="I25" i="11"/>
  <c r="AJ24" i="11"/>
  <c r="AI24" i="11"/>
  <c r="AH24" i="11"/>
  <c r="L24" i="11"/>
  <c r="J24" i="11"/>
  <c r="I24" i="11"/>
  <c r="AJ23" i="11"/>
  <c r="AI23" i="11"/>
  <c r="AH23" i="11"/>
  <c r="L23" i="11"/>
  <c r="J23" i="11"/>
  <c r="I23" i="11"/>
  <c r="AJ22" i="11"/>
  <c r="AI22" i="11"/>
  <c r="AH22" i="11"/>
  <c r="AE22" i="11"/>
  <c r="AD22" i="11"/>
  <c r="N22" i="11"/>
  <c r="L22" i="11"/>
  <c r="J22" i="11"/>
  <c r="I22" i="11"/>
  <c r="AJ21" i="11"/>
  <c r="AI21" i="11"/>
  <c r="AH21" i="11"/>
  <c r="L21" i="11"/>
  <c r="J21" i="11"/>
  <c r="I21" i="11"/>
  <c r="AJ20" i="11"/>
  <c r="AI20" i="11"/>
  <c r="AH20" i="11"/>
  <c r="L20" i="11"/>
  <c r="J20" i="11"/>
  <c r="I20" i="11"/>
  <c r="AJ19" i="11"/>
  <c r="AI19" i="11"/>
  <c r="AH19" i="11"/>
  <c r="L19" i="11"/>
  <c r="J19" i="11"/>
  <c r="I19" i="11"/>
  <c r="AJ18" i="11"/>
  <c r="AI18" i="11"/>
  <c r="AH18" i="11"/>
  <c r="AE18" i="11"/>
  <c r="AD18" i="11"/>
  <c r="L18" i="11"/>
  <c r="J18" i="11"/>
  <c r="I18" i="11"/>
  <c r="AJ17" i="11"/>
  <c r="AI17" i="11"/>
  <c r="AH17" i="11"/>
  <c r="L17" i="11"/>
  <c r="J17" i="11"/>
  <c r="I17" i="11"/>
  <c r="AJ16" i="11"/>
  <c r="AI16" i="11"/>
  <c r="AH16" i="11"/>
  <c r="L16" i="11"/>
  <c r="J16" i="11"/>
  <c r="I16" i="11"/>
  <c r="AJ15" i="11"/>
  <c r="AI15" i="11"/>
  <c r="AH15" i="11"/>
  <c r="L15" i="11"/>
  <c r="J15" i="11"/>
  <c r="I15" i="11"/>
  <c r="AJ14" i="11"/>
  <c r="AI14" i="11"/>
  <c r="AH14" i="11"/>
  <c r="AE14" i="11"/>
  <c r="AD14" i="11"/>
  <c r="L14" i="11"/>
  <c r="J14" i="11"/>
  <c r="I14" i="11"/>
  <c r="AJ13" i="11"/>
  <c r="AI13" i="11"/>
  <c r="AH13" i="11"/>
  <c r="L13" i="11"/>
  <c r="J13" i="11"/>
  <c r="I13" i="11"/>
  <c r="AJ12" i="11"/>
  <c r="AI12" i="11"/>
  <c r="AH12" i="11"/>
  <c r="L12" i="11"/>
  <c r="J12" i="11"/>
  <c r="I12" i="11"/>
  <c r="AJ11" i="11"/>
  <c r="AI11" i="11"/>
  <c r="AH11" i="11"/>
  <c r="L11" i="11"/>
  <c r="J11" i="11"/>
  <c r="I11" i="11"/>
  <c r="AJ10" i="11"/>
  <c r="AI10" i="11"/>
  <c r="AH10" i="11"/>
  <c r="AE10" i="11"/>
  <c r="AD10" i="11"/>
  <c r="L10" i="11"/>
  <c r="J10" i="11"/>
  <c r="I10" i="11"/>
  <c r="AJ9" i="11"/>
  <c r="AI9" i="11"/>
  <c r="AH9" i="11"/>
  <c r="L9" i="11"/>
  <c r="J9" i="11"/>
  <c r="I9" i="11"/>
  <c r="AJ8" i="11"/>
  <c r="AI8" i="11"/>
  <c r="AH8" i="11"/>
  <c r="L8" i="11"/>
  <c r="J8" i="11"/>
  <c r="I8" i="11"/>
  <c r="AJ7" i="11"/>
  <c r="AI7" i="11"/>
  <c r="AH7" i="11"/>
  <c r="L7" i="11"/>
  <c r="J7" i="11"/>
  <c r="I7" i="11"/>
  <c r="AJ6" i="11"/>
  <c r="AI6" i="11"/>
  <c r="AH6" i="11"/>
  <c r="AE6" i="11"/>
  <c r="AD6" i="11"/>
  <c r="L6" i="11"/>
  <c r="J6" i="11"/>
  <c r="I6" i="11"/>
  <c r="AJ5" i="11"/>
  <c r="AI5" i="11"/>
  <c r="AH5" i="11"/>
  <c r="AE5" i="11"/>
  <c r="AD5" i="11"/>
  <c r="L5" i="11"/>
  <c r="E14" i="19" s="1"/>
  <c r="J5" i="11"/>
  <c r="C14" i="19" s="1"/>
  <c r="I14" i="19" s="1"/>
  <c r="J14" i="19" s="1"/>
  <c r="I5" i="11"/>
  <c r="R16" i="22" s="1"/>
  <c r="D5" i="11"/>
  <c r="AJ4" i="11"/>
  <c r="AI4" i="11"/>
  <c r="AH4" i="11"/>
  <c r="AE4" i="11"/>
  <c r="AD4" i="11"/>
  <c r="L4" i="11"/>
  <c r="E4" i="19" s="1"/>
  <c r="J4" i="11"/>
  <c r="C4" i="19" s="1"/>
  <c r="I4" i="19" s="1"/>
  <c r="J4" i="19" s="1"/>
  <c r="I4" i="11"/>
  <c r="R13" i="22" s="1"/>
  <c r="D4" i="11"/>
  <c r="AH3" i="11"/>
  <c r="K2" i="11"/>
  <c r="AH1" i="11"/>
  <c r="AD1" i="11"/>
  <c r="AJ109" i="10"/>
  <c r="AI109" i="10"/>
  <c r="AH109" i="10"/>
  <c r="L109" i="10"/>
  <c r="AJ108" i="10"/>
  <c r="AI108" i="10"/>
  <c r="AH108" i="10"/>
  <c r="L108" i="10"/>
  <c r="AJ107" i="10"/>
  <c r="AI107" i="10"/>
  <c r="AH107" i="10"/>
  <c r="L107" i="10"/>
  <c r="AJ106" i="10"/>
  <c r="AI106" i="10"/>
  <c r="AH106" i="10"/>
  <c r="L106" i="10"/>
  <c r="AJ105" i="10"/>
  <c r="AI105" i="10"/>
  <c r="AH105" i="10"/>
  <c r="L105" i="10"/>
  <c r="AJ104" i="10"/>
  <c r="AI104" i="10"/>
  <c r="AH104" i="10"/>
  <c r="L104" i="10"/>
  <c r="AJ103" i="10"/>
  <c r="AI103" i="10"/>
  <c r="AH103" i="10"/>
  <c r="L103" i="10"/>
  <c r="AJ102" i="10"/>
  <c r="AI102" i="10"/>
  <c r="AH102" i="10"/>
  <c r="AE102" i="10"/>
  <c r="AD102" i="10"/>
  <c r="L102" i="10"/>
  <c r="AJ101" i="10"/>
  <c r="AI101" i="10"/>
  <c r="AH101" i="10"/>
  <c r="L101" i="10"/>
  <c r="J101" i="10"/>
  <c r="I101" i="10"/>
  <c r="AJ100" i="10"/>
  <c r="AI100" i="10"/>
  <c r="AH100" i="10"/>
  <c r="L100" i="10"/>
  <c r="J100" i="10"/>
  <c r="I100" i="10"/>
  <c r="AJ99" i="10"/>
  <c r="AI99" i="10"/>
  <c r="AH99" i="10"/>
  <c r="L99" i="10"/>
  <c r="J99" i="10"/>
  <c r="I99" i="10"/>
  <c r="AJ98" i="10"/>
  <c r="AI98" i="10"/>
  <c r="AH98" i="10"/>
  <c r="AE98" i="10"/>
  <c r="AD98" i="10"/>
  <c r="L98" i="10"/>
  <c r="J98" i="10"/>
  <c r="I98" i="10"/>
  <c r="AJ97" i="10"/>
  <c r="AI97" i="10"/>
  <c r="AH97" i="10"/>
  <c r="L97" i="10"/>
  <c r="J97" i="10"/>
  <c r="I97" i="10"/>
  <c r="AJ96" i="10"/>
  <c r="AI96" i="10"/>
  <c r="AH96" i="10"/>
  <c r="L96" i="10"/>
  <c r="J96" i="10"/>
  <c r="I96" i="10"/>
  <c r="AJ95" i="10"/>
  <c r="AI95" i="10"/>
  <c r="AH95" i="10"/>
  <c r="L95" i="10"/>
  <c r="J95" i="10"/>
  <c r="I95" i="10"/>
  <c r="AJ94" i="10"/>
  <c r="AI94" i="10"/>
  <c r="AH94" i="10"/>
  <c r="AE94" i="10"/>
  <c r="AD94" i="10"/>
  <c r="L94" i="10"/>
  <c r="J94" i="10"/>
  <c r="I94" i="10"/>
  <c r="AJ93" i="10"/>
  <c r="AI93" i="10"/>
  <c r="AH93" i="10"/>
  <c r="L93" i="10"/>
  <c r="J93" i="10"/>
  <c r="I93" i="10"/>
  <c r="AJ92" i="10"/>
  <c r="AI92" i="10"/>
  <c r="AH92" i="10"/>
  <c r="L92" i="10"/>
  <c r="J92" i="10"/>
  <c r="I92" i="10"/>
  <c r="AJ91" i="10"/>
  <c r="AI91" i="10"/>
  <c r="AH91" i="10"/>
  <c r="L91" i="10"/>
  <c r="J91" i="10"/>
  <c r="I91" i="10"/>
  <c r="AJ90" i="10"/>
  <c r="AI90" i="10"/>
  <c r="AH90" i="10"/>
  <c r="AE90" i="10"/>
  <c r="AD90" i="10"/>
  <c r="L90" i="10"/>
  <c r="J90" i="10"/>
  <c r="I90" i="10"/>
  <c r="AJ89" i="10"/>
  <c r="AI89" i="10"/>
  <c r="AH89" i="10"/>
  <c r="L89" i="10"/>
  <c r="J89" i="10"/>
  <c r="I89" i="10"/>
  <c r="AJ88" i="10"/>
  <c r="AI88" i="10"/>
  <c r="AH88" i="10"/>
  <c r="L88" i="10"/>
  <c r="J88" i="10"/>
  <c r="I88" i="10"/>
  <c r="AJ87" i="10"/>
  <c r="AI87" i="10"/>
  <c r="AH87" i="10"/>
  <c r="L87" i="10"/>
  <c r="J87" i="10"/>
  <c r="I87" i="10"/>
  <c r="AJ86" i="10"/>
  <c r="AI86" i="10"/>
  <c r="AH86" i="10"/>
  <c r="AE86" i="10"/>
  <c r="AD86" i="10"/>
  <c r="L86" i="10"/>
  <c r="J86" i="10"/>
  <c r="I86" i="10"/>
  <c r="AJ85" i="10"/>
  <c r="AI85" i="10"/>
  <c r="AH85" i="10"/>
  <c r="L85" i="10"/>
  <c r="J85" i="10"/>
  <c r="I85" i="10"/>
  <c r="AJ84" i="10"/>
  <c r="AI84" i="10"/>
  <c r="AH84" i="10"/>
  <c r="L84" i="10"/>
  <c r="J84" i="10"/>
  <c r="I84" i="10"/>
  <c r="AJ83" i="10"/>
  <c r="AI83" i="10"/>
  <c r="AH83" i="10"/>
  <c r="L83" i="10"/>
  <c r="J83" i="10"/>
  <c r="I83" i="10"/>
  <c r="AJ82" i="10"/>
  <c r="AI82" i="10"/>
  <c r="AH82" i="10"/>
  <c r="AE82" i="10"/>
  <c r="AD82" i="10"/>
  <c r="L82" i="10"/>
  <c r="J82" i="10"/>
  <c r="I82" i="10"/>
  <c r="AJ81" i="10"/>
  <c r="AI81" i="10"/>
  <c r="AH81" i="10"/>
  <c r="L81" i="10"/>
  <c r="J81" i="10"/>
  <c r="I81" i="10"/>
  <c r="AJ80" i="10"/>
  <c r="AI80" i="10"/>
  <c r="AH80" i="10"/>
  <c r="L80" i="10"/>
  <c r="J80" i="10"/>
  <c r="I80" i="10"/>
  <c r="AJ79" i="10"/>
  <c r="AI79" i="10"/>
  <c r="AH79" i="10"/>
  <c r="L79" i="10"/>
  <c r="J79" i="10"/>
  <c r="I79" i="10"/>
  <c r="AJ78" i="10"/>
  <c r="AI78" i="10"/>
  <c r="AH78" i="10"/>
  <c r="AE78" i="10"/>
  <c r="AD78" i="10"/>
  <c r="L78" i="10"/>
  <c r="J78" i="10"/>
  <c r="I78" i="10"/>
  <c r="AJ77" i="10"/>
  <c r="AI77" i="10"/>
  <c r="AH77" i="10"/>
  <c r="L77" i="10"/>
  <c r="J77" i="10"/>
  <c r="I77" i="10"/>
  <c r="AJ76" i="10"/>
  <c r="AI76" i="10"/>
  <c r="AH76" i="10"/>
  <c r="L76" i="10"/>
  <c r="J76" i="10"/>
  <c r="I76" i="10"/>
  <c r="AJ75" i="10"/>
  <c r="AI75" i="10"/>
  <c r="AH75" i="10"/>
  <c r="L75" i="10"/>
  <c r="J75" i="10"/>
  <c r="I75" i="10"/>
  <c r="AJ74" i="10"/>
  <c r="AI74" i="10"/>
  <c r="AH74" i="10"/>
  <c r="AE74" i="10"/>
  <c r="AD74" i="10"/>
  <c r="L74" i="10"/>
  <c r="J74" i="10"/>
  <c r="I74" i="10"/>
  <c r="AJ73" i="10"/>
  <c r="AI73" i="10"/>
  <c r="AH73" i="10"/>
  <c r="L73" i="10"/>
  <c r="J73" i="10"/>
  <c r="I73" i="10"/>
  <c r="AJ72" i="10"/>
  <c r="AI72" i="10"/>
  <c r="AH72" i="10"/>
  <c r="L72" i="10"/>
  <c r="J72" i="10"/>
  <c r="I72" i="10"/>
  <c r="AJ71" i="10"/>
  <c r="AI71" i="10"/>
  <c r="AH71" i="10"/>
  <c r="L71" i="10"/>
  <c r="J71" i="10"/>
  <c r="I71" i="10"/>
  <c r="AJ70" i="10"/>
  <c r="AI70" i="10"/>
  <c r="AH70" i="10"/>
  <c r="AE70" i="10"/>
  <c r="AD70" i="10"/>
  <c r="L70" i="10"/>
  <c r="J70" i="10"/>
  <c r="I70" i="10"/>
  <c r="AJ69" i="10"/>
  <c r="AI69" i="10"/>
  <c r="AH69" i="10"/>
  <c r="AE69" i="10"/>
  <c r="AD69" i="10"/>
  <c r="L69" i="10"/>
  <c r="E303" i="19" s="1"/>
  <c r="J69" i="10"/>
  <c r="C303" i="19" s="1"/>
  <c r="I303" i="19" s="1"/>
  <c r="J303" i="19" s="1"/>
  <c r="K303" i="19" s="1"/>
  <c r="I69" i="10"/>
  <c r="O128" i="22" s="1"/>
  <c r="AJ68" i="10"/>
  <c r="AI68" i="10"/>
  <c r="AH68" i="10"/>
  <c r="AE68" i="10"/>
  <c r="AD68" i="10"/>
  <c r="L68" i="10"/>
  <c r="E269" i="19" s="1"/>
  <c r="J68" i="10"/>
  <c r="C269" i="19" s="1"/>
  <c r="I269" i="19" s="1"/>
  <c r="J269" i="19" s="1"/>
  <c r="I68" i="10"/>
  <c r="O125" i="22" s="1"/>
  <c r="AJ67" i="10"/>
  <c r="AI67" i="10"/>
  <c r="AH67" i="10"/>
  <c r="AE67" i="10"/>
  <c r="AD67" i="10"/>
  <c r="L67" i="10"/>
  <c r="E231" i="19" s="1"/>
  <c r="J67" i="10"/>
  <c r="C231" i="19" s="1"/>
  <c r="I231" i="19" s="1"/>
  <c r="J231" i="19" s="1"/>
  <c r="I67" i="10"/>
  <c r="O122" i="22" s="1"/>
  <c r="AJ66" i="10"/>
  <c r="AI66" i="10"/>
  <c r="AH66" i="10"/>
  <c r="AE66" i="10"/>
  <c r="AD66" i="10"/>
  <c r="L66" i="10"/>
  <c r="E190" i="19" s="1"/>
  <c r="J66" i="10"/>
  <c r="C190" i="19" s="1"/>
  <c r="I190" i="19" s="1"/>
  <c r="J190" i="19" s="1"/>
  <c r="I66" i="10"/>
  <c r="O119" i="22" s="1"/>
  <c r="AJ65" i="10"/>
  <c r="AI65" i="10"/>
  <c r="AH65" i="10"/>
  <c r="AE65" i="10"/>
  <c r="AD65" i="10"/>
  <c r="L65" i="10"/>
  <c r="E304" i="19" s="1"/>
  <c r="J65" i="10"/>
  <c r="C304" i="19" s="1"/>
  <c r="I304" i="19" s="1"/>
  <c r="J304" i="19" s="1"/>
  <c r="K304" i="19" s="1"/>
  <c r="L304" i="19" s="1"/>
  <c r="M304" i="19" s="1"/>
  <c r="N304" i="19" s="1"/>
  <c r="R304" i="19" s="1"/>
  <c r="I65" i="10"/>
  <c r="O116" i="22" s="1"/>
  <c r="AJ64" i="10"/>
  <c r="AI64" i="10"/>
  <c r="AH64" i="10"/>
  <c r="AE64" i="10"/>
  <c r="AD64" i="10"/>
  <c r="L64" i="10"/>
  <c r="E268" i="19" s="1"/>
  <c r="J64" i="10"/>
  <c r="C268" i="19" s="1"/>
  <c r="I268" i="19" s="1"/>
  <c r="J268" i="19" s="1"/>
  <c r="I64" i="10"/>
  <c r="O113" i="22" s="1"/>
  <c r="AJ63" i="10"/>
  <c r="AI63" i="10"/>
  <c r="AH63" i="10"/>
  <c r="AE63" i="10"/>
  <c r="AD63" i="10"/>
  <c r="L63" i="10"/>
  <c r="E339" i="19" s="1"/>
  <c r="J63" i="10"/>
  <c r="C339" i="19" s="1"/>
  <c r="I339" i="19" s="1"/>
  <c r="J339" i="19" s="1"/>
  <c r="K339" i="19" s="1"/>
  <c r="L339" i="19" s="1"/>
  <c r="M339" i="19" s="1"/>
  <c r="N339" i="19" s="1"/>
  <c r="R339" i="19" s="1"/>
  <c r="I63" i="10"/>
  <c r="O110" i="22" s="1"/>
  <c r="AJ62" i="10"/>
  <c r="AI62" i="10"/>
  <c r="AH62" i="10"/>
  <c r="AE62" i="10"/>
  <c r="AD62" i="10"/>
  <c r="L62" i="10"/>
  <c r="E321" i="19" s="1"/>
  <c r="J62" i="10"/>
  <c r="C321" i="19" s="1"/>
  <c r="I321" i="19" s="1"/>
  <c r="J321" i="19" s="1"/>
  <c r="K321" i="19" s="1"/>
  <c r="L321" i="19" s="1"/>
  <c r="M321" i="19" s="1"/>
  <c r="N321" i="19" s="1"/>
  <c r="R321" i="19" s="1"/>
  <c r="I62" i="10"/>
  <c r="O107" i="22" s="1"/>
  <c r="AJ61" i="10"/>
  <c r="AI61" i="10"/>
  <c r="AH61" i="10"/>
  <c r="AE61" i="10"/>
  <c r="AD61" i="10"/>
  <c r="L61" i="10"/>
  <c r="E232" i="19" s="1"/>
  <c r="J61" i="10"/>
  <c r="C232" i="19" s="1"/>
  <c r="I232" i="19" s="1"/>
  <c r="J232" i="19" s="1"/>
  <c r="I61" i="10"/>
  <c r="O104" i="22" s="1"/>
  <c r="AJ60" i="10"/>
  <c r="AI60" i="10"/>
  <c r="AH60" i="10"/>
  <c r="AE60" i="10"/>
  <c r="AD60" i="10"/>
  <c r="L60" i="10"/>
  <c r="E189" i="19" s="1"/>
  <c r="J60" i="10"/>
  <c r="C189" i="19" s="1"/>
  <c r="I189" i="19" s="1"/>
  <c r="J189" i="19" s="1"/>
  <c r="K189" i="19" s="1"/>
  <c r="L189" i="19" s="1"/>
  <c r="M189" i="19" s="1"/>
  <c r="N189" i="19" s="1"/>
  <c r="R189" i="19" s="1"/>
  <c r="I60" i="10"/>
  <c r="O101" i="22" s="1"/>
  <c r="AJ59" i="10"/>
  <c r="AI59" i="10"/>
  <c r="AH59" i="10"/>
  <c r="AE59" i="10"/>
  <c r="AD59" i="10"/>
  <c r="L59" i="10"/>
  <c r="E305" i="19" s="1"/>
  <c r="J59" i="10"/>
  <c r="C305" i="19" s="1"/>
  <c r="I305" i="19" s="1"/>
  <c r="J305" i="19" s="1"/>
  <c r="I59" i="10"/>
  <c r="O98" i="22" s="1"/>
  <c r="AJ58" i="10"/>
  <c r="AI58" i="10"/>
  <c r="AH58" i="10"/>
  <c r="AE58" i="10"/>
  <c r="AD58" i="10"/>
  <c r="L58" i="10"/>
  <c r="E267" i="19" s="1"/>
  <c r="J58" i="10"/>
  <c r="C267" i="19" s="1"/>
  <c r="I267" i="19" s="1"/>
  <c r="J267" i="19" s="1"/>
  <c r="K267" i="19" s="1"/>
  <c r="I58" i="10"/>
  <c r="O95" i="22" s="1"/>
  <c r="AJ57" i="10"/>
  <c r="AI57" i="10"/>
  <c r="AH57" i="10"/>
  <c r="AE57" i="10"/>
  <c r="AD57" i="10"/>
  <c r="L57" i="10"/>
  <c r="E149" i="19" s="1"/>
  <c r="J57" i="10"/>
  <c r="C149" i="19" s="1"/>
  <c r="I149" i="19" s="1"/>
  <c r="J149" i="19" s="1"/>
  <c r="K149" i="19" s="1"/>
  <c r="L149" i="19" s="1"/>
  <c r="M149" i="19" s="1"/>
  <c r="N149" i="19" s="1"/>
  <c r="R149" i="19" s="1"/>
  <c r="I57" i="10"/>
  <c r="O92" i="22" s="1"/>
  <c r="AJ56" i="10"/>
  <c r="AI56" i="10"/>
  <c r="AH56" i="10"/>
  <c r="AE56" i="10"/>
  <c r="AD56" i="10"/>
  <c r="L56" i="10"/>
  <c r="E109" i="19" s="1"/>
  <c r="J56" i="10"/>
  <c r="C109" i="19" s="1"/>
  <c r="I109" i="19" s="1"/>
  <c r="J109" i="19" s="1"/>
  <c r="I56" i="10"/>
  <c r="O89" i="22" s="1"/>
  <c r="AJ55" i="10"/>
  <c r="AI55" i="10"/>
  <c r="AH55" i="10"/>
  <c r="AE55" i="10"/>
  <c r="AD55" i="10"/>
  <c r="L55" i="10"/>
  <c r="E260" i="19" s="1"/>
  <c r="J55" i="10"/>
  <c r="C260" i="19" s="1"/>
  <c r="I260" i="19" s="1"/>
  <c r="J260" i="19" s="1"/>
  <c r="I55" i="10"/>
  <c r="O86" i="22" s="1"/>
  <c r="AJ54" i="10"/>
  <c r="AI54" i="10"/>
  <c r="AH54" i="10"/>
  <c r="AE54" i="10"/>
  <c r="AD54" i="10"/>
  <c r="L54" i="10"/>
  <c r="E242" i="19" s="1"/>
  <c r="J54" i="10"/>
  <c r="C242" i="19" s="1"/>
  <c r="I242" i="19" s="1"/>
  <c r="J242" i="19" s="1"/>
  <c r="I54" i="10"/>
  <c r="O83" i="22" s="1"/>
  <c r="AJ53" i="10"/>
  <c r="AI53" i="10"/>
  <c r="AH53" i="10"/>
  <c r="AE53" i="10"/>
  <c r="AD53" i="10"/>
  <c r="L53" i="10"/>
  <c r="E61" i="19" s="1"/>
  <c r="J53" i="10"/>
  <c r="C61" i="19" s="1"/>
  <c r="I61" i="19" s="1"/>
  <c r="J61" i="19" s="1"/>
  <c r="K61" i="19" s="1"/>
  <c r="L61" i="19" s="1"/>
  <c r="M61" i="19" s="1"/>
  <c r="N61" i="19" s="1"/>
  <c r="I53" i="10"/>
  <c r="O80" i="22" s="1"/>
  <c r="AJ52" i="10"/>
  <c r="AI52" i="10"/>
  <c r="AH52" i="10"/>
  <c r="AE52" i="10"/>
  <c r="AD52" i="10"/>
  <c r="L52" i="10"/>
  <c r="E29" i="19" s="1"/>
  <c r="J52" i="10"/>
  <c r="C29" i="19" s="1"/>
  <c r="I29" i="19" s="1"/>
  <c r="J29" i="19" s="1"/>
  <c r="I52" i="10"/>
  <c r="O77" i="22" s="1"/>
  <c r="AJ51" i="10"/>
  <c r="AI51" i="10"/>
  <c r="AH51" i="10"/>
  <c r="AE51" i="10"/>
  <c r="AD51" i="10"/>
  <c r="L51" i="10"/>
  <c r="E151" i="19" s="1"/>
  <c r="J51" i="10"/>
  <c r="C151" i="19" s="1"/>
  <c r="I151" i="19" s="1"/>
  <c r="J151" i="19" s="1"/>
  <c r="K151" i="19" s="1"/>
  <c r="L151" i="19" s="1"/>
  <c r="M151" i="19" s="1"/>
  <c r="N151" i="19" s="1"/>
  <c r="R151" i="19" s="1"/>
  <c r="I51" i="10"/>
  <c r="O74" i="22" s="1"/>
  <c r="AJ50" i="10"/>
  <c r="AI50" i="10"/>
  <c r="AH50" i="10"/>
  <c r="AE50" i="10"/>
  <c r="AD50" i="10"/>
  <c r="L50" i="10"/>
  <c r="E108" i="19" s="1"/>
  <c r="J50" i="10"/>
  <c r="C108" i="19" s="1"/>
  <c r="I108" i="19" s="1"/>
  <c r="J108" i="19" s="1"/>
  <c r="I50" i="10"/>
  <c r="O71" i="22" s="1"/>
  <c r="AJ49" i="10"/>
  <c r="AI49" i="10"/>
  <c r="AH49" i="10"/>
  <c r="AE49" i="10"/>
  <c r="AD49" i="10"/>
  <c r="L49" i="10"/>
  <c r="E60" i="19" s="1"/>
  <c r="J49" i="10"/>
  <c r="C60" i="19" s="1"/>
  <c r="I60" i="19" s="1"/>
  <c r="J60" i="19" s="1"/>
  <c r="I49" i="10"/>
  <c r="O68" i="22" s="1"/>
  <c r="AJ48" i="10"/>
  <c r="AI48" i="10"/>
  <c r="AH48" i="10"/>
  <c r="AE48" i="10"/>
  <c r="AD48" i="10"/>
  <c r="L48" i="10"/>
  <c r="E28" i="19" s="1"/>
  <c r="J48" i="10"/>
  <c r="C28" i="19" s="1"/>
  <c r="I28" i="19" s="1"/>
  <c r="J28" i="19" s="1"/>
  <c r="K28" i="19" s="1"/>
  <c r="L28" i="19" s="1"/>
  <c r="M28" i="19" s="1"/>
  <c r="N28" i="19" s="1"/>
  <c r="I48" i="10"/>
  <c r="O65" i="22" s="1"/>
  <c r="AJ47" i="10"/>
  <c r="AI47" i="10"/>
  <c r="AH47" i="10"/>
  <c r="AE47" i="10"/>
  <c r="AD47" i="10"/>
  <c r="L47" i="10"/>
  <c r="E178" i="19" s="1"/>
  <c r="J47" i="10"/>
  <c r="C178" i="19" s="1"/>
  <c r="I178" i="19" s="1"/>
  <c r="J178" i="19" s="1"/>
  <c r="I47" i="10"/>
  <c r="O62" i="22" s="1"/>
  <c r="AJ46" i="10"/>
  <c r="AI46" i="10"/>
  <c r="AH46" i="10"/>
  <c r="AE46" i="10"/>
  <c r="AD46" i="10"/>
  <c r="L46" i="10"/>
  <c r="E163" i="19" s="1"/>
  <c r="J46" i="10"/>
  <c r="C163" i="19" s="1"/>
  <c r="I163" i="19" s="1"/>
  <c r="J163" i="19" s="1"/>
  <c r="K163" i="19" s="1"/>
  <c r="L163" i="19" s="1"/>
  <c r="M163" i="19" s="1"/>
  <c r="N163" i="19" s="1"/>
  <c r="R163" i="19" s="1"/>
  <c r="I46" i="10"/>
  <c r="O59" i="22" s="1"/>
  <c r="AJ45" i="10"/>
  <c r="AI45" i="10"/>
  <c r="AH45" i="10"/>
  <c r="AE45" i="10"/>
  <c r="AD45" i="10"/>
  <c r="L45" i="10"/>
  <c r="E150" i="19" s="1"/>
  <c r="J45" i="10"/>
  <c r="C150" i="19" s="1"/>
  <c r="I150" i="19" s="1"/>
  <c r="J150" i="19" s="1"/>
  <c r="K150" i="19" s="1"/>
  <c r="L150" i="19" s="1"/>
  <c r="M150" i="19" s="1"/>
  <c r="N150" i="19" s="1"/>
  <c r="R150" i="19" s="1"/>
  <c r="I45" i="10"/>
  <c r="O56" i="22" s="1"/>
  <c r="AJ44" i="10"/>
  <c r="AI44" i="10"/>
  <c r="AH44" i="10"/>
  <c r="AE44" i="10"/>
  <c r="AD44" i="10"/>
  <c r="L44" i="10"/>
  <c r="E107" i="19" s="1"/>
  <c r="J44" i="10"/>
  <c r="C107" i="19" s="1"/>
  <c r="I107" i="19" s="1"/>
  <c r="J107" i="19" s="1"/>
  <c r="I44" i="10"/>
  <c r="O53" i="22" s="1"/>
  <c r="AJ43" i="10"/>
  <c r="AI43" i="10"/>
  <c r="AH43" i="10"/>
  <c r="AE43" i="10"/>
  <c r="AD43" i="10"/>
  <c r="L43" i="10"/>
  <c r="E59" i="19" s="1"/>
  <c r="J43" i="10"/>
  <c r="C59" i="19" s="1"/>
  <c r="I59" i="19" s="1"/>
  <c r="J59" i="19" s="1"/>
  <c r="I43" i="10"/>
  <c r="O50" i="22" s="1"/>
  <c r="AJ42" i="10"/>
  <c r="AI42" i="10"/>
  <c r="AH42" i="10"/>
  <c r="AE42" i="10"/>
  <c r="AD42" i="10"/>
  <c r="L42" i="10"/>
  <c r="E27" i="19" s="1"/>
  <c r="J42" i="10"/>
  <c r="C27" i="19" s="1"/>
  <c r="I27" i="19" s="1"/>
  <c r="J27" i="19" s="1"/>
  <c r="I42" i="10"/>
  <c r="O47" i="22" s="1"/>
  <c r="AJ41" i="10"/>
  <c r="AI41" i="10"/>
  <c r="AH41" i="10"/>
  <c r="AE41" i="10"/>
  <c r="AD41" i="10"/>
  <c r="L41" i="10"/>
  <c r="E234" i="19" s="1"/>
  <c r="J41" i="10"/>
  <c r="C234" i="19" s="1"/>
  <c r="I234" i="19" s="1"/>
  <c r="J234" i="19" s="1"/>
  <c r="K234" i="19" s="1"/>
  <c r="L234" i="19" s="1"/>
  <c r="M234" i="19" s="1"/>
  <c r="N234" i="19" s="1"/>
  <c r="R234" i="19" s="1"/>
  <c r="I41" i="10"/>
  <c r="O44" i="22" s="1"/>
  <c r="AJ40" i="10"/>
  <c r="AI40" i="10"/>
  <c r="AH40" i="10"/>
  <c r="AE40" i="10"/>
  <c r="AD40" i="10"/>
  <c r="L40" i="10"/>
  <c r="E187" i="19" s="1"/>
  <c r="J40" i="10"/>
  <c r="C187" i="19" s="1"/>
  <c r="I187" i="19" s="1"/>
  <c r="J187" i="19" s="1"/>
  <c r="I40" i="10"/>
  <c r="O41" i="22" s="1"/>
  <c r="AJ39" i="10"/>
  <c r="AI39" i="10"/>
  <c r="AH39" i="10"/>
  <c r="AE39" i="10"/>
  <c r="AD39" i="10"/>
  <c r="L39" i="10"/>
  <c r="E98" i="19" s="1"/>
  <c r="J39" i="10"/>
  <c r="C98" i="19" s="1"/>
  <c r="I98" i="19" s="1"/>
  <c r="J98" i="19" s="1"/>
  <c r="I39" i="10"/>
  <c r="O38" i="22" s="1"/>
  <c r="AJ38" i="10"/>
  <c r="AI38" i="10"/>
  <c r="AH38" i="10"/>
  <c r="AE38" i="10"/>
  <c r="AD38" i="10"/>
  <c r="L38" i="10"/>
  <c r="E83" i="19" s="1"/>
  <c r="J38" i="10"/>
  <c r="C83" i="19" s="1"/>
  <c r="I83" i="19" s="1"/>
  <c r="J83" i="19" s="1"/>
  <c r="K83" i="19" s="1"/>
  <c r="I38" i="10"/>
  <c r="O35" i="22" s="1"/>
  <c r="AJ37" i="10"/>
  <c r="AI37" i="10"/>
  <c r="AH37" i="10"/>
  <c r="L37" i="10"/>
  <c r="J37" i="10"/>
  <c r="I37" i="10"/>
  <c r="AJ36" i="10"/>
  <c r="AI36" i="10"/>
  <c r="AH36" i="10"/>
  <c r="L36" i="10"/>
  <c r="J36" i="10"/>
  <c r="I36" i="10"/>
  <c r="AJ35" i="10"/>
  <c r="AI35" i="10"/>
  <c r="AH35" i="10"/>
  <c r="L35" i="10"/>
  <c r="J35" i="10"/>
  <c r="I35" i="10"/>
  <c r="AJ34" i="10"/>
  <c r="AI34" i="10"/>
  <c r="AH34" i="10"/>
  <c r="AE34" i="10"/>
  <c r="AD34" i="10"/>
  <c r="L34" i="10"/>
  <c r="J34" i="10"/>
  <c r="I34" i="10"/>
  <c r="AJ33" i="10"/>
  <c r="AI33" i="10"/>
  <c r="AH33" i="10"/>
  <c r="L33" i="10"/>
  <c r="J33" i="10"/>
  <c r="I33" i="10"/>
  <c r="AJ32" i="10"/>
  <c r="AI32" i="10"/>
  <c r="AH32" i="10"/>
  <c r="L32" i="10"/>
  <c r="J32" i="10"/>
  <c r="I32" i="10"/>
  <c r="AJ31" i="10"/>
  <c r="AI31" i="10"/>
  <c r="AH31" i="10"/>
  <c r="L31" i="10"/>
  <c r="J31" i="10"/>
  <c r="I31" i="10"/>
  <c r="AJ30" i="10"/>
  <c r="AI30" i="10"/>
  <c r="AH30" i="10"/>
  <c r="AE30" i="10"/>
  <c r="AD30" i="10"/>
  <c r="L30" i="10"/>
  <c r="J30" i="10"/>
  <c r="I30" i="10"/>
  <c r="AJ29" i="10"/>
  <c r="AI29" i="10"/>
  <c r="AH29" i="10"/>
  <c r="L29" i="10"/>
  <c r="J29" i="10"/>
  <c r="I29" i="10"/>
  <c r="AJ28" i="10"/>
  <c r="AI28" i="10"/>
  <c r="AH28" i="10"/>
  <c r="L28" i="10"/>
  <c r="J28" i="10"/>
  <c r="I28" i="10"/>
  <c r="AJ27" i="10"/>
  <c r="AI27" i="10"/>
  <c r="AH27" i="10"/>
  <c r="L27" i="10"/>
  <c r="J27" i="10"/>
  <c r="I27" i="10"/>
  <c r="AJ26" i="10"/>
  <c r="AI26" i="10"/>
  <c r="AH26" i="10"/>
  <c r="AE26" i="10"/>
  <c r="AD26" i="10"/>
  <c r="L26" i="10"/>
  <c r="J26" i="10"/>
  <c r="I26" i="10"/>
  <c r="AJ25" i="10"/>
  <c r="AI25" i="10"/>
  <c r="AH25" i="10"/>
  <c r="L25" i="10"/>
  <c r="J25" i="10"/>
  <c r="I25" i="10"/>
  <c r="AJ24" i="10"/>
  <c r="AI24" i="10"/>
  <c r="AH24" i="10"/>
  <c r="L24" i="10"/>
  <c r="J24" i="10"/>
  <c r="I24" i="10"/>
  <c r="AJ23" i="10"/>
  <c r="AI23" i="10"/>
  <c r="AH23" i="10"/>
  <c r="L23" i="10"/>
  <c r="J23" i="10"/>
  <c r="I23" i="10"/>
  <c r="AJ22" i="10"/>
  <c r="AI22" i="10"/>
  <c r="AH22" i="10"/>
  <c r="AE22" i="10"/>
  <c r="AD22" i="10"/>
  <c r="N22" i="10"/>
  <c r="L22" i="10"/>
  <c r="J22" i="10"/>
  <c r="I22" i="10"/>
  <c r="AJ21" i="10"/>
  <c r="AI21" i="10"/>
  <c r="AH21" i="10"/>
  <c r="L21" i="10"/>
  <c r="J21" i="10"/>
  <c r="I21" i="10"/>
  <c r="AJ20" i="10"/>
  <c r="AI20" i="10"/>
  <c r="AH20" i="10"/>
  <c r="L20" i="10"/>
  <c r="J20" i="10"/>
  <c r="I20" i="10"/>
  <c r="AJ19" i="10"/>
  <c r="AI19" i="10"/>
  <c r="AH19" i="10"/>
  <c r="L19" i="10"/>
  <c r="J19" i="10"/>
  <c r="I19" i="10"/>
  <c r="AJ18" i="10"/>
  <c r="AI18" i="10"/>
  <c r="AH18" i="10"/>
  <c r="AE18" i="10"/>
  <c r="AD18" i="10"/>
  <c r="L18" i="10"/>
  <c r="J18" i="10"/>
  <c r="I18" i="10"/>
  <c r="AJ17" i="10"/>
  <c r="AI17" i="10"/>
  <c r="AH17" i="10"/>
  <c r="L17" i="10"/>
  <c r="J17" i="10"/>
  <c r="I17" i="10"/>
  <c r="AJ16" i="10"/>
  <c r="AI16" i="10"/>
  <c r="AH16" i="10"/>
  <c r="L16" i="10"/>
  <c r="J16" i="10"/>
  <c r="I16" i="10"/>
  <c r="AJ15" i="10"/>
  <c r="AI15" i="10"/>
  <c r="AH15" i="10"/>
  <c r="L15" i="10"/>
  <c r="J15" i="10"/>
  <c r="I15" i="10"/>
  <c r="AJ14" i="10"/>
  <c r="AI14" i="10"/>
  <c r="AH14" i="10"/>
  <c r="AE14" i="10"/>
  <c r="AD14" i="10"/>
  <c r="L14" i="10"/>
  <c r="J14" i="10"/>
  <c r="I14" i="10"/>
  <c r="AJ13" i="10"/>
  <c r="AI13" i="10"/>
  <c r="AH13" i="10"/>
  <c r="L13" i="10"/>
  <c r="J13" i="10"/>
  <c r="I13" i="10"/>
  <c r="AJ12" i="10"/>
  <c r="AI12" i="10"/>
  <c r="AH12" i="10"/>
  <c r="L12" i="10"/>
  <c r="J12" i="10"/>
  <c r="I12" i="10"/>
  <c r="AJ11" i="10"/>
  <c r="AI11" i="10"/>
  <c r="AH11" i="10"/>
  <c r="L11" i="10"/>
  <c r="J11" i="10"/>
  <c r="I11" i="10"/>
  <c r="AJ10" i="10"/>
  <c r="AI10" i="10"/>
  <c r="AH10" i="10"/>
  <c r="AE10" i="10"/>
  <c r="AD10" i="10"/>
  <c r="L10" i="10"/>
  <c r="J10" i="10"/>
  <c r="I10" i="10"/>
  <c r="AJ9" i="10"/>
  <c r="AI9" i="10"/>
  <c r="AH9" i="10"/>
  <c r="L9" i="10"/>
  <c r="J9" i="10"/>
  <c r="I9" i="10"/>
  <c r="AJ8" i="10"/>
  <c r="AI8" i="10"/>
  <c r="AH8" i="10"/>
  <c r="L8" i="10"/>
  <c r="J8" i="10"/>
  <c r="I8" i="10"/>
  <c r="AJ7" i="10"/>
  <c r="AI7" i="10"/>
  <c r="AH7" i="10"/>
  <c r="L7" i="10"/>
  <c r="J7" i="10"/>
  <c r="I7" i="10"/>
  <c r="AJ6" i="10"/>
  <c r="AI6" i="10"/>
  <c r="AH6" i="10"/>
  <c r="AE6" i="10"/>
  <c r="AD6" i="10"/>
  <c r="L6" i="10"/>
  <c r="J6" i="10"/>
  <c r="I6" i="10"/>
  <c r="AJ5" i="10"/>
  <c r="AI5" i="10"/>
  <c r="AH5" i="10"/>
  <c r="AE5" i="10"/>
  <c r="AD5" i="10"/>
  <c r="L5" i="10"/>
  <c r="E13" i="19" s="1"/>
  <c r="J5" i="10"/>
  <c r="C13" i="19" s="1"/>
  <c r="I13" i="19" s="1"/>
  <c r="J13" i="19" s="1"/>
  <c r="K13" i="19" s="1"/>
  <c r="I5" i="10"/>
  <c r="O16" i="22" s="1"/>
  <c r="D5" i="10"/>
  <c r="AJ4" i="10"/>
  <c r="AI4" i="10"/>
  <c r="AH4" i="10"/>
  <c r="AE4" i="10"/>
  <c r="AD4" i="10"/>
  <c r="L4" i="10"/>
  <c r="E3" i="19" s="1"/>
  <c r="J4" i="10"/>
  <c r="C3" i="19" s="1"/>
  <c r="I3" i="19" s="1"/>
  <c r="J3" i="19" s="1"/>
  <c r="K3" i="19" s="1"/>
  <c r="L3" i="19" s="1"/>
  <c r="I4" i="10"/>
  <c r="O13" i="22" s="1"/>
  <c r="D4" i="10"/>
  <c r="AH3" i="10"/>
  <c r="K2" i="10"/>
  <c r="AH1" i="10"/>
  <c r="AD1" i="10" a="1"/>
  <c r="AD1" i="10" s="1"/>
  <c r="AJ109" i="9"/>
  <c r="AI109" i="9"/>
  <c r="AH109" i="9"/>
  <c r="L109" i="9"/>
  <c r="AJ108" i="9"/>
  <c r="AI108" i="9"/>
  <c r="AH108" i="9"/>
  <c r="L108" i="9"/>
  <c r="AJ107" i="9"/>
  <c r="AI107" i="9"/>
  <c r="AH107" i="9"/>
  <c r="L107" i="9"/>
  <c r="AJ106" i="9"/>
  <c r="AI106" i="9"/>
  <c r="AH106" i="9"/>
  <c r="L106" i="9"/>
  <c r="AJ105" i="9"/>
  <c r="AI105" i="9"/>
  <c r="AH105" i="9"/>
  <c r="L105" i="9"/>
  <c r="AJ104" i="9"/>
  <c r="AI104" i="9"/>
  <c r="AH104" i="9"/>
  <c r="L104" i="9"/>
  <c r="AJ103" i="9"/>
  <c r="AI103" i="9"/>
  <c r="AH103" i="9"/>
  <c r="L103" i="9"/>
  <c r="AJ102" i="9"/>
  <c r="AI102" i="9"/>
  <c r="AH102" i="9"/>
  <c r="AE102" i="9"/>
  <c r="AD102" i="9"/>
  <c r="L102" i="9"/>
  <c r="AJ101" i="9"/>
  <c r="AI101" i="9"/>
  <c r="AH101" i="9"/>
  <c r="L101" i="9"/>
  <c r="J101" i="9"/>
  <c r="I101" i="9"/>
  <c r="AJ100" i="9"/>
  <c r="AI100" i="9"/>
  <c r="AH100" i="9"/>
  <c r="L100" i="9"/>
  <c r="J100" i="9"/>
  <c r="I100" i="9"/>
  <c r="AJ99" i="9"/>
  <c r="AI99" i="9"/>
  <c r="AH99" i="9"/>
  <c r="L99" i="9"/>
  <c r="J99" i="9"/>
  <c r="I99" i="9"/>
  <c r="AJ98" i="9"/>
  <c r="AI98" i="9"/>
  <c r="AH98" i="9"/>
  <c r="AE98" i="9"/>
  <c r="AD98" i="9"/>
  <c r="L98" i="9"/>
  <c r="J98" i="9"/>
  <c r="I98" i="9"/>
  <c r="AJ97" i="9"/>
  <c r="AI97" i="9"/>
  <c r="AH97" i="9"/>
  <c r="L97" i="9"/>
  <c r="J97" i="9"/>
  <c r="I97" i="9"/>
  <c r="AJ96" i="9"/>
  <c r="AI96" i="9"/>
  <c r="AH96" i="9"/>
  <c r="L96" i="9"/>
  <c r="J96" i="9"/>
  <c r="I96" i="9"/>
  <c r="AJ95" i="9"/>
  <c r="AI95" i="9"/>
  <c r="AH95" i="9"/>
  <c r="L95" i="9"/>
  <c r="J95" i="9"/>
  <c r="I95" i="9"/>
  <c r="AJ94" i="9"/>
  <c r="AI94" i="9"/>
  <c r="AH94" i="9"/>
  <c r="AE94" i="9"/>
  <c r="AD94" i="9"/>
  <c r="L94" i="9"/>
  <c r="J94" i="9"/>
  <c r="I94" i="9"/>
  <c r="AJ93" i="9"/>
  <c r="AI93" i="9"/>
  <c r="AH93" i="9"/>
  <c r="L93" i="9"/>
  <c r="J93" i="9"/>
  <c r="I93" i="9"/>
  <c r="AJ92" i="9"/>
  <c r="AI92" i="9"/>
  <c r="AH92" i="9"/>
  <c r="L92" i="9"/>
  <c r="J92" i="9"/>
  <c r="I92" i="9"/>
  <c r="AJ91" i="9"/>
  <c r="AI91" i="9"/>
  <c r="AH91" i="9"/>
  <c r="L91" i="9"/>
  <c r="J91" i="9"/>
  <c r="I91" i="9"/>
  <c r="AJ90" i="9"/>
  <c r="AI90" i="9"/>
  <c r="AH90" i="9"/>
  <c r="AE90" i="9"/>
  <c r="AD90" i="9"/>
  <c r="L90" i="9"/>
  <c r="J90" i="9"/>
  <c r="I90" i="9"/>
  <c r="AJ89" i="9"/>
  <c r="AI89" i="9"/>
  <c r="AH89" i="9"/>
  <c r="L89" i="9"/>
  <c r="J89" i="9"/>
  <c r="I89" i="9"/>
  <c r="AJ88" i="9"/>
  <c r="AI88" i="9"/>
  <c r="AH88" i="9"/>
  <c r="L88" i="9"/>
  <c r="J88" i="9"/>
  <c r="I88" i="9"/>
  <c r="AJ87" i="9"/>
  <c r="AI87" i="9"/>
  <c r="AH87" i="9"/>
  <c r="L87" i="9"/>
  <c r="J87" i="9"/>
  <c r="I87" i="9"/>
  <c r="AJ86" i="9"/>
  <c r="AI86" i="9"/>
  <c r="AH86" i="9"/>
  <c r="AE86" i="9"/>
  <c r="AD86" i="9"/>
  <c r="L86" i="9"/>
  <c r="J86" i="9"/>
  <c r="I86" i="9"/>
  <c r="AJ85" i="9"/>
  <c r="AI85" i="9"/>
  <c r="AH85" i="9"/>
  <c r="L85" i="9"/>
  <c r="J85" i="9"/>
  <c r="I85" i="9"/>
  <c r="AJ84" i="9"/>
  <c r="AI84" i="9"/>
  <c r="AH84" i="9"/>
  <c r="L84" i="9"/>
  <c r="J84" i="9"/>
  <c r="I84" i="9"/>
  <c r="AJ83" i="9"/>
  <c r="AI83" i="9"/>
  <c r="AH83" i="9"/>
  <c r="L83" i="9"/>
  <c r="J83" i="9"/>
  <c r="I83" i="9"/>
  <c r="AJ82" i="9"/>
  <c r="AI82" i="9"/>
  <c r="AH82" i="9"/>
  <c r="AE82" i="9"/>
  <c r="AD82" i="9"/>
  <c r="L82" i="9"/>
  <c r="J82" i="9"/>
  <c r="I82" i="9"/>
  <c r="AJ81" i="9"/>
  <c r="AI81" i="9"/>
  <c r="AH81" i="9"/>
  <c r="L81" i="9"/>
  <c r="J81" i="9"/>
  <c r="I81" i="9"/>
  <c r="AJ80" i="9"/>
  <c r="AI80" i="9"/>
  <c r="AH80" i="9"/>
  <c r="L80" i="9"/>
  <c r="J80" i="9"/>
  <c r="I80" i="9"/>
  <c r="AJ79" i="9"/>
  <c r="AI79" i="9"/>
  <c r="AH79" i="9"/>
  <c r="L79" i="9"/>
  <c r="J79" i="9"/>
  <c r="I79" i="9"/>
  <c r="AJ78" i="9"/>
  <c r="AI78" i="9"/>
  <c r="AH78" i="9"/>
  <c r="AE78" i="9"/>
  <c r="AD78" i="9"/>
  <c r="L78" i="9"/>
  <c r="J78" i="9"/>
  <c r="I78" i="9"/>
  <c r="AJ77" i="9"/>
  <c r="AI77" i="9"/>
  <c r="AH77" i="9"/>
  <c r="L77" i="9"/>
  <c r="J77" i="9"/>
  <c r="I77" i="9"/>
  <c r="AJ76" i="9"/>
  <c r="AI76" i="9"/>
  <c r="AH76" i="9"/>
  <c r="L76" i="9"/>
  <c r="J76" i="9"/>
  <c r="I76" i="9"/>
  <c r="AJ75" i="9"/>
  <c r="AI75" i="9"/>
  <c r="AH75" i="9"/>
  <c r="L75" i="9"/>
  <c r="J75" i="9"/>
  <c r="I75" i="9"/>
  <c r="AJ74" i="9"/>
  <c r="AI74" i="9"/>
  <c r="AH74" i="9"/>
  <c r="AE74" i="9"/>
  <c r="AD74" i="9"/>
  <c r="L74" i="9"/>
  <c r="J74" i="9"/>
  <c r="I74" i="9"/>
  <c r="AJ73" i="9"/>
  <c r="AI73" i="9"/>
  <c r="AH73" i="9"/>
  <c r="L73" i="9"/>
  <c r="J73" i="9"/>
  <c r="I73" i="9"/>
  <c r="AJ72" i="9"/>
  <c r="AI72" i="9"/>
  <c r="AH72" i="9"/>
  <c r="L72" i="9"/>
  <c r="J72" i="9"/>
  <c r="I72" i="9"/>
  <c r="AJ71" i="9"/>
  <c r="AI71" i="9"/>
  <c r="AH71" i="9"/>
  <c r="L71" i="9"/>
  <c r="J71" i="9"/>
  <c r="I71" i="9"/>
  <c r="AJ70" i="9"/>
  <c r="AI70" i="9"/>
  <c r="AH70" i="9"/>
  <c r="AE70" i="9"/>
  <c r="AD70" i="9"/>
  <c r="L70" i="9"/>
  <c r="J70" i="9"/>
  <c r="I70" i="9"/>
  <c r="AJ69" i="9"/>
  <c r="AI69" i="9"/>
  <c r="AH69" i="9"/>
  <c r="AD69" i="9"/>
  <c r="L69" i="9"/>
  <c r="E306" i="19" s="1"/>
  <c r="J69" i="9"/>
  <c r="C306" i="19" s="1"/>
  <c r="I306" i="19" s="1"/>
  <c r="J306" i="19" s="1"/>
  <c r="K306" i="19" s="1"/>
  <c r="L306" i="19" s="1"/>
  <c r="M306" i="19" s="1"/>
  <c r="N306" i="19" s="1"/>
  <c r="I69" i="9"/>
  <c r="L128" i="22" s="1"/>
  <c r="D69" i="9"/>
  <c r="C69" i="9"/>
  <c r="B69" i="9"/>
  <c r="AE69" i="9" s="1"/>
  <c r="AJ68" i="9"/>
  <c r="AI68" i="9"/>
  <c r="AH68" i="9"/>
  <c r="AE68" i="9"/>
  <c r="AD68" i="9"/>
  <c r="L68" i="9"/>
  <c r="E266" i="19" s="1"/>
  <c r="J68" i="9"/>
  <c r="C266" i="19" s="1"/>
  <c r="I266" i="19" s="1"/>
  <c r="J266" i="19" s="1"/>
  <c r="I68" i="9"/>
  <c r="L125" i="22" s="1"/>
  <c r="B68" i="9"/>
  <c r="AJ67" i="9"/>
  <c r="AI67" i="9"/>
  <c r="AH67" i="9"/>
  <c r="AE67" i="9"/>
  <c r="AD67" i="9"/>
  <c r="L67" i="9"/>
  <c r="E235" i="19" s="1"/>
  <c r="J67" i="9"/>
  <c r="C235" i="19" s="1"/>
  <c r="I235" i="19" s="1"/>
  <c r="J235" i="19" s="1"/>
  <c r="I67" i="9"/>
  <c r="L122" i="22" s="1"/>
  <c r="B67" i="9"/>
  <c r="AJ66" i="9"/>
  <c r="AI66" i="9"/>
  <c r="AH66" i="9"/>
  <c r="AE66" i="9"/>
  <c r="AD66" i="9"/>
  <c r="L66" i="9"/>
  <c r="E186" i="19" s="1"/>
  <c r="J66" i="9"/>
  <c r="C186" i="19" s="1"/>
  <c r="I186" i="19" s="1"/>
  <c r="J186" i="19" s="1"/>
  <c r="I66" i="9"/>
  <c r="L119" i="22" s="1"/>
  <c r="B66" i="9"/>
  <c r="AJ65" i="9"/>
  <c r="AI65" i="9"/>
  <c r="AH65" i="9"/>
  <c r="AE65" i="9"/>
  <c r="AD65" i="9"/>
  <c r="L65" i="9"/>
  <c r="E310" i="19" s="1"/>
  <c r="J65" i="9"/>
  <c r="C310" i="19" s="1"/>
  <c r="I310" i="19" s="1"/>
  <c r="J310" i="19" s="1"/>
  <c r="I65" i="9"/>
  <c r="L116" i="22" s="1"/>
  <c r="B65" i="9"/>
  <c r="AJ64" i="9"/>
  <c r="AI64" i="9"/>
  <c r="AH64" i="9"/>
  <c r="AE64" i="9"/>
  <c r="AD64" i="9"/>
  <c r="L64" i="9"/>
  <c r="E265" i="19" s="1"/>
  <c r="J64" i="9"/>
  <c r="C265" i="19" s="1"/>
  <c r="I265" i="19" s="1"/>
  <c r="J265" i="19" s="1"/>
  <c r="I64" i="9"/>
  <c r="L113" i="22" s="1"/>
  <c r="B64" i="9"/>
  <c r="AJ63" i="9"/>
  <c r="AI63" i="9"/>
  <c r="AH63" i="9"/>
  <c r="AE63" i="9"/>
  <c r="AD63" i="9"/>
  <c r="L63" i="9"/>
  <c r="E338" i="19" s="1"/>
  <c r="J63" i="9"/>
  <c r="C338" i="19" s="1"/>
  <c r="I338" i="19" s="1"/>
  <c r="J338" i="19" s="1"/>
  <c r="I63" i="9"/>
  <c r="L110" i="22" s="1"/>
  <c r="B63" i="9"/>
  <c r="AJ62" i="9"/>
  <c r="AI62" i="9"/>
  <c r="AH62" i="9"/>
  <c r="AE62" i="9"/>
  <c r="AD62" i="9"/>
  <c r="L62" i="9"/>
  <c r="E322" i="19" s="1"/>
  <c r="J62" i="9"/>
  <c r="C322" i="19" s="1"/>
  <c r="I322" i="19" s="1"/>
  <c r="J322" i="19" s="1"/>
  <c r="I62" i="9"/>
  <c r="L107" i="22" s="1"/>
  <c r="B62" i="9"/>
  <c r="AJ61" i="9"/>
  <c r="AI61" i="9"/>
  <c r="AH61" i="9"/>
  <c r="AE61" i="9"/>
  <c r="AD61" i="9"/>
  <c r="L61" i="9"/>
  <c r="E236" i="19" s="1"/>
  <c r="J61" i="9"/>
  <c r="C236" i="19" s="1"/>
  <c r="I236" i="19" s="1"/>
  <c r="J236" i="19" s="1"/>
  <c r="I61" i="9"/>
  <c r="L104" i="22" s="1"/>
  <c r="B61" i="9"/>
  <c r="AJ60" i="9"/>
  <c r="AI60" i="9"/>
  <c r="AH60" i="9"/>
  <c r="AE60" i="9"/>
  <c r="AD60" i="9"/>
  <c r="L60" i="9"/>
  <c r="E185" i="19" s="1"/>
  <c r="J60" i="9"/>
  <c r="C185" i="19" s="1"/>
  <c r="I185" i="19" s="1"/>
  <c r="J185" i="19" s="1"/>
  <c r="I60" i="9"/>
  <c r="L101" i="22" s="1"/>
  <c r="B60" i="9"/>
  <c r="AJ59" i="9"/>
  <c r="AI59" i="9"/>
  <c r="AH59" i="9"/>
  <c r="AE59" i="9"/>
  <c r="AD59" i="9"/>
  <c r="L59" i="9"/>
  <c r="E309" i="19" s="1"/>
  <c r="J59" i="9"/>
  <c r="C309" i="19" s="1"/>
  <c r="I309" i="19" s="1"/>
  <c r="J309" i="19" s="1"/>
  <c r="I59" i="9"/>
  <c r="L98" i="22" s="1"/>
  <c r="B59" i="9"/>
  <c r="AJ58" i="9"/>
  <c r="AI58" i="9"/>
  <c r="AH58" i="9"/>
  <c r="AE58" i="9"/>
  <c r="AD58" i="9"/>
  <c r="L58" i="9"/>
  <c r="E264" i="19" s="1"/>
  <c r="J58" i="9"/>
  <c r="C264" i="19" s="1"/>
  <c r="I264" i="19" s="1"/>
  <c r="J264" i="19" s="1"/>
  <c r="I58" i="9"/>
  <c r="L95" i="22" s="1"/>
  <c r="B58" i="9"/>
  <c r="AJ57" i="9"/>
  <c r="AI57" i="9"/>
  <c r="AH57" i="9"/>
  <c r="AE57" i="9"/>
  <c r="AD57" i="9"/>
  <c r="L57" i="9"/>
  <c r="E152" i="19" s="1"/>
  <c r="J57" i="9"/>
  <c r="C152" i="19" s="1"/>
  <c r="I152" i="19" s="1"/>
  <c r="J152" i="19" s="1"/>
  <c r="I57" i="9"/>
  <c r="L92" i="22" s="1"/>
  <c r="B57" i="9"/>
  <c r="AJ56" i="9"/>
  <c r="AI56" i="9"/>
  <c r="AH56" i="9"/>
  <c r="AE56" i="9"/>
  <c r="AD56" i="9"/>
  <c r="L56" i="9"/>
  <c r="E104" i="19" s="1"/>
  <c r="J56" i="9"/>
  <c r="C104" i="19" s="1"/>
  <c r="I104" i="19" s="1"/>
  <c r="J104" i="19" s="1"/>
  <c r="I56" i="9"/>
  <c r="L89" i="22" s="1"/>
  <c r="B56" i="9"/>
  <c r="AJ55" i="9"/>
  <c r="AI55" i="9"/>
  <c r="AH55" i="9"/>
  <c r="AE55" i="9"/>
  <c r="AD55" i="9"/>
  <c r="L55" i="9"/>
  <c r="E258" i="19" s="1"/>
  <c r="J55" i="9"/>
  <c r="C258" i="19" s="1"/>
  <c r="I258" i="19" s="1"/>
  <c r="J258" i="19" s="1"/>
  <c r="I55" i="9"/>
  <c r="L86" i="22" s="1"/>
  <c r="B55" i="9"/>
  <c r="AJ54" i="9"/>
  <c r="AI54" i="9"/>
  <c r="AH54" i="9"/>
  <c r="AE54" i="9"/>
  <c r="AD54" i="9"/>
  <c r="L54" i="9"/>
  <c r="E243" i="19" s="1"/>
  <c r="J54" i="9"/>
  <c r="C243" i="19" s="1"/>
  <c r="I243" i="19" s="1"/>
  <c r="J243" i="19" s="1"/>
  <c r="I54" i="9"/>
  <c r="L83" i="22" s="1"/>
  <c r="B54" i="9"/>
  <c r="AJ53" i="9"/>
  <c r="AI53" i="9"/>
  <c r="AH53" i="9"/>
  <c r="AE53" i="9"/>
  <c r="AD53" i="9"/>
  <c r="L53" i="9"/>
  <c r="E63" i="19" s="1"/>
  <c r="J53" i="9"/>
  <c r="C63" i="19" s="1"/>
  <c r="I63" i="19" s="1"/>
  <c r="J63" i="19" s="1"/>
  <c r="I53" i="9"/>
  <c r="L80" i="22" s="1"/>
  <c r="B53" i="9"/>
  <c r="AJ52" i="9"/>
  <c r="AI52" i="9"/>
  <c r="AH52" i="9"/>
  <c r="AE52" i="9"/>
  <c r="AD52" i="9"/>
  <c r="L52" i="9"/>
  <c r="E26" i="19" s="1"/>
  <c r="J52" i="9"/>
  <c r="C26" i="19" s="1"/>
  <c r="I26" i="19" s="1"/>
  <c r="J26" i="19" s="1"/>
  <c r="I52" i="9"/>
  <c r="L77" i="22" s="1"/>
  <c r="B52" i="9"/>
  <c r="AJ51" i="9"/>
  <c r="AI51" i="9"/>
  <c r="AH51" i="9"/>
  <c r="AE51" i="9"/>
  <c r="AD51" i="9"/>
  <c r="L51" i="9"/>
  <c r="E154" i="19" s="1"/>
  <c r="J51" i="9"/>
  <c r="C154" i="19" s="1"/>
  <c r="I154" i="19" s="1"/>
  <c r="J154" i="19" s="1"/>
  <c r="I51" i="9"/>
  <c r="L74" i="22" s="1"/>
  <c r="B51" i="9"/>
  <c r="AJ50" i="9"/>
  <c r="AI50" i="9"/>
  <c r="AH50" i="9"/>
  <c r="AE50" i="9"/>
  <c r="AD50" i="9"/>
  <c r="L50" i="9"/>
  <c r="E106" i="19" s="1"/>
  <c r="J50" i="9"/>
  <c r="C106" i="19" s="1"/>
  <c r="I106" i="19" s="1"/>
  <c r="J106" i="19" s="1"/>
  <c r="I50" i="9"/>
  <c r="L71" i="22" s="1"/>
  <c r="B50" i="9"/>
  <c r="AJ49" i="9"/>
  <c r="AI49" i="9"/>
  <c r="AH49" i="9"/>
  <c r="AE49" i="9"/>
  <c r="AD49" i="9"/>
  <c r="L49" i="9"/>
  <c r="E58" i="19" s="1"/>
  <c r="J49" i="9"/>
  <c r="C58" i="19" s="1"/>
  <c r="I58" i="19" s="1"/>
  <c r="J58" i="19" s="1"/>
  <c r="I49" i="9"/>
  <c r="L68" i="22" s="1"/>
  <c r="B49" i="9"/>
  <c r="AJ48" i="9"/>
  <c r="AI48" i="9"/>
  <c r="AH48" i="9"/>
  <c r="AE48" i="9"/>
  <c r="AD48" i="9"/>
  <c r="L48" i="9"/>
  <c r="E25" i="19" s="1"/>
  <c r="J48" i="9"/>
  <c r="C25" i="19" s="1"/>
  <c r="I25" i="19" s="1"/>
  <c r="J25" i="19" s="1"/>
  <c r="I48" i="9"/>
  <c r="L65" i="22" s="1"/>
  <c r="B48" i="9"/>
  <c r="AJ47" i="9"/>
  <c r="AI47" i="9"/>
  <c r="AH47" i="9"/>
  <c r="AE47" i="9"/>
  <c r="AD47" i="9"/>
  <c r="L47" i="9"/>
  <c r="E179" i="19" s="1"/>
  <c r="J47" i="9"/>
  <c r="C179" i="19" s="1"/>
  <c r="I179" i="19" s="1"/>
  <c r="J179" i="19" s="1"/>
  <c r="I47" i="9"/>
  <c r="L62" i="22" s="1"/>
  <c r="B47" i="9"/>
  <c r="AJ46" i="9"/>
  <c r="AI46" i="9"/>
  <c r="AH46" i="9"/>
  <c r="AE46" i="9"/>
  <c r="AD46" i="9"/>
  <c r="L46" i="9"/>
  <c r="E162" i="19" s="1"/>
  <c r="J46" i="9"/>
  <c r="C162" i="19" s="1"/>
  <c r="I162" i="19" s="1"/>
  <c r="J162" i="19" s="1"/>
  <c r="I46" i="9"/>
  <c r="L59" i="22" s="1"/>
  <c r="B46" i="9"/>
  <c r="AJ45" i="9"/>
  <c r="AI45" i="9"/>
  <c r="AH45" i="9"/>
  <c r="AE45" i="9"/>
  <c r="AD45" i="9"/>
  <c r="L45" i="9"/>
  <c r="E153" i="19" s="1"/>
  <c r="J45" i="9"/>
  <c r="C153" i="19" s="1"/>
  <c r="I153" i="19" s="1"/>
  <c r="J153" i="19" s="1"/>
  <c r="I45" i="9"/>
  <c r="L56" i="22" s="1"/>
  <c r="B45" i="9"/>
  <c r="AJ44" i="9"/>
  <c r="AI44" i="9"/>
  <c r="AH44" i="9"/>
  <c r="AE44" i="9"/>
  <c r="AD44" i="9"/>
  <c r="L44" i="9"/>
  <c r="E102" i="19" s="1"/>
  <c r="J44" i="9"/>
  <c r="C102" i="19" s="1"/>
  <c r="I102" i="19" s="1"/>
  <c r="J102" i="19" s="1"/>
  <c r="I44" i="9"/>
  <c r="L53" i="22" s="1"/>
  <c r="B44" i="9"/>
  <c r="AJ43" i="9"/>
  <c r="AI43" i="9"/>
  <c r="AH43" i="9"/>
  <c r="AE43" i="9"/>
  <c r="AD43" i="9"/>
  <c r="L43" i="9"/>
  <c r="E67" i="19" s="1"/>
  <c r="J43" i="9"/>
  <c r="C67" i="19" s="1"/>
  <c r="I67" i="19" s="1"/>
  <c r="J67" i="19" s="1"/>
  <c r="I43" i="9"/>
  <c r="L50" i="22" s="1"/>
  <c r="B43" i="9"/>
  <c r="AJ42" i="9"/>
  <c r="AI42" i="9"/>
  <c r="AH42" i="9"/>
  <c r="AE42" i="9"/>
  <c r="AD42" i="9"/>
  <c r="L42" i="9"/>
  <c r="E24" i="19" s="1"/>
  <c r="J42" i="9"/>
  <c r="C24" i="19" s="1"/>
  <c r="I24" i="19" s="1"/>
  <c r="J24" i="19" s="1"/>
  <c r="I42" i="9"/>
  <c r="L47" i="22" s="1"/>
  <c r="B42" i="9"/>
  <c r="AJ41" i="9"/>
  <c r="AI41" i="9"/>
  <c r="AH41" i="9"/>
  <c r="AE41" i="9"/>
  <c r="AD41" i="9"/>
  <c r="L41" i="9"/>
  <c r="E237" i="19" s="1"/>
  <c r="J41" i="9"/>
  <c r="C237" i="19" s="1"/>
  <c r="I237" i="19" s="1"/>
  <c r="J237" i="19" s="1"/>
  <c r="I41" i="9"/>
  <c r="L44" i="22" s="1"/>
  <c r="B41" i="9"/>
  <c r="AJ40" i="9"/>
  <c r="AI40" i="9"/>
  <c r="AH40" i="9"/>
  <c r="AE40" i="9"/>
  <c r="AD40" i="9"/>
  <c r="L40" i="9"/>
  <c r="E184" i="19" s="1"/>
  <c r="J40" i="9"/>
  <c r="C184" i="19" s="1"/>
  <c r="I184" i="19" s="1"/>
  <c r="J184" i="19" s="1"/>
  <c r="I40" i="9"/>
  <c r="L41" i="22" s="1"/>
  <c r="B40" i="9"/>
  <c r="AJ39" i="9"/>
  <c r="AI39" i="9"/>
  <c r="AH39" i="9"/>
  <c r="AE39" i="9"/>
  <c r="AD39" i="9"/>
  <c r="L39" i="9"/>
  <c r="E99" i="19" s="1"/>
  <c r="J39" i="9"/>
  <c r="C99" i="19" s="1"/>
  <c r="I99" i="19" s="1"/>
  <c r="J99" i="19" s="1"/>
  <c r="I39" i="9"/>
  <c r="L38" i="22" s="1"/>
  <c r="B39" i="9"/>
  <c r="AJ38" i="9"/>
  <c r="AI38" i="9"/>
  <c r="AH38" i="9"/>
  <c r="AE38" i="9"/>
  <c r="AD38" i="9"/>
  <c r="L38" i="9"/>
  <c r="E82" i="19" s="1"/>
  <c r="J38" i="9"/>
  <c r="C82" i="19" s="1"/>
  <c r="I82" i="19" s="1"/>
  <c r="J82" i="19" s="1"/>
  <c r="I38" i="9"/>
  <c r="L35" i="22" s="1"/>
  <c r="B38" i="9"/>
  <c r="AJ37" i="9"/>
  <c r="AI37" i="9"/>
  <c r="AH37" i="9"/>
  <c r="L37" i="9"/>
  <c r="J37" i="9"/>
  <c r="I37" i="9"/>
  <c r="AJ36" i="9"/>
  <c r="AI36" i="9"/>
  <c r="AH36" i="9"/>
  <c r="L36" i="9"/>
  <c r="J36" i="9"/>
  <c r="I36" i="9"/>
  <c r="AJ35" i="9"/>
  <c r="AI35" i="9"/>
  <c r="AH35" i="9"/>
  <c r="L35" i="9"/>
  <c r="J35" i="9"/>
  <c r="I35" i="9"/>
  <c r="AJ34" i="9"/>
  <c r="AI34" i="9"/>
  <c r="AH34" i="9"/>
  <c r="AE34" i="9"/>
  <c r="AD34" i="9"/>
  <c r="L34" i="9"/>
  <c r="J34" i="9"/>
  <c r="I34" i="9"/>
  <c r="B34" i="9"/>
  <c r="AJ33" i="9"/>
  <c r="AI33" i="9"/>
  <c r="AH33" i="9"/>
  <c r="L33" i="9"/>
  <c r="J33" i="9"/>
  <c r="I33" i="9"/>
  <c r="AJ32" i="9"/>
  <c r="AI32" i="9"/>
  <c r="AH32" i="9"/>
  <c r="L32" i="9"/>
  <c r="J32" i="9"/>
  <c r="I32" i="9"/>
  <c r="AJ31" i="9"/>
  <c r="AI31" i="9"/>
  <c r="AH31" i="9"/>
  <c r="L31" i="9"/>
  <c r="J31" i="9"/>
  <c r="I31" i="9"/>
  <c r="AJ30" i="9"/>
  <c r="AI30" i="9"/>
  <c r="AH30" i="9"/>
  <c r="AD30" i="9"/>
  <c r="L30" i="9"/>
  <c r="J30" i="9"/>
  <c r="I30" i="9"/>
  <c r="B30" i="9"/>
  <c r="AE30" i="9" s="1"/>
  <c r="AJ29" i="9"/>
  <c r="AI29" i="9"/>
  <c r="AH29" i="9"/>
  <c r="L29" i="9"/>
  <c r="J29" i="9"/>
  <c r="I29" i="9"/>
  <c r="AJ28" i="9"/>
  <c r="AI28" i="9"/>
  <c r="AH28" i="9"/>
  <c r="L28" i="9"/>
  <c r="J28" i="9"/>
  <c r="I28" i="9"/>
  <c r="AJ27" i="9"/>
  <c r="AI27" i="9"/>
  <c r="AH27" i="9"/>
  <c r="L27" i="9"/>
  <c r="J27" i="9"/>
  <c r="I27" i="9"/>
  <c r="AJ26" i="9"/>
  <c r="AI26" i="9"/>
  <c r="AH26" i="9"/>
  <c r="AD26" i="9"/>
  <c r="L26" i="9"/>
  <c r="J26" i="9"/>
  <c r="I26" i="9"/>
  <c r="B26" i="9"/>
  <c r="AE26" i="9" s="1"/>
  <c r="AJ25" i="9"/>
  <c r="AI25" i="9"/>
  <c r="AH25" i="9"/>
  <c r="L25" i="9"/>
  <c r="J25" i="9"/>
  <c r="I25" i="9"/>
  <c r="AJ24" i="9"/>
  <c r="AI24" i="9"/>
  <c r="AH24" i="9"/>
  <c r="L24" i="9"/>
  <c r="J24" i="9"/>
  <c r="I24" i="9"/>
  <c r="AJ23" i="9"/>
  <c r="AI23" i="9"/>
  <c r="AH23" i="9"/>
  <c r="L23" i="9"/>
  <c r="J23" i="9"/>
  <c r="I23" i="9"/>
  <c r="AJ22" i="9"/>
  <c r="AI22" i="9"/>
  <c r="AH22" i="9"/>
  <c r="AD22" i="9"/>
  <c r="N22" i="9"/>
  <c r="L22" i="9"/>
  <c r="J22" i="9"/>
  <c r="I22" i="9"/>
  <c r="B22" i="9"/>
  <c r="AE22" i="9" s="1"/>
  <c r="AJ21" i="9"/>
  <c r="AI21" i="9"/>
  <c r="AH21" i="9"/>
  <c r="L21" i="9"/>
  <c r="J21" i="9"/>
  <c r="I21" i="9"/>
  <c r="AJ20" i="9"/>
  <c r="AI20" i="9"/>
  <c r="AH20" i="9"/>
  <c r="L20" i="9"/>
  <c r="J20" i="9"/>
  <c r="I20" i="9"/>
  <c r="AJ19" i="9"/>
  <c r="AI19" i="9"/>
  <c r="AH19" i="9"/>
  <c r="L19" i="9"/>
  <c r="J19" i="9"/>
  <c r="I19" i="9"/>
  <c r="AJ18" i="9"/>
  <c r="AI18" i="9"/>
  <c r="AH18" i="9"/>
  <c r="AD18" i="9"/>
  <c r="L18" i="9"/>
  <c r="J18" i="9"/>
  <c r="I18" i="9"/>
  <c r="B18" i="9"/>
  <c r="AE18" i="9" s="1"/>
  <c r="AJ17" i="9"/>
  <c r="AI17" i="9"/>
  <c r="AH17" i="9"/>
  <c r="L17" i="9"/>
  <c r="J17" i="9"/>
  <c r="I17" i="9"/>
  <c r="AJ16" i="9"/>
  <c r="AI16" i="9"/>
  <c r="AH16" i="9"/>
  <c r="L16" i="9"/>
  <c r="J16" i="9"/>
  <c r="I16" i="9"/>
  <c r="AJ15" i="9"/>
  <c r="AI15" i="9"/>
  <c r="AH15" i="9"/>
  <c r="L15" i="9"/>
  <c r="J15" i="9"/>
  <c r="I15" i="9"/>
  <c r="AJ14" i="9"/>
  <c r="AI14" i="9"/>
  <c r="AH14" i="9"/>
  <c r="AD14" i="9"/>
  <c r="L14" i="9"/>
  <c r="J14" i="9"/>
  <c r="I14" i="9"/>
  <c r="B14" i="9"/>
  <c r="AE14" i="9" s="1"/>
  <c r="AJ13" i="9"/>
  <c r="AI13" i="9"/>
  <c r="AH13" i="9"/>
  <c r="L13" i="9"/>
  <c r="J13" i="9"/>
  <c r="I13" i="9"/>
  <c r="AJ12" i="9"/>
  <c r="AI12" i="9"/>
  <c r="AH12" i="9"/>
  <c r="L12" i="9"/>
  <c r="J12" i="9"/>
  <c r="I12" i="9"/>
  <c r="AJ11" i="9"/>
  <c r="AI11" i="9"/>
  <c r="AH11" i="9"/>
  <c r="L11" i="9"/>
  <c r="J11" i="9"/>
  <c r="I11" i="9"/>
  <c r="AJ10" i="9"/>
  <c r="AI10" i="9"/>
  <c r="AH10" i="9"/>
  <c r="AE10" i="9"/>
  <c r="AD10" i="9"/>
  <c r="L10" i="9"/>
  <c r="J10" i="9"/>
  <c r="I10" i="9"/>
  <c r="B10" i="9"/>
  <c r="AJ9" i="9"/>
  <c r="AI9" i="9"/>
  <c r="AH9" i="9"/>
  <c r="L9" i="9"/>
  <c r="J9" i="9"/>
  <c r="I9" i="9"/>
  <c r="AJ8" i="9"/>
  <c r="AI8" i="9"/>
  <c r="AH8" i="9"/>
  <c r="L8" i="9"/>
  <c r="J8" i="9"/>
  <c r="I8" i="9"/>
  <c r="AJ7" i="9"/>
  <c r="AI7" i="9"/>
  <c r="AH7" i="9"/>
  <c r="L7" i="9"/>
  <c r="J7" i="9"/>
  <c r="I7" i="9"/>
  <c r="AJ6" i="9"/>
  <c r="AI6" i="9"/>
  <c r="AH6" i="9"/>
  <c r="AE6" i="9"/>
  <c r="AD6" i="9"/>
  <c r="L6" i="9"/>
  <c r="J6" i="9"/>
  <c r="I6" i="9"/>
  <c r="B6" i="9"/>
  <c r="AJ5" i="9"/>
  <c r="AI5" i="9"/>
  <c r="AH5" i="9"/>
  <c r="AE5" i="9"/>
  <c r="AD5" i="9"/>
  <c r="L5" i="9"/>
  <c r="E12" i="19" s="1"/>
  <c r="J5" i="9"/>
  <c r="C12" i="19" s="1"/>
  <c r="I12" i="19" s="1"/>
  <c r="J12" i="19" s="1"/>
  <c r="I5" i="9"/>
  <c r="L16" i="22" s="1"/>
  <c r="D5" i="9"/>
  <c r="B5" i="9"/>
  <c r="AJ4" i="9"/>
  <c r="AI4" i="9"/>
  <c r="AH4" i="9"/>
  <c r="AE4" i="9"/>
  <c r="AD4" i="9"/>
  <c r="L4" i="9"/>
  <c r="E2" i="19" s="1"/>
  <c r="J4" i="9"/>
  <c r="C2" i="19" s="1"/>
  <c r="I2" i="19" s="1"/>
  <c r="J2" i="19" s="1"/>
  <c r="I4" i="9"/>
  <c r="L13" i="22" s="1"/>
  <c r="D4" i="9"/>
  <c r="B4" i="9"/>
  <c r="AH3" i="9"/>
  <c r="K2" i="9"/>
  <c r="AH1" i="9"/>
  <c r="AD1" i="9"/>
  <c r="AJ109" i="8"/>
  <c r="AI109" i="8"/>
  <c r="AH109" i="8"/>
  <c r="L109" i="8"/>
  <c r="J109" i="8"/>
  <c r="I109" i="8"/>
  <c r="AJ108" i="8"/>
  <c r="AI108" i="8"/>
  <c r="AH108" i="8"/>
  <c r="L108" i="8"/>
  <c r="J108" i="8"/>
  <c r="I108" i="8"/>
  <c r="AJ107" i="8"/>
  <c r="AI107" i="8"/>
  <c r="AH107" i="8"/>
  <c r="L107" i="8"/>
  <c r="J107" i="8"/>
  <c r="I107" i="8"/>
  <c r="AJ106" i="8"/>
  <c r="AI106" i="8"/>
  <c r="AH106" i="8"/>
  <c r="L106" i="8"/>
  <c r="J106" i="8"/>
  <c r="I106" i="8"/>
  <c r="AJ105" i="8"/>
  <c r="AI105" i="8"/>
  <c r="AH105" i="8"/>
  <c r="L105" i="8"/>
  <c r="J105" i="8"/>
  <c r="I105" i="8"/>
  <c r="AJ104" i="8"/>
  <c r="AI104" i="8"/>
  <c r="AH104" i="8"/>
  <c r="L104" i="8"/>
  <c r="J104" i="8"/>
  <c r="I104" i="8"/>
  <c r="AJ103" i="8"/>
  <c r="AI103" i="8"/>
  <c r="AH103" i="8"/>
  <c r="L103" i="8"/>
  <c r="J103" i="8"/>
  <c r="I103" i="8"/>
  <c r="AJ102" i="8"/>
  <c r="AI102" i="8"/>
  <c r="AH102" i="8"/>
  <c r="AE102" i="8"/>
  <c r="AD102" i="8"/>
  <c r="L102" i="8"/>
  <c r="J102" i="8"/>
  <c r="I102" i="8"/>
  <c r="AJ101" i="8"/>
  <c r="AI101" i="8"/>
  <c r="AH101" i="8"/>
  <c r="L101" i="8"/>
  <c r="J101" i="8"/>
  <c r="I101" i="8"/>
  <c r="AJ100" i="8"/>
  <c r="AI100" i="8"/>
  <c r="AH100" i="8"/>
  <c r="L100" i="8"/>
  <c r="J100" i="8"/>
  <c r="I100" i="8"/>
  <c r="AJ99" i="8"/>
  <c r="AI99" i="8"/>
  <c r="AH99" i="8"/>
  <c r="L99" i="8"/>
  <c r="J99" i="8"/>
  <c r="I99" i="8"/>
  <c r="AJ98" i="8"/>
  <c r="AI98" i="8"/>
  <c r="AH98" i="8"/>
  <c r="AE98" i="8"/>
  <c r="AD98" i="8"/>
  <c r="L98" i="8"/>
  <c r="J98" i="8"/>
  <c r="I98" i="8"/>
  <c r="AJ97" i="8"/>
  <c r="AI97" i="8"/>
  <c r="AH97" i="8"/>
  <c r="L97" i="8"/>
  <c r="J97" i="8"/>
  <c r="I97" i="8"/>
  <c r="AJ96" i="8"/>
  <c r="AI96" i="8"/>
  <c r="AH96" i="8"/>
  <c r="L96" i="8"/>
  <c r="J96" i="8"/>
  <c r="I96" i="8"/>
  <c r="AJ95" i="8"/>
  <c r="AI95" i="8"/>
  <c r="AH95" i="8"/>
  <c r="L95" i="8"/>
  <c r="J95" i="8"/>
  <c r="I95" i="8"/>
  <c r="AJ94" i="8"/>
  <c r="AI94" i="8"/>
  <c r="AH94" i="8"/>
  <c r="AE94" i="8"/>
  <c r="AD94" i="8"/>
  <c r="L94" i="8"/>
  <c r="J94" i="8"/>
  <c r="I94" i="8"/>
  <c r="AJ93" i="8"/>
  <c r="AI93" i="8"/>
  <c r="AH93" i="8"/>
  <c r="L93" i="8"/>
  <c r="J93" i="8"/>
  <c r="I93" i="8"/>
  <c r="AJ92" i="8"/>
  <c r="AI92" i="8"/>
  <c r="AH92" i="8"/>
  <c r="L92" i="8"/>
  <c r="J92" i="8"/>
  <c r="I92" i="8"/>
  <c r="AJ91" i="8"/>
  <c r="AI91" i="8"/>
  <c r="AH91" i="8"/>
  <c r="L91" i="8"/>
  <c r="J91" i="8"/>
  <c r="I91" i="8"/>
  <c r="AJ90" i="8"/>
  <c r="AI90" i="8"/>
  <c r="AH90" i="8"/>
  <c r="AE90" i="8"/>
  <c r="AD90" i="8"/>
  <c r="L90" i="8"/>
  <c r="J90" i="8"/>
  <c r="I90" i="8"/>
  <c r="AJ89" i="8"/>
  <c r="AI89" i="8"/>
  <c r="AH89" i="8"/>
  <c r="L89" i="8"/>
  <c r="J89" i="8"/>
  <c r="I89" i="8"/>
  <c r="AJ88" i="8"/>
  <c r="AI88" i="8"/>
  <c r="AH88" i="8"/>
  <c r="L88" i="8"/>
  <c r="J88" i="8"/>
  <c r="I88" i="8"/>
  <c r="AJ87" i="8"/>
  <c r="AI87" i="8"/>
  <c r="AH87" i="8"/>
  <c r="L87" i="8"/>
  <c r="J87" i="8"/>
  <c r="I87" i="8"/>
  <c r="AJ86" i="8"/>
  <c r="AI86" i="8"/>
  <c r="AH86" i="8"/>
  <c r="AE86" i="8"/>
  <c r="AD86" i="8"/>
  <c r="L86" i="8"/>
  <c r="J86" i="8"/>
  <c r="I86" i="8"/>
  <c r="AJ85" i="8"/>
  <c r="AI85" i="8"/>
  <c r="AH85" i="8"/>
  <c r="L85" i="8"/>
  <c r="J85" i="8"/>
  <c r="I85" i="8"/>
  <c r="AJ84" i="8"/>
  <c r="AI84" i="8"/>
  <c r="AH84" i="8"/>
  <c r="L84" i="8"/>
  <c r="J84" i="8"/>
  <c r="I84" i="8"/>
  <c r="AJ83" i="8"/>
  <c r="AI83" i="8"/>
  <c r="AH83" i="8"/>
  <c r="L83" i="8"/>
  <c r="J83" i="8"/>
  <c r="I83" i="8"/>
  <c r="AJ82" i="8"/>
  <c r="AI82" i="8"/>
  <c r="AH82" i="8"/>
  <c r="AE82" i="8"/>
  <c r="AD82" i="8"/>
  <c r="L82" i="8"/>
  <c r="J82" i="8"/>
  <c r="I82" i="8"/>
  <c r="AJ81" i="8"/>
  <c r="AI81" i="8"/>
  <c r="AH81" i="8"/>
  <c r="L81" i="8"/>
  <c r="J81" i="8"/>
  <c r="I81" i="8"/>
  <c r="AJ80" i="8"/>
  <c r="AI80" i="8"/>
  <c r="AH80" i="8"/>
  <c r="L80" i="8"/>
  <c r="J80" i="8"/>
  <c r="I80" i="8"/>
  <c r="AJ79" i="8"/>
  <c r="AI79" i="8"/>
  <c r="AH79" i="8"/>
  <c r="L79" i="8"/>
  <c r="J79" i="8"/>
  <c r="I79" i="8"/>
  <c r="AJ78" i="8"/>
  <c r="AI78" i="8"/>
  <c r="AH78" i="8"/>
  <c r="AE78" i="8"/>
  <c r="AD78" i="8"/>
  <c r="L78" i="8"/>
  <c r="J78" i="8"/>
  <c r="I78" i="8"/>
  <c r="AJ77" i="8"/>
  <c r="AI77" i="8"/>
  <c r="AH77" i="8"/>
  <c r="L77" i="8"/>
  <c r="J77" i="8"/>
  <c r="I77" i="8"/>
  <c r="AJ76" i="8"/>
  <c r="AI76" i="8"/>
  <c r="AH76" i="8"/>
  <c r="L76" i="8"/>
  <c r="J76" i="8"/>
  <c r="I76" i="8"/>
  <c r="AJ75" i="8"/>
  <c r="AI75" i="8"/>
  <c r="AH75" i="8"/>
  <c r="L75" i="8"/>
  <c r="J75" i="8"/>
  <c r="I75" i="8"/>
  <c r="AJ74" i="8"/>
  <c r="AI74" i="8"/>
  <c r="AH74" i="8"/>
  <c r="AE74" i="8"/>
  <c r="AD74" i="8"/>
  <c r="L74" i="8"/>
  <c r="J74" i="8"/>
  <c r="I74" i="8"/>
  <c r="AJ73" i="8"/>
  <c r="AI73" i="8"/>
  <c r="AH73" i="8"/>
  <c r="L73" i="8"/>
  <c r="J73" i="8"/>
  <c r="I73" i="8"/>
  <c r="AJ72" i="8"/>
  <c r="AI72" i="8"/>
  <c r="AH72" i="8"/>
  <c r="L72" i="8"/>
  <c r="J72" i="8"/>
  <c r="I72" i="8"/>
  <c r="AJ71" i="8"/>
  <c r="AI71" i="8"/>
  <c r="AH71" i="8"/>
  <c r="L71" i="8"/>
  <c r="J71" i="8"/>
  <c r="I71" i="8"/>
  <c r="AJ70" i="8"/>
  <c r="AI70" i="8"/>
  <c r="AH70" i="8"/>
  <c r="AE70" i="8"/>
  <c r="AD70" i="8"/>
  <c r="L70" i="8"/>
  <c r="J70" i="8"/>
  <c r="I70" i="8"/>
  <c r="AJ69" i="8"/>
  <c r="AI69" i="8"/>
  <c r="AH69" i="8"/>
  <c r="AE69" i="8"/>
  <c r="AD69" i="8"/>
  <c r="L69" i="8"/>
  <c r="E311" i="19" s="1"/>
  <c r="J69" i="8"/>
  <c r="C311" i="19" s="1"/>
  <c r="I311" i="19" s="1"/>
  <c r="J311" i="19" s="1"/>
  <c r="I69" i="8"/>
  <c r="I128" i="22" s="1"/>
  <c r="AJ68" i="8"/>
  <c r="AI68" i="8"/>
  <c r="AH68" i="8"/>
  <c r="AE68" i="8"/>
  <c r="AD68" i="8"/>
  <c r="L68" i="8"/>
  <c r="E262" i="19" s="1"/>
  <c r="J68" i="8"/>
  <c r="C262" i="19" s="1"/>
  <c r="I262" i="19" s="1"/>
  <c r="J262" i="19" s="1"/>
  <c r="I68" i="8"/>
  <c r="I125" i="22" s="1"/>
  <c r="AJ67" i="8"/>
  <c r="AI67" i="8"/>
  <c r="AH67" i="8"/>
  <c r="AE67" i="8"/>
  <c r="AD67" i="8"/>
  <c r="L67" i="8"/>
  <c r="E238" i="19" s="1"/>
  <c r="J67" i="8"/>
  <c r="C238" i="19" s="1"/>
  <c r="I238" i="19" s="1"/>
  <c r="J238" i="19" s="1"/>
  <c r="I67" i="8"/>
  <c r="I122" i="22" s="1"/>
  <c r="AJ66" i="8"/>
  <c r="AI66" i="8"/>
  <c r="AH66" i="8"/>
  <c r="AE66" i="8"/>
  <c r="AD66" i="8"/>
  <c r="L66" i="8"/>
  <c r="E183" i="19" s="1"/>
  <c r="J66" i="8"/>
  <c r="C183" i="19" s="1"/>
  <c r="I183" i="19" s="1"/>
  <c r="J183" i="19" s="1"/>
  <c r="K183" i="19" s="1"/>
  <c r="I66" i="8"/>
  <c r="I119" i="22" s="1"/>
  <c r="AJ65" i="8"/>
  <c r="AI65" i="8"/>
  <c r="AH65" i="8"/>
  <c r="AE65" i="8"/>
  <c r="AD65" i="8"/>
  <c r="L65" i="8"/>
  <c r="E307" i="19" s="1"/>
  <c r="J65" i="8"/>
  <c r="C307" i="19" s="1"/>
  <c r="I307" i="19" s="1"/>
  <c r="J307" i="19" s="1"/>
  <c r="I65" i="8"/>
  <c r="I116" i="22" s="1"/>
  <c r="AJ64" i="8"/>
  <c r="AI64" i="8"/>
  <c r="AH64" i="8"/>
  <c r="AE64" i="8"/>
  <c r="AD64" i="8"/>
  <c r="L64" i="8"/>
  <c r="E263" i="19" s="1"/>
  <c r="J64" i="8"/>
  <c r="C263" i="19" s="1"/>
  <c r="I263" i="19" s="1"/>
  <c r="J263" i="19" s="1"/>
  <c r="I64" i="8"/>
  <c r="I113" i="22" s="1"/>
  <c r="AJ63" i="8"/>
  <c r="AI63" i="8"/>
  <c r="AH63" i="8"/>
  <c r="AE63" i="8"/>
  <c r="AD63" i="8"/>
  <c r="L63" i="8"/>
  <c r="E337" i="19" s="1"/>
  <c r="J63" i="8"/>
  <c r="C337" i="19" s="1"/>
  <c r="I337" i="19" s="1"/>
  <c r="J337" i="19" s="1"/>
  <c r="I63" i="8"/>
  <c r="I110" i="22" s="1"/>
  <c r="AJ62" i="8"/>
  <c r="AI62" i="8"/>
  <c r="AH62" i="8"/>
  <c r="AE62" i="8"/>
  <c r="AD62" i="8"/>
  <c r="L62" i="8"/>
  <c r="E323" i="19" s="1"/>
  <c r="J62" i="8"/>
  <c r="C323" i="19" s="1"/>
  <c r="I323" i="19" s="1"/>
  <c r="J323" i="19" s="1"/>
  <c r="K323" i="19" s="1"/>
  <c r="L323" i="19" s="1"/>
  <c r="M323" i="19" s="1"/>
  <c r="N323" i="19" s="1"/>
  <c r="R323" i="19" s="1"/>
  <c r="I62" i="8"/>
  <c r="I107" i="22" s="1"/>
  <c r="AJ61" i="8"/>
  <c r="AI61" i="8"/>
  <c r="AH61" i="8"/>
  <c r="AE61" i="8"/>
  <c r="AD61" i="8"/>
  <c r="L61" i="8"/>
  <c r="E240" i="19" s="1"/>
  <c r="J61" i="8"/>
  <c r="C240" i="19" s="1"/>
  <c r="I240" i="19" s="1"/>
  <c r="J240" i="19" s="1"/>
  <c r="I61" i="8"/>
  <c r="I104" i="22" s="1"/>
  <c r="AJ60" i="8"/>
  <c r="AI60" i="8"/>
  <c r="AH60" i="8"/>
  <c r="AE60" i="8"/>
  <c r="AD60" i="8"/>
  <c r="L60" i="8"/>
  <c r="E182" i="19" s="1"/>
  <c r="J60" i="8"/>
  <c r="C182" i="19" s="1"/>
  <c r="I182" i="19" s="1"/>
  <c r="J182" i="19" s="1"/>
  <c r="I60" i="8"/>
  <c r="I101" i="22" s="1"/>
  <c r="AJ59" i="8"/>
  <c r="AI59" i="8"/>
  <c r="AH59" i="8"/>
  <c r="AE59" i="8"/>
  <c r="AD59" i="8"/>
  <c r="L59" i="8"/>
  <c r="E308" i="19" s="1"/>
  <c r="J59" i="8"/>
  <c r="C308" i="19" s="1"/>
  <c r="I308" i="19" s="1"/>
  <c r="J308" i="19" s="1"/>
  <c r="K308" i="19" s="1"/>
  <c r="L308" i="19" s="1"/>
  <c r="M308" i="19" s="1"/>
  <c r="N308" i="19" s="1"/>
  <c r="I59" i="8"/>
  <c r="I98" i="22" s="1"/>
  <c r="AJ58" i="8"/>
  <c r="AI58" i="8"/>
  <c r="AH58" i="8"/>
  <c r="AE58" i="8"/>
  <c r="AD58" i="8"/>
  <c r="L58" i="8"/>
  <c r="E261" i="19" s="1"/>
  <c r="J58" i="8"/>
  <c r="C261" i="19" s="1"/>
  <c r="I261" i="19" s="1"/>
  <c r="J261" i="19" s="1"/>
  <c r="I58" i="8"/>
  <c r="I95" i="22" s="1"/>
  <c r="AJ57" i="8"/>
  <c r="AI57" i="8"/>
  <c r="AH57" i="8"/>
  <c r="AE57" i="8"/>
  <c r="AD57" i="8"/>
  <c r="L57" i="8"/>
  <c r="E146" i="19" s="1"/>
  <c r="J57" i="8"/>
  <c r="C146" i="19" s="1"/>
  <c r="I146" i="19" s="1"/>
  <c r="J146" i="19" s="1"/>
  <c r="I57" i="8"/>
  <c r="I92" i="22" s="1"/>
  <c r="AJ56" i="8"/>
  <c r="AI56" i="8"/>
  <c r="AH56" i="8"/>
  <c r="AE56" i="8"/>
  <c r="AD56" i="8"/>
  <c r="L56" i="8"/>
  <c r="E105" i="19" s="1"/>
  <c r="J56" i="8"/>
  <c r="C105" i="19" s="1"/>
  <c r="I105" i="19" s="1"/>
  <c r="J105" i="19" s="1"/>
  <c r="K105" i="19" s="1"/>
  <c r="I56" i="8"/>
  <c r="I89" i="22" s="1"/>
  <c r="AJ55" i="8"/>
  <c r="AI55" i="8"/>
  <c r="AH55" i="8"/>
  <c r="AE55" i="8"/>
  <c r="AD55" i="8"/>
  <c r="L55" i="8"/>
  <c r="E259" i="19" s="1"/>
  <c r="J55" i="8"/>
  <c r="C259" i="19" s="1"/>
  <c r="I259" i="19" s="1"/>
  <c r="J259" i="19" s="1"/>
  <c r="K259" i="19" s="1"/>
  <c r="L259" i="19" s="1"/>
  <c r="M259" i="19" s="1"/>
  <c r="N259" i="19" s="1"/>
  <c r="I55" i="8"/>
  <c r="I86" i="22" s="1"/>
  <c r="AJ54" i="8"/>
  <c r="AI54" i="8"/>
  <c r="AH54" i="8"/>
  <c r="AE54" i="8"/>
  <c r="AD54" i="8"/>
  <c r="L54" i="8"/>
  <c r="E241" i="19" s="1"/>
  <c r="J54" i="8"/>
  <c r="C241" i="19" s="1"/>
  <c r="I241" i="19" s="1"/>
  <c r="J241" i="19" s="1"/>
  <c r="K241" i="19" s="1"/>
  <c r="L241" i="19" s="1"/>
  <c r="M241" i="19" s="1"/>
  <c r="N241" i="19" s="1"/>
  <c r="R241" i="19" s="1"/>
  <c r="I54" i="8"/>
  <c r="I83" i="22" s="1"/>
  <c r="AJ53" i="8"/>
  <c r="AI53" i="8"/>
  <c r="AH53" i="8"/>
  <c r="AE53" i="8"/>
  <c r="AD53" i="8"/>
  <c r="L53" i="8"/>
  <c r="E66" i="19" s="1"/>
  <c r="J53" i="8"/>
  <c r="C66" i="19" s="1"/>
  <c r="I66" i="19" s="1"/>
  <c r="J66" i="19" s="1"/>
  <c r="K66" i="19" s="1"/>
  <c r="L66" i="19" s="1"/>
  <c r="M66" i="19" s="1"/>
  <c r="N66" i="19" s="1"/>
  <c r="R66" i="19" s="1"/>
  <c r="I53" i="8"/>
  <c r="I80" i="22" s="1"/>
  <c r="AJ52" i="8"/>
  <c r="AI52" i="8"/>
  <c r="AH52" i="8"/>
  <c r="AE52" i="8"/>
  <c r="AD52" i="8"/>
  <c r="L52" i="8"/>
  <c r="E23" i="19" s="1"/>
  <c r="J52" i="8"/>
  <c r="C23" i="19" s="1"/>
  <c r="I23" i="19" s="1"/>
  <c r="J23" i="19" s="1"/>
  <c r="K23" i="19" s="1"/>
  <c r="L23" i="19" s="1"/>
  <c r="M23" i="19" s="1"/>
  <c r="N23" i="19" s="1"/>
  <c r="R23" i="19" s="1"/>
  <c r="I52" i="8"/>
  <c r="I77" i="22" s="1"/>
  <c r="AJ51" i="8"/>
  <c r="AI51" i="8"/>
  <c r="AH51" i="8"/>
  <c r="AE51" i="8"/>
  <c r="AD51" i="8"/>
  <c r="L51" i="8"/>
  <c r="E147" i="19" s="1"/>
  <c r="J51" i="8"/>
  <c r="C147" i="19" s="1"/>
  <c r="I147" i="19" s="1"/>
  <c r="J147" i="19" s="1"/>
  <c r="I51" i="8"/>
  <c r="I74" i="22" s="1"/>
  <c r="AJ50" i="8"/>
  <c r="AI50" i="8"/>
  <c r="AH50" i="8"/>
  <c r="AE50" i="8"/>
  <c r="AD50" i="8"/>
  <c r="L50" i="8"/>
  <c r="E103" i="19" s="1"/>
  <c r="J50" i="8"/>
  <c r="C103" i="19" s="1"/>
  <c r="I103" i="19" s="1"/>
  <c r="J103" i="19" s="1"/>
  <c r="K103" i="19" s="1"/>
  <c r="L103" i="19" s="1"/>
  <c r="M103" i="19" s="1"/>
  <c r="N103" i="19" s="1"/>
  <c r="R103" i="19" s="1"/>
  <c r="I50" i="8"/>
  <c r="I71" i="22" s="1"/>
  <c r="AJ49" i="8"/>
  <c r="AI49" i="8"/>
  <c r="AH49" i="8"/>
  <c r="AE49" i="8"/>
  <c r="AD49" i="8"/>
  <c r="L49" i="8"/>
  <c r="E65" i="19" s="1"/>
  <c r="J49" i="8"/>
  <c r="C65" i="19" s="1"/>
  <c r="I65" i="19" s="1"/>
  <c r="J65" i="19" s="1"/>
  <c r="K65" i="19" s="1"/>
  <c r="I49" i="8"/>
  <c r="I68" i="22" s="1"/>
  <c r="AJ48" i="8"/>
  <c r="AI48" i="8"/>
  <c r="AH48" i="8"/>
  <c r="AE48" i="8"/>
  <c r="AD48" i="8"/>
  <c r="L48" i="8"/>
  <c r="E22" i="19" s="1"/>
  <c r="J48" i="8"/>
  <c r="C22" i="19" s="1"/>
  <c r="I22" i="19" s="1"/>
  <c r="J22" i="19" s="1"/>
  <c r="I48" i="8"/>
  <c r="I65" i="22" s="1"/>
  <c r="AJ47" i="8"/>
  <c r="AI47" i="8"/>
  <c r="AH47" i="8"/>
  <c r="AE47" i="8"/>
  <c r="AD47" i="8"/>
  <c r="L47" i="8"/>
  <c r="E180" i="19" s="1"/>
  <c r="J47" i="8"/>
  <c r="C180" i="19" s="1"/>
  <c r="I180" i="19" s="1"/>
  <c r="J180" i="19" s="1"/>
  <c r="K180" i="19" s="1"/>
  <c r="L180" i="19" s="1"/>
  <c r="M180" i="19" s="1"/>
  <c r="N180" i="19" s="1"/>
  <c r="R180" i="19" s="1"/>
  <c r="I47" i="8"/>
  <c r="I62" i="22" s="1"/>
  <c r="AJ46" i="8"/>
  <c r="AI46" i="8"/>
  <c r="AH46" i="8"/>
  <c r="AE46" i="8"/>
  <c r="AD46" i="8"/>
  <c r="L46" i="8"/>
  <c r="E161" i="19" s="1"/>
  <c r="J46" i="8"/>
  <c r="C161" i="19" s="1"/>
  <c r="I161" i="19" s="1"/>
  <c r="J161" i="19" s="1"/>
  <c r="I46" i="8"/>
  <c r="I59" i="22" s="1"/>
  <c r="AJ45" i="8"/>
  <c r="AI45" i="8"/>
  <c r="AH45" i="8"/>
  <c r="AE45" i="8"/>
  <c r="AD45" i="8"/>
  <c r="L45" i="8"/>
  <c r="E148" i="19" s="1"/>
  <c r="J45" i="8"/>
  <c r="C148" i="19" s="1"/>
  <c r="I148" i="19" s="1"/>
  <c r="J148" i="19" s="1"/>
  <c r="I45" i="8"/>
  <c r="I56" i="22" s="1"/>
  <c r="AJ44" i="8"/>
  <c r="AI44" i="8"/>
  <c r="AH44" i="8"/>
  <c r="AE44" i="8"/>
  <c r="AD44" i="8"/>
  <c r="L44" i="8"/>
  <c r="E101" i="19" s="1"/>
  <c r="J44" i="8"/>
  <c r="C101" i="19" s="1"/>
  <c r="I101" i="19" s="1"/>
  <c r="J101" i="19" s="1"/>
  <c r="I44" i="8"/>
  <c r="I53" i="22" s="1"/>
  <c r="AJ43" i="8"/>
  <c r="AI43" i="8"/>
  <c r="AH43" i="8"/>
  <c r="AE43" i="8"/>
  <c r="AD43" i="8"/>
  <c r="L43" i="8"/>
  <c r="E64" i="19" s="1"/>
  <c r="J43" i="8"/>
  <c r="C64" i="19" s="1"/>
  <c r="I64" i="19" s="1"/>
  <c r="J64" i="19" s="1"/>
  <c r="I43" i="8"/>
  <c r="I50" i="22" s="1"/>
  <c r="AJ42" i="8"/>
  <c r="AI42" i="8"/>
  <c r="AH42" i="8"/>
  <c r="AE42" i="8"/>
  <c r="AD42" i="8"/>
  <c r="L42" i="8"/>
  <c r="E21" i="19" s="1"/>
  <c r="J42" i="8"/>
  <c r="C21" i="19" s="1"/>
  <c r="I21" i="19" s="1"/>
  <c r="J21" i="19" s="1"/>
  <c r="I42" i="8"/>
  <c r="I47" i="22" s="1"/>
  <c r="AJ41" i="8"/>
  <c r="AI41" i="8"/>
  <c r="AH41" i="8"/>
  <c r="AE41" i="8"/>
  <c r="AD41" i="8"/>
  <c r="L41" i="8"/>
  <c r="E239" i="19" s="1"/>
  <c r="J41" i="8"/>
  <c r="C239" i="19" s="1"/>
  <c r="I239" i="19" s="1"/>
  <c r="J239" i="19" s="1"/>
  <c r="K239" i="19" s="1"/>
  <c r="L239" i="19" s="1"/>
  <c r="M239" i="19" s="1"/>
  <c r="N239" i="19" s="1"/>
  <c r="R239" i="19" s="1"/>
  <c r="I41" i="8"/>
  <c r="I44" i="22" s="1"/>
  <c r="AJ40" i="8"/>
  <c r="AI40" i="8"/>
  <c r="AH40" i="8"/>
  <c r="AE40" i="8"/>
  <c r="AD40" i="8"/>
  <c r="L40" i="8"/>
  <c r="E181" i="19" s="1"/>
  <c r="J40" i="8"/>
  <c r="C181" i="19" s="1"/>
  <c r="I181" i="19" s="1"/>
  <c r="J181" i="19" s="1"/>
  <c r="K181" i="19" s="1"/>
  <c r="L181" i="19" s="1"/>
  <c r="M181" i="19" s="1"/>
  <c r="N181" i="19" s="1"/>
  <c r="R181" i="19" s="1"/>
  <c r="I40" i="8"/>
  <c r="I41" i="22" s="1"/>
  <c r="AJ39" i="8"/>
  <c r="AI39" i="8"/>
  <c r="AH39" i="8"/>
  <c r="AE39" i="8"/>
  <c r="AD39" i="8"/>
  <c r="L39" i="8"/>
  <c r="E100" i="19" s="1"/>
  <c r="J39" i="8"/>
  <c r="C100" i="19" s="1"/>
  <c r="I100" i="19" s="1"/>
  <c r="J100" i="19" s="1"/>
  <c r="K100" i="19" s="1"/>
  <c r="L100" i="19" s="1"/>
  <c r="M100" i="19" s="1"/>
  <c r="N100" i="19" s="1"/>
  <c r="I39" i="8"/>
  <c r="I38" i="22" s="1"/>
  <c r="AJ38" i="8"/>
  <c r="AI38" i="8"/>
  <c r="AH38" i="8"/>
  <c r="AE38" i="8"/>
  <c r="AD38" i="8"/>
  <c r="L38" i="8"/>
  <c r="E81" i="19" s="1"/>
  <c r="J38" i="8"/>
  <c r="C81" i="19" s="1"/>
  <c r="I81" i="19" s="1"/>
  <c r="J81" i="19" s="1"/>
  <c r="K81" i="19" s="1"/>
  <c r="L81" i="19" s="1"/>
  <c r="M81" i="19" s="1"/>
  <c r="N81" i="19" s="1"/>
  <c r="R81" i="19" s="1"/>
  <c r="I38" i="8"/>
  <c r="I35" i="22" s="1"/>
  <c r="AJ37" i="8"/>
  <c r="AI37" i="8"/>
  <c r="AH37" i="8"/>
  <c r="L37" i="8"/>
  <c r="J37" i="8"/>
  <c r="I37" i="8"/>
  <c r="AJ36" i="8"/>
  <c r="AI36" i="8"/>
  <c r="AH36" i="8"/>
  <c r="L36" i="8"/>
  <c r="J36" i="8"/>
  <c r="I36" i="8"/>
  <c r="AJ35" i="8"/>
  <c r="AI35" i="8"/>
  <c r="AH35" i="8"/>
  <c r="L35" i="8"/>
  <c r="J35" i="8"/>
  <c r="I35" i="8"/>
  <c r="AJ34" i="8"/>
  <c r="AI34" i="8"/>
  <c r="AH34" i="8"/>
  <c r="AE34" i="8"/>
  <c r="AD34" i="8"/>
  <c r="L34" i="8"/>
  <c r="J34" i="8"/>
  <c r="I34" i="8"/>
  <c r="AJ33" i="8"/>
  <c r="AI33" i="8"/>
  <c r="AH33" i="8"/>
  <c r="L33" i="8"/>
  <c r="J33" i="8"/>
  <c r="I33" i="8"/>
  <c r="AJ32" i="8"/>
  <c r="AI32" i="8"/>
  <c r="AH32" i="8"/>
  <c r="L32" i="8"/>
  <c r="J32" i="8"/>
  <c r="I32" i="8"/>
  <c r="AJ31" i="8"/>
  <c r="AI31" i="8"/>
  <c r="AH31" i="8"/>
  <c r="L31" i="8"/>
  <c r="J31" i="8"/>
  <c r="I31" i="8"/>
  <c r="AJ30" i="8"/>
  <c r="AI30" i="8"/>
  <c r="AH30" i="8"/>
  <c r="AE30" i="8"/>
  <c r="AD30" i="8"/>
  <c r="L30" i="8"/>
  <c r="J30" i="8"/>
  <c r="I30" i="8"/>
  <c r="AJ29" i="8"/>
  <c r="AI29" i="8"/>
  <c r="AH29" i="8"/>
  <c r="L29" i="8"/>
  <c r="J29" i="8"/>
  <c r="I29" i="8"/>
  <c r="AJ28" i="8"/>
  <c r="AI28" i="8"/>
  <c r="AH28" i="8"/>
  <c r="L28" i="8"/>
  <c r="J28" i="8"/>
  <c r="I28" i="8"/>
  <c r="AJ27" i="8"/>
  <c r="AI27" i="8"/>
  <c r="AH27" i="8"/>
  <c r="L27" i="8"/>
  <c r="J27" i="8"/>
  <c r="I27" i="8"/>
  <c r="AJ26" i="8"/>
  <c r="AI26" i="8"/>
  <c r="AH26" i="8"/>
  <c r="AE26" i="8"/>
  <c r="AD26" i="8"/>
  <c r="L26" i="8"/>
  <c r="J26" i="8"/>
  <c r="I26" i="8"/>
  <c r="AJ25" i="8"/>
  <c r="AI25" i="8"/>
  <c r="AH25" i="8"/>
  <c r="L25" i="8"/>
  <c r="J25" i="8"/>
  <c r="I25" i="8"/>
  <c r="AJ24" i="8"/>
  <c r="AI24" i="8"/>
  <c r="AH24" i="8"/>
  <c r="L24" i="8"/>
  <c r="J24" i="8"/>
  <c r="I24" i="8"/>
  <c r="AJ23" i="8"/>
  <c r="AI23" i="8"/>
  <c r="AH23" i="8"/>
  <c r="L23" i="8"/>
  <c r="J23" i="8"/>
  <c r="I23" i="8"/>
  <c r="AJ22" i="8"/>
  <c r="AI22" i="8"/>
  <c r="AH22" i="8"/>
  <c r="AE22" i="8"/>
  <c r="AD22" i="8"/>
  <c r="N22" i="8"/>
  <c r="L22" i="8"/>
  <c r="J22" i="8"/>
  <c r="I22" i="8"/>
  <c r="AJ21" i="8"/>
  <c r="AI21" i="8"/>
  <c r="AH21" i="8"/>
  <c r="L21" i="8"/>
  <c r="J21" i="8"/>
  <c r="I21" i="8"/>
  <c r="AJ20" i="8"/>
  <c r="AI20" i="8"/>
  <c r="AH20" i="8"/>
  <c r="L20" i="8"/>
  <c r="J20" i="8"/>
  <c r="I20" i="8"/>
  <c r="AJ19" i="8"/>
  <c r="AI19" i="8"/>
  <c r="AH19" i="8"/>
  <c r="L19" i="8"/>
  <c r="J19" i="8"/>
  <c r="I19" i="8"/>
  <c r="AJ18" i="8"/>
  <c r="AI18" i="8"/>
  <c r="AH18" i="8"/>
  <c r="AE18" i="8"/>
  <c r="AD18" i="8"/>
  <c r="L18" i="8"/>
  <c r="J18" i="8"/>
  <c r="I18" i="8"/>
  <c r="AJ17" i="8"/>
  <c r="AI17" i="8"/>
  <c r="AH17" i="8"/>
  <c r="L17" i="8"/>
  <c r="J17" i="8"/>
  <c r="I17" i="8"/>
  <c r="AJ16" i="8"/>
  <c r="AI16" i="8"/>
  <c r="AH16" i="8"/>
  <c r="L16" i="8"/>
  <c r="J16" i="8"/>
  <c r="I16" i="8"/>
  <c r="AJ15" i="8"/>
  <c r="AI15" i="8"/>
  <c r="AH15" i="8"/>
  <c r="L15" i="8"/>
  <c r="J15" i="8"/>
  <c r="I15" i="8"/>
  <c r="AJ14" i="8"/>
  <c r="AI14" i="8"/>
  <c r="AH14" i="8"/>
  <c r="AE14" i="8"/>
  <c r="AD14" i="8"/>
  <c r="L14" i="8"/>
  <c r="J14" i="8"/>
  <c r="I14" i="8"/>
  <c r="AJ13" i="8"/>
  <c r="AI13" i="8"/>
  <c r="AH13" i="8"/>
  <c r="L13" i="8"/>
  <c r="J13" i="8"/>
  <c r="I13" i="8"/>
  <c r="AJ12" i="8"/>
  <c r="AI12" i="8"/>
  <c r="AH12" i="8"/>
  <c r="L12" i="8"/>
  <c r="J12" i="8"/>
  <c r="I12" i="8"/>
  <c r="AJ11" i="8"/>
  <c r="AI11" i="8"/>
  <c r="AH11" i="8"/>
  <c r="L11" i="8"/>
  <c r="J11" i="8"/>
  <c r="I11" i="8"/>
  <c r="AJ10" i="8"/>
  <c r="AI10" i="8"/>
  <c r="AH10" i="8"/>
  <c r="AE10" i="8"/>
  <c r="AD10" i="8"/>
  <c r="L10" i="8"/>
  <c r="J10" i="8"/>
  <c r="I10" i="8"/>
  <c r="AJ9" i="8"/>
  <c r="AI9" i="8"/>
  <c r="AH9" i="8"/>
  <c r="L9" i="8"/>
  <c r="J9" i="8"/>
  <c r="I9" i="8"/>
  <c r="AJ8" i="8"/>
  <c r="AI8" i="8"/>
  <c r="AH8" i="8"/>
  <c r="L8" i="8"/>
  <c r="J8" i="8"/>
  <c r="I8" i="8"/>
  <c r="AJ7" i="8"/>
  <c r="AI7" i="8"/>
  <c r="AH7" i="8"/>
  <c r="L7" i="8"/>
  <c r="J7" i="8"/>
  <c r="I7" i="8"/>
  <c r="AJ6" i="8"/>
  <c r="AI6" i="8"/>
  <c r="AH6" i="8"/>
  <c r="AE6" i="8"/>
  <c r="AD6" i="8"/>
  <c r="L6" i="8"/>
  <c r="J6" i="8"/>
  <c r="I6" i="8"/>
  <c r="AJ5" i="8"/>
  <c r="AI5" i="8"/>
  <c r="AH5" i="8"/>
  <c r="AE5" i="8"/>
  <c r="AD5" i="8"/>
  <c r="L5" i="8"/>
  <c r="E11" i="19" s="1"/>
  <c r="J5" i="8"/>
  <c r="C11" i="19" s="1"/>
  <c r="I11" i="19" s="1"/>
  <c r="J11" i="19" s="1"/>
  <c r="K11" i="19" s="1"/>
  <c r="L11" i="19" s="1"/>
  <c r="I5" i="8"/>
  <c r="I16" i="22" s="1"/>
  <c r="D5" i="8"/>
  <c r="AJ4" i="8"/>
  <c r="AI4" i="8"/>
  <c r="AH4" i="8"/>
  <c r="AE4" i="8"/>
  <c r="AD4" i="8"/>
  <c r="L4" i="8"/>
  <c r="E1" i="19" s="1"/>
  <c r="J4" i="8"/>
  <c r="C1" i="19" s="1"/>
  <c r="I1" i="19" s="1"/>
  <c r="J1" i="19" s="1"/>
  <c r="I4" i="8"/>
  <c r="I13" i="22" s="1"/>
  <c r="D4" i="8"/>
  <c r="K2" i="8"/>
  <c r="AH1" i="8"/>
  <c r="TP26" i="7"/>
  <c r="TL26" i="7"/>
  <c r="TM26" i="7" s="1"/>
  <c r="TK26" i="7"/>
  <c r="SK26" i="7"/>
  <c r="SL26" i="7" s="1"/>
  <c r="SH26" i="7"/>
  <c r="SI26" i="7" s="1"/>
  <c r="SF26" i="7"/>
  <c r="RR26" i="7"/>
  <c r="RD26" i="7"/>
  <c r="CP26" i="7" s="1"/>
  <c r="CL26" i="7"/>
  <c r="CJ26" i="7"/>
  <c r="CH26" i="7"/>
  <c r="BY26" i="7"/>
  <c r="BX26" i="7"/>
  <c r="BW26" i="7"/>
  <c r="BH26" i="7"/>
  <c r="CQ26" i="7" s="1"/>
  <c r="BG26" i="7"/>
  <c r="B26" i="7"/>
  <c r="TP25" i="7"/>
  <c r="TL25" i="7"/>
  <c r="TM25" i="7" s="1"/>
  <c r="TK25" i="7"/>
  <c r="SO25" i="7"/>
  <c r="SN25" i="7"/>
  <c r="SM25" i="7"/>
  <c r="SL25" i="7"/>
  <c r="SK25" i="7"/>
  <c r="SJ25" i="7"/>
  <c r="SI25" i="7"/>
  <c r="SH25" i="7"/>
  <c r="SG25" i="7"/>
  <c r="SF25" i="7"/>
  <c r="RR25" i="7"/>
  <c r="RD25" i="7"/>
  <c r="CP25" i="7" s="1"/>
  <c r="CL25" i="7"/>
  <c r="CJ25" i="7"/>
  <c r="CH25" i="7"/>
  <c r="BY25" i="7"/>
  <c r="BX25" i="7"/>
  <c r="BH25" i="7"/>
  <c r="BI25" i="7" s="1"/>
  <c r="CR25" i="7" s="1"/>
  <c r="BG25" i="7"/>
  <c r="B25" i="7"/>
  <c r="BW25" i="7" s="1"/>
  <c r="TP24" i="7"/>
  <c r="TL24" i="7"/>
  <c r="TM24" i="7" s="1"/>
  <c r="TK24" i="7"/>
  <c r="SO24" i="7"/>
  <c r="SN24" i="7"/>
  <c r="SJ24" i="7"/>
  <c r="SG24" i="7"/>
  <c r="SF24" i="7"/>
  <c r="RD24" i="7"/>
  <c r="CP24" i="7" s="1"/>
  <c r="CL24" i="7"/>
  <c r="CJ24" i="7"/>
  <c r="CH24" i="7"/>
  <c r="BY24" i="7"/>
  <c r="BX24" i="7"/>
  <c r="BH24" i="7"/>
  <c r="CQ24" i="7" s="1"/>
  <c r="BG24" i="7"/>
  <c r="B24" i="7"/>
  <c r="RR24" i="7" s="1"/>
  <c r="TP23" i="7"/>
  <c r="TL23" i="7"/>
  <c r="TM23" i="7" s="1"/>
  <c r="TK23" i="7"/>
  <c r="SG23" i="7"/>
  <c r="SF23" i="7"/>
  <c r="RD23" i="7"/>
  <c r="CP23" i="7" s="1"/>
  <c r="CL23" i="7"/>
  <c r="CJ23" i="7"/>
  <c r="CH23" i="7"/>
  <c r="BY23" i="7"/>
  <c r="BX23" i="7"/>
  <c r="BW23" i="7"/>
  <c r="BH23" i="7"/>
  <c r="BI23" i="7" s="1"/>
  <c r="CR23" i="7" s="1"/>
  <c r="BG23" i="7"/>
  <c r="B23" i="7"/>
  <c r="RR23" i="7" s="1"/>
  <c r="TP22" i="7"/>
  <c r="TL22" i="7"/>
  <c r="TM22" i="7" s="1"/>
  <c r="TK22" i="7"/>
  <c r="SF22" i="7"/>
  <c r="RR22" i="7"/>
  <c r="RD22" i="7"/>
  <c r="CP22" i="7" s="1"/>
  <c r="CL22" i="7"/>
  <c r="CJ22" i="7"/>
  <c r="CH22" i="7"/>
  <c r="BY22" i="7"/>
  <c r="BX22" i="7"/>
  <c r="BW22" i="7"/>
  <c r="BH22" i="7"/>
  <c r="BI22" i="7" s="1"/>
  <c r="CR22" i="7" s="1"/>
  <c r="BG22" i="7"/>
  <c r="B22" i="7"/>
  <c r="TP21" i="7"/>
  <c r="TL21" i="7"/>
  <c r="TM21" i="7" s="1"/>
  <c r="TK21" i="7"/>
  <c r="SN21" i="7"/>
  <c r="SO21" i="7" s="1"/>
  <c r="SM21" i="7"/>
  <c r="SK21" i="7"/>
  <c r="SL21" i="7" s="1"/>
  <c r="SJ21" i="7"/>
  <c r="SI21" i="7"/>
  <c r="SH21" i="7"/>
  <c r="SG21" i="7"/>
  <c r="SF21" i="7"/>
  <c r="RR21" i="7"/>
  <c r="RD21" i="7"/>
  <c r="CP21" i="7" s="1"/>
  <c r="CL21" i="7"/>
  <c r="CJ21" i="7"/>
  <c r="CH21" i="7"/>
  <c r="BY21" i="7"/>
  <c r="BX21" i="7"/>
  <c r="BW21" i="7"/>
  <c r="BH21" i="7"/>
  <c r="CQ21" i="7" s="1"/>
  <c r="BG21" i="7"/>
  <c r="B21" i="7"/>
  <c r="TP20" i="7"/>
  <c r="TL20" i="7"/>
  <c r="TM20" i="7" s="1"/>
  <c r="TK20" i="7"/>
  <c r="SN20" i="7"/>
  <c r="SO20" i="7" s="1"/>
  <c r="SM20" i="7"/>
  <c r="SL20" i="7"/>
  <c r="SK20" i="7"/>
  <c r="SJ20" i="7"/>
  <c r="SH20" i="7"/>
  <c r="SI20" i="7" s="1"/>
  <c r="SG20" i="7"/>
  <c r="SF20" i="7"/>
  <c r="RR20" i="7"/>
  <c r="RD20" i="7"/>
  <c r="CP20" i="7" s="1"/>
  <c r="CL20" i="7"/>
  <c r="CJ20" i="7"/>
  <c r="CH20" i="7"/>
  <c r="BY20" i="7"/>
  <c r="BX20" i="7"/>
  <c r="BW20" i="7"/>
  <c r="BH20" i="7"/>
  <c r="BI20" i="7" s="1"/>
  <c r="CR20" i="7" s="1"/>
  <c r="BG20" i="7"/>
  <c r="B20" i="7"/>
  <c r="TP19" i="7"/>
  <c r="TL19" i="7"/>
  <c r="TM19" i="7" s="1"/>
  <c r="TK19" i="7"/>
  <c r="SM19" i="7"/>
  <c r="SL19" i="7"/>
  <c r="SK19" i="7"/>
  <c r="SJ19" i="7"/>
  <c r="SH19" i="7"/>
  <c r="SI19" i="7" s="1"/>
  <c r="SF19" i="7"/>
  <c r="SN19" i="7" s="1"/>
  <c r="SO19" i="7" s="1"/>
  <c r="RD19" i="7"/>
  <c r="CP19" i="7" s="1"/>
  <c r="CL19" i="7"/>
  <c r="CJ19" i="7"/>
  <c r="CH19" i="7"/>
  <c r="BY19" i="7"/>
  <c r="BX19" i="7"/>
  <c r="BH19" i="7"/>
  <c r="BI19" i="7" s="1"/>
  <c r="CR19" i="7" s="1"/>
  <c r="BG19" i="7"/>
  <c r="B19" i="7"/>
  <c r="BW19" i="7" s="1"/>
  <c r="TP18" i="7"/>
  <c r="TL18" i="7"/>
  <c r="TM18" i="7" s="1"/>
  <c r="TK18" i="7"/>
  <c r="SO18" i="7"/>
  <c r="SN18" i="7"/>
  <c r="SJ18" i="7"/>
  <c r="SG18" i="7"/>
  <c r="SF18" i="7"/>
  <c r="RD18" i="7"/>
  <c r="CP18" i="7" s="1"/>
  <c r="CL18" i="7"/>
  <c r="CJ18" i="7"/>
  <c r="CH18" i="7"/>
  <c r="BY18" i="7"/>
  <c r="BX18" i="7"/>
  <c r="BH18" i="7"/>
  <c r="CQ18" i="7" s="1"/>
  <c r="BG18" i="7"/>
  <c r="B18" i="7"/>
  <c r="TP17" i="7"/>
  <c r="TL17" i="7"/>
  <c r="TM17" i="7" s="1"/>
  <c r="TK17" i="7"/>
  <c r="SG17" i="7"/>
  <c r="SF17" i="7"/>
  <c r="SN17" i="7" s="1"/>
  <c r="SO17" i="7" s="1"/>
  <c r="RD17" i="7"/>
  <c r="CP17" i="7" s="1"/>
  <c r="CL17" i="7"/>
  <c r="CJ17" i="7"/>
  <c r="CH17" i="7"/>
  <c r="BY17" i="7"/>
  <c r="BX17" i="7"/>
  <c r="BH17" i="7"/>
  <c r="CQ17" i="7" s="1"/>
  <c r="BG17" i="7"/>
  <c r="B17" i="7"/>
  <c r="RR17" i="7" s="1"/>
  <c r="RR3" i="7"/>
  <c r="CG3" i="7"/>
  <c r="CE3" i="7"/>
  <c r="CC3" i="7"/>
  <c r="BZ3" i="7"/>
  <c r="BL3" i="7"/>
  <c r="U3" i="7"/>
  <c r="CI3" i="7" s="1"/>
  <c r="P3" i="7"/>
  <c r="RY3" i="7" s="1"/>
  <c r="M3" i="7"/>
  <c r="RV3" i="7" s="1"/>
  <c r="H3" i="7"/>
  <c r="RT3" i="7" s="1"/>
  <c r="G3" i="7"/>
  <c r="F1" i="7"/>
  <c r="B1" i="7"/>
  <c r="AF40" i="6"/>
  <c r="AE40" i="6"/>
  <c r="AG40" i="6" s="1"/>
  <c r="AD40" i="6"/>
  <c r="AC40" i="6"/>
  <c r="AB40" i="6"/>
  <c r="Z40" i="6"/>
  <c r="Y40" i="6"/>
  <c r="AA40" i="6" s="1"/>
  <c r="X40" i="6"/>
  <c r="W40" i="6"/>
  <c r="V40" i="6"/>
  <c r="U40" i="6"/>
  <c r="T40" i="6"/>
  <c r="S40" i="6"/>
  <c r="Q40" i="6"/>
  <c r="R40" i="6" s="1"/>
  <c r="P40" i="6"/>
  <c r="N40" i="6"/>
  <c r="M40" i="6"/>
  <c r="O40" i="6" s="1"/>
  <c r="L40" i="6"/>
  <c r="K40" i="6"/>
  <c r="J40" i="6"/>
  <c r="H40" i="6"/>
  <c r="G40" i="6"/>
  <c r="I40" i="6" s="1"/>
  <c r="E40" i="6"/>
  <c r="F40" i="6" s="1"/>
  <c r="D40" i="6"/>
  <c r="AF39" i="6"/>
  <c r="AE39" i="6"/>
  <c r="AG39" i="6" s="1"/>
  <c r="AD39" i="6"/>
  <c r="AC39" i="6"/>
  <c r="AB39" i="6"/>
  <c r="Z39" i="6"/>
  <c r="Y39" i="6"/>
  <c r="AA39" i="6" s="1"/>
  <c r="X39" i="6"/>
  <c r="W39" i="6"/>
  <c r="V39" i="6"/>
  <c r="T39" i="6"/>
  <c r="S39" i="6"/>
  <c r="U39" i="6" s="1"/>
  <c r="R39" i="6"/>
  <c r="Q39" i="6"/>
  <c r="P39" i="6"/>
  <c r="N39" i="6"/>
  <c r="O39" i="6" s="1"/>
  <c r="M39" i="6"/>
  <c r="L39" i="6"/>
  <c r="K39" i="6"/>
  <c r="J39" i="6"/>
  <c r="H39" i="6"/>
  <c r="G39" i="6"/>
  <c r="I39" i="6" s="1"/>
  <c r="F39" i="6"/>
  <c r="E39" i="6"/>
  <c r="D39" i="6"/>
  <c r="AG38" i="6"/>
  <c r="AF38" i="6"/>
  <c r="AE38" i="6"/>
  <c r="AC38" i="6"/>
  <c r="AD38" i="6" s="1"/>
  <c r="AB38" i="6"/>
  <c r="Z38" i="6"/>
  <c r="Y38" i="6"/>
  <c r="AA38" i="6" s="1"/>
  <c r="X38" i="6"/>
  <c r="W38" i="6"/>
  <c r="V38" i="6"/>
  <c r="T38" i="6"/>
  <c r="U38" i="6" s="1"/>
  <c r="S38" i="6"/>
  <c r="R38" i="6"/>
  <c r="Q38" i="6"/>
  <c r="P38" i="6"/>
  <c r="N38" i="6"/>
  <c r="M38" i="6"/>
  <c r="O38" i="6" s="1"/>
  <c r="K38" i="6"/>
  <c r="J38" i="6"/>
  <c r="L38" i="6" s="1"/>
  <c r="I38" i="6"/>
  <c r="H38" i="6"/>
  <c r="G38" i="6"/>
  <c r="E38" i="6"/>
  <c r="F38" i="6" s="1"/>
  <c r="D38" i="6"/>
  <c r="AF37" i="6"/>
  <c r="AE37" i="6"/>
  <c r="AG37" i="6" s="1"/>
  <c r="AC37" i="6"/>
  <c r="AB37" i="6"/>
  <c r="AD37" i="6" s="1"/>
  <c r="Z37" i="6"/>
  <c r="AA37" i="6" s="1"/>
  <c r="Y37" i="6"/>
  <c r="X37" i="6"/>
  <c r="W37" i="6"/>
  <c r="V37" i="6"/>
  <c r="T37" i="6"/>
  <c r="S37" i="6"/>
  <c r="U37" i="6" s="1"/>
  <c r="R37" i="6"/>
  <c r="Q37" i="6"/>
  <c r="P37" i="6"/>
  <c r="O37" i="6"/>
  <c r="N37" i="6"/>
  <c r="M37" i="6"/>
  <c r="K37" i="6"/>
  <c r="L37" i="6" s="1"/>
  <c r="J37" i="6"/>
  <c r="H37" i="6"/>
  <c r="G37" i="6"/>
  <c r="I37" i="6" s="1"/>
  <c r="F37" i="6"/>
  <c r="E37" i="6"/>
  <c r="D37" i="6"/>
  <c r="AF36" i="6"/>
  <c r="AE36" i="6"/>
  <c r="AD36" i="6"/>
  <c r="AC36" i="6"/>
  <c r="AB36" i="6"/>
  <c r="Z36" i="6"/>
  <c r="Y36" i="6"/>
  <c r="AA36" i="6" s="1"/>
  <c r="W36" i="6"/>
  <c r="V36" i="6"/>
  <c r="X36" i="6" s="1"/>
  <c r="T36" i="6"/>
  <c r="S36" i="6"/>
  <c r="U36" i="6" s="1"/>
  <c r="Q36" i="6"/>
  <c r="R36" i="6" s="1"/>
  <c r="P36" i="6"/>
  <c r="N36" i="6"/>
  <c r="M36" i="6"/>
  <c r="O36" i="6" s="1"/>
  <c r="K36" i="6"/>
  <c r="J36" i="6"/>
  <c r="L36" i="6" s="1"/>
  <c r="I36" i="6"/>
  <c r="H36" i="6"/>
  <c r="G36" i="6"/>
  <c r="F36" i="6"/>
  <c r="E36" i="6"/>
  <c r="D36" i="6"/>
  <c r="AF35" i="6"/>
  <c r="AE35" i="6"/>
  <c r="AG35" i="6" s="1"/>
  <c r="AD35" i="6"/>
  <c r="AC35" i="6"/>
  <c r="AB35" i="6"/>
  <c r="AA35" i="6"/>
  <c r="Z35" i="6"/>
  <c r="Y35" i="6"/>
  <c r="W35" i="6"/>
  <c r="X35" i="6" s="1"/>
  <c r="V35" i="6"/>
  <c r="T35" i="6"/>
  <c r="S35" i="6"/>
  <c r="U35" i="6" s="1"/>
  <c r="R35" i="6"/>
  <c r="Q35" i="6"/>
  <c r="P35" i="6"/>
  <c r="N35" i="6"/>
  <c r="M35" i="6"/>
  <c r="O35" i="6" s="1"/>
  <c r="K35" i="6"/>
  <c r="L35" i="6" s="1"/>
  <c r="J35" i="6"/>
  <c r="H35" i="6"/>
  <c r="G35" i="6"/>
  <c r="I35" i="6" s="1"/>
  <c r="F35" i="6"/>
  <c r="E35" i="6"/>
  <c r="D35" i="6"/>
  <c r="AF34" i="6"/>
  <c r="AE34" i="6"/>
  <c r="AG34" i="6" s="1"/>
  <c r="AD34" i="6"/>
  <c r="AC34" i="6"/>
  <c r="AB34" i="6"/>
  <c r="Z34" i="6"/>
  <c r="Y34" i="6"/>
  <c r="AA34" i="6" s="1"/>
  <c r="X34" i="6"/>
  <c r="W34" i="6"/>
  <c r="V34" i="6"/>
  <c r="T34" i="6"/>
  <c r="U34" i="6" s="1"/>
  <c r="S34" i="6"/>
  <c r="R34" i="6"/>
  <c r="Q34" i="6"/>
  <c r="P34" i="6"/>
  <c r="N34" i="6"/>
  <c r="M34" i="6"/>
  <c r="O34" i="6" s="1"/>
  <c r="L34" i="6"/>
  <c r="K34" i="6"/>
  <c r="J34" i="6"/>
  <c r="I34" i="6"/>
  <c r="H34" i="6"/>
  <c r="G34" i="6"/>
  <c r="E34" i="6"/>
  <c r="F34" i="6" s="1"/>
  <c r="D34" i="6"/>
  <c r="AF33" i="6"/>
  <c r="AE33" i="6"/>
  <c r="AG33" i="6" s="1"/>
  <c r="AD33" i="6"/>
  <c r="AC33" i="6"/>
  <c r="AB33" i="6"/>
  <c r="Z33" i="6"/>
  <c r="AA33" i="6" s="1"/>
  <c r="Y33" i="6"/>
  <c r="X33" i="6"/>
  <c r="W33" i="6"/>
  <c r="V33" i="6"/>
  <c r="T33" i="6"/>
  <c r="S33" i="6"/>
  <c r="U33" i="6" s="1"/>
  <c r="Q33" i="6"/>
  <c r="P33" i="6"/>
  <c r="R33" i="6" s="1"/>
  <c r="O33" i="6"/>
  <c r="N33" i="6"/>
  <c r="M33" i="6"/>
  <c r="K33" i="6"/>
  <c r="L33" i="6" s="1"/>
  <c r="J33" i="6"/>
  <c r="H33" i="6"/>
  <c r="G33" i="6"/>
  <c r="I33" i="6" s="1"/>
  <c r="E33" i="6"/>
  <c r="D33" i="6"/>
  <c r="F33" i="6" s="1"/>
  <c r="AF32" i="6"/>
  <c r="AG32" i="6" s="1"/>
  <c r="AE32" i="6"/>
  <c r="AD32" i="6"/>
  <c r="AC32" i="6"/>
  <c r="AB32" i="6"/>
  <c r="Z32" i="6"/>
  <c r="Y32" i="6"/>
  <c r="AA32" i="6" s="1"/>
  <c r="X32" i="6"/>
  <c r="W32" i="6"/>
  <c r="V32" i="6"/>
  <c r="U32" i="6"/>
  <c r="T32" i="6"/>
  <c r="S32" i="6"/>
  <c r="Q32" i="6"/>
  <c r="R32" i="6" s="1"/>
  <c r="P32" i="6"/>
  <c r="N32" i="6"/>
  <c r="M32" i="6"/>
  <c r="O32" i="6" s="1"/>
  <c r="L32" i="6"/>
  <c r="K32" i="6"/>
  <c r="J32" i="6"/>
  <c r="H32" i="6"/>
  <c r="G32" i="6"/>
  <c r="I32" i="6" s="1"/>
  <c r="F32" i="6"/>
  <c r="E32" i="6"/>
  <c r="D32" i="6"/>
  <c r="AF31" i="6"/>
  <c r="AE31" i="6"/>
  <c r="AG31" i="6" s="1"/>
  <c r="AC31" i="6"/>
  <c r="AB31" i="6"/>
  <c r="AD31" i="6" s="1"/>
  <c r="Z31" i="6"/>
  <c r="Y31" i="6"/>
  <c r="AA31" i="6" s="1"/>
  <c r="W31" i="6"/>
  <c r="X31" i="6" s="1"/>
  <c r="V31" i="6"/>
  <c r="T31" i="6"/>
  <c r="S31" i="6"/>
  <c r="U31" i="6" s="1"/>
  <c r="Q31" i="6"/>
  <c r="P31" i="6"/>
  <c r="R31" i="6" s="1"/>
  <c r="O31" i="6"/>
  <c r="N31" i="6"/>
  <c r="M31" i="6"/>
  <c r="L31" i="6"/>
  <c r="K31" i="6"/>
  <c r="J31" i="6"/>
  <c r="H31" i="6"/>
  <c r="G31" i="6"/>
  <c r="I31" i="6" s="1"/>
  <c r="F31" i="6"/>
  <c r="E31" i="6"/>
  <c r="D31" i="6"/>
  <c r="AG30" i="6"/>
  <c r="AF30" i="6"/>
  <c r="AE30" i="6"/>
  <c r="AC30" i="6"/>
  <c r="AD30" i="6" s="1"/>
  <c r="AB30" i="6"/>
  <c r="Z30" i="6"/>
  <c r="Y30" i="6"/>
  <c r="AA30" i="6" s="1"/>
  <c r="X30" i="6"/>
  <c r="W30" i="6"/>
  <c r="V30" i="6"/>
  <c r="T30" i="6"/>
  <c r="S30" i="6"/>
  <c r="U30" i="6" s="1"/>
  <c r="Q30" i="6"/>
  <c r="R30" i="6" s="1"/>
  <c r="P30" i="6"/>
  <c r="N30" i="6"/>
  <c r="M30" i="6"/>
  <c r="O30" i="6" s="1"/>
  <c r="L30" i="6"/>
  <c r="K30" i="6"/>
  <c r="J30" i="6"/>
  <c r="H30" i="6"/>
  <c r="G30" i="6"/>
  <c r="I30" i="6" s="1"/>
  <c r="F30" i="6"/>
  <c r="E30" i="6"/>
  <c r="D30" i="6"/>
  <c r="AF29" i="6"/>
  <c r="AE29" i="6"/>
  <c r="AG29" i="6" s="1"/>
  <c r="AD29" i="6"/>
  <c r="AC29" i="6"/>
  <c r="AB29" i="6"/>
  <c r="AA29" i="6"/>
  <c r="Z29" i="6"/>
  <c r="Y29" i="6"/>
  <c r="X29" i="6"/>
  <c r="W29" i="6"/>
  <c r="V29" i="6"/>
  <c r="T29" i="6"/>
  <c r="S29" i="6"/>
  <c r="U29" i="6" s="1"/>
  <c r="R29" i="6"/>
  <c r="Q29" i="6"/>
  <c r="P29" i="6"/>
  <c r="O29" i="6"/>
  <c r="N29" i="6"/>
  <c r="M29" i="6"/>
  <c r="K29" i="6"/>
  <c r="L29" i="6" s="1"/>
  <c r="J29" i="6"/>
  <c r="H29" i="6"/>
  <c r="G29" i="6"/>
  <c r="I29" i="6" s="1"/>
  <c r="F29" i="6"/>
  <c r="E29" i="6"/>
  <c r="D29" i="6"/>
  <c r="AF28" i="6"/>
  <c r="AG28" i="6" s="1"/>
  <c r="AE28" i="6"/>
  <c r="AD28" i="6"/>
  <c r="AC28" i="6"/>
  <c r="AB28" i="6"/>
  <c r="Z28" i="6"/>
  <c r="Y28" i="6"/>
  <c r="AA28" i="6" s="1"/>
  <c r="W28" i="6"/>
  <c r="V28" i="6"/>
  <c r="X28" i="6" s="1"/>
  <c r="U28" i="6"/>
  <c r="T28" i="6"/>
  <c r="S28" i="6"/>
  <c r="R28" i="6"/>
  <c r="Q28" i="6"/>
  <c r="P28" i="6"/>
  <c r="N28" i="6"/>
  <c r="M28" i="6"/>
  <c r="O28" i="6" s="1"/>
  <c r="K28" i="6"/>
  <c r="J28" i="6"/>
  <c r="L28" i="6" s="1"/>
  <c r="H28" i="6"/>
  <c r="I28" i="6" s="1"/>
  <c r="G28" i="6"/>
  <c r="F28" i="6"/>
  <c r="E28" i="6"/>
  <c r="D28" i="6"/>
  <c r="AF27" i="6"/>
  <c r="AE27" i="6"/>
  <c r="AG27" i="6" s="1"/>
  <c r="AD27" i="6"/>
  <c r="AC27" i="6"/>
  <c r="AB27" i="6"/>
  <c r="AA27" i="6"/>
  <c r="Z27" i="6"/>
  <c r="Y27" i="6"/>
  <c r="W27" i="6"/>
  <c r="X27" i="6" s="1"/>
  <c r="V27" i="6"/>
  <c r="T27" i="6"/>
  <c r="S27" i="6"/>
  <c r="U27" i="6" s="1"/>
  <c r="R27" i="6"/>
  <c r="Q27" i="6"/>
  <c r="P27" i="6"/>
  <c r="N27" i="6"/>
  <c r="M27" i="6"/>
  <c r="O27" i="6" s="1"/>
  <c r="L27" i="6"/>
  <c r="K27" i="6"/>
  <c r="J27" i="6"/>
  <c r="H27" i="6"/>
  <c r="G27" i="6"/>
  <c r="I27" i="6" s="1"/>
  <c r="E27" i="6"/>
  <c r="D27" i="6"/>
  <c r="F27" i="6" s="1"/>
  <c r="AF26" i="6"/>
  <c r="AE26" i="6"/>
  <c r="AG26" i="6" s="1"/>
  <c r="AC26" i="6"/>
  <c r="AD26" i="6" s="1"/>
  <c r="AB26" i="6"/>
  <c r="Z26" i="6"/>
  <c r="Y26" i="6"/>
  <c r="AA26" i="6" s="1"/>
  <c r="W26" i="6"/>
  <c r="V26" i="6"/>
  <c r="X26" i="6" s="1"/>
  <c r="U26" i="6"/>
  <c r="T26" i="6"/>
  <c r="S26" i="6"/>
  <c r="R26" i="6"/>
  <c r="Q26" i="6"/>
  <c r="P26" i="6"/>
  <c r="N26" i="6"/>
  <c r="M26" i="6"/>
  <c r="O26" i="6" s="1"/>
  <c r="L26" i="6"/>
  <c r="K26" i="6"/>
  <c r="J26" i="6"/>
  <c r="I26" i="6"/>
  <c r="H26" i="6"/>
  <c r="G26" i="6"/>
  <c r="E26" i="6"/>
  <c r="D26" i="6"/>
  <c r="AF25" i="6"/>
  <c r="AE25" i="6"/>
  <c r="AG25" i="6" s="1"/>
  <c r="AD25" i="6"/>
  <c r="AC25" i="6"/>
  <c r="AB25" i="6"/>
  <c r="Z25" i="6"/>
  <c r="Y25" i="6"/>
  <c r="AA25" i="6" s="1"/>
  <c r="W25" i="6"/>
  <c r="V25" i="6"/>
  <c r="X25" i="6" s="1"/>
  <c r="T25" i="6"/>
  <c r="S25" i="6"/>
  <c r="U25" i="6" s="1"/>
  <c r="R25" i="6"/>
  <c r="Q25" i="6"/>
  <c r="P25" i="6"/>
  <c r="N25" i="6"/>
  <c r="M25" i="6"/>
  <c r="O25" i="6" s="1"/>
  <c r="L25" i="6"/>
  <c r="K25" i="6"/>
  <c r="J25" i="6"/>
  <c r="H25" i="6"/>
  <c r="G25" i="6"/>
  <c r="I25" i="6" s="1"/>
  <c r="F25" i="6"/>
  <c r="E25" i="6"/>
  <c r="D25" i="6"/>
  <c r="AG24" i="6"/>
  <c r="AF24" i="6"/>
  <c r="AE24" i="6"/>
  <c r="AD24" i="6"/>
  <c r="AC24" i="6"/>
  <c r="AB24" i="6"/>
  <c r="Z24" i="6"/>
  <c r="Y24" i="6"/>
  <c r="AA24" i="6" s="1"/>
  <c r="X24" i="6"/>
  <c r="W24" i="6"/>
  <c r="V24" i="6"/>
  <c r="U24" i="6"/>
  <c r="T24" i="6"/>
  <c r="S24" i="6"/>
  <c r="Q24" i="6"/>
  <c r="P24" i="6"/>
  <c r="R24" i="6" s="1"/>
  <c r="N24" i="6"/>
  <c r="M24" i="6"/>
  <c r="O24" i="6" s="1"/>
  <c r="L24" i="6"/>
  <c r="K24" i="6"/>
  <c r="J24" i="6"/>
  <c r="H24" i="6"/>
  <c r="I24" i="6" s="1"/>
  <c r="G24" i="6"/>
  <c r="E24" i="6"/>
  <c r="D24" i="6"/>
  <c r="F24" i="6" s="1"/>
  <c r="AF23" i="6"/>
  <c r="AE23" i="6"/>
  <c r="AG23" i="6" s="1"/>
  <c r="AC23" i="6"/>
  <c r="AB23" i="6"/>
  <c r="AD23" i="6" s="1"/>
  <c r="AA23" i="6"/>
  <c r="Z23" i="6"/>
  <c r="Y23" i="6"/>
  <c r="X23" i="6"/>
  <c r="W23" i="6"/>
  <c r="V23" i="6"/>
  <c r="T23" i="6"/>
  <c r="S23" i="6"/>
  <c r="U23" i="6" s="1"/>
  <c r="Q23" i="6"/>
  <c r="P23" i="6"/>
  <c r="R23" i="6" s="1"/>
  <c r="N23" i="6"/>
  <c r="O23" i="6" s="1"/>
  <c r="M23" i="6"/>
  <c r="L23" i="6"/>
  <c r="K23" i="6"/>
  <c r="J23" i="6"/>
  <c r="H23" i="6"/>
  <c r="G23" i="6"/>
  <c r="I23" i="6" s="1"/>
  <c r="F23" i="6"/>
  <c r="E23" i="6"/>
  <c r="D23" i="6"/>
  <c r="AF22" i="6"/>
  <c r="AE22" i="6"/>
  <c r="AG22" i="6" s="1"/>
  <c r="AC22" i="6"/>
  <c r="AD22" i="6" s="1"/>
  <c r="AB22" i="6"/>
  <c r="Z22" i="6"/>
  <c r="Y22" i="6"/>
  <c r="AA22" i="6" s="1"/>
  <c r="X22" i="6"/>
  <c r="W22" i="6"/>
  <c r="V22" i="6"/>
  <c r="T22" i="6"/>
  <c r="S22" i="6"/>
  <c r="R22" i="6"/>
  <c r="Q22" i="6"/>
  <c r="P22" i="6"/>
  <c r="N22" i="6"/>
  <c r="M22" i="6"/>
  <c r="O22" i="6" s="1"/>
  <c r="K22" i="6"/>
  <c r="J22" i="6"/>
  <c r="L22" i="6" s="1"/>
  <c r="H22" i="6"/>
  <c r="G22" i="6"/>
  <c r="I22" i="6" s="1"/>
  <c r="E22" i="6"/>
  <c r="F22" i="6" s="1"/>
  <c r="D22" i="6"/>
  <c r="AF21" i="6"/>
  <c r="AE21" i="6"/>
  <c r="AG21" i="6" s="1"/>
  <c r="AC21" i="6"/>
  <c r="AB21" i="6"/>
  <c r="AD21" i="6" s="1"/>
  <c r="AA21" i="6"/>
  <c r="Z21" i="6"/>
  <c r="Y21" i="6"/>
  <c r="X21" i="6"/>
  <c r="W21" i="6"/>
  <c r="V21" i="6"/>
  <c r="T21" i="6"/>
  <c r="S21" i="6"/>
  <c r="U21" i="6" s="1"/>
  <c r="R21" i="6"/>
  <c r="Q21" i="6"/>
  <c r="P21" i="6"/>
  <c r="O21" i="6"/>
  <c r="N21" i="6"/>
  <c r="M21" i="6"/>
  <c r="K21" i="6"/>
  <c r="J21" i="6"/>
  <c r="H21" i="6"/>
  <c r="G21" i="6"/>
  <c r="I21" i="6" s="1"/>
  <c r="F21" i="6"/>
  <c r="E21" i="6"/>
  <c r="D21" i="6"/>
  <c r="AF20" i="6"/>
  <c r="AE20" i="6"/>
  <c r="AG20" i="6" s="1"/>
  <c r="AC20" i="6"/>
  <c r="AB20" i="6"/>
  <c r="AD20" i="6" s="1"/>
  <c r="Z20" i="6"/>
  <c r="Y20" i="6"/>
  <c r="AA20" i="6" s="1"/>
  <c r="X20" i="6"/>
  <c r="W20" i="6"/>
  <c r="V20" i="6"/>
  <c r="T20" i="6"/>
  <c r="S20" i="6"/>
  <c r="U20" i="6" s="1"/>
  <c r="R20" i="6"/>
  <c r="Q20" i="6"/>
  <c r="P20" i="6"/>
  <c r="N20" i="6"/>
  <c r="M20" i="6"/>
  <c r="O20" i="6" s="1"/>
  <c r="L20" i="6"/>
  <c r="K20" i="6"/>
  <c r="J20" i="6"/>
  <c r="I20" i="6"/>
  <c r="H20" i="6"/>
  <c r="G20" i="6"/>
  <c r="F20" i="6"/>
  <c r="E20" i="6"/>
  <c r="D20" i="6"/>
  <c r="AF19" i="6"/>
  <c r="AE19" i="6"/>
  <c r="AG19" i="6" s="1"/>
  <c r="AD19" i="6"/>
  <c r="AC19" i="6"/>
  <c r="AB19" i="6"/>
  <c r="AA19" i="6"/>
  <c r="Z19" i="6"/>
  <c r="Y19" i="6"/>
  <c r="W19" i="6"/>
  <c r="V19" i="6"/>
  <c r="T19" i="6"/>
  <c r="S19" i="6"/>
  <c r="U19" i="6" s="1"/>
  <c r="Q19" i="6"/>
  <c r="P19" i="6"/>
  <c r="R19" i="6" s="1"/>
  <c r="N19" i="6"/>
  <c r="O19" i="6" s="1"/>
  <c r="M19" i="6"/>
  <c r="K19" i="6"/>
  <c r="J19" i="6"/>
  <c r="L19" i="6" s="1"/>
  <c r="H19" i="6"/>
  <c r="G19" i="6"/>
  <c r="I19" i="6" s="1"/>
  <c r="E19" i="6"/>
  <c r="D19" i="6"/>
  <c r="F19" i="6" s="1"/>
  <c r="AF18" i="6"/>
  <c r="AE18" i="6"/>
  <c r="AG18" i="6" s="1"/>
  <c r="AD18" i="6"/>
  <c r="AC18" i="6"/>
  <c r="AB18" i="6"/>
  <c r="Z18" i="6"/>
  <c r="Y18" i="6"/>
  <c r="AA18" i="6" s="1"/>
  <c r="W18" i="6"/>
  <c r="V18" i="6"/>
  <c r="X18" i="6" s="1"/>
  <c r="U18" i="6"/>
  <c r="T18" i="6"/>
  <c r="S18" i="6"/>
  <c r="R18" i="6"/>
  <c r="Q18" i="6"/>
  <c r="P18" i="6"/>
  <c r="N18" i="6"/>
  <c r="M18" i="6"/>
  <c r="O18" i="6" s="1"/>
  <c r="L18" i="6"/>
  <c r="K18" i="6"/>
  <c r="J18" i="6"/>
  <c r="I18" i="6"/>
  <c r="H18" i="6"/>
  <c r="G18" i="6"/>
  <c r="E18" i="6"/>
  <c r="F18" i="6" s="1"/>
  <c r="D18" i="6"/>
  <c r="AF17" i="6"/>
  <c r="AE17" i="6"/>
  <c r="AG17" i="6" s="1"/>
  <c r="AD17" i="6"/>
  <c r="AC17" i="6"/>
  <c r="AB17" i="6"/>
  <c r="Z17" i="6"/>
  <c r="Y17" i="6"/>
  <c r="X17" i="6"/>
  <c r="W17" i="6"/>
  <c r="V17" i="6"/>
  <c r="T17" i="6"/>
  <c r="S17" i="6"/>
  <c r="U17" i="6" s="1"/>
  <c r="Q17" i="6"/>
  <c r="P17" i="6"/>
  <c r="R17" i="6" s="1"/>
  <c r="N17" i="6"/>
  <c r="M17" i="6"/>
  <c r="O17" i="6" s="1"/>
  <c r="L17" i="6"/>
  <c r="K17" i="6"/>
  <c r="J17" i="6"/>
  <c r="H17" i="6"/>
  <c r="G17" i="6"/>
  <c r="I17" i="6" s="1"/>
  <c r="E17" i="6"/>
  <c r="D17" i="6"/>
  <c r="F17" i="6" s="1"/>
  <c r="AG16" i="6"/>
  <c r="AF16" i="6"/>
  <c r="AE16" i="6"/>
  <c r="AD16" i="6"/>
  <c r="AC16" i="6"/>
  <c r="AB16" i="6"/>
  <c r="Z16" i="6"/>
  <c r="Y16" i="6"/>
  <c r="AA16" i="6" s="1"/>
  <c r="X16" i="6"/>
  <c r="W16" i="6"/>
  <c r="V16" i="6"/>
  <c r="T16" i="6"/>
  <c r="U16" i="6" s="1"/>
  <c r="S16" i="6"/>
  <c r="Q16" i="6"/>
  <c r="P16" i="6"/>
  <c r="R16" i="6" s="1"/>
  <c r="N16" i="6"/>
  <c r="M16" i="6"/>
  <c r="O16" i="6" s="1"/>
  <c r="L16" i="6"/>
  <c r="K16" i="6"/>
  <c r="J16" i="6"/>
  <c r="H16" i="6"/>
  <c r="G16" i="6"/>
  <c r="E16" i="6"/>
  <c r="D16" i="6"/>
  <c r="F16" i="6" s="1"/>
  <c r="AF15" i="6"/>
  <c r="AE15" i="6"/>
  <c r="AG15" i="6" s="1"/>
  <c r="AD15" i="6"/>
  <c r="AC15" i="6"/>
  <c r="AB15" i="6"/>
  <c r="Z15" i="6"/>
  <c r="Y15" i="6"/>
  <c r="AA15" i="6" s="1"/>
  <c r="X15" i="6"/>
  <c r="W15" i="6"/>
  <c r="V15" i="6"/>
  <c r="T15" i="6"/>
  <c r="S15" i="6"/>
  <c r="U15" i="6" s="1"/>
  <c r="Q15" i="6"/>
  <c r="P15" i="6"/>
  <c r="R15" i="6" s="1"/>
  <c r="O15" i="6"/>
  <c r="N15" i="6"/>
  <c r="M15" i="6"/>
  <c r="K15" i="6"/>
  <c r="L15" i="6" s="1"/>
  <c r="J15" i="6"/>
  <c r="H15" i="6"/>
  <c r="G15" i="6"/>
  <c r="I15" i="6" s="1"/>
  <c r="F15" i="6"/>
  <c r="E15" i="6"/>
  <c r="D15" i="6"/>
  <c r="AG14" i="6"/>
  <c r="AF14" i="6"/>
  <c r="AE14" i="6"/>
  <c r="AC14" i="6"/>
  <c r="AB14" i="6"/>
  <c r="AD14" i="6" s="1"/>
  <c r="Z14" i="6"/>
  <c r="Y14" i="6"/>
  <c r="AA14" i="6" s="1"/>
  <c r="W14" i="6"/>
  <c r="V14" i="6"/>
  <c r="X14" i="6" s="1"/>
  <c r="T14" i="6"/>
  <c r="U14" i="6" s="1"/>
  <c r="S14" i="6"/>
  <c r="Q14" i="6"/>
  <c r="P14" i="6"/>
  <c r="R14" i="6" s="1"/>
  <c r="N14" i="6"/>
  <c r="M14" i="6"/>
  <c r="K14" i="6"/>
  <c r="J14" i="6"/>
  <c r="L14" i="6" s="1"/>
  <c r="I14" i="6"/>
  <c r="H14" i="6"/>
  <c r="G14" i="6"/>
  <c r="F14" i="6"/>
  <c r="E14" i="6"/>
  <c r="D14" i="6"/>
  <c r="AF13" i="6"/>
  <c r="AE13" i="6"/>
  <c r="AG13" i="6" s="1"/>
  <c r="AC13" i="6"/>
  <c r="AB13" i="6"/>
  <c r="AD13" i="6" s="1"/>
  <c r="Z13" i="6"/>
  <c r="AA13" i="6" s="1"/>
  <c r="Y13" i="6"/>
  <c r="X13" i="6"/>
  <c r="W13" i="6"/>
  <c r="V13" i="6"/>
  <c r="T13" i="6"/>
  <c r="S13" i="6"/>
  <c r="U13" i="6" s="1"/>
  <c r="R13" i="6"/>
  <c r="Q13" i="6"/>
  <c r="P13" i="6"/>
  <c r="N13" i="6"/>
  <c r="M13" i="6"/>
  <c r="O13" i="6" s="1"/>
  <c r="K13" i="6"/>
  <c r="L13" i="6" s="1"/>
  <c r="J13" i="6"/>
  <c r="H13" i="6"/>
  <c r="G13" i="6"/>
  <c r="I13" i="6" s="1"/>
  <c r="F13" i="6"/>
  <c r="E13" i="6"/>
  <c r="D13" i="6"/>
  <c r="AG12" i="6"/>
  <c r="AF12" i="6"/>
  <c r="AE12" i="6"/>
  <c r="AC12" i="6"/>
  <c r="AD12" i="6" s="1"/>
  <c r="AB12" i="6"/>
  <c r="Z12" i="6"/>
  <c r="Y12" i="6"/>
  <c r="AA12" i="6" s="1"/>
  <c r="W12" i="6"/>
  <c r="V12" i="6"/>
  <c r="X12" i="6" s="1"/>
  <c r="T12" i="6"/>
  <c r="S12" i="6"/>
  <c r="U12" i="6" s="1"/>
  <c r="Q12" i="6"/>
  <c r="R12" i="6" s="1"/>
  <c r="P12" i="6"/>
  <c r="N12" i="6"/>
  <c r="M12" i="6"/>
  <c r="O12" i="6" s="1"/>
  <c r="L12" i="6"/>
  <c r="K12" i="6"/>
  <c r="J12" i="6"/>
  <c r="H12" i="6"/>
  <c r="G12" i="6"/>
  <c r="I12" i="6" s="1"/>
  <c r="E12" i="6"/>
  <c r="F12" i="6" s="1"/>
  <c r="D12" i="6"/>
  <c r="AF11" i="6"/>
  <c r="AE11" i="6"/>
  <c r="AG11" i="6" s="1"/>
  <c r="AD11" i="6"/>
  <c r="AC11" i="6"/>
  <c r="AB11" i="6"/>
  <c r="Z11" i="6"/>
  <c r="Y11" i="6"/>
  <c r="AA11" i="6" s="1"/>
  <c r="W11" i="6"/>
  <c r="X11" i="6" s="1"/>
  <c r="V11" i="6"/>
  <c r="T11" i="6"/>
  <c r="S11" i="6"/>
  <c r="U11" i="6" s="1"/>
  <c r="R11" i="6"/>
  <c r="Q11" i="6"/>
  <c r="P11" i="6"/>
  <c r="O11" i="6"/>
  <c r="N11" i="6"/>
  <c r="M11" i="6"/>
  <c r="K11" i="6"/>
  <c r="L11" i="6" s="1"/>
  <c r="J11" i="6"/>
  <c r="H11" i="6"/>
  <c r="G11" i="6"/>
  <c r="I11" i="6" s="1"/>
  <c r="F11" i="6"/>
  <c r="E11" i="6"/>
  <c r="D11" i="6"/>
  <c r="AF10" i="6"/>
  <c r="AE10" i="6"/>
  <c r="AG10" i="6" s="1"/>
  <c r="AC10" i="6"/>
  <c r="AD10" i="6" s="1"/>
  <c r="AB10" i="6"/>
  <c r="Z10" i="6"/>
  <c r="Y10" i="6"/>
  <c r="AA10" i="6" s="1"/>
  <c r="W10" i="6"/>
  <c r="V10" i="6"/>
  <c r="X10" i="6" s="1"/>
  <c r="T10" i="6"/>
  <c r="U10" i="6" s="1"/>
  <c r="S10" i="6"/>
  <c r="Q10" i="6"/>
  <c r="R10" i="6" s="1"/>
  <c r="P10" i="6"/>
  <c r="N10" i="6"/>
  <c r="M10" i="6"/>
  <c r="O10" i="6" s="1"/>
  <c r="K10" i="6"/>
  <c r="J10" i="6"/>
  <c r="L10" i="6" s="1"/>
  <c r="H10" i="6"/>
  <c r="G10" i="6"/>
  <c r="I10" i="6" s="1"/>
  <c r="E10" i="6"/>
  <c r="F10" i="6" s="1"/>
  <c r="D10" i="6"/>
  <c r="AF9" i="6"/>
  <c r="AE9" i="6"/>
  <c r="AG9" i="6" s="1"/>
  <c r="AC9" i="6"/>
  <c r="AB9" i="6"/>
  <c r="AD9" i="6" s="1"/>
  <c r="Z9" i="6"/>
  <c r="Y9" i="6"/>
  <c r="AA9" i="6" s="1"/>
  <c r="X9" i="6"/>
  <c r="W9" i="6"/>
  <c r="V9" i="6"/>
  <c r="T9" i="6"/>
  <c r="S9" i="6"/>
  <c r="U9" i="6" s="1"/>
  <c r="Q9" i="6"/>
  <c r="P9" i="6"/>
  <c r="R9" i="6" s="1"/>
  <c r="N9" i="6"/>
  <c r="M9" i="6"/>
  <c r="O9" i="6" s="1"/>
  <c r="K9" i="6"/>
  <c r="L9" i="6" s="1"/>
  <c r="J9" i="6"/>
  <c r="H9" i="6"/>
  <c r="G9" i="6"/>
  <c r="I9" i="6" s="1"/>
  <c r="F9" i="6"/>
  <c r="E9" i="6"/>
  <c r="D9" i="6"/>
  <c r="AF8" i="6"/>
  <c r="AE8" i="6"/>
  <c r="AG8" i="6" s="1"/>
  <c r="AC8" i="6"/>
  <c r="AD8" i="6" s="1"/>
  <c r="AB8" i="6"/>
  <c r="Z8" i="6"/>
  <c r="Y8" i="6"/>
  <c r="AA8" i="6" s="1"/>
  <c r="X8" i="6"/>
  <c r="W8" i="6"/>
  <c r="V8" i="6"/>
  <c r="T8" i="6"/>
  <c r="S8" i="6"/>
  <c r="U8" i="6" s="1"/>
  <c r="Q8" i="6"/>
  <c r="R8" i="6" s="1"/>
  <c r="P8" i="6"/>
  <c r="N8" i="6"/>
  <c r="M8" i="6"/>
  <c r="O8" i="6" s="1"/>
  <c r="L8" i="6"/>
  <c r="K8" i="6"/>
  <c r="J8" i="6"/>
  <c r="H8" i="6"/>
  <c r="G8" i="6"/>
  <c r="I8" i="6" s="1"/>
  <c r="E8" i="6"/>
  <c r="F8" i="6" s="1"/>
  <c r="D8" i="6"/>
  <c r="AF7" i="6"/>
  <c r="AE7" i="6"/>
  <c r="AG7" i="6" s="1"/>
  <c r="AC7" i="6"/>
  <c r="AB7" i="6"/>
  <c r="AD7" i="6" s="1"/>
  <c r="AA7" i="6"/>
  <c r="Z7" i="6"/>
  <c r="Y7" i="6"/>
  <c r="W7" i="6"/>
  <c r="X7" i="6" s="1"/>
  <c r="V7" i="6"/>
  <c r="T7" i="6"/>
  <c r="S7" i="6"/>
  <c r="U7" i="6" s="1"/>
  <c r="R7" i="6"/>
  <c r="Q7" i="6"/>
  <c r="P7" i="6"/>
  <c r="O7" i="6"/>
  <c r="N7" i="6"/>
  <c r="M7" i="6"/>
  <c r="K7" i="6"/>
  <c r="L7" i="6" s="1"/>
  <c r="J7" i="6"/>
  <c r="H7" i="6"/>
  <c r="G7" i="6"/>
  <c r="I7" i="6" s="1"/>
  <c r="F7" i="6"/>
  <c r="E7" i="6"/>
  <c r="D7" i="6"/>
  <c r="AG6" i="6"/>
  <c r="AF6" i="6"/>
  <c r="AE6" i="6"/>
  <c r="AD6" i="6"/>
  <c r="AC6" i="6"/>
  <c r="AB6" i="6"/>
  <c r="AA6" i="6"/>
  <c r="X6" i="6"/>
  <c r="V6" i="6"/>
  <c r="U6" i="6"/>
  <c r="T6" i="6"/>
  <c r="S6" i="6"/>
  <c r="R6" i="6"/>
  <c r="Q6" i="6"/>
  <c r="P6" i="6"/>
  <c r="O6" i="6"/>
  <c r="N6" i="6"/>
  <c r="M6" i="6"/>
  <c r="L6" i="6"/>
  <c r="K6" i="6"/>
  <c r="J6" i="6"/>
  <c r="I6" i="6"/>
  <c r="F6" i="6"/>
  <c r="L1" i="6"/>
  <c r="V54" i="5"/>
  <c r="T54" i="5"/>
  <c r="R54" i="5"/>
  <c r="P54" i="5"/>
  <c r="O54" i="5"/>
  <c r="N54" i="5"/>
  <c r="L54" i="5"/>
  <c r="J54" i="5"/>
  <c r="H54" i="5"/>
  <c r="F54" i="5"/>
  <c r="D54" i="5"/>
  <c r="V53" i="5"/>
  <c r="U53" i="5"/>
  <c r="T53" i="5"/>
  <c r="R53" i="5"/>
  <c r="P53" i="5"/>
  <c r="N53" i="5"/>
  <c r="L53" i="5"/>
  <c r="J53" i="5"/>
  <c r="H53" i="5"/>
  <c r="F53" i="5"/>
  <c r="D53" i="5"/>
  <c r="W52" i="5"/>
  <c r="V52" i="5"/>
  <c r="U52" i="5"/>
  <c r="T52" i="5"/>
  <c r="S52" i="5"/>
  <c r="R52" i="5"/>
  <c r="P52" i="5"/>
  <c r="N52" i="5"/>
  <c r="L52" i="5"/>
  <c r="J52" i="5"/>
  <c r="H52" i="5"/>
  <c r="F52" i="5"/>
  <c r="D52" i="5"/>
  <c r="W51" i="5"/>
  <c r="V51" i="5"/>
  <c r="U51" i="5"/>
  <c r="T51" i="5"/>
  <c r="R51" i="5"/>
  <c r="P51" i="5"/>
  <c r="N51" i="5"/>
  <c r="L51" i="5"/>
  <c r="J51" i="5"/>
  <c r="H51" i="5"/>
  <c r="F51" i="5"/>
  <c r="D51" i="5"/>
  <c r="V50" i="5"/>
  <c r="T50" i="5"/>
  <c r="R50" i="5"/>
  <c r="P50" i="5"/>
  <c r="N50" i="5"/>
  <c r="L50" i="5"/>
  <c r="J50" i="5"/>
  <c r="H50" i="5"/>
  <c r="F50" i="5"/>
  <c r="D50" i="5"/>
  <c r="W49" i="5"/>
  <c r="V49" i="5"/>
  <c r="U49" i="5"/>
  <c r="T49" i="5"/>
  <c r="R49" i="5"/>
  <c r="P49" i="5"/>
  <c r="N49" i="5"/>
  <c r="L49" i="5"/>
  <c r="J49" i="5"/>
  <c r="H49" i="5"/>
  <c r="F49" i="5"/>
  <c r="D49" i="5"/>
  <c r="V48" i="5"/>
  <c r="T48" i="5"/>
  <c r="S48" i="5"/>
  <c r="R48" i="5"/>
  <c r="P48" i="5"/>
  <c r="N48" i="5"/>
  <c r="L48" i="5"/>
  <c r="J48" i="5"/>
  <c r="H48" i="5"/>
  <c r="F48" i="5"/>
  <c r="D48" i="5"/>
  <c r="W47" i="5"/>
  <c r="V47" i="5"/>
  <c r="T47" i="5"/>
  <c r="R47" i="5"/>
  <c r="Q47" i="5"/>
  <c r="P47" i="5"/>
  <c r="N47" i="5"/>
  <c r="L47" i="5"/>
  <c r="J47" i="5"/>
  <c r="H47" i="5"/>
  <c r="F47" i="5"/>
  <c r="E47" i="5"/>
  <c r="D47" i="5"/>
  <c r="W46" i="5"/>
  <c r="V46" i="5"/>
  <c r="U46" i="5"/>
  <c r="T46" i="5"/>
  <c r="S46" i="5"/>
  <c r="R46" i="5"/>
  <c r="P46" i="5"/>
  <c r="N46" i="5"/>
  <c r="L46" i="5"/>
  <c r="J46" i="5"/>
  <c r="F46" i="5"/>
  <c r="D46" i="5"/>
  <c r="V45" i="5"/>
  <c r="U45" i="5"/>
  <c r="T45" i="5"/>
  <c r="S45" i="5"/>
  <c r="R45" i="5"/>
  <c r="P45" i="5"/>
  <c r="N45" i="5"/>
  <c r="L45" i="5"/>
  <c r="J45" i="5"/>
  <c r="H45" i="5"/>
  <c r="F45" i="5"/>
  <c r="D45" i="5"/>
  <c r="V44" i="5"/>
  <c r="U44" i="5"/>
  <c r="T44" i="5"/>
  <c r="R44" i="5"/>
  <c r="P44" i="5"/>
  <c r="N44" i="5"/>
  <c r="L44" i="5"/>
  <c r="J44" i="5"/>
  <c r="H44" i="5"/>
  <c r="F44" i="5"/>
  <c r="D44" i="5"/>
  <c r="V43" i="5"/>
  <c r="T43" i="5"/>
  <c r="R43" i="5"/>
  <c r="P43" i="5"/>
  <c r="N43" i="5"/>
  <c r="L43" i="5"/>
  <c r="J43" i="5"/>
  <c r="H43" i="5"/>
  <c r="F43" i="5"/>
  <c r="D43" i="5"/>
  <c r="V42" i="5"/>
  <c r="T42" i="5"/>
  <c r="S42" i="5"/>
  <c r="R42" i="5"/>
  <c r="P42" i="5"/>
  <c r="N42" i="5"/>
  <c r="L42" i="5"/>
  <c r="J42" i="5"/>
  <c r="H42" i="5"/>
  <c r="F42" i="5"/>
  <c r="D42" i="5"/>
  <c r="V41" i="5"/>
  <c r="T41" i="5"/>
  <c r="R41" i="5"/>
  <c r="P41" i="5"/>
  <c r="N41" i="5"/>
  <c r="L41" i="5"/>
  <c r="J41" i="5"/>
  <c r="H41" i="5"/>
  <c r="F41" i="5"/>
  <c r="D41" i="5"/>
  <c r="V40" i="5"/>
  <c r="T40" i="5"/>
  <c r="R40" i="5"/>
  <c r="P40" i="5"/>
  <c r="N40" i="5"/>
  <c r="L40" i="5"/>
  <c r="J40" i="5"/>
  <c r="H40" i="5"/>
  <c r="F40" i="5"/>
  <c r="D40" i="5"/>
  <c r="V39" i="5"/>
  <c r="U39" i="5"/>
  <c r="T39" i="5"/>
  <c r="R39" i="5"/>
  <c r="P39" i="5"/>
  <c r="N39" i="5"/>
  <c r="L39" i="5"/>
  <c r="J39" i="5"/>
  <c r="H39" i="5"/>
  <c r="F39" i="5"/>
  <c r="D39" i="5"/>
  <c r="W38" i="5"/>
  <c r="V38" i="5"/>
  <c r="U38" i="5"/>
  <c r="T38" i="5"/>
  <c r="R38" i="5"/>
  <c r="P38" i="5"/>
  <c r="N38" i="5"/>
  <c r="L38" i="5"/>
  <c r="J38" i="5"/>
  <c r="H38" i="5"/>
  <c r="F38" i="5"/>
  <c r="D38" i="5"/>
  <c r="W37" i="5"/>
  <c r="V37" i="5"/>
  <c r="U37" i="5"/>
  <c r="T37" i="5"/>
  <c r="R37" i="5"/>
  <c r="P37" i="5"/>
  <c r="N37" i="5"/>
  <c r="L37" i="5"/>
  <c r="J37" i="5"/>
  <c r="H37" i="5"/>
  <c r="F37" i="5"/>
  <c r="D37" i="5"/>
  <c r="W36" i="5"/>
  <c r="V36" i="5"/>
  <c r="U36" i="5"/>
  <c r="T36" i="5"/>
  <c r="R36" i="5"/>
  <c r="P36" i="5"/>
  <c r="N36" i="5"/>
  <c r="L36" i="5"/>
  <c r="J36" i="5"/>
  <c r="H36" i="5"/>
  <c r="F36" i="5"/>
  <c r="D36" i="5"/>
  <c r="W35" i="5"/>
  <c r="V35" i="5"/>
  <c r="U35" i="5"/>
  <c r="T35" i="5"/>
  <c r="S35" i="5"/>
  <c r="R35" i="5"/>
  <c r="P35" i="5"/>
  <c r="N35" i="5"/>
  <c r="L35" i="5"/>
  <c r="J35" i="5"/>
  <c r="H35" i="5"/>
  <c r="F35" i="5"/>
  <c r="D35" i="5"/>
  <c r="V34" i="5"/>
  <c r="U34" i="5"/>
  <c r="T34" i="5"/>
  <c r="R34" i="5"/>
  <c r="P34" i="5"/>
  <c r="N34" i="5"/>
  <c r="L34" i="5"/>
  <c r="J34" i="5"/>
  <c r="H34" i="5"/>
  <c r="F34" i="5"/>
  <c r="D34" i="5"/>
  <c r="V33" i="5"/>
  <c r="T33" i="5"/>
  <c r="S33" i="5"/>
  <c r="R33" i="5"/>
  <c r="P33" i="5"/>
  <c r="N33" i="5"/>
  <c r="L33" i="5"/>
  <c r="J33" i="5"/>
  <c r="H33" i="5"/>
  <c r="F33" i="5"/>
  <c r="D33" i="5"/>
  <c r="V32" i="5"/>
  <c r="T32" i="5"/>
  <c r="S32" i="5"/>
  <c r="R32" i="5"/>
  <c r="P32" i="5"/>
  <c r="N32" i="5"/>
  <c r="L32" i="5"/>
  <c r="J32" i="5"/>
  <c r="H32" i="5"/>
  <c r="F32" i="5"/>
  <c r="D32" i="5"/>
  <c r="V31" i="5"/>
  <c r="U31" i="5"/>
  <c r="T31" i="5"/>
  <c r="S31" i="5"/>
  <c r="R31" i="5"/>
  <c r="P31" i="5"/>
  <c r="N31" i="5"/>
  <c r="L31" i="5"/>
  <c r="J31" i="5"/>
  <c r="H31" i="5"/>
  <c r="F31" i="5"/>
  <c r="E31" i="5"/>
  <c r="D31" i="5"/>
  <c r="W30" i="5"/>
  <c r="V30" i="5"/>
  <c r="T30" i="5"/>
  <c r="R30" i="5"/>
  <c r="P30" i="5"/>
  <c r="N30" i="5"/>
  <c r="L30" i="5"/>
  <c r="J30" i="5"/>
  <c r="H30" i="5"/>
  <c r="F30" i="5"/>
  <c r="D30" i="5"/>
  <c r="V29" i="5"/>
  <c r="U29" i="5"/>
  <c r="T29" i="5"/>
  <c r="R29" i="5"/>
  <c r="P29" i="5"/>
  <c r="N29" i="5"/>
  <c r="L29" i="5"/>
  <c r="J29" i="5"/>
  <c r="I29" i="5"/>
  <c r="H29" i="5"/>
  <c r="F29" i="5"/>
  <c r="D29" i="5"/>
  <c r="V28" i="5"/>
  <c r="U28" i="5"/>
  <c r="T28" i="5"/>
  <c r="R28" i="5"/>
  <c r="P28" i="5"/>
  <c r="N28" i="5"/>
  <c r="L28" i="5"/>
  <c r="J28" i="5"/>
  <c r="H28" i="5"/>
  <c r="F28" i="5"/>
  <c r="D28" i="5"/>
  <c r="V27" i="5"/>
  <c r="T27" i="5"/>
  <c r="S27" i="5"/>
  <c r="R27" i="5"/>
  <c r="P27" i="5"/>
  <c r="N27" i="5"/>
  <c r="L27" i="5"/>
  <c r="J27" i="5"/>
  <c r="H27" i="5"/>
  <c r="F27" i="5"/>
  <c r="E27" i="5"/>
  <c r="D27" i="5"/>
  <c r="W26" i="5"/>
  <c r="V26" i="5"/>
  <c r="T26" i="5"/>
  <c r="R26" i="5"/>
  <c r="P26" i="5"/>
  <c r="N26" i="5"/>
  <c r="L26" i="5"/>
  <c r="J26" i="5"/>
  <c r="H26" i="5"/>
  <c r="F26" i="5"/>
  <c r="D26" i="5"/>
  <c r="W25" i="5"/>
  <c r="V25" i="5"/>
  <c r="T25" i="5"/>
  <c r="S25" i="5"/>
  <c r="R25" i="5"/>
  <c r="P25" i="5"/>
  <c r="N25" i="5"/>
  <c r="L25" i="5"/>
  <c r="J25" i="5"/>
  <c r="H25" i="5"/>
  <c r="F25" i="5"/>
  <c r="D25" i="5"/>
  <c r="V24" i="5"/>
  <c r="T24" i="5"/>
  <c r="R24" i="5"/>
  <c r="Q24" i="5"/>
  <c r="P24" i="5"/>
  <c r="N24" i="5"/>
  <c r="L24" i="5"/>
  <c r="J24" i="5"/>
  <c r="H24" i="5"/>
  <c r="F24" i="5"/>
  <c r="D24" i="5"/>
  <c r="W23" i="5"/>
  <c r="V23" i="5"/>
  <c r="U23" i="5"/>
  <c r="T23" i="5"/>
  <c r="S23" i="5"/>
  <c r="R23" i="5"/>
  <c r="P23" i="5"/>
  <c r="N23" i="5"/>
  <c r="L23" i="5"/>
  <c r="J23" i="5"/>
  <c r="H23" i="5"/>
  <c r="F23" i="5"/>
  <c r="D23" i="5"/>
  <c r="V22" i="5"/>
  <c r="U22" i="5"/>
  <c r="T22" i="5"/>
  <c r="R22" i="5"/>
  <c r="P22" i="5"/>
  <c r="N22" i="5"/>
  <c r="L22" i="5"/>
  <c r="J22" i="5"/>
  <c r="H22" i="5"/>
  <c r="F22" i="5"/>
  <c r="D22" i="5"/>
  <c r="V21" i="5"/>
  <c r="U21" i="5"/>
  <c r="T21" i="5"/>
  <c r="R21" i="5"/>
  <c r="P21" i="5"/>
  <c r="N21" i="5"/>
  <c r="L21" i="5"/>
  <c r="J21" i="5"/>
  <c r="H21" i="5"/>
  <c r="F21" i="5"/>
  <c r="D21" i="5"/>
  <c r="V20" i="5"/>
  <c r="U20" i="5"/>
  <c r="T20" i="5"/>
  <c r="R20" i="5"/>
  <c r="P20" i="5"/>
  <c r="N20" i="5"/>
  <c r="L20" i="5"/>
  <c r="J20" i="5"/>
  <c r="H20" i="5"/>
  <c r="F20" i="5"/>
  <c r="D20" i="5"/>
  <c r="V19" i="5"/>
  <c r="T19" i="5"/>
  <c r="R19" i="5"/>
  <c r="P19" i="5"/>
  <c r="O19" i="5"/>
  <c r="N19" i="5"/>
  <c r="L19" i="5"/>
  <c r="J19" i="5"/>
  <c r="H19" i="5"/>
  <c r="F19" i="5"/>
  <c r="D19" i="5"/>
  <c r="V18" i="5"/>
  <c r="U18" i="5"/>
  <c r="T18" i="5"/>
  <c r="S18" i="5"/>
  <c r="R18" i="5"/>
  <c r="P18" i="5"/>
  <c r="N18" i="5"/>
  <c r="L18" i="5"/>
  <c r="J18" i="5"/>
  <c r="H18" i="5"/>
  <c r="F18" i="5"/>
  <c r="D18" i="5"/>
  <c r="V17" i="5"/>
  <c r="T17" i="5"/>
  <c r="S17" i="5"/>
  <c r="R17" i="5"/>
  <c r="P17" i="5"/>
  <c r="N17" i="5"/>
  <c r="L17" i="5"/>
  <c r="J17" i="5"/>
  <c r="H17" i="5"/>
  <c r="F17" i="5"/>
  <c r="D17" i="5"/>
  <c r="V16" i="5"/>
  <c r="T16" i="5"/>
  <c r="S16" i="5"/>
  <c r="R16" i="5"/>
  <c r="P16" i="5"/>
  <c r="N16" i="5"/>
  <c r="L16" i="5"/>
  <c r="J16" i="5"/>
  <c r="H16" i="5"/>
  <c r="F16" i="5"/>
  <c r="D16" i="5"/>
  <c r="V15" i="5"/>
  <c r="U15" i="5"/>
  <c r="T15" i="5"/>
  <c r="S15" i="5"/>
  <c r="R15" i="5"/>
  <c r="P15" i="5"/>
  <c r="N15" i="5"/>
  <c r="L15" i="5"/>
  <c r="J15" i="5"/>
  <c r="H15" i="5"/>
  <c r="F15" i="5"/>
  <c r="D15" i="5"/>
  <c r="W14" i="5"/>
  <c r="V14" i="5"/>
  <c r="U14" i="5"/>
  <c r="T14" i="5"/>
  <c r="R14" i="5"/>
  <c r="P14" i="5"/>
  <c r="N14" i="5"/>
  <c r="L14" i="5"/>
  <c r="J14" i="5"/>
  <c r="H14" i="5"/>
  <c r="F14" i="5"/>
  <c r="D14" i="5"/>
  <c r="W13" i="5"/>
  <c r="V13" i="5"/>
  <c r="U13" i="5"/>
  <c r="T13" i="5"/>
  <c r="R13" i="5"/>
  <c r="P13" i="5"/>
  <c r="N13" i="5"/>
  <c r="L13" i="5"/>
  <c r="J13" i="5"/>
  <c r="H13" i="5"/>
  <c r="F13" i="5"/>
  <c r="D13" i="5"/>
  <c r="W12" i="5"/>
  <c r="V12" i="5"/>
  <c r="T12" i="5"/>
  <c r="R12" i="5"/>
  <c r="P12" i="5"/>
  <c r="N12" i="5"/>
  <c r="L12" i="5"/>
  <c r="J12" i="5"/>
  <c r="H12" i="5"/>
  <c r="F12" i="5"/>
  <c r="D12" i="5"/>
  <c r="W11" i="5"/>
  <c r="V11" i="5"/>
  <c r="T11" i="5"/>
  <c r="R11" i="5"/>
  <c r="P11" i="5"/>
  <c r="N11" i="5"/>
  <c r="L11" i="5"/>
  <c r="J11" i="5"/>
  <c r="H11" i="5"/>
  <c r="F11" i="5"/>
  <c r="D11" i="5"/>
  <c r="W10" i="5"/>
  <c r="V10" i="5"/>
  <c r="U10" i="5"/>
  <c r="T10" i="5"/>
  <c r="S10" i="5"/>
  <c r="R10" i="5"/>
  <c r="P10" i="5"/>
  <c r="N10" i="5"/>
  <c r="L10" i="5"/>
  <c r="J10" i="5"/>
  <c r="H10" i="5"/>
  <c r="F10" i="5"/>
  <c r="D10" i="5"/>
  <c r="W9" i="5"/>
  <c r="V9" i="5"/>
  <c r="T9" i="5"/>
  <c r="S9" i="5"/>
  <c r="R9" i="5"/>
  <c r="P9" i="5"/>
  <c r="N9" i="5"/>
  <c r="L9" i="5"/>
  <c r="J9" i="5"/>
  <c r="H9" i="5"/>
  <c r="F9" i="5"/>
  <c r="D9" i="5"/>
  <c r="W8" i="5"/>
  <c r="V8" i="5"/>
  <c r="T8" i="5"/>
  <c r="R8" i="5"/>
  <c r="Q8" i="5"/>
  <c r="P8" i="5"/>
  <c r="N8" i="5"/>
  <c r="L8" i="5"/>
  <c r="J8" i="5"/>
  <c r="H8" i="5"/>
  <c r="F8" i="5"/>
  <c r="D8" i="5"/>
  <c r="V7" i="5"/>
  <c r="T7" i="5"/>
  <c r="S7" i="5"/>
  <c r="R7" i="5"/>
  <c r="P7" i="5"/>
  <c r="N7" i="5"/>
  <c r="L7" i="5"/>
  <c r="J7" i="5"/>
  <c r="H7" i="5"/>
  <c r="F7" i="5"/>
  <c r="D7" i="5"/>
  <c r="V6" i="5"/>
  <c r="T6" i="5"/>
  <c r="R6" i="5"/>
  <c r="P6" i="5"/>
  <c r="N6" i="5"/>
  <c r="L6" i="5"/>
  <c r="J6" i="5"/>
  <c r="F6" i="5"/>
  <c r="D6" i="5"/>
  <c r="W5" i="5"/>
  <c r="V5" i="5"/>
  <c r="U5" i="5"/>
  <c r="T5" i="5"/>
  <c r="S5" i="5"/>
  <c r="R5" i="5"/>
  <c r="P5" i="5"/>
  <c r="N5" i="5"/>
  <c r="L5" i="5"/>
  <c r="J5" i="5"/>
  <c r="H5" i="5"/>
  <c r="F5" i="5"/>
  <c r="E5" i="5"/>
  <c r="D5" i="5"/>
  <c r="W4" i="5"/>
  <c r="V4" i="5"/>
  <c r="U4" i="5"/>
  <c r="T4" i="5"/>
  <c r="S4" i="5"/>
  <c r="R4" i="5"/>
  <c r="P4" i="5"/>
  <c r="N4" i="5"/>
  <c r="L4" i="5"/>
  <c r="J4" i="5"/>
  <c r="H4" i="5"/>
  <c r="F4" i="5"/>
  <c r="D4" i="5"/>
  <c r="V3" i="5"/>
  <c r="T3" i="5"/>
  <c r="R3" i="5"/>
  <c r="P3" i="5"/>
  <c r="N3" i="5"/>
  <c r="L3" i="5"/>
  <c r="J3" i="5"/>
  <c r="H3" i="5"/>
  <c r="F3" i="5"/>
  <c r="D3" i="5"/>
  <c r="B2" i="5"/>
  <c r="S218" i="4"/>
  <c r="I215" i="4"/>
  <c r="B213" i="4"/>
  <c r="L212" i="4"/>
  <c r="B210" i="4"/>
  <c r="M209" i="4"/>
  <c r="L209" i="4"/>
  <c r="K209" i="4"/>
  <c r="O207" i="4"/>
  <c r="B207" i="4"/>
  <c r="M206" i="4"/>
  <c r="L206" i="4"/>
  <c r="B204" i="4"/>
  <c r="B201" i="4"/>
  <c r="M200" i="4"/>
  <c r="L200" i="4"/>
  <c r="B198" i="4"/>
  <c r="K197" i="4"/>
  <c r="B195" i="4"/>
  <c r="M194" i="4"/>
  <c r="J194" i="4"/>
  <c r="D194" i="4"/>
  <c r="B192" i="4"/>
  <c r="M191" i="4"/>
  <c r="L191" i="4"/>
  <c r="K191" i="4"/>
  <c r="M189" i="4"/>
  <c r="L189" i="4"/>
  <c r="K189" i="4"/>
  <c r="J189" i="4"/>
  <c r="I189" i="4"/>
  <c r="H189" i="4"/>
  <c r="G189" i="4"/>
  <c r="F189" i="4"/>
  <c r="E189" i="4"/>
  <c r="D189" i="4"/>
  <c r="O188" i="4"/>
  <c r="B188" i="4"/>
  <c r="L187" i="4"/>
  <c r="K187" i="4"/>
  <c r="M185" i="4"/>
  <c r="L185" i="4"/>
  <c r="K185" i="4"/>
  <c r="J185" i="4"/>
  <c r="I185" i="4"/>
  <c r="H185" i="4"/>
  <c r="G185" i="4"/>
  <c r="F185" i="4"/>
  <c r="E185" i="4"/>
  <c r="D185" i="4"/>
  <c r="B185" i="4"/>
  <c r="L183" i="4"/>
  <c r="M181" i="4"/>
  <c r="L181" i="4"/>
  <c r="K181" i="4"/>
  <c r="J181" i="4"/>
  <c r="I181" i="4"/>
  <c r="H181" i="4"/>
  <c r="G181" i="4"/>
  <c r="F181" i="4"/>
  <c r="E181" i="4"/>
  <c r="D181" i="4"/>
  <c r="B181" i="4"/>
  <c r="M177" i="4"/>
  <c r="L177" i="4"/>
  <c r="K177" i="4"/>
  <c r="J177" i="4"/>
  <c r="I177" i="4"/>
  <c r="H177" i="4"/>
  <c r="G177" i="4"/>
  <c r="F177" i="4"/>
  <c r="E177" i="4"/>
  <c r="D177" i="4"/>
  <c r="B177" i="4"/>
  <c r="K175" i="4"/>
  <c r="M173" i="4"/>
  <c r="L173" i="4"/>
  <c r="K173" i="4"/>
  <c r="J173" i="4"/>
  <c r="I173" i="4"/>
  <c r="H173" i="4"/>
  <c r="G173" i="4"/>
  <c r="F173" i="4"/>
  <c r="E173" i="4"/>
  <c r="D173" i="4"/>
  <c r="B173" i="4"/>
  <c r="M169" i="4"/>
  <c r="L169" i="4"/>
  <c r="K169" i="4"/>
  <c r="J169" i="4"/>
  <c r="I169" i="4"/>
  <c r="H169" i="4"/>
  <c r="G169" i="4"/>
  <c r="F169" i="4"/>
  <c r="E169" i="4"/>
  <c r="D169" i="4"/>
  <c r="B169" i="4"/>
  <c r="O168" i="4"/>
  <c r="M165" i="4"/>
  <c r="L165" i="4"/>
  <c r="K165" i="4"/>
  <c r="J165" i="4"/>
  <c r="I165" i="4"/>
  <c r="H165" i="4"/>
  <c r="G165" i="4"/>
  <c r="F165" i="4"/>
  <c r="E165" i="4"/>
  <c r="D165" i="4"/>
  <c r="B165" i="4"/>
  <c r="L163" i="4"/>
  <c r="M161" i="4"/>
  <c r="L161" i="4"/>
  <c r="K161" i="4"/>
  <c r="J161" i="4"/>
  <c r="I161" i="4"/>
  <c r="H161" i="4"/>
  <c r="G161" i="4"/>
  <c r="F161" i="4"/>
  <c r="E161" i="4"/>
  <c r="D161" i="4"/>
  <c r="B161" i="4"/>
  <c r="M159" i="4"/>
  <c r="L159" i="4"/>
  <c r="M157" i="4"/>
  <c r="L157" i="4"/>
  <c r="K157" i="4"/>
  <c r="J157" i="4"/>
  <c r="I157" i="4"/>
  <c r="H157" i="4"/>
  <c r="G157" i="4"/>
  <c r="F157" i="4"/>
  <c r="E157" i="4"/>
  <c r="D157" i="4"/>
  <c r="B157" i="4"/>
  <c r="M155" i="4"/>
  <c r="L155" i="4"/>
  <c r="M153" i="4"/>
  <c r="L153" i="4"/>
  <c r="K153" i="4"/>
  <c r="J153" i="4"/>
  <c r="I153" i="4"/>
  <c r="H153" i="4"/>
  <c r="G153" i="4"/>
  <c r="F153" i="4"/>
  <c r="E153" i="4"/>
  <c r="D153" i="4"/>
  <c r="B153" i="4"/>
  <c r="M151" i="4"/>
  <c r="L151" i="4"/>
  <c r="M149" i="4"/>
  <c r="L149" i="4"/>
  <c r="K149" i="4"/>
  <c r="J149" i="4"/>
  <c r="I149" i="4"/>
  <c r="H149" i="4"/>
  <c r="G149" i="4"/>
  <c r="F149" i="4"/>
  <c r="E149" i="4"/>
  <c r="D149" i="4"/>
  <c r="B149" i="4"/>
  <c r="O148" i="4"/>
  <c r="M147" i="4"/>
  <c r="L147" i="4"/>
  <c r="K147" i="4"/>
  <c r="M145" i="4"/>
  <c r="L145" i="4"/>
  <c r="K145" i="4"/>
  <c r="J145" i="4"/>
  <c r="I145" i="4"/>
  <c r="H145" i="4"/>
  <c r="G145" i="4"/>
  <c r="F145" i="4"/>
  <c r="E145" i="4"/>
  <c r="D145" i="4"/>
  <c r="B145" i="4"/>
  <c r="L143" i="4"/>
  <c r="M141" i="4"/>
  <c r="L141" i="4"/>
  <c r="K141" i="4"/>
  <c r="J141" i="4"/>
  <c r="I141" i="4"/>
  <c r="H141" i="4"/>
  <c r="G141" i="4"/>
  <c r="F141" i="4"/>
  <c r="E141" i="4"/>
  <c r="D141" i="4"/>
  <c r="B141" i="4"/>
  <c r="K139" i="4"/>
  <c r="M137" i="4"/>
  <c r="L137" i="4"/>
  <c r="K137" i="4"/>
  <c r="J137" i="4"/>
  <c r="I137" i="4"/>
  <c r="H137" i="4"/>
  <c r="G137" i="4"/>
  <c r="F137" i="4"/>
  <c r="E137" i="4"/>
  <c r="D137" i="4"/>
  <c r="B137" i="4"/>
  <c r="K135" i="4"/>
  <c r="M133" i="4"/>
  <c r="L133" i="4"/>
  <c r="K133" i="4"/>
  <c r="J133" i="4"/>
  <c r="I133" i="4"/>
  <c r="H133" i="4"/>
  <c r="G133" i="4"/>
  <c r="F133" i="4"/>
  <c r="E133" i="4"/>
  <c r="D133" i="4"/>
  <c r="B133" i="4"/>
  <c r="L131" i="4"/>
  <c r="K131" i="4"/>
  <c r="D131" i="4"/>
  <c r="M129" i="4"/>
  <c r="L129" i="4"/>
  <c r="K129" i="4"/>
  <c r="J129" i="4"/>
  <c r="I129" i="4"/>
  <c r="H129" i="4"/>
  <c r="G129" i="4"/>
  <c r="F129" i="4"/>
  <c r="E129" i="4"/>
  <c r="D129" i="4"/>
  <c r="B129" i="4"/>
  <c r="O128" i="4"/>
  <c r="M127" i="4"/>
  <c r="M125" i="4"/>
  <c r="L125" i="4"/>
  <c r="K125" i="4"/>
  <c r="J125" i="4"/>
  <c r="I125" i="4"/>
  <c r="H125" i="4"/>
  <c r="G125" i="4"/>
  <c r="F125" i="4"/>
  <c r="E125" i="4"/>
  <c r="D125" i="4"/>
  <c r="B125" i="4"/>
  <c r="L123" i="4"/>
  <c r="F123" i="4"/>
  <c r="M121" i="4"/>
  <c r="L121" i="4"/>
  <c r="K121" i="4"/>
  <c r="J121" i="4"/>
  <c r="I121" i="4"/>
  <c r="H121" i="4"/>
  <c r="G121" i="4"/>
  <c r="F121" i="4"/>
  <c r="E121" i="4"/>
  <c r="D121" i="4"/>
  <c r="B121" i="4"/>
  <c r="L119" i="4"/>
  <c r="M117" i="4"/>
  <c r="L117" i="4"/>
  <c r="K117" i="4"/>
  <c r="J117" i="4"/>
  <c r="I117" i="4"/>
  <c r="H117" i="4"/>
  <c r="G117" i="4"/>
  <c r="F117" i="4"/>
  <c r="E117" i="4"/>
  <c r="D117" i="4"/>
  <c r="B117" i="4"/>
  <c r="K115" i="4"/>
  <c r="D115" i="4"/>
  <c r="M113" i="4"/>
  <c r="L113" i="4"/>
  <c r="K113" i="4"/>
  <c r="J113" i="4"/>
  <c r="I113" i="4"/>
  <c r="H113" i="4"/>
  <c r="G113" i="4"/>
  <c r="F113" i="4"/>
  <c r="E113" i="4"/>
  <c r="D113" i="4"/>
  <c r="B113" i="4"/>
  <c r="M111" i="4"/>
  <c r="M109" i="4"/>
  <c r="L109" i="4"/>
  <c r="K109" i="4"/>
  <c r="J109" i="4"/>
  <c r="I109" i="4"/>
  <c r="H109" i="4"/>
  <c r="G109" i="4"/>
  <c r="F109" i="4"/>
  <c r="E109" i="4"/>
  <c r="D109" i="4"/>
  <c r="B109" i="4"/>
  <c r="O108" i="4"/>
  <c r="M107" i="4"/>
  <c r="K107" i="4"/>
  <c r="M105" i="4"/>
  <c r="L105" i="4"/>
  <c r="K105" i="4"/>
  <c r="J105" i="4"/>
  <c r="I105" i="4"/>
  <c r="H105" i="4"/>
  <c r="G105" i="4"/>
  <c r="F105" i="4"/>
  <c r="E105" i="4"/>
  <c r="D105" i="4"/>
  <c r="B105" i="4"/>
  <c r="J103" i="4"/>
  <c r="M101" i="4"/>
  <c r="L101" i="4"/>
  <c r="K101" i="4"/>
  <c r="J101" i="4"/>
  <c r="I101" i="4"/>
  <c r="H101" i="4"/>
  <c r="G101" i="4"/>
  <c r="F101" i="4"/>
  <c r="E101" i="4"/>
  <c r="D101" i="4"/>
  <c r="B101" i="4"/>
  <c r="M99" i="4"/>
  <c r="L99" i="4"/>
  <c r="K99" i="4"/>
  <c r="M97" i="4"/>
  <c r="L97" i="4"/>
  <c r="K97" i="4"/>
  <c r="J97" i="4"/>
  <c r="I97" i="4"/>
  <c r="H97" i="4"/>
  <c r="G97" i="4"/>
  <c r="F97" i="4"/>
  <c r="E97" i="4"/>
  <c r="D97" i="4"/>
  <c r="B97" i="4"/>
  <c r="L95" i="4"/>
  <c r="M93" i="4"/>
  <c r="L93" i="4"/>
  <c r="K93" i="4"/>
  <c r="J93" i="4"/>
  <c r="I93" i="4"/>
  <c r="H93" i="4"/>
  <c r="G93" i="4"/>
  <c r="F93" i="4"/>
  <c r="E93" i="4"/>
  <c r="D93" i="4"/>
  <c r="B93" i="4"/>
  <c r="L91" i="4"/>
  <c r="M89" i="4"/>
  <c r="L89" i="4"/>
  <c r="K89" i="4"/>
  <c r="J89" i="4"/>
  <c r="I89" i="4"/>
  <c r="H89" i="4"/>
  <c r="G89" i="4"/>
  <c r="F89" i="4"/>
  <c r="E89" i="4"/>
  <c r="D89" i="4"/>
  <c r="B89" i="4"/>
  <c r="O88" i="4"/>
  <c r="L87" i="4"/>
  <c r="M85" i="4"/>
  <c r="L85" i="4"/>
  <c r="K85" i="4"/>
  <c r="J85" i="4"/>
  <c r="I85" i="4"/>
  <c r="H85" i="4"/>
  <c r="G85" i="4"/>
  <c r="F85" i="4"/>
  <c r="E85" i="4"/>
  <c r="D85" i="4"/>
  <c r="B85" i="4"/>
  <c r="I83" i="4"/>
  <c r="M81" i="4"/>
  <c r="L81" i="4"/>
  <c r="K81" i="4"/>
  <c r="J81" i="4"/>
  <c r="I81" i="4"/>
  <c r="H81" i="4"/>
  <c r="G81" i="4"/>
  <c r="F81" i="4"/>
  <c r="E81" i="4"/>
  <c r="D81" i="4"/>
  <c r="B81" i="4"/>
  <c r="L79" i="4"/>
  <c r="K79" i="4"/>
  <c r="M77" i="4"/>
  <c r="L77" i="4"/>
  <c r="K77" i="4"/>
  <c r="J77" i="4"/>
  <c r="I77" i="4"/>
  <c r="H77" i="4"/>
  <c r="G77" i="4"/>
  <c r="F77" i="4"/>
  <c r="E77" i="4"/>
  <c r="D77" i="4"/>
  <c r="B77" i="4"/>
  <c r="K75" i="4"/>
  <c r="M73" i="4"/>
  <c r="L73" i="4"/>
  <c r="K73" i="4"/>
  <c r="J73" i="4"/>
  <c r="I73" i="4"/>
  <c r="H73" i="4"/>
  <c r="G73" i="4"/>
  <c r="F73" i="4"/>
  <c r="E73" i="4"/>
  <c r="D73" i="4"/>
  <c r="B73" i="4"/>
  <c r="K71" i="4"/>
  <c r="M69" i="4"/>
  <c r="L69" i="4"/>
  <c r="K69" i="4"/>
  <c r="J69" i="4"/>
  <c r="I69" i="4"/>
  <c r="H69" i="4"/>
  <c r="G69" i="4"/>
  <c r="F69" i="4"/>
  <c r="E69" i="4"/>
  <c r="D69" i="4"/>
  <c r="B69" i="4"/>
  <c r="O68" i="4"/>
  <c r="L67" i="4"/>
  <c r="K67" i="4"/>
  <c r="M65" i="4"/>
  <c r="L65" i="4"/>
  <c r="K65" i="4"/>
  <c r="J65" i="4"/>
  <c r="I65" i="4"/>
  <c r="H65" i="4"/>
  <c r="G65" i="4"/>
  <c r="F65" i="4"/>
  <c r="E65" i="4"/>
  <c r="D65" i="4"/>
  <c r="B65" i="4"/>
  <c r="M63" i="4"/>
  <c r="L63" i="4"/>
  <c r="B62" i="4"/>
  <c r="M60" i="4"/>
  <c r="L60" i="4"/>
  <c r="B58" i="4"/>
  <c r="M57" i="4"/>
  <c r="B55" i="4"/>
  <c r="M54" i="4"/>
  <c r="B52" i="4"/>
  <c r="M51" i="4"/>
  <c r="L51" i="4"/>
  <c r="K51" i="4"/>
  <c r="B50" i="4"/>
  <c r="M48" i="4"/>
  <c r="K48" i="4"/>
  <c r="B46" i="4"/>
  <c r="M45" i="4"/>
  <c r="J45" i="4"/>
  <c r="B43" i="4"/>
  <c r="K42" i="4"/>
  <c r="B40" i="4"/>
  <c r="M37" i="4"/>
  <c r="L37" i="4"/>
  <c r="K37" i="4"/>
  <c r="J37" i="4"/>
  <c r="I37" i="4"/>
  <c r="H37" i="4"/>
  <c r="G37" i="4"/>
  <c r="F37" i="4"/>
  <c r="E37" i="4"/>
  <c r="D37" i="4"/>
  <c r="B37" i="4"/>
  <c r="M35" i="4"/>
  <c r="L35" i="4"/>
  <c r="K35" i="4"/>
  <c r="D35" i="4"/>
  <c r="M33" i="4"/>
  <c r="L33" i="4"/>
  <c r="K33" i="4"/>
  <c r="J33" i="4"/>
  <c r="I33" i="4"/>
  <c r="H33" i="4"/>
  <c r="G33" i="4"/>
  <c r="F33" i="4"/>
  <c r="E33" i="4"/>
  <c r="D33" i="4"/>
  <c r="B33" i="4"/>
  <c r="M31" i="4"/>
  <c r="L31" i="4"/>
  <c r="K31" i="4"/>
  <c r="O30" i="4"/>
  <c r="M29" i="4"/>
  <c r="L29" i="4"/>
  <c r="K29" i="4"/>
  <c r="J29" i="4"/>
  <c r="I29" i="4"/>
  <c r="H29" i="4"/>
  <c r="G29" i="4"/>
  <c r="F29" i="4"/>
  <c r="E29" i="4"/>
  <c r="D29" i="4"/>
  <c r="O27" i="4"/>
  <c r="M23" i="4"/>
  <c r="L23" i="4"/>
  <c r="K23" i="4"/>
  <c r="M22" i="4"/>
  <c r="L22" i="4"/>
  <c r="K22" i="4"/>
  <c r="M21" i="4"/>
  <c r="L21" i="4"/>
  <c r="K21" i="4"/>
  <c r="M20" i="4"/>
  <c r="L20" i="4"/>
  <c r="K20" i="4"/>
  <c r="M19" i="4"/>
  <c r="L19" i="4"/>
  <c r="K19" i="4"/>
  <c r="D2" i="4"/>
  <c r="B2" i="4"/>
  <c r="L1" i="4"/>
  <c r="BP112" i="3"/>
  <c r="BO112" i="3"/>
  <c r="BQ112" i="3" s="1"/>
  <c r="BJ112" i="3"/>
  <c r="BK112" i="3" s="1"/>
  <c r="BI112" i="3"/>
  <c r="BE112" i="3"/>
  <c r="BD112" i="3"/>
  <c r="BC112" i="3"/>
  <c r="AX112" i="3"/>
  <c r="AY112" i="3" s="1"/>
  <c r="AW112" i="3"/>
  <c r="AR112" i="3"/>
  <c r="AQ112" i="3"/>
  <c r="AS112" i="3" s="1"/>
  <c r="AM112" i="3"/>
  <c r="AL112" i="3"/>
  <c r="AK112" i="3"/>
  <c r="AG112" i="3"/>
  <c r="AF112" i="3"/>
  <c r="AE112" i="3"/>
  <c r="Z112" i="3"/>
  <c r="AA112" i="3" s="1"/>
  <c r="Y112" i="3"/>
  <c r="T112" i="3"/>
  <c r="S112" i="3"/>
  <c r="U112" i="3" s="1"/>
  <c r="O112" i="3"/>
  <c r="N112" i="3"/>
  <c r="M112" i="3"/>
  <c r="BQ111" i="3"/>
  <c r="BP111" i="3"/>
  <c r="BO111" i="3"/>
  <c r="BJ111" i="3"/>
  <c r="BK111" i="3" s="1"/>
  <c r="BI111" i="3"/>
  <c r="BD111" i="3"/>
  <c r="BC111" i="3"/>
  <c r="BE111" i="3" s="1"/>
  <c r="AX111" i="3"/>
  <c r="AW111" i="3"/>
  <c r="AY111" i="3" s="1"/>
  <c r="AS111" i="3"/>
  <c r="AR111" i="3"/>
  <c r="AQ111" i="3"/>
  <c r="AL111" i="3"/>
  <c r="AM111" i="3" s="1"/>
  <c r="AK111" i="3"/>
  <c r="AF111" i="3"/>
  <c r="AE111" i="3"/>
  <c r="AG111" i="3" s="1"/>
  <c r="Z111" i="3"/>
  <c r="Y111" i="3"/>
  <c r="AA111" i="3" s="1"/>
  <c r="U111" i="3"/>
  <c r="T111" i="3"/>
  <c r="S111" i="3"/>
  <c r="N111" i="3"/>
  <c r="O111" i="3" s="1"/>
  <c r="M111" i="3"/>
  <c r="BP110" i="3"/>
  <c r="BO110" i="3"/>
  <c r="BQ110" i="3" s="1"/>
  <c r="BK110" i="3"/>
  <c r="BJ110" i="3"/>
  <c r="BI110" i="3"/>
  <c r="BE110" i="3"/>
  <c r="BD110" i="3"/>
  <c r="BC110" i="3"/>
  <c r="AX110" i="3"/>
  <c r="AY110" i="3" s="1"/>
  <c r="AW110" i="3"/>
  <c r="AR110" i="3"/>
  <c r="AQ110" i="3"/>
  <c r="AS110" i="3" s="1"/>
  <c r="AL110" i="3"/>
  <c r="AM110" i="3" s="1"/>
  <c r="AK110" i="3"/>
  <c r="AG110" i="3"/>
  <c r="AF110" i="3"/>
  <c r="AE110" i="3"/>
  <c r="Z110" i="3"/>
  <c r="AA110" i="3" s="1"/>
  <c r="Y110" i="3"/>
  <c r="T110" i="3"/>
  <c r="S110" i="3"/>
  <c r="U110" i="3" s="1"/>
  <c r="O110" i="3"/>
  <c r="N110" i="3"/>
  <c r="M110" i="3"/>
  <c r="BQ109" i="3"/>
  <c r="BP109" i="3"/>
  <c r="BO109" i="3"/>
  <c r="BJ109" i="3"/>
  <c r="BK109" i="3" s="1"/>
  <c r="BI109" i="3"/>
  <c r="BD109" i="3"/>
  <c r="BC109" i="3"/>
  <c r="BE109" i="3" s="1"/>
  <c r="AY109" i="3"/>
  <c r="AX109" i="3"/>
  <c r="AW109" i="3"/>
  <c r="AS109" i="3"/>
  <c r="AR109" i="3"/>
  <c r="AQ109" i="3"/>
  <c r="AL109" i="3"/>
  <c r="AM109" i="3" s="1"/>
  <c r="AK109" i="3"/>
  <c r="AF109" i="3"/>
  <c r="AE109" i="3"/>
  <c r="AG109" i="3" s="1"/>
  <c r="Z109" i="3"/>
  <c r="Y109" i="3"/>
  <c r="AA109" i="3" s="1"/>
  <c r="U109" i="3"/>
  <c r="T109" i="3"/>
  <c r="S109" i="3"/>
  <c r="N109" i="3"/>
  <c r="O109" i="3" s="1"/>
  <c r="M109" i="3"/>
  <c r="BT108" i="3"/>
  <c r="BS108" i="3"/>
  <c r="BP108" i="3"/>
  <c r="BO108" i="3"/>
  <c r="BQ108" i="3" s="1"/>
  <c r="BJ108" i="3"/>
  <c r="BK108" i="3" s="1"/>
  <c r="BI108" i="3"/>
  <c r="BD108" i="3"/>
  <c r="BC108" i="3"/>
  <c r="BE108" i="3" s="1"/>
  <c r="AX108" i="3"/>
  <c r="AW108" i="3"/>
  <c r="AY108" i="3" s="1"/>
  <c r="AS108" i="3"/>
  <c r="AR108" i="3"/>
  <c r="AQ108" i="3"/>
  <c r="AM108" i="3"/>
  <c r="AL108" i="3"/>
  <c r="AK108" i="3"/>
  <c r="AF108" i="3"/>
  <c r="AE108" i="3"/>
  <c r="AG108" i="3" s="1"/>
  <c r="Z108" i="3"/>
  <c r="Y108" i="3"/>
  <c r="AA108" i="3" s="1"/>
  <c r="T108" i="3"/>
  <c r="U108" i="3" s="1"/>
  <c r="S108" i="3"/>
  <c r="O108" i="3"/>
  <c r="N108" i="3"/>
  <c r="M108" i="3"/>
  <c r="BP107" i="3"/>
  <c r="BO107" i="3"/>
  <c r="BQ107" i="3" s="1"/>
  <c r="BJ107" i="3"/>
  <c r="BI107" i="3"/>
  <c r="BK107" i="3" s="1"/>
  <c r="BE107" i="3"/>
  <c r="BD107" i="3"/>
  <c r="BC107" i="3"/>
  <c r="AY107" i="3"/>
  <c r="AX107" i="3"/>
  <c r="AW107" i="3"/>
  <c r="AR107" i="3"/>
  <c r="AQ107" i="3"/>
  <c r="AS107" i="3" s="1"/>
  <c r="AL107" i="3"/>
  <c r="AK107" i="3"/>
  <c r="AM107" i="3" s="1"/>
  <c r="AG107" i="3"/>
  <c r="AF107" i="3"/>
  <c r="AE107" i="3"/>
  <c r="Z107" i="3"/>
  <c r="AA107" i="3" s="1"/>
  <c r="Y107" i="3"/>
  <c r="T107" i="3"/>
  <c r="S107" i="3"/>
  <c r="U107" i="3" s="1"/>
  <c r="N107" i="3"/>
  <c r="M107" i="3"/>
  <c r="O107" i="3" s="1"/>
  <c r="BT106" i="3"/>
  <c r="BS106" i="3"/>
  <c r="BQ106" i="3"/>
  <c r="BP106" i="3"/>
  <c r="BO106" i="3"/>
  <c r="BJ106" i="3"/>
  <c r="BI106" i="3"/>
  <c r="BK106" i="3" s="1"/>
  <c r="BE106" i="3"/>
  <c r="BD106" i="3"/>
  <c r="BC106" i="3"/>
  <c r="AX106" i="3"/>
  <c r="AW106" i="3"/>
  <c r="AY106" i="3" s="1"/>
  <c r="AR106" i="3"/>
  <c r="AQ106" i="3"/>
  <c r="AS106" i="3" s="1"/>
  <c r="AL106" i="3"/>
  <c r="AK106" i="3"/>
  <c r="AM106" i="3" s="1"/>
  <c r="AG106" i="3"/>
  <c r="AF106" i="3"/>
  <c r="AE106" i="3"/>
  <c r="Z106" i="3"/>
  <c r="Y106" i="3"/>
  <c r="T106" i="3"/>
  <c r="S106" i="3"/>
  <c r="U106" i="3" s="1"/>
  <c r="N106" i="3"/>
  <c r="M106" i="3"/>
  <c r="O106" i="3" s="1"/>
  <c r="BQ105" i="3"/>
  <c r="BP105" i="3"/>
  <c r="BO105" i="3"/>
  <c r="BJ105" i="3"/>
  <c r="BI105" i="3"/>
  <c r="BK105" i="3" s="1"/>
  <c r="BE105" i="3"/>
  <c r="BD105" i="3"/>
  <c r="BC105" i="3"/>
  <c r="AX105" i="3"/>
  <c r="AW105" i="3"/>
  <c r="AY105" i="3" s="1"/>
  <c r="AS105" i="3"/>
  <c r="AR105" i="3"/>
  <c r="AQ105" i="3"/>
  <c r="AL105" i="3"/>
  <c r="AK105" i="3"/>
  <c r="AF105" i="3"/>
  <c r="AG105" i="3" s="1"/>
  <c r="AE105" i="3"/>
  <c r="Z105" i="3"/>
  <c r="Y105" i="3"/>
  <c r="AA105" i="3" s="1"/>
  <c r="U105" i="3"/>
  <c r="T105" i="3"/>
  <c r="S105" i="3"/>
  <c r="N105" i="3"/>
  <c r="M105" i="3"/>
  <c r="BQ104" i="3"/>
  <c r="BP104" i="3"/>
  <c r="BO104" i="3"/>
  <c r="BJ104" i="3"/>
  <c r="BI104" i="3"/>
  <c r="BK104" i="3" s="1"/>
  <c r="BE104" i="3"/>
  <c r="BD104" i="3"/>
  <c r="BC104" i="3"/>
  <c r="AX104" i="3"/>
  <c r="AW104" i="3"/>
  <c r="AS104" i="3"/>
  <c r="AR104" i="3"/>
  <c r="AQ104" i="3"/>
  <c r="AL104" i="3"/>
  <c r="AK104" i="3"/>
  <c r="AM104" i="3" s="1"/>
  <c r="AG104" i="3"/>
  <c r="AF104" i="3"/>
  <c r="AE104" i="3"/>
  <c r="Z104" i="3"/>
  <c r="Y104" i="3"/>
  <c r="AA104" i="3" s="1"/>
  <c r="T104" i="3"/>
  <c r="S104" i="3"/>
  <c r="U104" i="3" s="1"/>
  <c r="N104" i="3"/>
  <c r="M104" i="3"/>
  <c r="O104" i="3" s="1"/>
  <c r="BT103" i="3"/>
  <c r="BS103" i="3"/>
  <c r="BP103" i="3"/>
  <c r="BO103" i="3"/>
  <c r="BQ103" i="3" s="1"/>
  <c r="BJ103" i="3"/>
  <c r="BI103" i="3"/>
  <c r="BK103" i="3" s="1"/>
  <c r="BE103" i="3"/>
  <c r="BD103" i="3"/>
  <c r="BC103" i="3"/>
  <c r="AX103" i="3"/>
  <c r="AY103" i="3" s="1"/>
  <c r="AW103" i="3"/>
  <c r="AR103" i="3"/>
  <c r="AQ103" i="3"/>
  <c r="AS103" i="3" s="1"/>
  <c r="AM103" i="3"/>
  <c r="AL103" i="3"/>
  <c r="AK103" i="3"/>
  <c r="AG103" i="3"/>
  <c r="AF103" i="3"/>
  <c r="AE103" i="3"/>
  <c r="Z103" i="3"/>
  <c r="AA103" i="3" s="1"/>
  <c r="Y103" i="3"/>
  <c r="T103" i="3"/>
  <c r="S103" i="3"/>
  <c r="U103" i="3" s="1"/>
  <c r="N103" i="3"/>
  <c r="M103" i="3"/>
  <c r="O103" i="3" s="1"/>
  <c r="BT102" i="3"/>
  <c r="BS102" i="3"/>
  <c r="BP102" i="3"/>
  <c r="BO102" i="3"/>
  <c r="BQ102" i="3" s="1"/>
  <c r="BJ102" i="3"/>
  <c r="BI102" i="3"/>
  <c r="BK102" i="3" s="1"/>
  <c r="BE102" i="3"/>
  <c r="BD102" i="3"/>
  <c r="BC102" i="3"/>
  <c r="AX102" i="3"/>
  <c r="AY102" i="3" s="1"/>
  <c r="AW102" i="3"/>
  <c r="AR102" i="3"/>
  <c r="AQ102" i="3"/>
  <c r="AS102" i="3" s="1"/>
  <c r="AL102" i="3"/>
  <c r="AK102" i="3"/>
  <c r="AM102" i="3" s="1"/>
  <c r="AF102" i="3"/>
  <c r="AE102" i="3"/>
  <c r="AG102" i="3" s="1"/>
  <c r="Z102" i="3"/>
  <c r="AA102" i="3" s="1"/>
  <c r="Y102" i="3"/>
  <c r="T102" i="3"/>
  <c r="S102" i="3"/>
  <c r="U102" i="3" s="1"/>
  <c r="N102" i="3"/>
  <c r="M102" i="3"/>
  <c r="O102" i="3" s="1"/>
  <c r="BP101" i="3"/>
  <c r="BO101" i="3"/>
  <c r="BQ101" i="3" s="1"/>
  <c r="BJ101" i="3"/>
  <c r="BK101" i="3" s="1"/>
  <c r="BI101" i="3"/>
  <c r="BD101" i="3"/>
  <c r="BC101" i="3"/>
  <c r="BE101" i="3" s="1"/>
  <c r="AX101" i="3"/>
  <c r="AW101" i="3"/>
  <c r="AY101" i="3" s="1"/>
  <c r="AS101" i="3"/>
  <c r="AR101" i="3"/>
  <c r="AQ101" i="3"/>
  <c r="AM101" i="3"/>
  <c r="AL101" i="3"/>
  <c r="AK101" i="3"/>
  <c r="AF101" i="3"/>
  <c r="AE101" i="3"/>
  <c r="AG101" i="3" s="1"/>
  <c r="Z101" i="3"/>
  <c r="Y101" i="3"/>
  <c r="AA101" i="3" s="1"/>
  <c r="T101" i="3"/>
  <c r="S101" i="3"/>
  <c r="U101" i="3" s="1"/>
  <c r="O101" i="3"/>
  <c r="N101" i="3"/>
  <c r="M101" i="3"/>
  <c r="BP100" i="3"/>
  <c r="BO100" i="3"/>
  <c r="BQ100" i="3" s="1"/>
  <c r="BJ100" i="3"/>
  <c r="BI100" i="3"/>
  <c r="BK100" i="3" s="1"/>
  <c r="BE100" i="3"/>
  <c r="BD100" i="3"/>
  <c r="BC100" i="3"/>
  <c r="AY100" i="3"/>
  <c r="AX100" i="3"/>
  <c r="AW100" i="3"/>
  <c r="AR100" i="3"/>
  <c r="AQ100" i="3"/>
  <c r="AS100" i="3" s="1"/>
  <c r="AL100" i="3"/>
  <c r="AK100" i="3"/>
  <c r="AM100" i="3" s="1"/>
  <c r="AG100" i="3"/>
  <c r="AF100" i="3"/>
  <c r="AE100" i="3"/>
  <c r="Z100" i="3"/>
  <c r="AA100" i="3" s="1"/>
  <c r="Y100" i="3"/>
  <c r="T100" i="3"/>
  <c r="S100" i="3"/>
  <c r="U100" i="3" s="1"/>
  <c r="N100" i="3"/>
  <c r="M100" i="3"/>
  <c r="O100" i="3" s="1"/>
  <c r="BP99" i="3"/>
  <c r="BO99" i="3"/>
  <c r="BQ99" i="3" s="1"/>
  <c r="BJ99" i="3"/>
  <c r="BK99" i="3" s="1"/>
  <c r="BI99" i="3"/>
  <c r="BD99" i="3"/>
  <c r="BC99" i="3"/>
  <c r="BE99" i="3" s="1"/>
  <c r="AX99" i="3"/>
  <c r="AW99" i="3"/>
  <c r="AY99" i="3" s="1"/>
  <c r="AR99" i="3"/>
  <c r="AQ99" i="3"/>
  <c r="AS99" i="3" s="1"/>
  <c r="AL99" i="3"/>
  <c r="AM99" i="3" s="1"/>
  <c r="AK99" i="3"/>
  <c r="AF99" i="3"/>
  <c r="AE99" i="3"/>
  <c r="AG99" i="3" s="1"/>
  <c r="Z99" i="3"/>
  <c r="Y99" i="3"/>
  <c r="AA99" i="3" s="1"/>
  <c r="U99" i="3"/>
  <c r="T99" i="3"/>
  <c r="S99" i="3"/>
  <c r="O99" i="3"/>
  <c r="N99" i="3"/>
  <c r="M99" i="3"/>
  <c r="BT98" i="3"/>
  <c r="BS98" i="3"/>
  <c r="BQ98" i="3"/>
  <c r="BP98" i="3"/>
  <c r="BO98" i="3"/>
  <c r="BJ98" i="3"/>
  <c r="BI98" i="3"/>
  <c r="BD98" i="3"/>
  <c r="BC98" i="3"/>
  <c r="BE98" i="3" s="1"/>
  <c r="AX98" i="3"/>
  <c r="AW98" i="3"/>
  <c r="AY98" i="3" s="1"/>
  <c r="AS98" i="3"/>
  <c r="AR98" i="3"/>
  <c r="AQ98" i="3"/>
  <c r="AL98" i="3"/>
  <c r="AK98" i="3"/>
  <c r="AM98" i="3" s="1"/>
  <c r="AG98" i="3"/>
  <c r="AF98" i="3"/>
  <c r="AE98" i="3"/>
  <c r="Z98" i="3"/>
  <c r="Y98" i="3"/>
  <c r="AA98" i="3" s="1"/>
  <c r="U98" i="3"/>
  <c r="T98" i="3"/>
  <c r="S98" i="3"/>
  <c r="N98" i="3"/>
  <c r="M98" i="3"/>
  <c r="O98" i="3" s="1"/>
  <c r="BT97" i="3"/>
  <c r="BS97" i="3"/>
  <c r="BQ97" i="3"/>
  <c r="BP97" i="3"/>
  <c r="BO97" i="3"/>
  <c r="BJ97" i="3"/>
  <c r="BK97" i="3" s="1"/>
  <c r="BI97" i="3"/>
  <c r="BD97" i="3"/>
  <c r="BC97" i="3"/>
  <c r="BE97" i="3" s="1"/>
  <c r="AY97" i="3"/>
  <c r="AX97" i="3"/>
  <c r="AW97" i="3"/>
  <c r="AS97" i="3"/>
  <c r="AR97" i="3"/>
  <c r="AQ97" i="3"/>
  <c r="AL97" i="3"/>
  <c r="AM97" i="3" s="1"/>
  <c r="AK97" i="3"/>
  <c r="AF97" i="3"/>
  <c r="AE97" i="3"/>
  <c r="AG97" i="3" s="1"/>
  <c r="Z97" i="3"/>
  <c r="Y97" i="3"/>
  <c r="AA97" i="3" s="1"/>
  <c r="U97" i="3"/>
  <c r="T97" i="3"/>
  <c r="S97" i="3"/>
  <c r="N97" i="3"/>
  <c r="O97" i="3" s="1"/>
  <c r="M97" i="3"/>
  <c r="BT96" i="3"/>
  <c r="BS96" i="3"/>
  <c r="BP96" i="3"/>
  <c r="BO96" i="3"/>
  <c r="BQ96" i="3" s="1"/>
  <c r="BJ96" i="3"/>
  <c r="BK96" i="3" s="1"/>
  <c r="BI96" i="3"/>
  <c r="BD96" i="3"/>
  <c r="BC96" i="3"/>
  <c r="BE96" i="3" s="1"/>
  <c r="AX96" i="3"/>
  <c r="AW96" i="3"/>
  <c r="AY96" i="3" s="1"/>
  <c r="AS96" i="3"/>
  <c r="AR96" i="3"/>
  <c r="AQ96" i="3"/>
  <c r="AM96" i="3"/>
  <c r="AL96" i="3"/>
  <c r="AK96" i="3"/>
  <c r="AF96" i="3"/>
  <c r="AE96" i="3"/>
  <c r="AG96" i="3" s="1"/>
  <c r="Z96" i="3"/>
  <c r="Y96" i="3"/>
  <c r="AA96" i="3" s="1"/>
  <c r="T96" i="3"/>
  <c r="S96" i="3"/>
  <c r="U96" i="3" s="1"/>
  <c r="O96" i="3"/>
  <c r="N96" i="3"/>
  <c r="M96" i="3"/>
  <c r="BP95" i="3"/>
  <c r="BO95" i="3"/>
  <c r="BQ95" i="3" s="1"/>
  <c r="BJ95" i="3"/>
  <c r="BI95" i="3"/>
  <c r="BK95" i="3" s="1"/>
  <c r="BE95" i="3"/>
  <c r="BD95" i="3"/>
  <c r="BC95" i="3"/>
  <c r="AY95" i="3"/>
  <c r="AX95" i="3"/>
  <c r="AW95" i="3"/>
  <c r="AR95" i="3"/>
  <c r="AQ95" i="3"/>
  <c r="AS95" i="3" s="1"/>
  <c r="AL95" i="3"/>
  <c r="AK95" i="3"/>
  <c r="AM95" i="3" s="1"/>
  <c r="AG95" i="3"/>
  <c r="AF95" i="3"/>
  <c r="AE95" i="3"/>
  <c r="Z95" i="3"/>
  <c r="AA95" i="3" s="1"/>
  <c r="Y95" i="3"/>
  <c r="T95" i="3"/>
  <c r="S95" i="3"/>
  <c r="U95" i="3" s="1"/>
  <c r="N95" i="3"/>
  <c r="M95" i="3"/>
  <c r="O95" i="3" s="1"/>
  <c r="BP94" i="3"/>
  <c r="BO94" i="3"/>
  <c r="BQ94" i="3" s="1"/>
  <c r="BJ94" i="3"/>
  <c r="BK94" i="3" s="1"/>
  <c r="BI94" i="3"/>
  <c r="BD94" i="3"/>
  <c r="BC94" i="3"/>
  <c r="BE94" i="3" s="1"/>
  <c r="AX94" i="3"/>
  <c r="AW94" i="3"/>
  <c r="AY94" i="3" s="1"/>
  <c r="AR94" i="3"/>
  <c r="AQ94" i="3"/>
  <c r="AS94" i="3" s="1"/>
  <c r="AL94" i="3"/>
  <c r="AM94" i="3" s="1"/>
  <c r="AK94" i="3"/>
  <c r="AF94" i="3"/>
  <c r="AE94" i="3"/>
  <c r="AG94" i="3" s="1"/>
  <c r="Z94" i="3"/>
  <c r="Y94" i="3"/>
  <c r="AA94" i="3" s="1"/>
  <c r="U94" i="3"/>
  <c r="T94" i="3"/>
  <c r="S94" i="3"/>
  <c r="O94" i="3"/>
  <c r="N94" i="3"/>
  <c r="M94" i="3"/>
  <c r="BT93" i="3"/>
  <c r="BS93" i="3"/>
  <c r="BQ93" i="3"/>
  <c r="BP93" i="3"/>
  <c r="BO93" i="3"/>
  <c r="BK93" i="3"/>
  <c r="BJ93" i="3"/>
  <c r="BI93" i="3"/>
  <c r="BD93" i="3"/>
  <c r="BC93" i="3"/>
  <c r="BE93" i="3" s="1"/>
  <c r="AX93" i="3"/>
  <c r="AW93" i="3"/>
  <c r="AY93" i="3" s="1"/>
  <c r="AS93" i="3"/>
  <c r="AR93" i="3"/>
  <c r="AQ93" i="3"/>
  <c r="AL93" i="3"/>
  <c r="AK93" i="3"/>
  <c r="AM93" i="3" s="1"/>
  <c r="AF93" i="3"/>
  <c r="AE93" i="3"/>
  <c r="AG93" i="3" s="1"/>
  <c r="Z93" i="3"/>
  <c r="Y93" i="3"/>
  <c r="AA93" i="3" s="1"/>
  <c r="U93" i="3"/>
  <c r="T93" i="3"/>
  <c r="S93" i="3"/>
  <c r="N93" i="3"/>
  <c r="M93" i="3"/>
  <c r="O93" i="3" s="1"/>
  <c r="BT92" i="3"/>
  <c r="BS92" i="3"/>
  <c r="BQ92" i="3"/>
  <c r="BP92" i="3"/>
  <c r="BO92" i="3"/>
  <c r="BJ92" i="3"/>
  <c r="BK92" i="3" s="1"/>
  <c r="BI92" i="3"/>
  <c r="BD92" i="3"/>
  <c r="BC92" i="3"/>
  <c r="AX92" i="3"/>
  <c r="AW92" i="3"/>
  <c r="AY92" i="3" s="1"/>
  <c r="AS92" i="3"/>
  <c r="AR92" i="3"/>
  <c r="AQ92" i="3"/>
  <c r="AM92" i="3"/>
  <c r="AL92" i="3"/>
  <c r="AK92" i="3"/>
  <c r="AF92" i="3"/>
  <c r="AE92" i="3"/>
  <c r="AG92" i="3" s="1"/>
  <c r="Z92" i="3"/>
  <c r="Y92" i="3"/>
  <c r="AA92" i="3" s="1"/>
  <c r="U92" i="3"/>
  <c r="T92" i="3"/>
  <c r="S92" i="3"/>
  <c r="O92" i="3"/>
  <c r="N92" i="3"/>
  <c r="M92" i="3"/>
  <c r="BP91" i="3"/>
  <c r="BO91" i="3"/>
  <c r="BK91" i="3"/>
  <c r="BJ91" i="3"/>
  <c r="BI91" i="3"/>
  <c r="BE91" i="3"/>
  <c r="BD91" i="3"/>
  <c r="BC91" i="3"/>
  <c r="AX91" i="3"/>
  <c r="AY91" i="3" s="1"/>
  <c r="AW91" i="3"/>
  <c r="AR91" i="3"/>
  <c r="AQ91" i="3"/>
  <c r="AS91" i="3" s="1"/>
  <c r="AL91" i="3"/>
  <c r="AM91" i="3" s="1"/>
  <c r="AK91" i="3"/>
  <c r="AG91" i="3"/>
  <c r="AF91" i="3"/>
  <c r="AE91" i="3"/>
  <c r="AA91" i="3"/>
  <c r="Z91" i="3"/>
  <c r="Y91" i="3"/>
  <c r="T91" i="3"/>
  <c r="S91" i="3"/>
  <c r="O91" i="3"/>
  <c r="N91" i="3"/>
  <c r="M91" i="3"/>
  <c r="BQ90" i="3"/>
  <c r="BP90" i="3"/>
  <c r="BO90" i="3"/>
  <c r="BK90" i="3"/>
  <c r="BJ90" i="3"/>
  <c r="BI90" i="3"/>
  <c r="BD90" i="3"/>
  <c r="BC90" i="3"/>
  <c r="AX90" i="3"/>
  <c r="AW90" i="3"/>
  <c r="AY90" i="3" s="1"/>
  <c r="AS90" i="3"/>
  <c r="AR90" i="3"/>
  <c r="AQ90" i="3"/>
  <c r="AM90" i="3"/>
  <c r="AL90" i="3"/>
  <c r="AK90" i="3"/>
  <c r="AF90" i="3"/>
  <c r="AE90" i="3"/>
  <c r="AG90" i="3" s="1"/>
  <c r="Z90" i="3"/>
  <c r="Y90" i="3"/>
  <c r="AA90" i="3" s="1"/>
  <c r="U90" i="3"/>
  <c r="T90" i="3"/>
  <c r="S90" i="3"/>
  <c r="N90" i="3"/>
  <c r="O90" i="3" s="1"/>
  <c r="M90" i="3"/>
  <c r="BT89" i="3"/>
  <c r="BS89" i="3"/>
  <c r="BQ89" i="3"/>
  <c r="BP89" i="3"/>
  <c r="BO89" i="3"/>
  <c r="BK89" i="3"/>
  <c r="BJ89" i="3"/>
  <c r="BI89" i="3"/>
  <c r="BD89" i="3"/>
  <c r="BC89" i="3"/>
  <c r="BE89" i="3" s="1"/>
  <c r="AX89" i="3"/>
  <c r="AW89" i="3"/>
  <c r="AY89" i="3" s="1"/>
  <c r="AR89" i="3"/>
  <c r="AQ89" i="3"/>
  <c r="AS89" i="3" s="1"/>
  <c r="AM89" i="3"/>
  <c r="AL89" i="3"/>
  <c r="AK89" i="3"/>
  <c r="AF89" i="3"/>
  <c r="AE89" i="3"/>
  <c r="AG89" i="3" s="1"/>
  <c r="Z89" i="3"/>
  <c r="Y89" i="3"/>
  <c r="AA89" i="3" s="1"/>
  <c r="U89" i="3"/>
  <c r="T89" i="3"/>
  <c r="S89" i="3"/>
  <c r="N89" i="3"/>
  <c r="O89" i="3" s="1"/>
  <c r="M89" i="3"/>
  <c r="BT88" i="3"/>
  <c r="BS88" i="3"/>
  <c r="BQ88" i="3"/>
  <c r="BP88" i="3"/>
  <c r="BO88" i="3"/>
  <c r="BJ88" i="3"/>
  <c r="BI88" i="3"/>
  <c r="BK88" i="3" s="1"/>
  <c r="BD88" i="3"/>
  <c r="BC88" i="3"/>
  <c r="BE88" i="3" s="1"/>
  <c r="AX88" i="3"/>
  <c r="AW88" i="3"/>
  <c r="AY88" i="3" s="1"/>
  <c r="AS88" i="3"/>
  <c r="AR88" i="3"/>
  <c r="AQ88" i="3"/>
  <c r="AL88" i="3"/>
  <c r="AK88" i="3"/>
  <c r="AM88" i="3" s="1"/>
  <c r="AG88" i="3"/>
  <c r="AF88" i="3"/>
  <c r="AE88" i="3"/>
  <c r="Z88" i="3"/>
  <c r="Y88" i="3"/>
  <c r="AA88" i="3" s="1"/>
  <c r="U88" i="3"/>
  <c r="T88" i="3"/>
  <c r="S88" i="3"/>
  <c r="O88" i="3"/>
  <c r="N88" i="3"/>
  <c r="M88" i="3"/>
  <c r="BQ87" i="3"/>
  <c r="BP87" i="3"/>
  <c r="BO87" i="3"/>
  <c r="BJ87" i="3"/>
  <c r="BI87" i="3"/>
  <c r="BK87" i="3" s="1"/>
  <c r="BE87" i="3"/>
  <c r="BD87" i="3"/>
  <c r="BC87" i="3"/>
  <c r="AX87" i="3"/>
  <c r="AY87" i="3" s="1"/>
  <c r="AW87" i="3"/>
  <c r="AR87" i="3"/>
  <c r="AQ87" i="3"/>
  <c r="AS87" i="3" s="1"/>
  <c r="AL87" i="3"/>
  <c r="AK87" i="3"/>
  <c r="AM87" i="3" s="1"/>
  <c r="AG87" i="3"/>
  <c r="AF87" i="3"/>
  <c r="AE87" i="3"/>
  <c r="AA87" i="3"/>
  <c r="Z87" i="3"/>
  <c r="Y87" i="3"/>
  <c r="T87" i="3"/>
  <c r="S87" i="3"/>
  <c r="U87" i="3" s="1"/>
  <c r="N87" i="3"/>
  <c r="M87" i="3"/>
  <c r="O87" i="3" s="1"/>
  <c r="BQ86" i="3"/>
  <c r="BP86" i="3"/>
  <c r="BO86" i="3"/>
  <c r="BJ86" i="3"/>
  <c r="BI86" i="3"/>
  <c r="BK86" i="3" s="1"/>
  <c r="BE86" i="3"/>
  <c r="BD86" i="3"/>
  <c r="BC86" i="3"/>
  <c r="AX86" i="3"/>
  <c r="AW86" i="3"/>
  <c r="AY86" i="3" s="1"/>
  <c r="AS86" i="3"/>
  <c r="AR86" i="3"/>
  <c r="AQ86" i="3"/>
  <c r="AL86" i="3"/>
  <c r="AK86" i="3"/>
  <c r="AM86" i="3" s="1"/>
  <c r="AF86" i="3"/>
  <c r="AG86" i="3" s="1"/>
  <c r="AE86" i="3"/>
  <c r="Z86" i="3"/>
  <c r="Y86" i="3"/>
  <c r="AA86" i="3" s="1"/>
  <c r="U86" i="3"/>
  <c r="T86" i="3"/>
  <c r="S86" i="3"/>
  <c r="O86" i="3"/>
  <c r="N86" i="3"/>
  <c r="M86" i="3"/>
  <c r="BT85" i="3"/>
  <c r="BS85" i="3"/>
  <c r="BQ85" i="3"/>
  <c r="BP85" i="3"/>
  <c r="BO85" i="3"/>
  <c r="BK85" i="3"/>
  <c r="BJ85" i="3"/>
  <c r="BI85" i="3"/>
  <c r="BD85" i="3"/>
  <c r="BC85" i="3"/>
  <c r="BE85" i="3" s="1"/>
  <c r="AX85" i="3"/>
  <c r="AW85" i="3"/>
  <c r="AY85" i="3" s="1"/>
  <c r="AS85" i="3"/>
  <c r="AR85" i="3"/>
  <c r="AQ85" i="3"/>
  <c r="AL85" i="3"/>
  <c r="AM85" i="3" s="1"/>
  <c r="AK85" i="3"/>
  <c r="AF85" i="3"/>
  <c r="AE85" i="3"/>
  <c r="AA85" i="3"/>
  <c r="Z85" i="3"/>
  <c r="Y85" i="3"/>
  <c r="U85" i="3"/>
  <c r="T85" i="3"/>
  <c r="S85" i="3"/>
  <c r="N85" i="3"/>
  <c r="O85" i="3" s="1"/>
  <c r="M85" i="3"/>
  <c r="BT84" i="3"/>
  <c r="BS84" i="3"/>
  <c r="BP84" i="3"/>
  <c r="BO84" i="3"/>
  <c r="BQ84" i="3" s="1"/>
  <c r="BJ84" i="3"/>
  <c r="BK84" i="3" s="1"/>
  <c r="BI84" i="3"/>
  <c r="BD84" i="3"/>
  <c r="BC84" i="3"/>
  <c r="AX84" i="3"/>
  <c r="AW84" i="3"/>
  <c r="AY84" i="3" s="1"/>
  <c r="AS84" i="3"/>
  <c r="AR84" i="3"/>
  <c r="AQ84" i="3"/>
  <c r="AM84" i="3"/>
  <c r="AL84" i="3"/>
  <c r="AK84" i="3"/>
  <c r="AF84" i="3"/>
  <c r="AE84" i="3"/>
  <c r="Z84" i="3"/>
  <c r="Y84" i="3"/>
  <c r="AA84" i="3" s="1"/>
  <c r="T84" i="3"/>
  <c r="S84" i="3"/>
  <c r="U84" i="3" s="1"/>
  <c r="O84" i="3"/>
  <c r="N84" i="3"/>
  <c r="M84" i="3"/>
  <c r="BP83" i="3"/>
  <c r="BO83" i="3"/>
  <c r="BJ83" i="3"/>
  <c r="BI83" i="3"/>
  <c r="BK83" i="3" s="1"/>
  <c r="BE83" i="3"/>
  <c r="BD83" i="3"/>
  <c r="BC83" i="3"/>
  <c r="AY83" i="3"/>
  <c r="AX83" i="3"/>
  <c r="AW83" i="3"/>
  <c r="AR83" i="3"/>
  <c r="AQ83" i="3"/>
  <c r="AS83" i="3" s="1"/>
  <c r="AL83" i="3"/>
  <c r="AK83" i="3"/>
  <c r="AM83" i="3" s="1"/>
  <c r="AG83" i="3"/>
  <c r="AF83" i="3"/>
  <c r="AE83" i="3"/>
  <c r="Z83" i="3"/>
  <c r="AA83" i="3" s="1"/>
  <c r="Y83" i="3"/>
  <c r="T83" i="3"/>
  <c r="S83" i="3"/>
  <c r="N83" i="3"/>
  <c r="M83" i="3"/>
  <c r="O83" i="3" s="1"/>
  <c r="BP82" i="3"/>
  <c r="BO82" i="3"/>
  <c r="BQ82" i="3" s="1"/>
  <c r="BJ82" i="3"/>
  <c r="BK82" i="3" s="1"/>
  <c r="BI82" i="3"/>
  <c r="BD82" i="3"/>
  <c r="BC82" i="3"/>
  <c r="BE82" i="3" s="1"/>
  <c r="AX82" i="3"/>
  <c r="AW82" i="3"/>
  <c r="AY82" i="3" s="1"/>
  <c r="AR82" i="3"/>
  <c r="AQ82" i="3"/>
  <c r="AS82" i="3" s="1"/>
  <c r="AL82" i="3"/>
  <c r="AM82" i="3" s="1"/>
  <c r="AK82" i="3"/>
  <c r="AF82" i="3"/>
  <c r="AE82" i="3"/>
  <c r="Z82" i="3"/>
  <c r="Y82" i="3"/>
  <c r="AA82" i="3" s="1"/>
  <c r="U82" i="3"/>
  <c r="T82" i="3"/>
  <c r="S82" i="3"/>
  <c r="O82" i="3"/>
  <c r="N82" i="3"/>
  <c r="M82" i="3"/>
  <c r="BT81" i="3"/>
  <c r="BS81" i="3"/>
  <c r="BQ81" i="3"/>
  <c r="BP81" i="3"/>
  <c r="BO81" i="3"/>
  <c r="BK81" i="3"/>
  <c r="BJ81" i="3"/>
  <c r="BI81" i="3"/>
  <c r="BD81" i="3"/>
  <c r="BC81" i="3"/>
  <c r="BE81" i="3" s="1"/>
  <c r="AX81" i="3"/>
  <c r="AW81" i="3"/>
  <c r="AY81" i="3" s="1"/>
  <c r="AS81" i="3"/>
  <c r="AR81" i="3"/>
  <c r="AQ81" i="3"/>
  <c r="AL81" i="3"/>
  <c r="AK81" i="3"/>
  <c r="AM81" i="3" s="1"/>
  <c r="AF81" i="3"/>
  <c r="AE81" i="3"/>
  <c r="AG81" i="3" s="1"/>
  <c r="Z81" i="3"/>
  <c r="Y81" i="3"/>
  <c r="AA81" i="3" s="1"/>
  <c r="U81" i="3"/>
  <c r="T81" i="3"/>
  <c r="S81" i="3"/>
  <c r="N81" i="3"/>
  <c r="M81" i="3"/>
  <c r="O81" i="3" s="1"/>
  <c r="BT80" i="3"/>
  <c r="BS80" i="3"/>
  <c r="BQ80" i="3"/>
  <c r="BP80" i="3"/>
  <c r="BO80" i="3"/>
  <c r="BJ80" i="3"/>
  <c r="BK80" i="3" s="1"/>
  <c r="BI80" i="3"/>
  <c r="BD80" i="3"/>
  <c r="BC80" i="3"/>
  <c r="AX80" i="3"/>
  <c r="AW80" i="3"/>
  <c r="AY80" i="3" s="1"/>
  <c r="AS80" i="3"/>
  <c r="AR80" i="3"/>
  <c r="AQ80" i="3"/>
  <c r="AM80" i="3"/>
  <c r="AL80" i="3"/>
  <c r="AK80" i="3"/>
  <c r="AF80" i="3"/>
  <c r="AE80" i="3"/>
  <c r="AG80" i="3" s="1"/>
  <c r="Z80" i="3"/>
  <c r="Y80" i="3"/>
  <c r="AA80" i="3" s="1"/>
  <c r="U80" i="3"/>
  <c r="T80" i="3"/>
  <c r="S80" i="3"/>
  <c r="O80" i="3"/>
  <c r="N80" i="3"/>
  <c r="M80" i="3"/>
  <c r="BP79" i="3"/>
  <c r="BO79" i="3"/>
  <c r="BK79" i="3"/>
  <c r="BJ79" i="3"/>
  <c r="BI79" i="3"/>
  <c r="BE79" i="3"/>
  <c r="BD79" i="3"/>
  <c r="BC79" i="3"/>
  <c r="AX79" i="3"/>
  <c r="AY79" i="3" s="1"/>
  <c r="AW79" i="3"/>
  <c r="AR79" i="3"/>
  <c r="AQ79" i="3"/>
  <c r="AS79" i="3" s="1"/>
  <c r="AL79" i="3"/>
  <c r="AM79" i="3" s="1"/>
  <c r="AK79" i="3"/>
  <c r="AG79" i="3"/>
  <c r="AF79" i="3"/>
  <c r="AE79" i="3"/>
  <c r="AA79" i="3"/>
  <c r="Z79" i="3"/>
  <c r="Y79" i="3"/>
  <c r="T79" i="3"/>
  <c r="S79" i="3"/>
  <c r="O79" i="3"/>
  <c r="N79" i="3"/>
  <c r="M79" i="3"/>
  <c r="BQ78" i="3"/>
  <c r="BP78" i="3"/>
  <c r="BO78" i="3"/>
  <c r="BK78" i="3"/>
  <c r="BJ78" i="3"/>
  <c r="BI78" i="3"/>
  <c r="BD78" i="3"/>
  <c r="BC78" i="3"/>
  <c r="AX78" i="3"/>
  <c r="AW78" i="3"/>
  <c r="AY78" i="3" s="1"/>
  <c r="AS78" i="3"/>
  <c r="AR78" i="3"/>
  <c r="AQ78" i="3"/>
  <c r="AM78" i="3"/>
  <c r="AL78" i="3"/>
  <c r="AK78" i="3"/>
  <c r="AF78" i="3"/>
  <c r="AE78" i="3"/>
  <c r="AG78" i="3" s="1"/>
  <c r="Z78" i="3"/>
  <c r="Y78" i="3"/>
  <c r="AA78" i="3" s="1"/>
  <c r="U78" i="3"/>
  <c r="T78" i="3"/>
  <c r="S78" i="3"/>
  <c r="N78" i="3"/>
  <c r="O78" i="3" s="1"/>
  <c r="M78" i="3"/>
  <c r="BT77" i="3"/>
  <c r="BS77" i="3"/>
  <c r="BQ77" i="3"/>
  <c r="BP77" i="3"/>
  <c r="BO77" i="3"/>
  <c r="BK77" i="3"/>
  <c r="BJ77" i="3"/>
  <c r="BI77" i="3"/>
  <c r="BD77" i="3"/>
  <c r="BC77" i="3"/>
  <c r="BE77" i="3" s="1"/>
  <c r="AX77" i="3"/>
  <c r="AW77" i="3"/>
  <c r="AY77" i="3" s="1"/>
  <c r="AR77" i="3"/>
  <c r="AQ77" i="3"/>
  <c r="AS77" i="3" s="1"/>
  <c r="AM77" i="3"/>
  <c r="AL77" i="3"/>
  <c r="AK77" i="3"/>
  <c r="AF77" i="3"/>
  <c r="AE77" i="3"/>
  <c r="AG77" i="3" s="1"/>
  <c r="Z77" i="3"/>
  <c r="Y77" i="3"/>
  <c r="AA77" i="3" s="1"/>
  <c r="U77" i="3"/>
  <c r="T77" i="3"/>
  <c r="S77" i="3"/>
  <c r="N77" i="3"/>
  <c r="O77" i="3" s="1"/>
  <c r="M77" i="3"/>
  <c r="BT76" i="3"/>
  <c r="BS76" i="3"/>
  <c r="BQ76" i="3"/>
  <c r="BP76" i="3"/>
  <c r="BO76" i="3"/>
  <c r="BJ76" i="3"/>
  <c r="BI76" i="3"/>
  <c r="BK76" i="3" s="1"/>
  <c r="BD76" i="3"/>
  <c r="BC76" i="3"/>
  <c r="BE76" i="3" s="1"/>
  <c r="AX76" i="3"/>
  <c r="AW76" i="3"/>
  <c r="AY76" i="3" s="1"/>
  <c r="AS76" i="3"/>
  <c r="AR76" i="3"/>
  <c r="AQ76" i="3"/>
  <c r="AL76" i="3"/>
  <c r="AK76" i="3"/>
  <c r="AM76" i="3" s="1"/>
  <c r="AG76" i="3"/>
  <c r="AF76" i="3"/>
  <c r="AE76" i="3"/>
  <c r="Z76" i="3"/>
  <c r="Y76" i="3"/>
  <c r="AA76" i="3" s="1"/>
  <c r="U76" i="3"/>
  <c r="T76" i="3"/>
  <c r="S76" i="3"/>
  <c r="O76" i="3"/>
  <c r="N76" i="3"/>
  <c r="M76" i="3"/>
  <c r="BQ75" i="3"/>
  <c r="BP75" i="3"/>
  <c r="BO75" i="3"/>
  <c r="BJ75" i="3"/>
  <c r="BI75" i="3"/>
  <c r="BK75" i="3" s="1"/>
  <c r="BE75" i="3"/>
  <c r="BD75" i="3"/>
  <c r="BC75" i="3"/>
  <c r="AX75" i="3"/>
  <c r="AY75" i="3" s="1"/>
  <c r="AW75" i="3"/>
  <c r="AR75" i="3"/>
  <c r="AQ75" i="3"/>
  <c r="AS75" i="3" s="1"/>
  <c r="AL75" i="3"/>
  <c r="AK75" i="3"/>
  <c r="AM75" i="3" s="1"/>
  <c r="AG75" i="3"/>
  <c r="AF75" i="3"/>
  <c r="AE75" i="3"/>
  <c r="AA75" i="3"/>
  <c r="Z75" i="3"/>
  <c r="Y75" i="3"/>
  <c r="T75" i="3"/>
  <c r="S75" i="3"/>
  <c r="U75" i="3" s="1"/>
  <c r="N75" i="3"/>
  <c r="M75" i="3"/>
  <c r="O75" i="3" s="1"/>
  <c r="BQ74" i="3"/>
  <c r="BP74" i="3"/>
  <c r="BO74" i="3"/>
  <c r="BJ74" i="3"/>
  <c r="BI74" i="3"/>
  <c r="BK74" i="3" s="1"/>
  <c r="BE74" i="3"/>
  <c r="BD74" i="3"/>
  <c r="BC74" i="3"/>
  <c r="AX74" i="3"/>
  <c r="AW74" i="3"/>
  <c r="AY74" i="3" s="1"/>
  <c r="AS74" i="3"/>
  <c r="AR74" i="3"/>
  <c r="AQ74" i="3"/>
  <c r="AL74" i="3"/>
  <c r="AK74" i="3"/>
  <c r="AM74" i="3" s="1"/>
  <c r="AF74" i="3"/>
  <c r="AG74" i="3" s="1"/>
  <c r="AE74" i="3"/>
  <c r="Z74" i="3"/>
  <c r="Y74" i="3"/>
  <c r="AA74" i="3" s="1"/>
  <c r="U74" i="3"/>
  <c r="T74" i="3"/>
  <c r="S74" i="3"/>
  <c r="O74" i="3"/>
  <c r="N74" i="3"/>
  <c r="M74" i="3"/>
  <c r="BT73" i="3"/>
  <c r="BS73" i="3"/>
  <c r="BQ73" i="3"/>
  <c r="BP73" i="3"/>
  <c r="BO73" i="3"/>
  <c r="BK73" i="3"/>
  <c r="BJ73" i="3"/>
  <c r="BI73" i="3"/>
  <c r="BD73" i="3"/>
  <c r="BC73" i="3"/>
  <c r="BE73" i="3" s="1"/>
  <c r="AX73" i="3"/>
  <c r="AW73" i="3"/>
  <c r="AY73" i="3" s="1"/>
  <c r="AS73" i="3"/>
  <c r="AR73" i="3"/>
  <c r="AQ73" i="3"/>
  <c r="AL73" i="3"/>
  <c r="AM73" i="3" s="1"/>
  <c r="AK73" i="3"/>
  <c r="AF73" i="3"/>
  <c r="AE73" i="3"/>
  <c r="AA73" i="3"/>
  <c r="Z73" i="3"/>
  <c r="Y73" i="3"/>
  <c r="U73" i="3"/>
  <c r="T73" i="3"/>
  <c r="S73" i="3"/>
  <c r="N73" i="3"/>
  <c r="O73" i="3" s="1"/>
  <c r="M73" i="3"/>
  <c r="BP72" i="3"/>
  <c r="BO72" i="3"/>
  <c r="BJ72" i="3"/>
  <c r="BI72" i="3"/>
  <c r="BK72" i="3" s="1"/>
  <c r="BE72" i="3"/>
  <c r="BD72" i="3"/>
  <c r="BC72" i="3"/>
  <c r="AY72" i="3"/>
  <c r="AX72" i="3"/>
  <c r="AW72" i="3"/>
  <c r="AR72" i="3"/>
  <c r="AQ72" i="3"/>
  <c r="AL72" i="3"/>
  <c r="AK72" i="3"/>
  <c r="AM72" i="3" s="1"/>
  <c r="AG72" i="3"/>
  <c r="AF72" i="3"/>
  <c r="AE72" i="3"/>
  <c r="Z72" i="3"/>
  <c r="AA72" i="3" s="1"/>
  <c r="Y72" i="3"/>
  <c r="T72" i="3"/>
  <c r="S72" i="3"/>
  <c r="U72" i="3" s="1"/>
  <c r="O72" i="3"/>
  <c r="N72" i="3"/>
  <c r="M72" i="3"/>
  <c r="BQ71" i="3"/>
  <c r="BP71" i="3"/>
  <c r="BO71" i="3"/>
  <c r="BK71" i="3"/>
  <c r="BJ71" i="3"/>
  <c r="BI71" i="3"/>
  <c r="BD71" i="3"/>
  <c r="BC71" i="3"/>
  <c r="BE71" i="3" s="1"/>
  <c r="AY71" i="3"/>
  <c r="AX71" i="3"/>
  <c r="AW71" i="3"/>
  <c r="AS71" i="3"/>
  <c r="AR71" i="3"/>
  <c r="AQ71" i="3"/>
  <c r="AL71" i="3"/>
  <c r="AM71" i="3" s="1"/>
  <c r="AK71" i="3"/>
  <c r="AF71" i="3"/>
  <c r="AE71" i="3"/>
  <c r="Z71" i="3"/>
  <c r="Y71" i="3"/>
  <c r="AA71" i="3" s="1"/>
  <c r="U71" i="3"/>
  <c r="T71" i="3"/>
  <c r="S71" i="3"/>
  <c r="O71" i="3"/>
  <c r="N71" i="3"/>
  <c r="M71" i="3"/>
  <c r="BP70" i="3"/>
  <c r="BO70" i="3"/>
  <c r="BQ70" i="3" s="1"/>
  <c r="BJ70" i="3"/>
  <c r="BI70" i="3"/>
  <c r="BK70" i="3" s="1"/>
  <c r="BE70" i="3"/>
  <c r="BD70" i="3"/>
  <c r="BC70" i="3"/>
  <c r="AY70" i="3"/>
  <c r="AX70" i="3"/>
  <c r="AW70" i="3"/>
  <c r="AR70" i="3"/>
  <c r="AQ70" i="3"/>
  <c r="AM70" i="3"/>
  <c r="AL70" i="3"/>
  <c r="AK70" i="3"/>
  <c r="AG70" i="3"/>
  <c r="AF70" i="3"/>
  <c r="AE70" i="3"/>
  <c r="Z70" i="3"/>
  <c r="AA70" i="3" s="1"/>
  <c r="Y70" i="3"/>
  <c r="T70" i="3"/>
  <c r="S70" i="3"/>
  <c r="U70" i="3" s="1"/>
  <c r="N70" i="3"/>
  <c r="O70" i="3" s="1"/>
  <c r="M70" i="3"/>
  <c r="BQ69" i="3"/>
  <c r="BP69" i="3"/>
  <c r="BO69" i="3"/>
  <c r="BK69" i="3"/>
  <c r="BJ69" i="3"/>
  <c r="BI69" i="3"/>
  <c r="BD69" i="3"/>
  <c r="BC69" i="3"/>
  <c r="AY69" i="3"/>
  <c r="AX69" i="3"/>
  <c r="AW69" i="3"/>
  <c r="AS69" i="3"/>
  <c r="AR69" i="3"/>
  <c r="AQ69" i="3"/>
  <c r="AM69" i="3"/>
  <c r="AL69" i="3"/>
  <c r="AK69" i="3"/>
  <c r="AF69" i="3"/>
  <c r="AE69" i="3"/>
  <c r="Z69" i="3"/>
  <c r="Y69" i="3"/>
  <c r="AA69" i="3" s="1"/>
  <c r="U69" i="3"/>
  <c r="T69" i="3"/>
  <c r="S69" i="3"/>
  <c r="O69" i="3"/>
  <c r="N69" i="3"/>
  <c r="M69" i="3"/>
  <c r="BP68" i="3"/>
  <c r="BO68" i="3"/>
  <c r="BQ68" i="3" s="1"/>
  <c r="BJ68" i="3"/>
  <c r="BI68" i="3"/>
  <c r="BK68" i="3" s="1"/>
  <c r="BE68" i="3"/>
  <c r="BD68" i="3"/>
  <c r="BC68" i="3"/>
  <c r="AX68" i="3"/>
  <c r="AY68" i="3" s="1"/>
  <c r="AW68" i="3"/>
  <c r="AR68" i="3"/>
  <c r="AQ68" i="3"/>
  <c r="AM68" i="3"/>
  <c r="AL68" i="3"/>
  <c r="AK68" i="3"/>
  <c r="AG68" i="3"/>
  <c r="AF68" i="3"/>
  <c r="AE68" i="3"/>
  <c r="Z68" i="3"/>
  <c r="AA68" i="3" s="1"/>
  <c r="Y68" i="3"/>
  <c r="T68" i="3"/>
  <c r="S68" i="3"/>
  <c r="N68" i="3"/>
  <c r="M68" i="3"/>
  <c r="O68" i="3" s="1"/>
  <c r="BQ67" i="3"/>
  <c r="BP67" i="3"/>
  <c r="BO67" i="3"/>
  <c r="BK67" i="3"/>
  <c r="BJ67" i="3"/>
  <c r="BI67" i="3"/>
  <c r="BD67" i="3"/>
  <c r="BC67" i="3"/>
  <c r="AX67" i="3"/>
  <c r="AW67" i="3"/>
  <c r="AY67" i="3" s="1"/>
  <c r="AS67" i="3"/>
  <c r="AR67" i="3"/>
  <c r="AQ67" i="3"/>
  <c r="AL67" i="3"/>
  <c r="AM67" i="3" s="1"/>
  <c r="AK67" i="3"/>
  <c r="AF67" i="3"/>
  <c r="AE67" i="3"/>
  <c r="AG67" i="3" s="1"/>
  <c r="AA67" i="3"/>
  <c r="Z67" i="3"/>
  <c r="Y67" i="3"/>
  <c r="U67" i="3"/>
  <c r="T67" i="3"/>
  <c r="S67" i="3"/>
  <c r="O67" i="3"/>
  <c r="N67" i="3"/>
  <c r="M67" i="3"/>
  <c r="BP66" i="3"/>
  <c r="BO66" i="3"/>
  <c r="BQ66" i="3" s="1"/>
  <c r="BK66" i="3"/>
  <c r="BJ66" i="3"/>
  <c r="BI66" i="3"/>
  <c r="BE66" i="3"/>
  <c r="BD66" i="3"/>
  <c r="BC66" i="3"/>
  <c r="AX66" i="3"/>
  <c r="AY66" i="3" s="1"/>
  <c r="AW66" i="3"/>
  <c r="AR66" i="3"/>
  <c r="AQ66" i="3"/>
  <c r="AL66" i="3"/>
  <c r="AK66" i="3"/>
  <c r="AM66" i="3" s="1"/>
  <c r="AG66" i="3"/>
  <c r="AF66" i="3"/>
  <c r="AE66" i="3"/>
  <c r="AA66" i="3"/>
  <c r="Z66" i="3"/>
  <c r="Y66" i="3"/>
  <c r="T66" i="3"/>
  <c r="S66" i="3"/>
  <c r="U66" i="3" s="1"/>
  <c r="N66" i="3"/>
  <c r="M66" i="3"/>
  <c r="O66" i="3" s="1"/>
  <c r="BQ65" i="3"/>
  <c r="BP65" i="3"/>
  <c r="BO65" i="3"/>
  <c r="BK65" i="3"/>
  <c r="BJ65" i="3"/>
  <c r="BI65" i="3"/>
  <c r="BD65" i="3"/>
  <c r="BC65" i="3"/>
  <c r="AY65" i="3"/>
  <c r="AX65" i="3"/>
  <c r="AW65" i="3"/>
  <c r="AS65" i="3"/>
  <c r="AR65" i="3"/>
  <c r="AQ65" i="3"/>
  <c r="AL65" i="3"/>
  <c r="AM65" i="3" s="1"/>
  <c r="AK65" i="3"/>
  <c r="AF65" i="3"/>
  <c r="AE65" i="3"/>
  <c r="AG65" i="3" s="1"/>
  <c r="Z65" i="3"/>
  <c r="AA65" i="3" s="1"/>
  <c r="Y65" i="3"/>
  <c r="U65" i="3"/>
  <c r="T65" i="3"/>
  <c r="S65" i="3"/>
  <c r="O65" i="3"/>
  <c r="N65" i="3"/>
  <c r="M65" i="3"/>
  <c r="BP64" i="3"/>
  <c r="BO64" i="3"/>
  <c r="BK64" i="3"/>
  <c r="BJ64" i="3"/>
  <c r="BI64" i="3"/>
  <c r="BE64" i="3"/>
  <c r="BD64" i="3"/>
  <c r="BC64" i="3"/>
  <c r="AY64" i="3"/>
  <c r="AX64" i="3"/>
  <c r="AW64" i="3"/>
  <c r="AR64" i="3"/>
  <c r="AQ64" i="3"/>
  <c r="AL64" i="3"/>
  <c r="AK64" i="3"/>
  <c r="AM64" i="3" s="1"/>
  <c r="AG64" i="3"/>
  <c r="AF64" i="3"/>
  <c r="AE64" i="3"/>
  <c r="AA64" i="3"/>
  <c r="Z64" i="3"/>
  <c r="Y64" i="3"/>
  <c r="T64" i="3"/>
  <c r="S64" i="3"/>
  <c r="U64" i="3" s="1"/>
  <c r="N64" i="3"/>
  <c r="M64" i="3"/>
  <c r="O64" i="3" s="1"/>
  <c r="BQ63" i="3"/>
  <c r="BP63" i="3"/>
  <c r="BO63" i="3"/>
  <c r="BJ63" i="3"/>
  <c r="BK63" i="3" s="1"/>
  <c r="BI63" i="3"/>
  <c r="BD63" i="3"/>
  <c r="BC63" i="3"/>
  <c r="AY63" i="3"/>
  <c r="AX63" i="3"/>
  <c r="AW63" i="3"/>
  <c r="AS63" i="3"/>
  <c r="AR63" i="3"/>
  <c r="AQ63" i="3"/>
  <c r="AL63" i="3"/>
  <c r="AM63" i="3" s="1"/>
  <c r="AK63" i="3"/>
  <c r="AF63" i="3"/>
  <c r="AE63" i="3"/>
  <c r="Z63" i="3"/>
  <c r="Y63" i="3"/>
  <c r="AA63" i="3" s="1"/>
  <c r="U63" i="3"/>
  <c r="T63" i="3"/>
  <c r="S63" i="3"/>
  <c r="O63" i="3"/>
  <c r="N63" i="3"/>
  <c r="M63" i="3"/>
  <c r="BP62" i="3"/>
  <c r="BO62" i="3"/>
  <c r="BJ62" i="3"/>
  <c r="BI62" i="3"/>
  <c r="BK62" i="3" s="1"/>
  <c r="BE62" i="3"/>
  <c r="BD62" i="3"/>
  <c r="BC62" i="3"/>
  <c r="AX62" i="3"/>
  <c r="AY62" i="3" s="1"/>
  <c r="AW62" i="3"/>
  <c r="AR62" i="3"/>
  <c r="AQ62" i="3"/>
  <c r="AS62" i="3" s="1"/>
  <c r="AM62" i="3"/>
  <c r="AL62" i="3"/>
  <c r="AK62" i="3"/>
  <c r="AG62" i="3"/>
  <c r="AF62" i="3"/>
  <c r="AE62" i="3"/>
  <c r="AA62" i="3"/>
  <c r="Z62" i="3"/>
  <c r="Y62" i="3"/>
  <c r="T62" i="3"/>
  <c r="S62" i="3"/>
  <c r="U62" i="3" s="1"/>
  <c r="O62" i="3"/>
  <c r="N62" i="3"/>
  <c r="M62" i="3"/>
  <c r="BQ61" i="3"/>
  <c r="BP61" i="3"/>
  <c r="BO61" i="3"/>
  <c r="BJ61" i="3"/>
  <c r="BK61" i="3" s="1"/>
  <c r="BI61" i="3"/>
  <c r="BD61" i="3"/>
  <c r="BC61" i="3"/>
  <c r="AX61" i="3"/>
  <c r="AW61" i="3"/>
  <c r="AY61" i="3" s="1"/>
  <c r="AS61" i="3"/>
  <c r="AR61" i="3"/>
  <c r="AQ61" i="3"/>
  <c r="AM61" i="3"/>
  <c r="AL61" i="3"/>
  <c r="AK61" i="3"/>
  <c r="AF61" i="3"/>
  <c r="AE61" i="3"/>
  <c r="AG61" i="3" s="1"/>
  <c r="Z61" i="3"/>
  <c r="Y61" i="3"/>
  <c r="AA61" i="3" s="1"/>
  <c r="U61" i="3"/>
  <c r="T61" i="3"/>
  <c r="S61" i="3"/>
  <c r="O61" i="3"/>
  <c r="N61" i="3"/>
  <c r="M61" i="3"/>
  <c r="BP60" i="3"/>
  <c r="BO60" i="3"/>
  <c r="BK60" i="3"/>
  <c r="BJ60" i="3"/>
  <c r="BI60" i="3"/>
  <c r="BE60" i="3"/>
  <c r="BD60" i="3"/>
  <c r="BC60" i="3"/>
  <c r="AX60" i="3"/>
  <c r="AY60" i="3" s="1"/>
  <c r="AW60" i="3"/>
  <c r="AR60" i="3"/>
  <c r="AQ60" i="3"/>
  <c r="AS60" i="3" s="1"/>
  <c r="AL60" i="3"/>
  <c r="AM60" i="3" s="1"/>
  <c r="AK60" i="3"/>
  <c r="AG60" i="3"/>
  <c r="AF60" i="3"/>
  <c r="AE60" i="3"/>
  <c r="AA60" i="3"/>
  <c r="Z60" i="3"/>
  <c r="Y60" i="3"/>
  <c r="T60" i="3"/>
  <c r="S60" i="3"/>
  <c r="O60" i="3"/>
  <c r="N60" i="3"/>
  <c r="M60" i="3"/>
  <c r="BQ59" i="3"/>
  <c r="BP59" i="3"/>
  <c r="BO59" i="3"/>
  <c r="BK59" i="3"/>
  <c r="BJ59" i="3"/>
  <c r="BI59" i="3"/>
  <c r="BD59" i="3"/>
  <c r="BC59" i="3"/>
  <c r="AX59" i="3"/>
  <c r="AW59" i="3"/>
  <c r="AY59" i="3" s="1"/>
  <c r="AS59" i="3"/>
  <c r="AR59" i="3"/>
  <c r="AQ59" i="3"/>
  <c r="AM59" i="3"/>
  <c r="AL59" i="3"/>
  <c r="AK59" i="3"/>
  <c r="AF59" i="3"/>
  <c r="AE59" i="3"/>
  <c r="AG59" i="3" s="1"/>
  <c r="Z59" i="3"/>
  <c r="Y59" i="3"/>
  <c r="AA59" i="3" s="1"/>
  <c r="U59" i="3"/>
  <c r="T59" i="3"/>
  <c r="S59" i="3"/>
  <c r="N59" i="3"/>
  <c r="O59" i="3" s="1"/>
  <c r="M59" i="3"/>
  <c r="BP58" i="3"/>
  <c r="BO58" i="3"/>
  <c r="BK58" i="3"/>
  <c r="BJ58" i="3"/>
  <c r="BI58" i="3"/>
  <c r="BE58" i="3"/>
  <c r="BD58" i="3"/>
  <c r="BC58" i="3"/>
  <c r="AX58" i="3"/>
  <c r="AY58" i="3" s="1"/>
  <c r="AW58" i="3"/>
  <c r="AR58" i="3"/>
  <c r="AQ58" i="3"/>
  <c r="AL58" i="3"/>
  <c r="AK58" i="3"/>
  <c r="AM58" i="3" s="1"/>
  <c r="AG58" i="3"/>
  <c r="AF58" i="3"/>
  <c r="AE58" i="3"/>
  <c r="AA58" i="3"/>
  <c r="Z58" i="3"/>
  <c r="Y58" i="3"/>
  <c r="T58" i="3"/>
  <c r="S58" i="3"/>
  <c r="N58" i="3"/>
  <c r="M58" i="3"/>
  <c r="O58" i="3" s="1"/>
  <c r="BQ57" i="3"/>
  <c r="BP57" i="3"/>
  <c r="BO57" i="3"/>
  <c r="BJ57" i="3"/>
  <c r="BK57" i="3" s="1"/>
  <c r="BI57" i="3"/>
  <c r="BD57" i="3"/>
  <c r="BC57" i="3"/>
  <c r="BE57" i="3" s="1"/>
  <c r="AY57" i="3"/>
  <c r="AX57" i="3"/>
  <c r="AW57" i="3"/>
  <c r="AS57" i="3"/>
  <c r="AR57" i="3"/>
  <c r="AQ57" i="3"/>
  <c r="AM57" i="3"/>
  <c r="AL57" i="3"/>
  <c r="AK57" i="3"/>
  <c r="AF57" i="3"/>
  <c r="AE57" i="3"/>
  <c r="AG57" i="3" s="1"/>
  <c r="AA57" i="3"/>
  <c r="Z57" i="3"/>
  <c r="Y57" i="3"/>
  <c r="U57" i="3"/>
  <c r="T57" i="3"/>
  <c r="S57" i="3"/>
  <c r="N57" i="3"/>
  <c r="O57" i="3" s="1"/>
  <c r="M57" i="3"/>
  <c r="BP56" i="3"/>
  <c r="BO56" i="3"/>
  <c r="BJ56" i="3"/>
  <c r="BI56" i="3"/>
  <c r="BK56" i="3" s="1"/>
  <c r="BE56" i="3"/>
  <c r="BD56" i="3"/>
  <c r="BC56" i="3"/>
  <c r="AY56" i="3"/>
  <c r="AX56" i="3"/>
  <c r="AW56" i="3"/>
  <c r="AR56" i="3"/>
  <c r="AQ56" i="3"/>
  <c r="AS56" i="3" s="1"/>
  <c r="AL56" i="3"/>
  <c r="AK56" i="3"/>
  <c r="AM56" i="3" s="1"/>
  <c r="AG56" i="3"/>
  <c r="AF56" i="3"/>
  <c r="AE56" i="3"/>
  <c r="AA56" i="3"/>
  <c r="Z56" i="3"/>
  <c r="Y56" i="3"/>
  <c r="T56" i="3"/>
  <c r="S56" i="3"/>
  <c r="O56" i="3"/>
  <c r="N56" i="3"/>
  <c r="M56" i="3"/>
  <c r="BQ55" i="3"/>
  <c r="BP55" i="3"/>
  <c r="BO55" i="3"/>
  <c r="BJ55" i="3"/>
  <c r="BK55" i="3" s="1"/>
  <c r="BI55" i="3"/>
  <c r="BD55" i="3"/>
  <c r="BC55" i="3"/>
  <c r="BE55" i="3" s="1"/>
  <c r="AX55" i="3"/>
  <c r="AY55" i="3" s="1"/>
  <c r="AW55" i="3"/>
  <c r="AS55" i="3"/>
  <c r="AR55" i="3"/>
  <c r="AQ55" i="3"/>
  <c r="AM55" i="3"/>
  <c r="AL55" i="3"/>
  <c r="AK55" i="3"/>
  <c r="AF55" i="3"/>
  <c r="AE55" i="3"/>
  <c r="AA55" i="3"/>
  <c r="Z55" i="3"/>
  <c r="Y55" i="3"/>
  <c r="U55" i="3"/>
  <c r="T55" i="3"/>
  <c r="S55" i="3"/>
  <c r="O55" i="3"/>
  <c r="N55" i="3"/>
  <c r="M55" i="3"/>
  <c r="BP54" i="3"/>
  <c r="BO54" i="3"/>
  <c r="BJ54" i="3"/>
  <c r="BI54" i="3"/>
  <c r="BK54" i="3" s="1"/>
  <c r="BE54" i="3"/>
  <c r="BD54" i="3"/>
  <c r="BC54" i="3"/>
  <c r="AY54" i="3"/>
  <c r="AX54" i="3"/>
  <c r="AW54" i="3"/>
  <c r="AR54" i="3"/>
  <c r="AQ54" i="3"/>
  <c r="AS54" i="3" s="1"/>
  <c r="AL54" i="3"/>
  <c r="AK54" i="3"/>
  <c r="AM54" i="3" s="1"/>
  <c r="AG54" i="3"/>
  <c r="AF54" i="3"/>
  <c r="AE54" i="3"/>
  <c r="Z54" i="3"/>
  <c r="AA54" i="3" s="1"/>
  <c r="Y54" i="3"/>
  <c r="T54" i="3"/>
  <c r="S54" i="3"/>
  <c r="O54" i="3"/>
  <c r="N54" i="3"/>
  <c r="M54" i="3"/>
  <c r="BQ53" i="3"/>
  <c r="BP53" i="3"/>
  <c r="BO53" i="3"/>
  <c r="BJ53" i="3"/>
  <c r="BK53" i="3" s="1"/>
  <c r="BI53" i="3"/>
  <c r="BD53" i="3"/>
  <c r="BC53" i="3"/>
  <c r="AX53" i="3"/>
  <c r="AW53" i="3"/>
  <c r="AY53" i="3" s="1"/>
  <c r="AS53" i="3"/>
  <c r="AR53" i="3"/>
  <c r="AQ53" i="3"/>
  <c r="AM53" i="3"/>
  <c r="AL53" i="3"/>
  <c r="AK53" i="3"/>
  <c r="AF53" i="3"/>
  <c r="AE53" i="3"/>
  <c r="Z53" i="3"/>
  <c r="Y53" i="3"/>
  <c r="AA53" i="3" s="1"/>
  <c r="U53" i="3"/>
  <c r="T53" i="3"/>
  <c r="S53" i="3"/>
  <c r="N53" i="3"/>
  <c r="O53" i="3" s="1"/>
  <c r="M53" i="3"/>
  <c r="BP52" i="3"/>
  <c r="BO52" i="3"/>
  <c r="BQ52" i="3" s="1"/>
  <c r="BK52" i="3"/>
  <c r="BJ52" i="3"/>
  <c r="BI52" i="3"/>
  <c r="BE52" i="3"/>
  <c r="BD52" i="3"/>
  <c r="BC52" i="3"/>
  <c r="AY52" i="3"/>
  <c r="AX52" i="3"/>
  <c r="AW52" i="3"/>
  <c r="AR52" i="3"/>
  <c r="AQ52" i="3"/>
  <c r="AS52" i="3" s="1"/>
  <c r="AM52" i="3"/>
  <c r="AL52" i="3"/>
  <c r="AK52" i="3"/>
  <c r="AG52" i="3"/>
  <c r="AF52" i="3"/>
  <c r="AE52" i="3"/>
  <c r="Z52" i="3"/>
  <c r="AA52" i="3" s="1"/>
  <c r="Y52" i="3"/>
  <c r="T52" i="3"/>
  <c r="S52" i="3"/>
  <c r="N52" i="3"/>
  <c r="M52" i="3"/>
  <c r="O52" i="3" s="1"/>
  <c r="BQ51" i="3"/>
  <c r="BP51" i="3"/>
  <c r="BO51" i="3"/>
  <c r="BK51" i="3"/>
  <c r="BJ51" i="3"/>
  <c r="BI51" i="3"/>
  <c r="BD51" i="3"/>
  <c r="BC51" i="3"/>
  <c r="BE51" i="3" s="1"/>
  <c r="AX51" i="3"/>
  <c r="AW51" i="3"/>
  <c r="AY51" i="3" s="1"/>
  <c r="AS51" i="3"/>
  <c r="AR51" i="3"/>
  <c r="AQ51" i="3"/>
  <c r="AM51" i="3"/>
  <c r="AL51" i="3"/>
  <c r="AK51" i="3"/>
  <c r="AF51" i="3"/>
  <c r="AE51" i="3"/>
  <c r="AA51" i="3"/>
  <c r="Z51" i="3"/>
  <c r="Y51" i="3"/>
  <c r="U51" i="3"/>
  <c r="T51" i="3"/>
  <c r="S51" i="3"/>
  <c r="N51" i="3"/>
  <c r="O51" i="3" s="1"/>
  <c r="M51" i="3"/>
  <c r="BP50" i="3"/>
  <c r="BO50" i="3"/>
  <c r="BQ50" i="3" s="1"/>
  <c r="BJ50" i="3"/>
  <c r="BK50" i="3" s="1"/>
  <c r="BI50" i="3"/>
  <c r="BE50" i="3"/>
  <c r="BD50" i="3"/>
  <c r="BC50" i="3"/>
  <c r="AY50" i="3"/>
  <c r="AX50" i="3"/>
  <c r="AW50" i="3"/>
  <c r="AR50" i="3"/>
  <c r="AQ50" i="3"/>
  <c r="AM50" i="3"/>
  <c r="AL50" i="3"/>
  <c r="AK50" i="3"/>
  <c r="AG50" i="3"/>
  <c r="AF50" i="3"/>
  <c r="AE50" i="3"/>
  <c r="AA50" i="3"/>
  <c r="Z50" i="3"/>
  <c r="Y50" i="3"/>
  <c r="T50" i="3"/>
  <c r="S50" i="3"/>
  <c r="N50" i="3"/>
  <c r="M50" i="3"/>
  <c r="O50" i="3" s="1"/>
  <c r="BQ49" i="3"/>
  <c r="BP49" i="3"/>
  <c r="BO49" i="3"/>
  <c r="BK49" i="3"/>
  <c r="BJ49" i="3"/>
  <c r="BI49" i="3"/>
  <c r="BD49" i="3"/>
  <c r="BC49" i="3"/>
  <c r="BE49" i="3" s="1"/>
  <c r="AX49" i="3"/>
  <c r="AW49" i="3"/>
  <c r="AY49" i="3" s="1"/>
  <c r="AS49" i="3"/>
  <c r="AR49" i="3"/>
  <c r="AQ49" i="3"/>
  <c r="AL49" i="3"/>
  <c r="AM49" i="3" s="1"/>
  <c r="AK49" i="3"/>
  <c r="AF49" i="3"/>
  <c r="AE49" i="3"/>
  <c r="AA49" i="3"/>
  <c r="Z49" i="3"/>
  <c r="Y49" i="3"/>
  <c r="U49" i="3"/>
  <c r="T49" i="3"/>
  <c r="S49" i="3"/>
  <c r="N49" i="3"/>
  <c r="O49" i="3" s="1"/>
  <c r="M49" i="3"/>
  <c r="BP48" i="3"/>
  <c r="BO48" i="3"/>
  <c r="BJ48" i="3"/>
  <c r="BI48" i="3"/>
  <c r="BK48" i="3" s="1"/>
  <c r="BE48" i="3"/>
  <c r="BD48" i="3"/>
  <c r="BC48" i="3"/>
  <c r="AY48" i="3"/>
  <c r="AX48" i="3"/>
  <c r="AW48" i="3"/>
  <c r="AR48" i="3"/>
  <c r="AQ48" i="3"/>
  <c r="AL48" i="3"/>
  <c r="AK48" i="3"/>
  <c r="AM48" i="3" s="1"/>
  <c r="AG48" i="3"/>
  <c r="AF48" i="3"/>
  <c r="AE48" i="3"/>
  <c r="Z48" i="3"/>
  <c r="AA48" i="3" s="1"/>
  <c r="Y48" i="3"/>
  <c r="T48" i="3"/>
  <c r="S48" i="3"/>
  <c r="U48" i="3" s="1"/>
  <c r="O48" i="3"/>
  <c r="N48" i="3"/>
  <c r="M48" i="3"/>
  <c r="BQ47" i="3"/>
  <c r="BP47" i="3"/>
  <c r="BO47" i="3"/>
  <c r="BK47" i="3"/>
  <c r="BJ47" i="3"/>
  <c r="BI47" i="3"/>
  <c r="BD47" i="3"/>
  <c r="BC47" i="3"/>
  <c r="BE47" i="3" s="1"/>
  <c r="AY47" i="3"/>
  <c r="AX47" i="3"/>
  <c r="AW47" i="3"/>
  <c r="AS47" i="3"/>
  <c r="AR47" i="3"/>
  <c r="AQ47" i="3"/>
  <c r="AL47" i="3"/>
  <c r="AM47" i="3" s="1"/>
  <c r="AK47" i="3"/>
  <c r="AF47" i="3"/>
  <c r="AE47" i="3"/>
  <c r="Z47" i="3"/>
  <c r="Y47" i="3"/>
  <c r="AA47" i="3" s="1"/>
  <c r="U47" i="3"/>
  <c r="T47" i="3"/>
  <c r="S47" i="3"/>
  <c r="O47" i="3"/>
  <c r="N47" i="3"/>
  <c r="M47" i="3"/>
  <c r="BP46" i="3"/>
  <c r="BO46" i="3"/>
  <c r="BQ46" i="3" s="1"/>
  <c r="BJ46" i="3"/>
  <c r="BI46" i="3"/>
  <c r="BK46" i="3" s="1"/>
  <c r="BE46" i="3"/>
  <c r="BD46" i="3"/>
  <c r="BC46" i="3"/>
  <c r="AY46" i="3"/>
  <c r="AX46" i="3"/>
  <c r="AW46" i="3"/>
  <c r="AR46" i="3"/>
  <c r="AQ46" i="3"/>
  <c r="AM46" i="3"/>
  <c r="AL46" i="3"/>
  <c r="AK46" i="3"/>
  <c r="AG46" i="3"/>
  <c r="AF46" i="3"/>
  <c r="AE46" i="3"/>
  <c r="Z46" i="3"/>
  <c r="AA46" i="3" s="1"/>
  <c r="Y46" i="3"/>
  <c r="T46" i="3"/>
  <c r="S46" i="3"/>
  <c r="U46" i="3" s="1"/>
  <c r="N46" i="3"/>
  <c r="O46" i="3" s="1"/>
  <c r="M46" i="3"/>
  <c r="BQ45" i="3"/>
  <c r="BP45" i="3"/>
  <c r="BO45" i="3"/>
  <c r="BK45" i="3"/>
  <c r="BJ45" i="3"/>
  <c r="BI45" i="3"/>
  <c r="BD45" i="3"/>
  <c r="BC45" i="3"/>
  <c r="AY45" i="3"/>
  <c r="AX45" i="3"/>
  <c r="AW45" i="3"/>
  <c r="AS45" i="3"/>
  <c r="AR45" i="3"/>
  <c r="AQ45" i="3"/>
  <c r="AM45" i="3"/>
  <c r="AL45" i="3"/>
  <c r="AK45" i="3"/>
  <c r="AF45" i="3"/>
  <c r="AE45" i="3"/>
  <c r="Z45" i="3"/>
  <c r="Y45" i="3"/>
  <c r="AA45" i="3" s="1"/>
  <c r="U45" i="3"/>
  <c r="T45" i="3"/>
  <c r="S45" i="3"/>
  <c r="O45" i="3"/>
  <c r="N45" i="3"/>
  <c r="M45" i="3"/>
  <c r="BP44" i="3"/>
  <c r="BO44" i="3"/>
  <c r="BQ44" i="3" s="1"/>
  <c r="BJ44" i="3"/>
  <c r="BI44" i="3"/>
  <c r="BK44" i="3" s="1"/>
  <c r="BE44" i="3"/>
  <c r="BD44" i="3"/>
  <c r="BC44" i="3"/>
  <c r="AX44" i="3"/>
  <c r="AY44" i="3" s="1"/>
  <c r="AW44" i="3"/>
  <c r="AR44" i="3"/>
  <c r="AQ44" i="3"/>
  <c r="AM44" i="3"/>
  <c r="AL44" i="3"/>
  <c r="AK44" i="3"/>
  <c r="AG44" i="3"/>
  <c r="AF44" i="3"/>
  <c r="AE44" i="3"/>
  <c r="Z44" i="3"/>
  <c r="AA44" i="3" s="1"/>
  <c r="Y44" i="3"/>
  <c r="T44" i="3"/>
  <c r="S44" i="3"/>
  <c r="N44" i="3"/>
  <c r="M44" i="3"/>
  <c r="O44" i="3" s="1"/>
  <c r="BQ43" i="3"/>
  <c r="BP43" i="3"/>
  <c r="BO43" i="3"/>
  <c r="BK43" i="3"/>
  <c r="BJ43" i="3"/>
  <c r="BI43" i="3"/>
  <c r="BD43" i="3"/>
  <c r="BC43" i="3"/>
  <c r="AX43" i="3"/>
  <c r="AW43" i="3"/>
  <c r="AY43" i="3" s="1"/>
  <c r="AS43" i="3"/>
  <c r="AR43" i="3"/>
  <c r="AQ43" i="3"/>
  <c r="AL43" i="3"/>
  <c r="AM43" i="3" s="1"/>
  <c r="AK43" i="3"/>
  <c r="AF43" i="3"/>
  <c r="AE43" i="3"/>
  <c r="AG43" i="3" s="1"/>
  <c r="AA43" i="3"/>
  <c r="Z43" i="3"/>
  <c r="Y43" i="3"/>
  <c r="U43" i="3"/>
  <c r="T43" i="3"/>
  <c r="S43" i="3"/>
  <c r="O43" i="3"/>
  <c r="N43" i="3"/>
  <c r="M43" i="3"/>
  <c r="BP42" i="3"/>
  <c r="BO42" i="3"/>
  <c r="BQ42" i="3" s="1"/>
  <c r="BK42" i="3"/>
  <c r="BJ42" i="3"/>
  <c r="BI42" i="3"/>
  <c r="BE42" i="3"/>
  <c r="BD42" i="3"/>
  <c r="BC42" i="3"/>
  <c r="AX42" i="3"/>
  <c r="AY42" i="3" s="1"/>
  <c r="AW42" i="3"/>
  <c r="AR42" i="3"/>
  <c r="AQ42" i="3"/>
  <c r="AL42" i="3"/>
  <c r="AK42" i="3"/>
  <c r="AM42" i="3" s="1"/>
  <c r="AG42" i="3"/>
  <c r="AF42" i="3"/>
  <c r="AE42" i="3"/>
  <c r="AA42" i="3"/>
  <c r="Z42" i="3"/>
  <c r="Y42" i="3"/>
  <c r="T42" i="3"/>
  <c r="S42" i="3"/>
  <c r="U42" i="3" s="1"/>
  <c r="N42" i="3"/>
  <c r="M42" i="3"/>
  <c r="O42" i="3" s="1"/>
  <c r="BQ41" i="3"/>
  <c r="BP41" i="3"/>
  <c r="BO41" i="3"/>
  <c r="BJ41" i="3"/>
  <c r="BK41" i="3" s="1"/>
  <c r="BI41" i="3"/>
  <c r="BD41" i="3"/>
  <c r="BC41" i="3"/>
  <c r="AY41" i="3"/>
  <c r="AX41" i="3"/>
  <c r="AW41" i="3"/>
  <c r="AS41" i="3"/>
  <c r="AR41" i="3"/>
  <c r="AQ41" i="3"/>
  <c r="AL41" i="3"/>
  <c r="AM41" i="3" s="1"/>
  <c r="AK41" i="3"/>
  <c r="AF41" i="3"/>
  <c r="AE41" i="3"/>
  <c r="AG41" i="3" s="1"/>
  <c r="Z41" i="3"/>
  <c r="AA41" i="3" s="1"/>
  <c r="Y41" i="3"/>
  <c r="U41" i="3"/>
  <c r="T41" i="3"/>
  <c r="S41" i="3"/>
  <c r="O41" i="3"/>
  <c r="N41" i="3"/>
  <c r="M41" i="3"/>
  <c r="BP40" i="3"/>
  <c r="BO40" i="3"/>
  <c r="BK40" i="3"/>
  <c r="BJ40" i="3"/>
  <c r="BI40" i="3"/>
  <c r="BE40" i="3"/>
  <c r="BD40" i="3"/>
  <c r="BC40" i="3"/>
  <c r="AY40" i="3"/>
  <c r="AX40" i="3"/>
  <c r="AW40" i="3"/>
  <c r="AR40" i="3"/>
  <c r="AQ40" i="3"/>
  <c r="AS40" i="3" s="1"/>
  <c r="AL40" i="3"/>
  <c r="AK40" i="3"/>
  <c r="AM40" i="3" s="1"/>
  <c r="AG40" i="3"/>
  <c r="AF40" i="3"/>
  <c r="AE40" i="3"/>
  <c r="AA40" i="3"/>
  <c r="Z40" i="3"/>
  <c r="Y40" i="3"/>
  <c r="T40" i="3"/>
  <c r="S40" i="3"/>
  <c r="U40" i="3" s="1"/>
  <c r="N40" i="3"/>
  <c r="M40" i="3"/>
  <c r="O40" i="3" s="1"/>
  <c r="BQ39" i="3"/>
  <c r="BP39" i="3"/>
  <c r="BO39" i="3"/>
  <c r="BJ39" i="3"/>
  <c r="BK39" i="3" s="1"/>
  <c r="BI39" i="3"/>
  <c r="BD39" i="3"/>
  <c r="BC39" i="3"/>
  <c r="AX39" i="3"/>
  <c r="AY39" i="3" s="1"/>
  <c r="AW39" i="3"/>
  <c r="AS39" i="3"/>
  <c r="AR39" i="3"/>
  <c r="AQ39" i="3"/>
  <c r="AL39" i="3"/>
  <c r="AM39" i="3" s="1"/>
  <c r="AK39" i="3"/>
  <c r="AF39" i="3"/>
  <c r="AE39" i="3"/>
  <c r="Z39" i="3"/>
  <c r="Y39" i="3"/>
  <c r="AA39" i="3" s="1"/>
  <c r="U39" i="3"/>
  <c r="T39" i="3"/>
  <c r="S39" i="3"/>
  <c r="O39" i="3"/>
  <c r="N39" i="3"/>
  <c r="M39" i="3"/>
  <c r="BP38" i="3"/>
  <c r="BO38" i="3"/>
  <c r="BJ38" i="3"/>
  <c r="BI38" i="3"/>
  <c r="BK38" i="3" s="1"/>
  <c r="BE38" i="3"/>
  <c r="BD38" i="3"/>
  <c r="BC38" i="3"/>
  <c r="AX38" i="3"/>
  <c r="AY38" i="3" s="1"/>
  <c r="AW38" i="3"/>
  <c r="AR38" i="3"/>
  <c r="AQ38" i="3"/>
  <c r="AS38" i="3" s="1"/>
  <c r="AM38" i="3"/>
  <c r="AL38" i="3"/>
  <c r="AK38" i="3"/>
  <c r="AG38" i="3"/>
  <c r="AF38" i="3"/>
  <c r="AE38" i="3"/>
  <c r="AA38" i="3"/>
  <c r="Z38" i="3"/>
  <c r="Y38" i="3"/>
  <c r="T38" i="3"/>
  <c r="S38" i="3"/>
  <c r="U38" i="3" s="1"/>
  <c r="O38" i="3"/>
  <c r="N38" i="3"/>
  <c r="M38" i="3"/>
  <c r="BQ37" i="3"/>
  <c r="BP37" i="3"/>
  <c r="BO37" i="3"/>
  <c r="BJ37" i="3"/>
  <c r="BK37" i="3" s="1"/>
  <c r="BI37" i="3"/>
  <c r="BD37" i="3"/>
  <c r="BC37" i="3"/>
  <c r="AX37" i="3"/>
  <c r="AW37" i="3"/>
  <c r="AY37" i="3" s="1"/>
  <c r="AS37" i="3"/>
  <c r="AR37" i="3"/>
  <c r="AQ37" i="3"/>
  <c r="AM37" i="3"/>
  <c r="AL37" i="3"/>
  <c r="AK37" i="3"/>
  <c r="AF37" i="3"/>
  <c r="AE37" i="3"/>
  <c r="AG37" i="3" s="1"/>
  <c r="Z37" i="3"/>
  <c r="Y37" i="3"/>
  <c r="AA37" i="3" s="1"/>
  <c r="U37" i="3"/>
  <c r="T37" i="3"/>
  <c r="S37" i="3"/>
  <c r="N37" i="3"/>
  <c r="O37" i="3" s="1"/>
  <c r="M37" i="3"/>
  <c r="BP36" i="3"/>
  <c r="BO36" i="3"/>
  <c r="BK36" i="3"/>
  <c r="BJ36" i="3"/>
  <c r="BI36" i="3"/>
  <c r="BE36" i="3"/>
  <c r="BD36" i="3"/>
  <c r="BC36" i="3"/>
  <c r="AX36" i="3"/>
  <c r="AY36" i="3" s="1"/>
  <c r="AW36" i="3"/>
  <c r="AR36" i="3"/>
  <c r="AQ36" i="3"/>
  <c r="AS36" i="3" s="1"/>
  <c r="AL36" i="3"/>
  <c r="AM36" i="3" s="1"/>
  <c r="AK36" i="3"/>
  <c r="AG36" i="3"/>
  <c r="AF36" i="3"/>
  <c r="AE36" i="3"/>
  <c r="AA36" i="3"/>
  <c r="Z36" i="3"/>
  <c r="Y36" i="3"/>
  <c r="T36" i="3"/>
  <c r="S36" i="3"/>
  <c r="O36" i="3"/>
  <c r="N36" i="3"/>
  <c r="M36" i="3"/>
  <c r="BQ35" i="3"/>
  <c r="BP35" i="3"/>
  <c r="BO35" i="3"/>
  <c r="BK35" i="3"/>
  <c r="BJ35" i="3"/>
  <c r="BI35" i="3"/>
  <c r="BD35" i="3"/>
  <c r="BC35" i="3"/>
  <c r="BE35" i="3" s="1"/>
  <c r="AX35" i="3"/>
  <c r="AW35" i="3"/>
  <c r="AY35" i="3" s="1"/>
  <c r="AS35" i="3"/>
  <c r="AR35" i="3"/>
  <c r="AQ35" i="3"/>
  <c r="AM35" i="3"/>
  <c r="AL35" i="3"/>
  <c r="AK35" i="3"/>
  <c r="AF35" i="3"/>
  <c r="AE35" i="3"/>
  <c r="AG35" i="3" s="1"/>
  <c r="Z35" i="3"/>
  <c r="Y35" i="3"/>
  <c r="AA35" i="3" s="1"/>
  <c r="U35" i="3"/>
  <c r="T35" i="3"/>
  <c r="S35" i="3"/>
  <c r="N35" i="3"/>
  <c r="O35" i="3" s="1"/>
  <c r="M35" i="3"/>
  <c r="BP34" i="3"/>
  <c r="BO34" i="3"/>
  <c r="BJ34" i="3"/>
  <c r="BK34" i="3" s="1"/>
  <c r="BI34" i="3"/>
  <c r="BE34" i="3"/>
  <c r="BD34" i="3"/>
  <c r="BC34" i="3"/>
  <c r="AX34" i="3"/>
  <c r="AY34" i="3" s="1"/>
  <c r="AW34" i="3"/>
  <c r="AR34" i="3"/>
  <c r="AQ34" i="3"/>
  <c r="AL34" i="3"/>
  <c r="AK34" i="3"/>
  <c r="AM34" i="3" s="1"/>
  <c r="AG34" i="3"/>
  <c r="AF34" i="3"/>
  <c r="AE34" i="3"/>
  <c r="AA34" i="3"/>
  <c r="Z34" i="3"/>
  <c r="Y34" i="3"/>
  <c r="T34" i="3"/>
  <c r="S34" i="3"/>
  <c r="N34" i="3"/>
  <c r="M34" i="3"/>
  <c r="O34" i="3" s="1"/>
  <c r="BQ33" i="3"/>
  <c r="BP33" i="3"/>
  <c r="BO33" i="3"/>
  <c r="BJ33" i="3"/>
  <c r="BK33" i="3" s="1"/>
  <c r="BI33" i="3"/>
  <c r="BD33" i="3"/>
  <c r="BC33" i="3"/>
  <c r="BE33" i="3" s="1"/>
  <c r="AY33" i="3"/>
  <c r="AX33" i="3"/>
  <c r="AW33" i="3"/>
  <c r="AS33" i="3"/>
  <c r="AR33" i="3"/>
  <c r="AQ33" i="3"/>
  <c r="AM33" i="3"/>
  <c r="AL33" i="3"/>
  <c r="AK33" i="3"/>
  <c r="AF33" i="3"/>
  <c r="AE33" i="3"/>
  <c r="AG33" i="3" s="1"/>
  <c r="AA33" i="3"/>
  <c r="Z33" i="3"/>
  <c r="Y33" i="3"/>
  <c r="U33" i="3"/>
  <c r="T33" i="3"/>
  <c r="S33" i="3"/>
  <c r="N33" i="3"/>
  <c r="O33" i="3" s="1"/>
  <c r="M33" i="3"/>
  <c r="BP32" i="3"/>
  <c r="BO32" i="3"/>
  <c r="BJ32" i="3"/>
  <c r="BI32" i="3"/>
  <c r="BK32" i="3" s="1"/>
  <c r="BE32" i="3"/>
  <c r="BD32" i="3"/>
  <c r="BC32" i="3"/>
  <c r="AY32" i="3"/>
  <c r="AX32" i="3"/>
  <c r="AW32" i="3"/>
  <c r="AR32" i="3"/>
  <c r="AQ32" i="3"/>
  <c r="AS32" i="3" s="1"/>
  <c r="AL32" i="3"/>
  <c r="AK32" i="3"/>
  <c r="AM32" i="3" s="1"/>
  <c r="AG32" i="3"/>
  <c r="AF32" i="3"/>
  <c r="AE32" i="3"/>
  <c r="Z32" i="3"/>
  <c r="AA32" i="3" s="1"/>
  <c r="Y32" i="3"/>
  <c r="T32" i="3"/>
  <c r="S32" i="3"/>
  <c r="O32" i="3"/>
  <c r="N32" i="3"/>
  <c r="M32" i="3"/>
  <c r="BQ31" i="3"/>
  <c r="BP31" i="3"/>
  <c r="BO31" i="3"/>
  <c r="BJ31" i="3"/>
  <c r="BK31" i="3" s="1"/>
  <c r="BI31" i="3"/>
  <c r="BD31" i="3"/>
  <c r="BC31" i="3"/>
  <c r="BE31" i="3" s="1"/>
  <c r="AX31" i="3"/>
  <c r="AY31" i="3" s="1"/>
  <c r="AW31" i="3"/>
  <c r="AS31" i="3"/>
  <c r="AR31" i="3"/>
  <c r="AQ31" i="3"/>
  <c r="AM31" i="3"/>
  <c r="AL31" i="3"/>
  <c r="AK31" i="3"/>
  <c r="AF31" i="3"/>
  <c r="AE31" i="3"/>
  <c r="AA31" i="3"/>
  <c r="Z31" i="3"/>
  <c r="Y31" i="3"/>
  <c r="U31" i="3"/>
  <c r="T31" i="3"/>
  <c r="S31" i="3"/>
  <c r="O31" i="3"/>
  <c r="N31" i="3"/>
  <c r="M31" i="3"/>
  <c r="BP30" i="3"/>
  <c r="BO30" i="3"/>
  <c r="BQ30" i="3" s="1"/>
  <c r="BJ30" i="3"/>
  <c r="BI30" i="3"/>
  <c r="BK30" i="3" s="1"/>
  <c r="BE30" i="3"/>
  <c r="BD30" i="3"/>
  <c r="BC30" i="3"/>
  <c r="AY30" i="3"/>
  <c r="AX30" i="3"/>
  <c r="AW30" i="3"/>
  <c r="AR30" i="3"/>
  <c r="AQ30" i="3"/>
  <c r="AS30" i="3" s="1"/>
  <c r="AL30" i="3"/>
  <c r="AK30" i="3"/>
  <c r="AM30" i="3" s="1"/>
  <c r="AG30" i="3"/>
  <c r="AF30" i="3"/>
  <c r="AE30" i="3"/>
  <c r="Z30" i="3"/>
  <c r="AA30" i="3" s="1"/>
  <c r="Y30" i="3"/>
  <c r="T30" i="3"/>
  <c r="S30" i="3"/>
  <c r="N30" i="3"/>
  <c r="O30" i="3" s="1"/>
  <c r="M30" i="3"/>
  <c r="BQ29" i="3"/>
  <c r="BP29" i="3"/>
  <c r="BO29" i="3"/>
  <c r="BJ29" i="3"/>
  <c r="BK29" i="3" s="1"/>
  <c r="BI29" i="3"/>
  <c r="BD29" i="3"/>
  <c r="BC29" i="3"/>
  <c r="AX29" i="3"/>
  <c r="AW29" i="3"/>
  <c r="AY29" i="3" s="1"/>
  <c r="AS29" i="3"/>
  <c r="AR29" i="3"/>
  <c r="AQ29" i="3"/>
  <c r="AM29" i="3"/>
  <c r="AL29" i="3"/>
  <c r="AK29" i="3"/>
  <c r="AF29" i="3"/>
  <c r="AE29" i="3"/>
  <c r="Z29" i="3"/>
  <c r="Y29" i="3"/>
  <c r="AA29" i="3" s="1"/>
  <c r="U29" i="3"/>
  <c r="T29" i="3"/>
  <c r="S29" i="3"/>
  <c r="N29" i="3"/>
  <c r="O29" i="3" s="1"/>
  <c r="M29" i="3"/>
  <c r="BP28" i="3"/>
  <c r="BO28" i="3"/>
  <c r="BQ28" i="3" s="1"/>
  <c r="BK28" i="3"/>
  <c r="BJ28" i="3"/>
  <c r="BI28" i="3"/>
  <c r="BE28" i="3"/>
  <c r="BD28" i="3"/>
  <c r="BC28" i="3"/>
  <c r="AY28" i="3"/>
  <c r="AX28" i="3"/>
  <c r="AW28" i="3"/>
  <c r="AR28" i="3"/>
  <c r="AQ28" i="3"/>
  <c r="AS28" i="3" s="1"/>
  <c r="AM28" i="3"/>
  <c r="AL28" i="3"/>
  <c r="AK28" i="3"/>
  <c r="AG28" i="3"/>
  <c r="AF28" i="3"/>
  <c r="AE28" i="3"/>
  <c r="Z28" i="3"/>
  <c r="AA28" i="3" s="1"/>
  <c r="Y28" i="3"/>
  <c r="T28" i="3"/>
  <c r="S28" i="3"/>
  <c r="N28" i="3"/>
  <c r="M28" i="3"/>
  <c r="O28" i="3" s="1"/>
  <c r="BQ27" i="3"/>
  <c r="BP27" i="3"/>
  <c r="BO27" i="3"/>
  <c r="BK27" i="3"/>
  <c r="BJ27" i="3"/>
  <c r="BI27" i="3"/>
  <c r="BD27" i="3"/>
  <c r="BC27" i="3"/>
  <c r="BE27" i="3" s="1"/>
  <c r="AX27" i="3"/>
  <c r="AW27" i="3"/>
  <c r="AY27" i="3" s="1"/>
  <c r="AS27" i="3"/>
  <c r="AR27" i="3"/>
  <c r="AQ27" i="3"/>
  <c r="AL27" i="3"/>
  <c r="AM27" i="3" s="1"/>
  <c r="AK27" i="3"/>
  <c r="AF27" i="3"/>
  <c r="AE27" i="3"/>
  <c r="AA27" i="3"/>
  <c r="Z27" i="3"/>
  <c r="Y27" i="3"/>
  <c r="U27" i="3"/>
  <c r="T27" i="3"/>
  <c r="S27" i="3"/>
  <c r="N27" i="3"/>
  <c r="O27" i="3" s="1"/>
  <c r="M27" i="3"/>
  <c r="BP26" i="3"/>
  <c r="BO26" i="3"/>
  <c r="BQ26" i="3" s="1"/>
  <c r="BJ26" i="3"/>
  <c r="BK26" i="3" s="1"/>
  <c r="BI26" i="3"/>
  <c r="BE26" i="3"/>
  <c r="BD26" i="3"/>
  <c r="BC26" i="3"/>
  <c r="AY26" i="3"/>
  <c r="AX26" i="3"/>
  <c r="AW26" i="3"/>
  <c r="AR26" i="3"/>
  <c r="AQ26" i="3"/>
  <c r="AM26" i="3"/>
  <c r="AL26" i="3"/>
  <c r="AK26" i="3"/>
  <c r="AG26" i="3"/>
  <c r="AF26" i="3"/>
  <c r="AE26" i="3"/>
  <c r="AA26" i="3"/>
  <c r="Z26" i="3"/>
  <c r="Y26" i="3"/>
  <c r="T26" i="3"/>
  <c r="S26" i="3"/>
  <c r="U26" i="3" s="1"/>
  <c r="N26" i="3"/>
  <c r="M26" i="3"/>
  <c r="O26" i="3" s="1"/>
  <c r="BQ25" i="3"/>
  <c r="BP25" i="3"/>
  <c r="BO25" i="3"/>
  <c r="BK25" i="3"/>
  <c r="BJ25" i="3"/>
  <c r="BI25" i="3"/>
  <c r="BD25" i="3"/>
  <c r="BC25" i="3"/>
  <c r="BE25" i="3" s="1"/>
  <c r="AX25" i="3"/>
  <c r="AW25" i="3"/>
  <c r="AY25" i="3" s="1"/>
  <c r="AS25" i="3"/>
  <c r="AR25" i="3"/>
  <c r="AQ25" i="3"/>
  <c r="AL25" i="3"/>
  <c r="AM25" i="3" s="1"/>
  <c r="AK25" i="3"/>
  <c r="AF25" i="3"/>
  <c r="AE25" i="3"/>
  <c r="Z25" i="3"/>
  <c r="AA25" i="3" s="1"/>
  <c r="Y25" i="3"/>
  <c r="U25" i="3"/>
  <c r="T25" i="3"/>
  <c r="S25" i="3"/>
  <c r="N25" i="3"/>
  <c r="O25" i="3" s="1"/>
  <c r="M25" i="3"/>
  <c r="BP24" i="3"/>
  <c r="BO24" i="3"/>
  <c r="BJ24" i="3"/>
  <c r="BI24" i="3"/>
  <c r="BK24" i="3" s="1"/>
  <c r="BE24" i="3"/>
  <c r="BD24" i="3"/>
  <c r="BC24" i="3"/>
  <c r="AY24" i="3"/>
  <c r="AX24" i="3"/>
  <c r="AW24" i="3"/>
  <c r="AR24" i="3"/>
  <c r="AQ24" i="3"/>
  <c r="AL24" i="3"/>
  <c r="AK24" i="3"/>
  <c r="AM24" i="3" s="1"/>
  <c r="AG24" i="3"/>
  <c r="AF24" i="3"/>
  <c r="AE24" i="3"/>
  <c r="Z24" i="3"/>
  <c r="AA24" i="3" s="1"/>
  <c r="Y24" i="3"/>
  <c r="T24" i="3"/>
  <c r="S24" i="3"/>
  <c r="U24" i="3" s="1"/>
  <c r="O24" i="3"/>
  <c r="N24" i="3"/>
  <c r="M24" i="3"/>
  <c r="BQ23" i="3"/>
  <c r="BP23" i="3"/>
  <c r="BO23" i="3"/>
  <c r="BK23" i="3"/>
  <c r="BJ23" i="3"/>
  <c r="BI23" i="3"/>
  <c r="BD23" i="3"/>
  <c r="BC23" i="3"/>
  <c r="BE23" i="3" s="1"/>
  <c r="AY23" i="3"/>
  <c r="AX23" i="3"/>
  <c r="AW23" i="3"/>
  <c r="AS23" i="3"/>
  <c r="AR23" i="3"/>
  <c r="AQ23" i="3"/>
  <c r="AL23" i="3"/>
  <c r="AM23" i="3" s="1"/>
  <c r="AK23" i="3"/>
  <c r="AF23" i="3"/>
  <c r="AE23" i="3"/>
  <c r="Z23" i="3"/>
  <c r="Y23" i="3"/>
  <c r="AA23" i="3" s="1"/>
  <c r="U23" i="3"/>
  <c r="T23" i="3"/>
  <c r="S23" i="3"/>
  <c r="O23" i="3"/>
  <c r="N23" i="3"/>
  <c r="M23" i="3"/>
  <c r="BP22" i="3"/>
  <c r="BO22" i="3"/>
  <c r="BQ22" i="3" s="1"/>
  <c r="BJ22" i="3"/>
  <c r="BI22" i="3"/>
  <c r="BK22" i="3" s="1"/>
  <c r="BE22" i="3"/>
  <c r="BD22" i="3"/>
  <c r="BC22" i="3"/>
  <c r="AX22" i="3"/>
  <c r="AY22" i="3" s="1"/>
  <c r="AW22" i="3"/>
  <c r="AR22" i="3"/>
  <c r="AQ22" i="3"/>
  <c r="AM22" i="3"/>
  <c r="AL22" i="3"/>
  <c r="AK22" i="3"/>
  <c r="AG22" i="3"/>
  <c r="AF22" i="3"/>
  <c r="AE22" i="3"/>
  <c r="Z22" i="3"/>
  <c r="AA22" i="3" s="1"/>
  <c r="Y22" i="3"/>
  <c r="T22" i="3"/>
  <c r="S22" i="3"/>
  <c r="U22" i="3" s="1"/>
  <c r="N22" i="3"/>
  <c r="O22" i="3" s="1"/>
  <c r="M22" i="3"/>
  <c r="BQ21" i="3"/>
  <c r="BP21" i="3"/>
  <c r="BO21" i="3"/>
  <c r="BK21" i="3"/>
  <c r="BJ21" i="3"/>
  <c r="BI21" i="3"/>
  <c r="BD21" i="3"/>
  <c r="BC21" i="3"/>
  <c r="AY21" i="3"/>
  <c r="AX21" i="3"/>
  <c r="AW21" i="3"/>
  <c r="AS21" i="3"/>
  <c r="AR21" i="3"/>
  <c r="AQ21" i="3"/>
  <c r="AM21" i="3"/>
  <c r="AL21" i="3"/>
  <c r="AK21" i="3"/>
  <c r="AF21" i="3"/>
  <c r="AE21" i="3"/>
  <c r="AG21" i="3" s="1"/>
  <c r="Z21" i="3"/>
  <c r="Y21" i="3"/>
  <c r="AA21" i="3" s="1"/>
  <c r="U21" i="3"/>
  <c r="T21" i="3"/>
  <c r="S21" i="3"/>
  <c r="O21" i="3"/>
  <c r="N21" i="3"/>
  <c r="M21" i="3"/>
  <c r="C21" i="3"/>
  <c r="BP20" i="3"/>
  <c r="BQ20" i="3" s="1"/>
  <c r="BO20" i="3"/>
  <c r="BK20" i="3"/>
  <c r="BJ20" i="3"/>
  <c r="BI20" i="3"/>
  <c r="BD20" i="3"/>
  <c r="BC20" i="3"/>
  <c r="BE20" i="3" s="1"/>
  <c r="AY20" i="3"/>
  <c r="AX20" i="3"/>
  <c r="AW20" i="3"/>
  <c r="AR20" i="3"/>
  <c r="AQ20" i="3"/>
  <c r="AS20" i="3" s="1"/>
  <c r="AL20" i="3"/>
  <c r="AK20" i="3"/>
  <c r="AM20" i="3" s="1"/>
  <c r="AF20" i="3"/>
  <c r="AE20" i="3"/>
  <c r="AG20" i="3" s="1"/>
  <c r="AA20" i="3"/>
  <c r="Z20" i="3"/>
  <c r="Y20" i="3"/>
  <c r="T20" i="3"/>
  <c r="S20" i="3"/>
  <c r="U20" i="3" s="1"/>
  <c r="N20" i="3"/>
  <c r="M20" i="3"/>
  <c r="O20" i="3" s="1"/>
  <c r="BP19" i="3"/>
  <c r="BO19" i="3"/>
  <c r="BQ19" i="3" s="1"/>
  <c r="BK19" i="3"/>
  <c r="BJ19" i="3"/>
  <c r="BI19" i="3"/>
  <c r="BE19" i="3"/>
  <c r="BD19" i="3"/>
  <c r="BC19" i="3"/>
  <c r="AX19" i="3"/>
  <c r="AY19" i="3" s="1"/>
  <c r="AW19" i="3"/>
  <c r="AR19" i="3"/>
  <c r="AQ19" i="3"/>
  <c r="AS19" i="3" s="1"/>
  <c r="AM19" i="3"/>
  <c r="AL19" i="3"/>
  <c r="AK19" i="3"/>
  <c r="AG19" i="3"/>
  <c r="AF19" i="3"/>
  <c r="AE19" i="3"/>
  <c r="Z19" i="3"/>
  <c r="Y19" i="3"/>
  <c r="AA19" i="3" s="1"/>
  <c r="T19" i="3"/>
  <c r="S19" i="3"/>
  <c r="U19" i="3" s="1"/>
  <c r="O19" i="3"/>
  <c r="N19" i="3"/>
  <c r="M19" i="3"/>
  <c r="BP18" i="3"/>
  <c r="BO18" i="3"/>
  <c r="BQ18" i="3" s="1"/>
  <c r="BJ18" i="3"/>
  <c r="BI18" i="3"/>
  <c r="BK18" i="3" s="1"/>
  <c r="BD18" i="3"/>
  <c r="BC18" i="3"/>
  <c r="BE18" i="3" s="1"/>
  <c r="AY18" i="3"/>
  <c r="AX18" i="3"/>
  <c r="AW18" i="3"/>
  <c r="AR18" i="3"/>
  <c r="AQ18" i="3"/>
  <c r="AS18" i="3" s="1"/>
  <c r="AM18" i="3"/>
  <c r="AL18" i="3"/>
  <c r="AK18" i="3"/>
  <c r="AF18" i="3"/>
  <c r="AE18" i="3"/>
  <c r="AG18" i="3" s="1"/>
  <c r="AA18" i="3"/>
  <c r="Z18" i="3"/>
  <c r="Y18" i="3"/>
  <c r="U18" i="3"/>
  <c r="T18" i="3"/>
  <c r="S18" i="3"/>
  <c r="O18" i="3"/>
  <c r="N18" i="3"/>
  <c r="M18" i="3"/>
  <c r="BP17" i="3"/>
  <c r="BO17" i="3"/>
  <c r="BQ17" i="3" s="1"/>
  <c r="BK17" i="3"/>
  <c r="BJ17" i="3"/>
  <c r="BI17" i="3"/>
  <c r="BD17" i="3"/>
  <c r="BE17" i="3" s="1"/>
  <c r="BC17" i="3"/>
  <c r="AX17" i="3"/>
  <c r="AW17" i="3"/>
  <c r="AY17" i="3" s="1"/>
  <c r="AR17" i="3"/>
  <c r="AQ17" i="3"/>
  <c r="AS17" i="3" s="1"/>
  <c r="AM17" i="3"/>
  <c r="AL17" i="3"/>
  <c r="AK17" i="3"/>
  <c r="AG17" i="3"/>
  <c r="AF17" i="3"/>
  <c r="AE17" i="3"/>
  <c r="Z17" i="3"/>
  <c r="Y17" i="3"/>
  <c r="AA17" i="3" s="1"/>
  <c r="T17" i="3"/>
  <c r="S17" i="3"/>
  <c r="U17" i="3" s="1"/>
  <c r="O17" i="3"/>
  <c r="N17" i="3"/>
  <c r="M17" i="3"/>
  <c r="BP16" i="3"/>
  <c r="BO16" i="3"/>
  <c r="BQ16" i="3" s="1"/>
  <c r="BK16" i="3"/>
  <c r="BJ16" i="3"/>
  <c r="BI16" i="3"/>
  <c r="BD16" i="3"/>
  <c r="BC16" i="3"/>
  <c r="BE16" i="3" s="1"/>
  <c r="AY16" i="3"/>
  <c r="AX16" i="3"/>
  <c r="AW16" i="3"/>
  <c r="AR16" i="3"/>
  <c r="AQ16" i="3"/>
  <c r="AS16" i="3" s="1"/>
  <c r="AL16" i="3"/>
  <c r="AM16" i="3" s="1"/>
  <c r="AK16" i="3"/>
  <c r="AF16" i="3"/>
  <c r="AE16" i="3"/>
  <c r="AG16" i="3" s="1"/>
  <c r="AA16" i="3"/>
  <c r="Z16" i="3"/>
  <c r="Y16" i="3"/>
  <c r="T16" i="3"/>
  <c r="U16" i="3" s="1"/>
  <c r="S16" i="3"/>
  <c r="O16" i="3"/>
  <c r="N16" i="3"/>
  <c r="M16" i="3"/>
  <c r="BP15" i="3"/>
  <c r="BO15" i="3"/>
  <c r="BQ15" i="3" s="1"/>
  <c r="BK15" i="3"/>
  <c r="BJ15" i="3"/>
  <c r="BI15" i="3"/>
  <c r="BD15" i="3"/>
  <c r="BC15" i="3"/>
  <c r="BE15" i="3" s="1"/>
  <c r="AX15" i="3"/>
  <c r="AW15" i="3"/>
  <c r="AY15" i="3" s="1"/>
  <c r="AR15" i="3"/>
  <c r="AQ15" i="3"/>
  <c r="AM15" i="3"/>
  <c r="AL15" i="3"/>
  <c r="AK15" i="3"/>
  <c r="AF15" i="3"/>
  <c r="AE15" i="3"/>
  <c r="AG15" i="3" s="1"/>
  <c r="Z15" i="3"/>
  <c r="Y15" i="3"/>
  <c r="AA15" i="3" s="1"/>
  <c r="T15" i="3"/>
  <c r="S15" i="3"/>
  <c r="U15" i="3" s="1"/>
  <c r="O15" i="3"/>
  <c r="N15" i="3"/>
  <c r="M15" i="3"/>
  <c r="BQ14" i="3"/>
  <c r="BP14" i="3"/>
  <c r="BO14" i="3"/>
  <c r="BJ14" i="3"/>
  <c r="BK14" i="3" s="1"/>
  <c r="BI14" i="3"/>
  <c r="BD14" i="3"/>
  <c r="BC14" i="3"/>
  <c r="AY14" i="3"/>
  <c r="AX14" i="3"/>
  <c r="AW14" i="3"/>
  <c r="AS14" i="3"/>
  <c r="AR14" i="3"/>
  <c r="AQ14" i="3"/>
  <c r="AL14" i="3"/>
  <c r="AK14" i="3"/>
  <c r="AM14" i="3" s="1"/>
  <c r="AF14" i="3"/>
  <c r="AE14" i="3"/>
  <c r="AG14" i="3" s="1"/>
  <c r="AA14" i="3"/>
  <c r="Z14" i="3"/>
  <c r="Y14" i="3"/>
  <c r="T14" i="3"/>
  <c r="S14" i="3"/>
  <c r="U14" i="3" s="1"/>
  <c r="N14" i="3"/>
  <c r="M14" i="3"/>
  <c r="O14" i="3" s="1"/>
  <c r="BP13" i="3"/>
  <c r="BO13" i="3"/>
  <c r="BK13" i="3"/>
  <c r="BJ13" i="3"/>
  <c r="BI13" i="3"/>
  <c r="BD13" i="3"/>
  <c r="BC13" i="3"/>
  <c r="BE13" i="3" s="1"/>
  <c r="AY13" i="3"/>
  <c r="AX13" i="3"/>
  <c r="AW13" i="3"/>
  <c r="AR13" i="3"/>
  <c r="AQ13" i="3"/>
  <c r="AS13" i="3" s="1"/>
  <c r="AM13" i="3"/>
  <c r="AL13" i="3"/>
  <c r="AK13" i="3"/>
  <c r="AG13" i="3"/>
  <c r="AF13" i="3"/>
  <c r="AE13" i="3"/>
  <c r="AA13" i="3"/>
  <c r="Z13" i="3"/>
  <c r="Y13" i="3"/>
  <c r="T13" i="3"/>
  <c r="S13" i="3"/>
  <c r="U13" i="3" s="1"/>
  <c r="O13" i="3"/>
  <c r="N13" i="3"/>
  <c r="M13" i="3"/>
  <c r="BP12" i="3"/>
  <c r="BQ12" i="3" s="1"/>
  <c r="BO12" i="3"/>
  <c r="BJ12" i="3"/>
  <c r="BI12" i="3"/>
  <c r="BK12" i="3" s="1"/>
  <c r="BD12" i="3"/>
  <c r="BC12" i="3"/>
  <c r="AY12" i="3"/>
  <c r="AX12" i="3"/>
  <c r="AW12" i="3"/>
  <c r="AS12" i="3"/>
  <c r="AR12" i="3"/>
  <c r="AQ12" i="3"/>
  <c r="AL12" i="3"/>
  <c r="AK12" i="3"/>
  <c r="AM12" i="3" s="1"/>
  <c r="AG12" i="3"/>
  <c r="AF12" i="3"/>
  <c r="AE12" i="3"/>
  <c r="AA12" i="3"/>
  <c r="Z12" i="3"/>
  <c r="Y12" i="3"/>
  <c r="U12" i="3"/>
  <c r="T12" i="3"/>
  <c r="S12" i="3"/>
  <c r="N12" i="3"/>
  <c r="M12" i="3"/>
  <c r="O12" i="3" s="1"/>
  <c r="BQ11" i="3"/>
  <c r="BP11" i="3"/>
  <c r="BO11" i="3"/>
  <c r="BK11" i="3"/>
  <c r="BJ11" i="3"/>
  <c r="BI11" i="3"/>
  <c r="BE11" i="3"/>
  <c r="BD11" i="3"/>
  <c r="BC11" i="3"/>
  <c r="AX11" i="3"/>
  <c r="AW11" i="3"/>
  <c r="AY11" i="3" s="1"/>
  <c r="AS11" i="3"/>
  <c r="AR11" i="3"/>
  <c r="AQ11" i="3"/>
  <c r="AM11" i="3"/>
  <c r="AL11" i="3"/>
  <c r="AK11" i="3"/>
  <c r="AG11" i="3"/>
  <c r="AF11" i="3"/>
  <c r="AE11" i="3"/>
  <c r="Z11" i="3"/>
  <c r="Y11" i="3"/>
  <c r="AA11" i="3" s="1"/>
  <c r="U11" i="3"/>
  <c r="T11" i="3"/>
  <c r="S11" i="3"/>
  <c r="O11" i="3"/>
  <c r="N11" i="3"/>
  <c r="M11" i="3"/>
  <c r="BQ10" i="3"/>
  <c r="BP10" i="3"/>
  <c r="BO10" i="3"/>
  <c r="BJ10" i="3"/>
  <c r="BI10" i="3"/>
  <c r="BK10" i="3" s="1"/>
  <c r="BE10" i="3"/>
  <c r="BD10" i="3"/>
  <c r="BC10" i="3"/>
  <c r="AY10" i="3"/>
  <c r="AX10" i="3"/>
  <c r="AW10" i="3"/>
  <c r="AS10" i="3"/>
  <c r="AR10" i="3"/>
  <c r="AQ10" i="3"/>
  <c r="AL10" i="3"/>
  <c r="AK10" i="3"/>
  <c r="AM10" i="3" s="1"/>
  <c r="AG10" i="3"/>
  <c r="AF10" i="3"/>
  <c r="AE10" i="3"/>
  <c r="AA10" i="3"/>
  <c r="Z10" i="3"/>
  <c r="Y10" i="3"/>
  <c r="U10" i="3"/>
  <c r="T10" i="3"/>
  <c r="S10" i="3"/>
  <c r="N10" i="3"/>
  <c r="M10" i="3"/>
  <c r="O10" i="3" s="1"/>
  <c r="BQ9" i="3"/>
  <c r="BP9" i="3"/>
  <c r="BO9" i="3"/>
  <c r="BK9" i="3"/>
  <c r="BJ9" i="3"/>
  <c r="BI9" i="3"/>
  <c r="BE9" i="3"/>
  <c r="BD9" i="3"/>
  <c r="BC9" i="3"/>
  <c r="AX9" i="3"/>
  <c r="AW9" i="3"/>
  <c r="AY9" i="3" s="1"/>
  <c r="AS9" i="3"/>
  <c r="AR9" i="3"/>
  <c r="AQ9" i="3"/>
  <c r="AM9" i="3"/>
  <c r="AL9" i="3"/>
  <c r="AK9" i="3"/>
  <c r="AG9" i="3"/>
  <c r="AF9" i="3"/>
  <c r="AE9" i="3"/>
  <c r="Z9" i="3"/>
  <c r="Y9" i="3"/>
  <c r="AA9" i="3" s="1"/>
  <c r="U9" i="3"/>
  <c r="T9" i="3"/>
  <c r="S9" i="3"/>
  <c r="O9" i="3"/>
  <c r="N9" i="3"/>
  <c r="M9" i="3"/>
  <c r="BQ8" i="3"/>
  <c r="BP8" i="3"/>
  <c r="BO8" i="3"/>
  <c r="BJ8" i="3"/>
  <c r="BI8" i="3"/>
  <c r="BK8" i="3" s="1"/>
  <c r="BE8" i="3"/>
  <c r="BD8" i="3"/>
  <c r="BC8" i="3"/>
  <c r="AY8" i="3"/>
  <c r="AX8" i="3"/>
  <c r="AW8" i="3"/>
  <c r="AS8" i="3"/>
  <c r="AR8" i="3"/>
  <c r="AQ8" i="3"/>
  <c r="AL8" i="3"/>
  <c r="AK8" i="3"/>
  <c r="AM8" i="3" s="1"/>
  <c r="AG8" i="3"/>
  <c r="AF8" i="3"/>
  <c r="AE8" i="3"/>
  <c r="AA8" i="3"/>
  <c r="Z8" i="3"/>
  <c r="Y8" i="3"/>
  <c r="U8" i="3"/>
  <c r="T8" i="3"/>
  <c r="S8" i="3"/>
  <c r="N8" i="3"/>
  <c r="M8" i="3"/>
  <c r="O8" i="3" s="1"/>
  <c r="BQ7" i="3"/>
  <c r="BP7" i="3"/>
  <c r="BO7" i="3"/>
  <c r="BK7" i="3"/>
  <c r="BJ7" i="3"/>
  <c r="BI7" i="3"/>
  <c r="BE7" i="3"/>
  <c r="BD7" i="3"/>
  <c r="BC7" i="3"/>
  <c r="AX7" i="3"/>
  <c r="AW7" i="3"/>
  <c r="AY7" i="3" s="1"/>
  <c r="AS7" i="3"/>
  <c r="AR7" i="3"/>
  <c r="AQ7" i="3"/>
  <c r="AM7" i="3"/>
  <c r="AL7" i="3"/>
  <c r="AK7" i="3"/>
  <c r="AG7" i="3"/>
  <c r="AF7" i="3"/>
  <c r="AE7" i="3"/>
  <c r="Z7" i="3"/>
  <c r="Y7" i="3"/>
  <c r="AA7" i="3" s="1"/>
  <c r="U7" i="3"/>
  <c r="T7" i="3"/>
  <c r="S7" i="3"/>
  <c r="O7" i="3"/>
  <c r="N7" i="3"/>
  <c r="M7" i="3"/>
  <c r="BQ6" i="3"/>
  <c r="BK6" i="3"/>
  <c r="BE6" i="3"/>
  <c r="AY6" i="3"/>
  <c r="AS6" i="3"/>
  <c r="AM6" i="3"/>
  <c r="AG6" i="3"/>
  <c r="AA6" i="3"/>
  <c r="U6" i="3"/>
  <c r="O6" i="3"/>
  <c r="BQ4" i="3"/>
  <c r="AY4" i="3"/>
  <c r="AS4" i="3"/>
  <c r="AM4" i="3"/>
  <c r="O4" i="3"/>
  <c r="BM3" i="3"/>
  <c r="BG3" i="3"/>
  <c r="BA3" i="3"/>
  <c r="AU3" i="3"/>
  <c r="AO3" i="3"/>
  <c r="AI3" i="3"/>
  <c r="AC3" i="3"/>
  <c r="W3" i="3"/>
  <c r="Q3" i="3"/>
  <c r="K3" i="3"/>
  <c r="BR2" i="3"/>
  <c r="BQ2" i="3"/>
  <c r="BM2" i="3"/>
  <c r="BL2" i="3"/>
  <c r="BK2" i="3"/>
  <c r="BG2" i="3"/>
  <c r="BF2" i="3"/>
  <c r="BE2" i="3"/>
  <c r="BA2" i="3"/>
  <c r="AZ2" i="3"/>
  <c r="AY2" i="3"/>
  <c r="AU2" i="3"/>
  <c r="AT2" i="3"/>
  <c r="AS2" i="3"/>
  <c r="AO2" i="3"/>
  <c r="AN2" i="3"/>
  <c r="AM2" i="3"/>
  <c r="AI2" i="3"/>
  <c r="AH2" i="3"/>
  <c r="AG2" i="3"/>
  <c r="AC2" i="3"/>
  <c r="AB2" i="3"/>
  <c r="AA2" i="3"/>
  <c r="W2" i="3"/>
  <c r="V2" i="3"/>
  <c r="U2" i="3"/>
  <c r="Q2" i="3"/>
  <c r="P2" i="3"/>
  <c r="O2" i="3"/>
  <c r="K2" i="3"/>
  <c r="D2" i="2"/>
  <c r="AK13" i="1"/>
  <c r="AJ13" i="1"/>
  <c r="AI13" i="1"/>
  <c r="P13" i="1"/>
  <c r="O13" i="1"/>
  <c r="AJ12" i="1"/>
  <c r="AK12" i="1" s="1"/>
  <c r="P12" i="1"/>
  <c r="O12" i="1"/>
  <c r="AJ11" i="1"/>
  <c r="AK11" i="1" s="1"/>
  <c r="AF11" i="1"/>
  <c r="P11" i="1"/>
  <c r="O11" i="1"/>
  <c r="AJ10" i="1"/>
  <c r="AK10" i="1" s="1"/>
  <c r="P10" i="1"/>
  <c r="O10" i="1" s="1"/>
  <c r="AK9" i="1"/>
  <c r="AJ9" i="1"/>
  <c r="AI9" i="1"/>
  <c r="P9" i="1"/>
  <c r="O9" i="1"/>
  <c r="AJ8" i="1"/>
  <c r="AK8" i="1" s="1"/>
  <c r="AF8" i="1"/>
  <c r="P8" i="1"/>
  <c r="H5" i="4" s="1"/>
  <c r="H24" i="4" s="1"/>
  <c r="O8" i="1"/>
  <c r="AJ7" i="1"/>
  <c r="AK7" i="1" s="1"/>
  <c r="AE7" i="1"/>
  <c r="S7" i="1"/>
  <c r="P7" i="1"/>
  <c r="O7" i="1"/>
  <c r="AJ6" i="1"/>
  <c r="AK6" i="1" s="1"/>
  <c r="AE6" i="1"/>
  <c r="P6" i="1"/>
  <c r="F5" i="4" s="1"/>
  <c r="F24" i="4" s="1"/>
  <c r="O6" i="1"/>
  <c r="AJ5" i="1"/>
  <c r="AK5" i="1" s="1"/>
  <c r="AG5" i="1"/>
  <c r="AE5" i="1"/>
  <c r="P5" i="1"/>
  <c r="AI5" i="1" s="1"/>
  <c r="E5" i="1"/>
  <c r="E6" i="1" s="1"/>
  <c r="D4" i="18" s="1"/>
  <c r="AJ4" i="1"/>
  <c r="Z6" i="6" s="1"/>
  <c r="AI4" i="1"/>
  <c r="Y6" i="6" s="1"/>
  <c r="AG4" i="1"/>
  <c r="W6" i="6" s="1"/>
  <c r="AE4" i="1"/>
  <c r="P4" i="1"/>
  <c r="O4" i="1"/>
  <c r="F4" i="1"/>
  <c r="E4" i="18" s="1"/>
  <c r="E4" i="1"/>
  <c r="D4" i="1"/>
  <c r="C4" i="1"/>
  <c r="C4" i="18" s="1"/>
  <c r="B4" i="1"/>
  <c r="B4" i="18" s="1"/>
  <c r="F4" i="18" s="1"/>
  <c r="AG2" i="1"/>
  <c r="AD2" i="1"/>
  <c r="G2" i="1"/>
  <c r="D2" i="1"/>
  <c r="H46" i="5" l="1"/>
  <c r="L131" i="20"/>
  <c r="H633" i="20" s="1"/>
  <c r="AJ131" i="20"/>
  <c r="L130" i="21"/>
  <c r="H634" i="21" s="1"/>
  <c r="BI17" i="7"/>
  <c r="CR17" i="7" s="1"/>
  <c r="CQ25" i="7"/>
  <c r="CQ20" i="7"/>
  <c r="CQ23" i="7"/>
  <c r="BI21" i="7"/>
  <c r="CR21" i="7" s="1"/>
  <c r="F83" i="19"/>
  <c r="P83" i="19" s="1"/>
  <c r="Q83" i="19" s="1"/>
  <c r="L83" i="19" s="1"/>
  <c r="M83" i="19" s="1"/>
  <c r="N83" i="19" s="1"/>
  <c r="R83" i="19" s="1"/>
  <c r="L34" i="21"/>
  <c r="H602" i="21" s="1"/>
  <c r="L35" i="20"/>
  <c r="H601" i="20" s="1"/>
  <c r="AJ35" i="20" s="1"/>
  <c r="G35" i="20" s="1"/>
  <c r="H6" i="5"/>
  <c r="BI26" i="7"/>
  <c r="CR26" i="7" s="1"/>
  <c r="L19" i="20"/>
  <c r="H593" i="20" s="1"/>
  <c r="BI18" i="7"/>
  <c r="CR18" i="7" s="1"/>
  <c r="BI24" i="7"/>
  <c r="CR24" i="7" s="1"/>
  <c r="G4" i="18"/>
  <c r="O5" i="1"/>
  <c r="AD6" i="22"/>
  <c r="AA6" i="21"/>
  <c r="C24" i="7"/>
  <c r="AA4" i="6"/>
  <c r="K5" i="4"/>
  <c r="K24" i="4" s="1"/>
  <c r="BE14" i="3"/>
  <c r="AS22" i="3"/>
  <c r="AG27" i="3"/>
  <c r="U32" i="3"/>
  <c r="BQ36" i="3"/>
  <c r="BE41" i="3"/>
  <c r="AS46" i="3"/>
  <c r="AG51" i="3"/>
  <c r="U56" i="3"/>
  <c r="BQ60" i="3"/>
  <c r="BE65" i="3"/>
  <c r="AS70" i="3"/>
  <c r="BQ79" i="3"/>
  <c r="AG84" i="3"/>
  <c r="BQ91" i="3"/>
  <c r="O105" i="3"/>
  <c r="R6" i="22"/>
  <c r="O6" i="21"/>
  <c r="O7" i="20"/>
  <c r="C20" i="7"/>
  <c r="O4" i="6"/>
  <c r="AI7" i="1"/>
  <c r="X6" i="22"/>
  <c r="U6" i="21"/>
  <c r="U7" i="20"/>
  <c r="C22" i="7"/>
  <c r="U4" i="6"/>
  <c r="AI11" i="1"/>
  <c r="BE4" i="3"/>
  <c r="BQ13" i="3"/>
  <c r="BE21" i="3"/>
  <c r="AS26" i="3"/>
  <c r="AG31" i="3"/>
  <c r="U36" i="3"/>
  <c r="BQ40" i="3"/>
  <c r="BE45" i="3"/>
  <c r="AS50" i="3"/>
  <c r="AG55" i="3"/>
  <c r="U60" i="3"/>
  <c r="BQ64" i="3"/>
  <c r="BE69" i="3"/>
  <c r="U79" i="3"/>
  <c r="BQ83" i="3"/>
  <c r="U91" i="3"/>
  <c r="AY104" i="3"/>
  <c r="AG45" i="3"/>
  <c r="U50" i="3"/>
  <c r="BQ54" i="3"/>
  <c r="BE59" i="3"/>
  <c r="AS64" i="3"/>
  <c r="AG69" i="3"/>
  <c r="BE78" i="3"/>
  <c r="BE90" i="3"/>
  <c r="G5" i="4"/>
  <c r="G24" i="4" s="1"/>
  <c r="AG6" i="22"/>
  <c r="C25" i="7"/>
  <c r="AD4" i="6"/>
  <c r="L5" i="4"/>
  <c r="L24" i="4" s="1"/>
  <c r="BK4" i="3"/>
  <c r="BE12" i="3"/>
  <c r="AG25" i="3"/>
  <c r="U30" i="3"/>
  <c r="BQ34" i="3"/>
  <c r="BE39" i="3"/>
  <c r="AS44" i="3"/>
  <c r="AG49" i="3"/>
  <c r="U54" i="3"/>
  <c r="BQ58" i="3"/>
  <c r="BE63" i="3"/>
  <c r="AS68" i="3"/>
  <c r="AG73" i="3"/>
  <c r="AG85" i="3"/>
  <c r="I6" i="22"/>
  <c r="F7" i="20"/>
  <c r="F6" i="21"/>
  <c r="C17" i="7"/>
  <c r="F4" i="6"/>
  <c r="D5" i="4"/>
  <c r="D24" i="4" s="1"/>
  <c r="AI12" i="1"/>
  <c r="BQ24" i="3"/>
  <c r="BE29" i="3"/>
  <c r="AS34" i="3"/>
  <c r="AG39" i="3"/>
  <c r="U44" i="3"/>
  <c r="BQ48" i="3"/>
  <c r="BE53" i="3"/>
  <c r="AS58" i="3"/>
  <c r="AG63" i="3"/>
  <c r="U68" i="3"/>
  <c r="BQ72" i="3"/>
  <c r="U83" i="3"/>
  <c r="AA106" i="3"/>
  <c r="I5" i="4"/>
  <c r="I24" i="4" s="1"/>
  <c r="AA6" i="22"/>
  <c r="X6" i="21"/>
  <c r="X4" i="6"/>
  <c r="C23" i="7"/>
  <c r="J5" i="4"/>
  <c r="J24" i="4" s="1"/>
  <c r="AS24" i="3"/>
  <c r="AG29" i="3"/>
  <c r="U34" i="3"/>
  <c r="BQ38" i="3"/>
  <c r="BE43" i="3"/>
  <c r="AS48" i="3"/>
  <c r="AG53" i="3"/>
  <c r="U58" i="3"/>
  <c r="BQ62" i="3"/>
  <c r="BE67" i="3"/>
  <c r="AS72" i="3"/>
  <c r="BK98" i="3"/>
  <c r="U6" i="22"/>
  <c r="R6" i="21"/>
  <c r="R7" i="20"/>
  <c r="C21" i="7"/>
  <c r="R4" i="6"/>
  <c r="I6" i="21"/>
  <c r="L6" i="22"/>
  <c r="I7" i="20"/>
  <c r="I4" i="6"/>
  <c r="C18" i="7"/>
  <c r="E5" i="4"/>
  <c r="E24" i="4" s="1"/>
  <c r="O6" i="22"/>
  <c r="L6" i="21"/>
  <c r="L7" i="20"/>
  <c r="C19" i="7"/>
  <c r="L4" i="6"/>
  <c r="AI10" i="1"/>
  <c r="U4" i="3"/>
  <c r="AA4" i="3"/>
  <c r="AK4" i="1"/>
  <c r="AI6" i="1"/>
  <c r="AI8" i="1"/>
  <c r="AJ6" i="22"/>
  <c r="C26" i="7"/>
  <c r="AG4" i="6"/>
  <c r="M5" i="4"/>
  <c r="M24" i="4" s="1"/>
  <c r="AG4" i="3"/>
  <c r="AS15" i="3"/>
  <c r="AG23" i="3"/>
  <c r="U28" i="3"/>
  <c r="BQ32" i="3"/>
  <c r="BE37" i="3"/>
  <c r="AS42" i="3"/>
  <c r="AG47" i="3"/>
  <c r="U52" i="3"/>
  <c r="BQ56" i="3"/>
  <c r="BE61" i="3"/>
  <c r="AS66" i="3"/>
  <c r="AG71" i="3"/>
  <c r="BE80" i="3"/>
  <c r="AG82" i="3"/>
  <c r="BE84" i="3"/>
  <c r="BE92" i="3"/>
  <c r="AM105" i="3"/>
  <c r="L21" i="6"/>
  <c r="AA17" i="6"/>
  <c r="P13" i="19"/>
  <c r="Q13" i="19" s="1"/>
  <c r="SN22" i="7"/>
  <c r="SO22" i="7" s="1"/>
  <c r="SJ22" i="7"/>
  <c r="SG22" i="7"/>
  <c r="SM22" i="7"/>
  <c r="SK22" i="7"/>
  <c r="SL22" i="7" s="1"/>
  <c r="SH22" i="7"/>
  <c r="SI22" i="7" s="1"/>
  <c r="RR18" i="7"/>
  <c r="BW18" i="7"/>
  <c r="TQ3" i="7"/>
  <c r="W1" i="7"/>
  <c r="CR3" i="7"/>
  <c r="I16" i="6"/>
  <c r="U22" i="6"/>
  <c r="AG36" i="6"/>
  <c r="X19" i="6"/>
  <c r="F26" i="6"/>
  <c r="CQ19" i="7"/>
  <c r="O14" i="6"/>
  <c r="BW17" i="7"/>
  <c r="SJ17" i="7"/>
  <c r="F13" i="21"/>
  <c r="F14" i="20"/>
  <c r="RR19" i="7"/>
  <c r="SN23" i="7"/>
  <c r="SO23" i="7" s="1"/>
  <c r="SM23" i="7"/>
  <c r="SK23" i="7"/>
  <c r="SL23" i="7" s="1"/>
  <c r="SH23" i="7"/>
  <c r="SI23" i="7" s="1"/>
  <c r="SJ23" i="7"/>
  <c r="SM18" i="7"/>
  <c r="SK18" i="7"/>
  <c r="SL18" i="7" s="1"/>
  <c r="SH18" i="7"/>
  <c r="SI18" i="7" s="1"/>
  <c r="CQ22" i="7"/>
  <c r="SC3" i="7"/>
  <c r="SM17" i="7"/>
  <c r="SK17" i="7"/>
  <c r="SL17" i="7" s="1"/>
  <c r="SH17" i="7"/>
  <c r="SI17" i="7" s="1"/>
  <c r="BW24" i="7"/>
  <c r="SN26" i="7"/>
  <c r="SO26" i="7" s="1"/>
  <c r="SM26" i="7"/>
  <c r="SJ26" i="7"/>
  <c r="F38" i="21"/>
  <c r="F39" i="20"/>
  <c r="SM24" i="7"/>
  <c r="SK24" i="7"/>
  <c r="SL24" i="7" s="1"/>
  <c r="SH24" i="7"/>
  <c r="SI24" i="7" s="1"/>
  <c r="SG26" i="7"/>
  <c r="F59" i="21"/>
  <c r="F60" i="20"/>
  <c r="F16" i="21"/>
  <c r="F17" i="20"/>
  <c r="SG19" i="7"/>
  <c r="F68" i="21"/>
  <c r="F69" i="20"/>
  <c r="F80" i="21"/>
  <c r="F81" i="20"/>
  <c r="K1" i="19"/>
  <c r="F41" i="21"/>
  <c r="F42" i="20"/>
  <c r="F107" i="21"/>
  <c r="F108" i="20"/>
  <c r="F35" i="21"/>
  <c r="F36" i="20"/>
  <c r="F65" i="21"/>
  <c r="F66" i="20"/>
  <c r="F77" i="21"/>
  <c r="F78" i="20"/>
  <c r="L77" i="21"/>
  <c r="L78" i="20"/>
  <c r="F116" i="21"/>
  <c r="F117" i="20"/>
  <c r="K64" i="19"/>
  <c r="F74" i="21"/>
  <c r="F75" i="20"/>
  <c r="K240" i="19"/>
  <c r="F47" i="21"/>
  <c r="F48" i="20"/>
  <c r="K262" i="19"/>
  <c r="L262" i="19" s="1"/>
  <c r="M262" i="19" s="1"/>
  <c r="N262" i="19" s="1"/>
  <c r="F44" i="21"/>
  <c r="F45" i="20"/>
  <c r="K21" i="19"/>
  <c r="L21" i="19" s="1"/>
  <c r="M21" i="19" s="1"/>
  <c r="N21" i="19" s="1"/>
  <c r="R21" i="19" s="1"/>
  <c r="F86" i="21"/>
  <c r="F87" i="20"/>
  <c r="F101" i="21"/>
  <c r="F102" i="20"/>
  <c r="F83" i="21"/>
  <c r="F84" i="20"/>
  <c r="F122" i="21"/>
  <c r="F123" i="20"/>
  <c r="K238" i="19"/>
  <c r="K337" i="19"/>
  <c r="L337" i="19" s="1"/>
  <c r="M337" i="19" s="1"/>
  <c r="N337" i="19" s="1"/>
  <c r="R337" i="19" s="1"/>
  <c r="F119" i="21"/>
  <c r="F120" i="20"/>
  <c r="L95" i="21"/>
  <c r="L96" i="20"/>
  <c r="L113" i="21"/>
  <c r="L114" i="20"/>
  <c r="O41" i="21"/>
  <c r="O42" i="20"/>
  <c r="R41" i="21"/>
  <c r="R42" i="20"/>
  <c r="O16" i="21"/>
  <c r="O17" i="20"/>
  <c r="O104" i="21"/>
  <c r="O105" i="20"/>
  <c r="R16" i="21"/>
  <c r="R17" i="20"/>
  <c r="F71" i="21"/>
  <c r="F72" i="20"/>
  <c r="K147" i="19"/>
  <c r="L147" i="19" s="1"/>
  <c r="M147" i="19" s="1"/>
  <c r="N147" i="19" s="1"/>
  <c r="F95" i="21"/>
  <c r="F96" i="20"/>
  <c r="F113" i="21"/>
  <c r="F114" i="20"/>
  <c r="K307" i="19"/>
  <c r="L307" i="19" s="1"/>
  <c r="M307" i="19" s="1"/>
  <c r="N307" i="19" s="1"/>
  <c r="R307" i="19" s="1"/>
  <c r="L13" i="19"/>
  <c r="M13" i="19" s="1"/>
  <c r="N13" i="19" s="1"/>
  <c r="R13" i="19" s="1"/>
  <c r="K101" i="19"/>
  <c r="L101" i="19" s="1"/>
  <c r="M101" i="19" s="1"/>
  <c r="N101" i="19" s="1"/>
  <c r="R101" i="19" s="1"/>
  <c r="K263" i="19"/>
  <c r="L263" i="19" s="1"/>
  <c r="M263" i="19" s="1"/>
  <c r="N263" i="19" s="1"/>
  <c r="R263" i="19" s="1"/>
  <c r="I13" i="21"/>
  <c r="I14" i="20"/>
  <c r="G9" i="19"/>
  <c r="G3" i="19"/>
  <c r="G1" i="19"/>
  <c r="G4" i="19"/>
  <c r="G5" i="19"/>
  <c r="G6" i="19"/>
  <c r="M6" i="19" s="1"/>
  <c r="N6" i="19" s="1"/>
  <c r="R6" i="19" s="1"/>
  <c r="G7" i="19"/>
  <c r="G10" i="19"/>
  <c r="G8" i="19"/>
  <c r="G2" i="19"/>
  <c r="G15" i="19"/>
  <c r="G17" i="19"/>
  <c r="G19" i="19"/>
  <c r="G20" i="19"/>
  <c r="G11" i="19"/>
  <c r="M11" i="19" s="1"/>
  <c r="N11" i="19" s="1"/>
  <c r="G12" i="19"/>
  <c r="G16" i="19"/>
  <c r="G14" i="19"/>
  <c r="G18" i="19"/>
  <c r="G13" i="19"/>
  <c r="F50" i="21"/>
  <c r="F51" i="20"/>
  <c r="F110" i="21"/>
  <c r="F111" i="20"/>
  <c r="M3" i="19"/>
  <c r="N3" i="19" s="1"/>
  <c r="R3" i="19" s="1"/>
  <c r="L53" i="21"/>
  <c r="L54" i="20"/>
  <c r="O80" i="21"/>
  <c r="O81" i="20"/>
  <c r="L71" i="21"/>
  <c r="L72" i="20"/>
  <c r="R83" i="21"/>
  <c r="R84" i="20"/>
  <c r="O47" i="21"/>
  <c r="O48" i="20"/>
  <c r="F104" i="21"/>
  <c r="F105" i="20"/>
  <c r="L107" i="21"/>
  <c r="L108" i="20"/>
  <c r="L56" i="21"/>
  <c r="L57" i="20"/>
  <c r="K29" i="19"/>
  <c r="L29" i="19" s="1"/>
  <c r="M29" i="19" s="1"/>
  <c r="N29" i="19" s="1"/>
  <c r="K268" i="19"/>
  <c r="L268" i="19" s="1"/>
  <c r="M268" i="19" s="1"/>
  <c r="N268" i="19" s="1"/>
  <c r="O13" i="21"/>
  <c r="O14" i="20"/>
  <c r="K14" i="19"/>
  <c r="L14" i="19" s="1"/>
  <c r="M14" i="19" s="1"/>
  <c r="N14" i="19" s="1"/>
  <c r="R14" i="19" s="1"/>
  <c r="O44" i="21"/>
  <c r="O45" i="20"/>
  <c r="K30" i="19"/>
  <c r="O62" i="21"/>
  <c r="O63" i="20"/>
  <c r="O77" i="21"/>
  <c r="O78" i="20"/>
  <c r="O107" i="21"/>
  <c r="O108" i="20"/>
  <c r="R13" i="21"/>
  <c r="R14" i="20"/>
  <c r="M15" i="19"/>
  <c r="N15" i="19" s="1"/>
  <c r="R15" i="19" s="1"/>
  <c r="F62" i="21"/>
  <c r="F63" i="20"/>
  <c r="K22" i="19"/>
  <c r="L22" i="19" s="1"/>
  <c r="M22" i="19" s="1"/>
  <c r="N22" i="19" s="1"/>
  <c r="F98" i="21"/>
  <c r="F99" i="20"/>
  <c r="K182" i="19"/>
  <c r="L182" i="19" s="1"/>
  <c r="M182" i="19" s="1"/>
  <c r="N182" i="19" s="1"/>
  <c r="L13" i="21"/>
  <c r="L14" i="20"/>
  <c r="L16" i="21"/>
  <c r="L17" i="20"/>
  <c r="L74" i="21"/>
  <c r="L75" i="20"/>
  <c r="L110" i="21"/>
  <c r="L111" i="20"/>
  <c r="K4" i="19"/>
  <c r="K233" i="19"/>
  <c r="O74" i="21"/>
  <c r="O75" i="20"/>
  <c r="K32" i="19"/>
  <c r="L32" i="19" s="1"/>
  <c r="M32" i="19" s="1"/>
  <c r="N32" i="19" s="1"/>
  <c r="R32" i="19" s="1"/>
  <c r="K327" i="19"/>
  <c r="L327" i="19" s="1"/>
  <c r="M327" i="19" s="1"/>
  <c r="N327" i="19" s="1"/>
  <c r="R327" i="19" s="1"/>
  <c r="M5" i="19"/>
  <c r="N5" i="19" s="1"/>
  <c r="R5" i="19" s="1"/>
  <c r="R92" i="21"/>
  <c r="R93" i="20"/>
  <c r="U56" i="21"/>
  <c r="U57" i="20"/>
  <c r="F56" i="21"/>
  <c r="F57" i="20"/>
  <c r="K161" i="19"/>
  <c r="L161" i="19" s="1"/>
  <c r="M161" i="19" s="1"/>
  <c r="N161" i="19" s="1"/>
  <c r="R161" i="19" s="1"/>
  <c r="F92" i="21"/>
  <c r="F93" i="20"/>
  <c r="K261" i="19"/>
  <c r="L261" i="19" s="1"/>
  <c r="M261" i="19" s="1"/>
  <c r="N261" i="19" s="1"/>
  <c r="R261" i="19" s="1"/>
  <c r="F128" i="21"/>
  <c r="F129" i="20"/>
  <c r="K2" i="19"/>
  <c r="L2" i="19" s="1"/>
  <c r="I16" i="21"/>
  <c r="I17" i="20"/>
  <c r="K108" i="19"/>
  <c r="L108" i="19" s="1"/>
  <c r="M108" i="19" s="1"/>
  <c r="N108" i="19" s="1"/>
  <c r="L89" i="21"/>
  <c r="L90" i="20"/>
  <c r="L125" i="21"/>
  <c r="L126" i="20"/>
  <c r="O38" i="21"/>
  <c r="O39" i="20"/>
  <c r="K188" i="19"/>
  <c r="L188" i="19" s="1"/>
  <c r="M188" i="19" s="1"/>
  <c r="N188" i="19" s="1"/>
  <c r="O119" i="21"/>
  <c r="O120" i="20"/>
  <c r="F53" i="21"/>
  <c r="F54" i="20"/>
  <c r="K148" i="19"/>
  <c r="L148" i="19" s="1"/>
  <c r="M148" i="19" s="1"/>
  <c r="N148" i="19" s="1"/>
  <c r="F89" i="21"/>
  <c r="F90" i="20"/>
  <c r="K146" i="19"/>
  <c r="L146" i="19" s="1"/>
  <c r="M146" i="19" s="1"/>
  <c r="N146" i="19" s="1"/>
  <c r="F125" i="21"/>
  <c r="F126" i="20"/>
  <c r="K311" i="19"/>
  <c r="K12" i="19"/>
  <c r="I35" i="21"/>
  <c r="I36" i="20"/>
  <c r="I38" i="21"/>
  <c r="I39" i="20"/>
  <c r="I41" i="21"/>
  <c r="I42" i="20"/>
  <c r="I44" i="21"/>
  <c r="I45" i="20"/>
  <c r="I47" i="21"/>
  <c r="I48" i="20"/>
  <c r="I50" i="21"/>
  <c r="I51" i="20"/>
  <c r="I53" i="21"/>
  <c r="I54" i="20"/>
  <c r="I56" i="21"/>
  <c r="I57" i="20"/>
  <c r="I59" i="21"/>
  <c r="I60" i="20"/>
  <c r="I62" i="21"/>
  <c r="I63" i="20"/>
  <c r="I65" i="21"/>
  <c r="I66" i="20"/>
  <c r="I68" i="21"/>
  <c r="I69" i="20"/>
  <c r="I71" i="21"/>
  <c r="I72" i="20"/>
  <c r="I74" i="21"/>
  <c r="I75" i="20"/>
  <c r="I77" i="21"/>
  <c r="I78" i="20"/>
  <c r="I80" i="21"/>
  <c r="I81" i="20"/>
  <c r="I83" i="21"/>
  <c r="I84" i="20"/>
  <c r="I86" i="21"/>
  <c r="I87" i="20"/>
  <c r="I89" i="21"/>
  <c r="I90" i="20"/>
  <c r="I92" i="21"/>
  <c r="I93" i="20"/>
  <c r="I95" i="21"/>
  <c r="I96" i="20"/>
  <c r="I98" i="21"/>
  <c r="I99" i="20"/>
  <c r="I101" i="21"/>
  <c r="I102" i="20"/>
  <c r="I104" i="21"/>
  <c r="I105" i="20"/>
  <c r="I108" i="20"/>
  <c r="I107" i="21"/>
  <c r="I110" i="21"/>
  <c r="I111" i="20"/>
  <c r="I113" i="21"/>
  <c r="I114" i="20"/>
  <c r="I116" i="21"/>
  <c r="I117" i="20"/>
  <c r="I119" i="21"/>
  <c r="I120" i="20"/>
  <c r="I122" i="21"/>
  <c r="I123" i="20"/>
  <c r="I125" i="21"/>
  <c r="I126" i="20"/>
  <c r="L47" i="21"/>
  <c r="L48" i="20"/>
  <c r="K59" i="19"/>
  <c r="L59" i="19" s="1"/>
  <c r="M59" i="19" s="1"/>
  <c r="N59" i="19" s="1"/>
  <c r="R59" i="19" s="1"/>
  <c r="L68" i="21"/>
  <c r="L69" i="20"/>
  <c r="L104" i="21"/>
  <c r="L105" i="20"/>
  <c r="O71" i="21"/>
  <c r="O72" i="20"/>
  <c r="K192" i="19"/>
  <c r="L192" i="19" s="1"/>
  <c r="M192" i="19" s="1"/>
  <c r="N192" i="19" s="1"/>
  <c r="R192" i="19" s="1"/>
  <c r="R47" i="21"/>
  <c r="R48" i="20"/>
  <c r="U92" i="21"/>
  <c r="U93" i="20"/>
  <c r="K82" i="19"/>
  <c r="L82" i="19" s="1"/>
  <c r="M82" i="19" s="1"/>
  <c r="N82" i="19" s="1"/>
  <c r="R82" i="19" s="1"/>
  <c r="K99" i="19"/>
  <c r="K184" i="19"/>
  <c r="K237" i="19"/>
  <c r="L237" i="19" s="1"/>
  <c r="M237" i="19" s="1"/>
  <c r="N237" i="19" s="1"/>
  <c r="R237" i="19" s="1"/>
  <c r="K24" i="19"/>
  <c r="L24" i="19" s="1"/>
  <c r="M24" i="19" s="1"/>
  <c r="N24" i="19" s="1"/>
  <c r="R24" i="19" s="1"/>
  <c r="K67" i="19"/>
  <c r="L67" i="19" s="1"/>
  <c r="M67" i="19" s="1"/>
  <c r="N67" i="19" s="1"/>
  <c r="R67" i="19" s="1"/>
  <c r="K102" i="19"/>
  <c r="K153" i="19"/>
  <c r="K162" i="19"/>
  <c r="L162" i="19" s="1"/>
  <c r="M162" i="19" s="1"/>
  <c r="N162" i="19" s="1"/>
  <c r="R162" i="19" s="1"/>
  <c r="K179" i="19"/>
  <c r="L179" i="19" s="1"/>
  <c r="M179" i="19" s="1"/>
  <c r="N179" i="19" s="1"/>
  <c r="R179" i="19" s="1"/>
  <c r="K25" i="19"/>
  <c r="L25" i="19" s="1"/>
  <c r="M25" i="19" s="1"/>
  <c r="N25" i="19" s="1"/>
  <c r="R25" i="19" s="1"/>
  <c r="K58" i="19"/>
  <c r="L58" i="19" s="1"/>
  <c r="M58" i="19" s="1"/>
  <c r="N58" i="19" s="1"/>
  <c r="R58" i="19" s="1"/>
  <c r="K106" i="19"/>
  <c r="L106" i="19" s="1"/>
  <c r="M106" i="19" s="1"/>
  <c r="N106" i="19" s="1"/>
  <c r="K154" i="19"/>
  <c r="L154" i="19" s="1"/>
  <c r="M154" i="19" s="1"/>
  <c r="N154" i="19" s="1"/>
  <c r="K26" i="19"/>
  <c r="L26" i="19" s="1"/>
  <c r="M26" i="19" s="1"/>
  <c r="N26" i="19" s="1"/>
  <c r="R26" i="19" s="1"/>
  <c r="K63" i="19"/>
  <c r="L63" i="19" s="1"/>
  <c r="M63" i="19" s="1"/>
  <c r="N63" i="19" s="1"/>
  <c r="R63" i="19" s="1"/>
  <c r="K243" i="19"/>
  <c r="L243" i="19" s="1"/>
  <c r="M243" i="19" s="1"/>
  <c r="N243" i="19" s="1"/>
  <c r="R243" i="19" s="1"/>
  <c r="K258" i="19"/>
  <c r="L258" i="19" s="1"/>
  <c r="M258" i="19" s="1"/>
  <c r="N258" i="19" s="1"/>
  <c r="R258" i="19" s="1"/>
  <c r="K104" i="19"/>
  <c r="L104" i="19" s="1"/>
  <c r="M104" i="19" s="1"/>
  <c r="N104" i="19" s="1"/>
  <c r="K152" i="19"/>
  <c r="L152" i="19" s="1"/>
  <c r="M152" i="19" s="1"/>
  <c r="N152" i="19" s="1"/>
  <c r="K264" i="19"/>
  <c r="L264" i="19" s="1"/>
  <c r="M264" i="19" s="1"/>
  <c r="N264" i="19" s="1"/>
  <c r="R264" i="19" s="1"/>
  <c r="K309" i="19"/>
  <c r="L309" i="19" s="1"/>
  <c r="M309" i="19" s="1"/>
  <c r="N309" i="19" s="1"/>
  <c r="R309" i="19" s="1"/>
  <c r="K185" i="19"/>
  <c r="L185" i="19" s="1"/>
  <c r="M185" i="19" s="1"/>
  <c r="N185" i="19" s="1"/>
  <c r="R185" i="19" s="1"/>
  <c r="K236" i="19"/>
  <c r="L236" i="19" s="1"/>
  <c r="M236" i="19" s="1"/>
  <c r="N236" i="19" s="1"/>
  <c r="R236" i="19" s="1"/>
  <c r="K322" i="19"/>
  <c r="K338" i="19"/>
  <c r="K265" i="19"/>
  <c r="L265" i="19" s="1"/>
  <c r="M265" i="19" s="1"/>
  <c r="N265" i="19" s="1"/>
  <c r="R265" i="19" s="1"/>
  <c r="K310" i="19"/>
  <c r="K186" i="19"/>
  <c r="L186" i="19" s="1"/>
  <c r="M186" i="19" s="1"/>
  <c r="N186" i="19" s="1"/>
  <c r="R186" i="19" s="1"/>
  <c r="K235" i="19"/>
  <c r="L235" i="19" s="1"/>
  <c r="M235" i="19" s="1"/>
  <c r="N235" i="19" s="1"/>
  <c r="R235" i="19" s="1"/>
  <c r="K266" i="19"/>
  <c r="K27" i="19"/>
  <c r="L27" i="19" s="1"/>
  <c r="M27" i="19" s="1"/>
  <c r="N27" i="19" s="1"/>
  <c r="R27" i="19" s="1"/>
  <c r="L65" i="21"/>
  <c r="L66" i="20"/>
  <c r="K60" i="19"/>
  <c r="L60" i="19" s="1"/>
  <c r="M60" i="19" s="1"/>
  <c r="N60" i="19" s="1"/>
  <c r="R60" i="19" s="1"/>
  <c r="L101" i="21"/>
  <c r="L102" i="20"/>
  <c r="K232" i="19"/>
  <c r="L232" i="19" s="1"/>
  <c r="M232" i="19" s="1"/>
  <c r="N232" i="19" s="1"/>
  <c r="R232" i="19" s="1"/>
  <c r="O116" i="21"/>
  <c r="O117" i="20"/>
  <c r="R35" i="21"/>
  <c r="R36" i="20"/>
  <c r="R119" i="21"/>
  <c r="R120" i="20"/>
  <c r="L204" i="19"/>
  <c r="M204" i="19" s="1"/>
  <c r="N204" i="19" s="1"/>
  <c r="I128" i="21"/>
  <c r="I129" i="20"/>
  <c r="L44" i="21"/>
  <c r="L45" i="20"/>
  <c r="O35" i="21"/>
  <c r="O36" i="20"/>
  <c r="O68" i="21"/>
  <c r="O69" i="20"/>
  <c r="P35" i="19"/>
  <c r="Q35" i="19" s="1"/>
  <c r="L41" i="21"/>
  <c r="L42" i="20"/>
  <c r="L62" i="21"/>
  <c r="L63" i="20"/>
  <c r="K84" i="19"/>
  <c r="L84" i="19" s="1"/>
  <c r="M84" i="19" s="1"/>
  <c r="N84" i="19" s="1"/>
  <c r="K257" i="19"/>
  <c r="L257" i="19" s="1"/>
  <c r="M257" i="19" s="1"/>
  <c r="N257" i="19" s="1"/>
  <c r="R257" i="19" s="1"/>
  <c r="R56" i="21"/>
  <c r="R57" i="20"/>
  <c r="U128" i="21"/>
  <c r="U129" i="20"/>
  <c r="L38" i="21"/>
  <c r="L39" i="20"/>
  <c r="K187" i="19"/>
  <c r="L187" i="19" s="1"/>
  <c r="M187" i="19" s="1"/>
  <c r="N187" i="19" s="1"/>
  <c r="R187" i="19" s="1"/>
  <c r="K178" i="19"/>
  <c r="L178" i="19" s="1"/>
  <c r="M178" i="19" s="1"/>
  <c r="N178" i="19" s="1"/>
  <c r="R178" i="19" s="1"/>
  <c r="L98" i="21"/>
  <c r="L99" i="20"/>
  <c r="K111" i="19"/>
  <c r="O83" i="21"/>
  <c r="O84" i="20"/>
  <c r="O98" i="21"/>
  <c r="O99" i="20"/>
  <c r="O110" i="21"/>
  <c r="O111" i="20"/>
  <c r="K271" i="19"/>
  <c r="L271" i="19" s="1"/>
  <c r="M271" i="19" s="1"/>
  <c r="N271" i="19" s="1"/>
  <c r="R271" i="19" s="1"/>
  <c r="L35" i="21"/>
  <c r="L36" i="20"/>
  <c r="K98" i="19"/>
  <c r="L98" i="19" s="1"/>
  <c r="M98" i="19" s="1"/>
  <c r="N98" i="19" s="1"/>
  <c r="L60" i="20"/>
  <c r="L59" i="21"/>
  <c r="K305" i="19"/>
  <c r="O50" i="21"/>
  <c r="O51" i="20"/>
  <c r="K244" i="19"/>
  <c r="L244" i="19" s="1"/>
  <c r="M244" i="19" s="1"/>
  <c r="N244" i="19" s="1"/>
  <c r="R244" i="19" s="1"/>
  <c r="K230" i="19"/>
  <c r="L230" i="19" s="1"/>
  <c r="M230" i="19" s="1"/>
  <c r="N230" i="19" s="1"/>
  <c r="R230" i="19" s="1"/>
  <c r="M9" i="19"/>
  <c r="N9" i="19" s="1"/>
  <c r="R44" i="21"/>
  <c r="R45" i="20"/>
  <c r="R80" i="21"/>
  <c r="R81" i="20"/>
  <c r="R116" i="21"/>
  <c r="R117" i="20"/>
  <c r="U53" i="21"/>
  <c r="U54" i="20"/>
  <c r="U89" i="21"/>
  <c r="U90" i="20"/>
  <c r="U125" i="21"/>
  <c r="U126" i="20"/>
  <c r="R133" i="19"/>
  <c r="P133" i="19"/>
  <c r="Q133" i="19" s="1"/>
  <c r="R77" i="21"/>
  <c r="R78" i="20"/>
  <c r="K68" i="19"/>
  <c r="L68" i="19" s="1"/>
  <c r="M68" i="19" s="1"/>
  <c r="N68" i="19" s="1"/>
  <c r="R113" i="21"/>
  <c r="R114" i="20"/>
  <c r="K314" i="19"/>
  <c r="U50" i="21"/>
  <c r="U51" i="20"/>
  <c r="U86" i="21"/>
  <c r="U87" i="20"/>
  <c r="U122" i="21"/>
  <c r="U123" i="20"/>
  <c r="L92" i="21"/>
  <c r="L93" i="20"/>
  <c r="L128" i="21"/>
  <c r="L129" i="20"/>
  <c r="O65" i="21"/>
  <c r="O66" i="20"/>
  <c r="O101" i="21"/>
  <c r="O102" i="20"/>
  <c r="L228" i="19"/>
  <c r="M228" i="19" s="1"/>
  <c r="N228" i="19" s="1"/>
  <c r="R38" i="21"/>
  <c r="R39" i="20"/>
  <c r="R74" i="21"/>
  <c r="R75" i="20"/>
  <c r="K35" i="19"/>
  <c r="R110" i="21"/>
  <c r="R111" i="20"/>
  <c r="K274" i="19"/>
  <c r="L274" i="19" s="1"/>
  <c r="M274" i="19" s="1"/>
  <c r="N274" i="19" s="1"/>
  <c r="R274" i="19" s="1"/>
  <c r="U13" i="21"/>
  <c r="U14" i="20"/>
  <c r="U16" i="21"/>
  <c r="U17" i="20"/>
  <c r="U47" i="21"/>
  <c r="U48" i="20"/>
  <c r="K52" i="19"/>
  <c r="U83" i="21"/>
  <c r="U84" i="20"/>
  <c r="K254" i="19"/>
  <c r="L254" i="19" s="1"/>
  <c r="M254" i="19" s="1"/>
  <c r="N254" i="19" s="1"/>
  <c r="U119" i="21"/>
  <c r="U120" i="20"/>
  <c r="K222" i="19"/>
  <c r="L222" i="19" s="1"/>
  <c r="M222" i="19" s="1"/>
  <c r="N222" i="19" s="1"/>
  <c r="R222" i="19" s="1"/>
  <c r="K166" i="19"/>
  <c r="L166" i="19" s="1"/>
  <c r="M166" i="19" s="1"/>
  <c r="N166" i="19" s="1"/>
  <c r="R166" i="19" s="1"/>
  <c r="K280" i="19"/>
  <c r="L280" i="19" s="1"/>
  <c r="M280" i="19" s="1"/>
  <c r="N280" i="19" s="1"/>
  <c r="K298" i="19"/>
  <c r="L298" i="19" s="1"/>
  <c r="M298" i="19" s="1"/>
  <c r="N298" i="19" s="1"/>
  <c r="R298" i="19" s="1"/>
  <c r="L124" i="19"/>
  <c r="M124" i="19" s="1"/>
  <c r="N124" i="19" s="1"/>
  <c r="K221" i="19"/>
  <c r="R71" i="21"/>
  <c r="R72" i="20"/>
  <c r="R107" i="21"/>
  <c r="R108" i="20"/>
  <c r="U45" i="20"/>
  <c r="U44" i="21"/>
  <c r="U80" i="21"/>
  <c r="U81" i="20"/>
  <c r="U116" i="21"/>
  <c r="U117" i="20"/>
  <c r="L140" i="19"/>
  <c r="M140" i="19" s="1"/>
  <c r="N140" i="19" s="1"/>
  <c r="L320" i="19"/>
  <c r="M320" i="19" s="1"/>
  <c r="N320" i="19" s="1"/>
  <c r="L50" i="21"/>
  <c r="L51" i="20"/>
  <c r="K107" i="19"/>
  <c r="L107" i="19" s="1"/>
  <c r="M107" i="19" s="1"/>
  <c r="N107" i="19" s="1"/>
  <c r="R107" i="19" s="1"/>
  <c r="L86" i="21"/>
  <c r="L87" i="20"/>
  <c r="K109" i="19"/>
  <c r="L109" i="19" s="1"/>
  <c r="M109" i="19" s="1"/>
  <c r="N109" i="19" s="1"/>
  <c r="R109" i="19" s="1"/>
  <c r="L122" i="21"/>
  <c r="L123" i="20"/>
  <c r="K269" i="19"/>
  <c r="L269" i="19" s="1"/>
  <c r="M269" i="19" s="1"/>
  <c r="N269" i="19" s="1"/>
  <c r="O59" i="21"/>
  <c r="O60" i="20"/>
  <c r="K177" i="19"/>
  <c r="L177" i="19" s="1"/>
  <c r="M177" i="19" s="1"/>
  <c r="N177" i="19" s="1"/>
  <c r="O95" i="21"/>
  <c r="O96" i="20"/>
  <c r="K302" i="19"/>
  <c r="K85" i="19"/>
  <c r="L85" i="19" s="1"/>
  <c r="M85" i="19" s="1"/>
  <c r="N85" i="19" s="1"/>
  <c r="R85" i="19" s="1"/>
  <c r="R68" i="21"/>
  <c r="R69" i="20"/>
  <c r="K113" i="19"/>
  <c r="L113" i="19" s="1"/>
  <c r="M113" i="19" s="1"/>
  <c r="N113" i="19" s="1"/>
  <c r="R113" i="19" s="1"/>
  <c r="R104" i="21"/>
  <c r="R105" i="20"/>
  <c r="K324" i="19"/>
  <c r="L324" i="19" s="1"/>
  <c r="M324" i="19" s="1"/>
  <c r="N324" i="19" s="1"/>
  <c r="R324" i="19" s="1"/>
  <c r="U41" i="21"/>
  <c r="U42" i="20"/>
  <c r="K227" i="19"/>
  <c r="L227" i="19" s="1"/>
  <c r="M227" i="19" s="1"/>
  <c r="N227" i="19" s="1"/>
  <c r="R227" i="19" s="1"/>
  <c r="U77" i="21"/>
  <c r="U78" i="20"/>
  <c r="K69" i="19"/>
  <c r="L69" i="19" s="1"/>
  <c r="M69" i="19" s="1"/>
  <c r="N69" i="19" s="1"/>
  <c r="U113" i="21"/>
  <c r="U114" i="20"/>
  <c r="K299" i="19"/>
  <c r="L299" i="19" s="1"/>
  <c r="M299" i="19" s="1"/>
  <c r="N299" i="19" s="1"/>
  <c r="R299" i="19" s="1"/>
  <c r="L121" i="19"/>
  <c r="M121" i="19" s="1"/>
  <c r="N121" i="19" s="1"/>
  <c r="K73" i="19"/>
  <c r="L73" i="19" s="1"/>
  <c r="M73" i="19" s="1"/>
  <c r="N73" i="19" s="1"/>
  <c r="K74" i="19"/>
  <c r="K203" i="19"/>
  <c r="L203" i="19" s="1"/>
  <c r="M203" i="19" s="1"/>
  <c r="N203" i="19" s="1"/>
  <c r="P87" i="19"/>
  <c r="Q87" i="19" s="1"/>
  <c r="L83" i="21"/>
  <c r="L84" i="20"/>
  <c r="K260" i="19"/>
  <c r="L119" i="21"/>
  <c r="L120" i="20"/>
  <c r="K231" i="19"/>
  <c r="L231" i="19" s="1"/>
  <c r="M231" i="19" s="1"/>
  <c r="N231" i="19" s="1"/>
  <c r="R231" i="19" s="1"/>
  <c r="O56" i="21"/>
  <c r="O57" i="20"/>
  <c r="K164" i="19"/>
  <c r="L164" i="19" s="1"/>
  <c r="M164" i="19" s="1"/>
  <c r="N164" i="19" s="1"/>
  <c r="R164" i="19" s="1"/>
  <c r="O92" i="21"/>
  <c r="O93" i="20"/>
  <c r="K270" i="19"/>
  <c r="L270" i="19" s="1"/>
  <c r="M270" i="19" s="1"/>
  <c r="N270" i="19" s="1"/>
  <c r="R270" i="19" s="1"/>
  <c r="O128" i="21"/>
  <c r="O129" i="20"/>
  <c r="R65" i="21"/>
  <c r="R66" i="20"/>
  <c r="K54" i="19"/>
  <c r="R101" i="21"/>
  <c r="R102" i="20"/>
  <c r="K226" i="19"/>
  <c r="L226" i="19" s="1"/>
  <c r="M226" i="19" s="1"/>
  <c r="N226" i="19" s="1"/>
  <c r="R226" i="19" s="1"/>
  <c r="U38" i="21"/>
  <c r="U39" i="20"/>
  <c r="K194" i="19"/>
  <c r="L194" i="19" s="1"/>
  <c r="M194" i="19" s="1"/>
  <c r="N194" i="19" s="1"/>
  <c r="R194" i="19" s="1"/>
  <c r="U74" i="21"/>
  <c r="U75" i="20"/>
  <c r="K38" i="19"/>
  <c r="L38" i="19" s="1"/>
  <c r="M38" i="19" s="1"/>
  <c r="N38" i="19" s="1"/>
  <c r="R38" i="19" s="1"/>
  <c r="U110" i="21"/>
  <c r="U111" i="20"/>
  <c r="K277" i="19"/>
  <c r="L277" i="19" s="1"/>
  <c r="M277" i="19" s="1"/>
  <c r="N277" i="19" s="1"/>
  <c r="R277" i="19" s="1"/>
  <c r="K70" i="19"/>
  <c r="L70" i="19" s="1"/>
  <c r="M70" i="19" s="1"/>
  <c r="N70" i="19" s="1"/>
  <c r="R70" i="19" s="1"/>
  <c r="K255" i="19"/>
  <c r="L255" i="19" s="1"/>
  <c r="M255" i="19" s="1"/>
  <c r="N255" i="19" s="1"/>
  <c r="R255" i="19" s="1"/>
  <c r="K218" i="19"/>
  <c r="L218" i="19" s="1"/>
  <c r="M218" i="19" s="1"/>
  <c r="N218" i="19" s="1"/>
  <c r="R218" i="19" s="1"/>
  <c r="L51" i="19"/>
  <c r="M51" i="19" s="1"/>
  <c r="N51" i="19" s="1"/>
  <c r="L80" i="21"/>
  <c r="L81" i="20"/>
  <c r="K242" i="19"/>
  <c r="L242" i="19" s="1"/>
  <c r="M242" i="19" s="1"/>
  <c r="N242" i="19" s="1"/>
  <c r="R242" i="19" s="1"/>
  <c r="L116" i="21"/>
  <c r="L117" i="20"/>
  <c r="K190" i="19"/>
  <c r="L190" i="19" s="1"/>
  <c r="M190" i="19" s="1"/>
  <c r="N190" i="19" s="1"/>
  <c r="R190" i="19" s="1"/>
  <c r="O53" i="21"/>
  <c r="O54" i="20"/>
  <c r="K156" i="19"/>
  <c r="O89" i="21"/>
  <c r="O90" i="20"/>
  <c r="K155" i="19"/>
  <c r="L155" i="19" s="1"/>
  <c r="M155" i="19" s="1"/>
  <c r="N155" i="19" s="1"/>
  <c r="R155" i="19" s="1"/>
  <c r="O125" i="21"/>
  <c r="O126" i="20"/>
  <c r="K300" i="19"/>
  <c r="L300" i="19" s="1"/>
  <c r="M300" i="19" s="1"/>
  <c r="N300" i="19" s="1"/>
  <c r="R300" i="19" s="1"/>
  <c r="R62" i="21"/>
  <c r="R63" i="20"/>
  <c r="K34" i="19"/>
  <c r="R98" i="21"/>
  <c r="R99" i="20"/>
  <c r="K195" i="19"/>
  <c r="L195" i="19" s="1"/>
  <c r="M195" i="19" s="1"/>
  <c r="N195" i="19" s="1"/>
  <c r="R195" i="19" s="1"/>
  <c r="U36" i="20"/>
  <c r="U35" i="21"/>
  <c r="K95" i="19"/>
  <c r="L95" i="19" s="1"/>
  <c r="M95" i="19" s="1"/>
  <c r="N95" i="19" s="1"/>
  <c r="R95" i="19" s="1"/>
  <c r="U71" i="21"/>
  <c r="U72" i="20"/>
  <c r="K145" i="19"/>
  <c r="L145" i="19" s="1"/>
  <c r="M145" i="19" s="1"/>
  <c r="N145" i="19" s="1"/>
  <c r="R145" i="19" s="1"/>
  <c r="U107" i="21"/>
  <c r="U108" i="20"/>
  <c r="K333" i="19"/>
  <c r="L333" i="19" s="1"/>
  <c r="M333" i="19" s="1"/>
  <c r="N333" i="19" s="1"/>
  <c r="R333" i="19" s="1"/>
  <c r="K7" i="19"/>
  <c r="L7" i="19" s="1"/>
  <c r="M7" i="19" s="1"/>
  <c r="N7" i="19" s="1"/>
  <c r="R7" i="19" s="1"/>
  <c r="K17" i="19"/>
  <c r="L17" i="19" s="1"/>
  <c r="M17" i="19" s="1"/>
  <c r="N17" i="19" s="1"/>
  <c r="R17" i="19" s="1"/>
  <c r="K39" i="19"/>
  <c r="L39" i="19" s="1"/>
  <c r="M39" i="19" s="1"/>
  <c r="N39" i="19" s="1"/>
  <c r="R39" i="19" s="1"/>
  <c r="K247" i="19"/>
  <c r="L247" i="19" s="1"/>
  <c r="M247" i="19" s="1"/>
  <c r="N247" i="19" s="1"/>
  <c r="R247" i="19" s="1"/>
  <c r="K202" i="19"/>
  <c r="L202" i="19" s="1"/>
  <c r="M202" i="19" s="1"/>
  <c r="N202" i="19" s="1"/>
  <c r="R202" i="19" s="1"/>
  <c r="K43" i="19"/>
  <c r="L43" i="19" s="1"/>
  <c r="M43" i="19" s="1"/>
  <c r="N43" i="19" s="1"/>
  <c r="O86" i="21"/>
  <c r="O87" i="20"/>
  <c r="K112" i="19"/>
  <c r="L112" i="19" s="1"/>
  <c r="M112" i="19" s="1"/>
  <c r="N112" i="19" s="1"/>
  <c r="R112" i="19" s="1"/>
  <c r="O122" i="21"/>
  <c r="O123" i="20"/>
  <c r="K272" i="19"/>
  <c r="R59" i="21"/>
  <c r="R60" i="20"/>
  <c r="K176" i="19"/>
  <c r="L176" i="19" s="1"/>
  <c r="M176" i="19" s="1"/>
  <c r="N176" i="19" s="1"/>
  <c r="R176" i="19" s="1"/>
  <c r="R95" i="21"/>
  <c r="R96" i="20"/>
  <c r="K315" i="19"/>
  <c r="L315" i="19" s="1"/>
  <c r="M315" i="19" s="1"/>
  <c r="N315" i="19" s="1"/>
  <c r="R315" i="19" s="1"/>
  <c r="K86" i="19"/>
  <c r="L86" i="19" s="1"/>
  <c r="M86" i="19" s="1"/>
  <c r="N86" i="19" s="1"/>
  <c r="R86" i="19" s="1"/>
  <c r="U68" i="21"/>
  <c r="U69" i="20"/>
  <c r="K117" i="19"/>
  <c r="L117" i="19" s="1"/>
  <c r="M117" i="19" s="1"/>
  <c r="N117" i="19" s="1"/>
  <c r="R117" i="19" s="1"/>
  <c r="U104" i="21"/>
  <c r="U105" i="20"/>
  <c r="L224" i="19"/>
  <c r="M224" i="19" s="1"/>
  <c r="N224" i="19" s="1"/>
  <c r="R224" i="19" s="1"/>
  <c r="K294" i="19"/>
  <c r="L294" i="19" s="1"/>
  <c r="M294" i="19" s="1"/>
  <c r="N294" i="19" s="1"/>
  <c r="L135" i="19"/>
  <c r="M135" i="19" s="1"/>
  <c r="N135" i="19" s="1"/>
  <c r="R128" i="21"/>
  <c r="R129" i="20"/>
  <c r="U65" i="21"/>
  <c r="U66" i="20"/>
  <c r="U101" i="21"/>
  <c r="U102" i="20"/>
  <c r="L279" i="19"/>
  <c r="M279" i="19" s="1"/>
  <c r="N279" i="19" s="1"/>
  <c r="M8" i="19"/>
  <c r="N8" i="19" s="1"/>
  <c r="M18" i="19"/>
  <c r="N18" i="19" s="1"/>
  <c r="R53" i="21"/>
  <c r="R54" i="20"/>
  <c r="K160" i="19"/>
  <c r="L160" i="19" s="1"/>
  <c r="M160" i="19" s="1"/>
  <c r="N160" i="19" s="1"/>
  <c r="R160" i="19" s="1"/>
  <c r="R89" i="21"/>
  <c r="R90" i="20"/>
  <c r="K158" i="19"/>
  <c r="L158" i="19" s="1"/>
  <c r="M158" i="19" s="1"/>
  <c r="N158" i="19" s="1"/>
  <c r="R125" i="21"/>
  <c r="R126" i="20"/>
  <c r="K313" i="19"/>
  <c r="L313" i="19" s="1"/>
  <c r="M313" i="19" s="1"/>
  <c r="N313" i="19" s="1"/>
  <c r="R313" i="19" s="1"/>
  <c r="U62" i="21"/>
  <c r="U63" i="20"/>
  <c r="K37" i="19"/>
  <c r="L37" i="19" s="1"/>
  <c r="M37" i="19" s="1"/>
  <c r="N37" i="19" s="1"/>
  <c r="R37" i="19" s="1"/>
  <c r="U98" i="21"/>
  <c r="U99" i="20"/>
  <c r="K198" i="19"/>
  <c r="L198" i="19" s="1"/>
  <c r="M198" i="19" s="1"/>
  <c r="N198" i="19" s="1"/>
  <c r="K94" i="19"/>
  <c r="L94" i="19" s="1"/>
  <c r="M94" i="19" s="1"/>
  <c r="N94" i="19" s="1"/>
  <c r="R94" i="19" s="1"/>
  <c r="K141" i="19"/>
  <c r="L141" i="19" s="1"/>
  <c r="M141" i="19" s="1"/>
  <c r="N141" i="19" s="1"/>
  <c r="R141" i="19" s="1"/>
  <c r="K334" i="19"/>
  <c r="L334" i="19" s="1"/>
  <c r="M334" i="19" s="1"/>
  <c r="N334" i="19" s="1"/>
  <c r="K282" i="19"/>
  <c r="L282" i="19" s="1"/>
  <c r="M282" i="19" s="1"/>
  <c r="N282" i="19" s="1"/>
  <c r="K19" i="19"/>
  <c r="L19" i="19" s="1"/>
  <c r="M19" i="19" s="1"/>
  <c r="N19" i="19" s="1"/>
  <c r="M20" i="19"/>
  <c r="N20" i="19" s="1"/>
  <c r="K169" i="19"/>
  <c r="L169" i="19" s="1"/>
  <c r="M169" i="19" s="1"/>
  <c r="N169" i="19" s="1"/>
  <c r="O113" i="21"/>
  <c r="O114" i="20"/>
  <c r="K301" i="19"/>
  <c r="L301" i="19" s="1"/>
  <c r="M301" i="19" s="1"/>
  <c r="N301" i="19" s="1"/>
  <c r="R301" i="19" s="1"/>
  <c r="R50" i="21"/>
  <c r="R51" i="20"/>
  <c r="K114" i="19"/>
  <c r="L114" i="19" s="1"/>
  <c r="M114" i="19" s="1"/>
  <c r="N114" i="19" s="1"/>
  <c r="R114" i="19" s="1"/>
  <c r="R86" i="21"/>
  <c r="R87" i="20"/>
  <c r="K115" i="19"/>
  <c r="L115" i="19" s="1"/>
  <c r="M115" i="19" s="1"/>
  <c r="N115" i="19" s="1"/>
  <c r="R115" i="19" s="1"/>
  <c r="R122" i="21"/>
  <c r="R123" i="20"/>
  <c r="K275" i="19"/>
  <c r="L275" i="19" s="1"/>
  <c r="M275" i="19" s="1"/>
  <c r="N275" i="19" s="1"/>
  <c r="R275" i="19" s="1"/>
  <c r="U59" i="21"/>
  <c r="U60" i="20"/>
  <c r="K175" i="19"/>
  <c r="L175" i="19" s="1"/>
  <c r="M175" i="19" s="1"/>
  <c r="N175" i="19" s="1"/>
  <c r="R175" i="19" s="1"/>
  <c r="U95" i="21"/>
  <c r="U96" i="20"/>
  <c r="K312" i="19"/>
  <c r="L312" i="19" s="1"/>
  <c r="M312" i="19" s="1"/>
  <c r="N312" i="19" s="1"/>
  <c r="K87" i="19"/>
  <c r="L87" i="19" s="1"/>
  <c r="M87" i="19" s="1"/>
  <c r="N87" i="19" s="1"/>
  <c r="R87" i="19" s="1"/>
  <c r="K120" i="19"/>
  <c r="L120" i="19" s="1"/>
  <c r="M120" i="19" s="1"/>
  <c r="N120" i="19" s="1"/>
  <c r="R120" i="19" s="1"/>
  <c r="K326" i="19"/>
  <c r="L326" i="19" s="1"/>
  <c r="M326" i="19" s="1"/>
  <c r="N326" i="19" s="1"/>
  <c r="K172" i="19"/>
  <c r="L172" i="19" s="1"/>
  <c r="M172" i="19" s="1"/>
  <c r="N172" i="19" s="1"/>
  <c r="J293" i="19"/>
  <c r="K293" i="19" s="1"/>
  <c r="L293" i="19" s="1"/>
  <c r="M293" i="19" s="1"/>
  <c r="N293" i="19" s="1"/>
  <c r="P31" i="19"/>
  <c r="Q31" i="19" s="1"/>
  <c r="L31" i="19" s="1"/>
  <c r="M31" i="19" s="1"/>
  <c r="N31" i="19" s="1"/>
  <c r="R31" i="19" s="1"/>
  <c r="P52" i="19"/>
  <c r="Q52" i="19" s="1"/>
  <c r="R52" i="19"/>
  <c r="P57" i="19"/>
  <c r="Q57" i="19" s="1"/>
  <c r="L57" i="19" s="1"/>
  <c r="M57" i="19" s="1"/>
  <c r="N57" i="19" s="1"/>
  <c r="R57" i="19" s="1"/>
  <c r="H611" i="21"/>
  <c r="K253" i="19"/>
  <c r="L253" i="19" s="1"/>
  <c r="M253" i="19" s="1"/>
  <c r="N253" i="19" s="1"/>
  <c r="K220" i="19"/>
  <c r="L220" i="19" s="1"/>
  <c r="M220" i="19" s="1"/>
  <c r="N220" i="19" s="1"/>
  <c r="K168" i="19"/>
  <c r="L168" i="19" s="1"/>
  <c r="M168" i="19" s="1"/>
  <c r="N168" i="19" s="1"/>
  <c r="K283" i="19"/>
  <c r="L283" i="19" s="1"/>
  <c r="M283" i="19" s="1"/>
  <c r="N283" i="19" s="1"/>
  <c r="L133" i="19"/>
  <c r="M133" i="19" s="1"/>
  <c r="N133" i="19" s="1"/>
  <c r="P1" i="19"/>
  <c r="Q1" i="19" s="1"/>
  <c r="P171" i="19"/>
  <c r="Q171" i="19" s="1"/>
  <c r="L171" i="19" s="1"/>
  <c r="M171" i="19" s="1"/>
  <c r="N171" i="19" s="1"/>
  <c r="R171" i="19"/>
  <c r="K42" i="19"/>
  <c r="L42" i="19" s="1"/>
  <c r="M42" i="19" s="1"/>
  <c r="N42" i="19" s="1"/>
  <c r="K249" i="19"/>
  <c r="L249" i="19" s="1"/>
  <c r="M249" i="19" s="1"/>
  <c r="N249" i="19" s="1"/>
  <c r="K201" i="19"/>
  <c r="L201" i="19" s="1"/>
  <c r="M201" i="19" s="1"/>
  <c r="N201" i="19" s="1"/>
  <c r="K134" i="19"/>
  <c r="K136" i="19"/>
  <c r="L136" i="19" s="1"/>
  <c r="M136" i="19" s="1"/>
  <c r="N136" i="19" s="1"/>
  <c r="K316" i="19"/>
  <c r="L316" i="19" s="1"/>
  <c r="M316" i="19" s="1"/>
  <c r="N316" i="19" s="1"/>
  <c r="K132" i="19"/>
  <c r="L132" i="19" s="1"/>
  <c r="M132" i="19" s="1"/>
  <c r="N132" i="19" s="1"/>
  <c r="K288" i="19"/>
  <c r="L288" i="19" s="1"/>
  <c r="M288" i="19" s="1"/>
  <c r="N288" i="19" s="1"/>
  <c r="P69" i="19"/>
  <c r="Q69" i="19" s="1"/>
  <c r="R69" i="19"/>
  <c r="R125" i="19"/>
  <c r="P125" i="19"/>
  <c r="Q125" i="19" s="1"/>
  <c r="P153" i="19"/>
  <c r="Q153" i="19" s="1"/>
  <c r="R53" i="19"/>
  <c r="P53" i="19"/>
  <c r="Q53" i="19" s="1"/>
  <c r="L53" i="19" s="1"/>
  <c r="M53" i="19" s="1"/>
  <c r="N53" i="19" s="1"/>
  <c r="P76" i="19"/>
  <c r="Q76" i="19" s="1"/>
  <c r="R76" i="19"/>
  <c r="L76" i="19"/>
  <c r="M76" i="19" s="1"/>
  <c r="N76" i="19" s="1"/>
  <c r="L212" i="19"/>
  <c r="M212" i="19" s="1"/>
  <c r="N212" i="19" s="1"/>
  <c r="L48" i="19"/>
  <c r="M48" i="19" s="1"/>
  <c r="N48" i="19" s="1"/>
  <c r="P29" i="19"/>
  <c r="Q29" i="19" s="1"/>
  <c r="R29" i="19"/>
  <c r="P34" i="19"/>
  <c r="Q34" i="19" s="1"/>
  <c r="K79" i="19"/>
  <c r="L79" i="19" s="1"/>
  <c r="M79" i="19" s="1"/>
  <c r="N79" i="19" s="1"/>
  <c r="K93" i="19"/>
  <c r="K138" i="19"/>
  <c r="L138" i="19" s="1"/>
  <c r="M138" i="19" s="1"/>
  <c r="N138" i="19" s="1"/>
  <c r="K335" i="19"/>
  <c r="L335" i="19" s="1"/>
  <c r="M335" i="19" s="1"/>
  <c r="N335" i="19" s="1"/>
  <c r="K45" i="19"/>
  <c r="L45" i="19" s="1"/>
  <c r="M45" i="19" s="1"/>
  <c r="N45" i="19" s="1"/>
  <c r="K248" i="19"/>
  <c r="L248" i="19" s="1"/>
  <c r="M248" i="19" s="1"/>
  <c r="N248" i="19" s="1"/>
  <c r="K205" i="19"/>
  <c r="L205" i="19" s="1"/>
  <c r="M205" i="19" s="1"/>
  <c r="N205" i="19" s="1"/>
  <c r="K215" i="19"/>
  <c r="L215" i="19" s="1"/>
  <c r="M215" i="19" s="1"/>
  <c r="N215" i="19" s="1"/>
  <c r="R36" i="19"/>
  <c r="P135" i="19"/>
  <c r="Q135" i="19" s="1"/>
  <c r="R135" i="19"/>
  <c r="K88" i="19"/>
  <c r="K123" i="19"/>
  <c r="L123" i="19" s="1"/>
  <c r="M123" i="19" s="1"/>
  <c r="N123" i="19" s="1"/>
  <c r="K328" i="19"/>
  <c r="L328" i="19" s="1"/>
  <c r="M328" i="19" s="1"/>
  <c r="N328" i="19" s="1"/>
  <c r="K213" i="19"/>
  <c r="L213" i="19" s="1"/>
  <c r="M213" i="19" s="1"/>
  <c r="N213" i="19" s="1"/>
  <c r="K78" i="19"/>
  <c r="L78" i="19" s="1"/>
  <c r="M78" i="19" s="1"/>
  <c r="N78" i="19" s="1"/>
  <c r="K317" i="19"/>
  <c r="L317" i="19" s="1"/>
  <c r="M317" i="19" s="1"/>
  <c r="N317" i="19" s="1"/>
  <c r="K251" i="19"/>
  <c r="L251" i="19" s="1"/>
  <c r="M251" i="19" s="1"/>
  <c r="N251" i="19" s="1"/>
  <c r="K214" i="19"/>
  <c r="L214" i="19" s="1"/>
  <c r="M214" i="19" s="1"/>
  <c r="N214" i="19" s="1"/>
  <c r="L206" i="19"/>
  <c r="M206" i="19" s="1"/>
  <c r="N206" i="19" s="1"/>
  <c r="L290" i="19"/>
  <c r="M290" i="19" s="1"/>
  <c r="N290" i="19" s="1"/>
  <c r="P12" i="19"/>
  <c r="Q12" i="19" s="1"/>
  <c r="P17" i="19"/>
  <c r="Q17" i="19" s="1"/>
  <c r="P65" i="19"/>
  <c r="Q65" i="19" s="1"/>
  <c r="L65" i="19" s="1"/>
  <c r="M65" i="19" s="1"/>
  <c r="N65" i="19" s="1"/>
  <c r="R65" i="19" s="1"/>
  <c r="K89" i="19"/>
  <c r="L89" i="19" s="1"/>
  <c r="M89" i="19" s="1"/>
  <c r="N89" i="19" s="1"/>
  <c r="K125" i="19"/>
  <c r="K329" i="19"/>
  <c r="K90" i="19"/>
  <c r="K318" i="19"/>
  <c r="L318" i="19" s="1"/>
  <c r="M318" i="19" s="1"/>
  <c r="N318" i="19" s="1"/>
  <c r="P30" i="19"/>
  <c r="Q30" i="19" s="1"/>
  <c r="K50" i="19"/>
  <c r="L50" i="19" s="1"/>
  <c r="M50" i="19" s="1"/>
  <c r="N50" i="19" s="1"/>
  <c r="P196" i="19"/>
  <c r="Q196" i="19" s="1"/>
  <c r="L196" i="19" s="1"/>
  <c r="M196" i="19" s="1"/>
  <c r="N196" i="19" s="1"/>
  <c r="R196" i="19" s="1"/>
  <c r="L77" i="19"/>
  <c r="M77" i="19" s="1"/>
  <c r="N77" i="19" s="1"/>
  <c r="R51" i="19"/>
  <c r="P51" i="19"/>
  <c r="Q51" i="19" s="1"/>
  <c r="P64" i="19"/>
  <c r="Q64" i="19" s="1"/>
  <c r="P260" i="19"/>
  <c r="Q260" i="19" s="1"/>
  <c r="R28" i="19"/>
  <c r="P156" i="19"/>
  <c r="Q156" i="19" s="1"/>
  <c r="P266" i="19"/>
  <c r="Q266" i="19" s="1"/>
  <c r="F638" i="20"/>
  <c r="AJ141" i="20" s="1"/>
  <c r="K319" i="19"/>
  <c r="L319" i="19" s="1"/>
  <c r="M319" i="19" s="1"/>
  <c r="N319" i="19" s="1"/>
  <c r="R10" i="19"/>
  <c r="P10" i="19"/>
  <c r="Q10" i="19" s="1"/>
  <c r="L10" i="19" s="1"/>
  <c r="M10" i="19" s="1"/>
  <c r="N10" i="19" s="1"/>
  <c r="P54" i="19"/>
  <c r="Q54" i="19" s="1"/>
  <c r="P90" i="19"/>
  <c r="Q90" i="19" s="1"/>
  <c r="R108" i="19"/>
  <c r="P120" i="19"/>
  <c r="Q120" i="19" s="1"/>
  <c r="R45" i="19"/>
  <c r="P45" i="19"/>
  <c r="Q45" i="19" s="1"/>
  <c r="P105" i="19"/>
  <c r="Q105" i="19" s="1"/>
  <c r="L105" i="19" s="1"/>
  <c r="M105" i="19" s="1"/>
  <c r="N105" i="19" s="1"/>
  <c r="R105" i="19" s="1"/>
  <c r="R154" i="19"/>
  <c r="R204" i="19"/>
  <c r="P204" i="19"/>
  <c r="Q204" i="19" s="1"/>
  <c r="P236" i="19"/>
  <c r="Q236" i="19" s="1"/>
  <c r="K340" i="19"/>
  <c r="L340" i="19" s="1"/>
  <c r="M340" i="19" s="1"/>
  <c r="N340" i="19" s="1"/>
  <c r="R74" i="19"/>
  <c r="P74" i="19"/>
  <c r="Q74" i="19" s="1"/>
  <c r="P102" i="19"/>
  <c r="Q102" i="19" s="1"/>
  <c r="P134" i="19"/>
  <c r="Q134" i="19" s="1"/>
  <c r="R134" i="19"/>
  <c r="P167" i="19"/>
  <c r="Q167" i="19" s="1"/>
  <c r="L167" i="19" s="1"/>
  <c r="M167" i="19" s="1"/>
  <c r="N167" i="19" s="1"/>
  <c r="R167" i="19" s="1"/>
  <c r="J597" i="20"/>
  <c r="K330" i="19"/>
  <c r="L330" i="19" s="1"/>
  <c r="M330" i="19" s="1"/>
  <c r="N330" i="19" s="1"/>
  <c r="P48" i="19"/>
  <c r="Q48" i="19" s="1"/>
  <c r="P88" i="19"/>
  <c r="Q88" i="19" s="1"/>
  <c r="R88" i="19"/>
  <c r="R139" i="19"/>
  <c r="P4" i="19"/>
  <c r="Q4" i="19" s="1"/>
  <c r="R22" i="19"/>
  <c r="P39" i="19"/>
  <c r="Q39" i="19" s="1"/>
  <c r="R84" i="19"/>
  <c r="R170" i="19"/>
  <c r="P170" i="19"/>
  <c r="Q170" i="19" s="1"/>
  <c r="L170" i="19" s="1"/>
  <c r="M170" i="19" s="1"/>
  <c r="N170" i="19" s="1"/>
  <c r="R198" i="19"/>
  <c r="R205" i="19"/>
  <c r="P205" i="19"/>
  <c r="Q205" i="19" s="1"/>
  <c r="R104" i="19"/>
  <c r="R116" i="19"/>
  <c r="P116" i="19"/>
  <c r="Q116" i="19" s="1"/>
  <c r="L116" i="19" s="1"/>
  <c r="M116" i="19" s="1"/>
  <c r="N116" i="19" s="1"/>
  <c r="P124" i="19"/>
  <c r="Q124" i="19" s="1"/>
  <c r="R124" i="19"/>
  <c r="P220" i="19"/>
  <c r="Q220" i="19" s="1"/>
  <c r="R220" i="19"/>
  <c r="R140" i="19"/>
  <c r="P140" i="19"/>
  <c r="Q140" i="19" s="1"/>
  <c r="P195" i="19"/>
  <c r="Q195" i="19" s="1"/>
  <c r="P16" i="19"/>
  <c r="Q16" i="19" s="1"/>
  <c r="L16" i="19" s="1"/>
  <c r="M16" i="19" s="1"/>
  <c r="N16" i="19" s="1"/>
  <c r="R16" i="19" s="1"/>
  <c r="P238" i="19"/>
  <c r="Q238" i="19" s="1"/>
  <c r="P183" i="19"/>
  <c r="Q183" i="19" s="1"/>
  <c r="L183" i="19" s="1"/>
  <c r="M183" i="19" s="1"/>
  <c r="N183" i="19" s="1"/>
  <c r="R183" i="19"/>
  <c r="P206" i="19"/>
  <c r="Q206" i="19" s="1"/>
  <c r="R206" i="19"/>
  <c r="R293" i="19"/>
  <c r="P293" i="19"/>
  <c r="Q293" i="19" s="1"/>
  <c r="R68" i="19"/>
  <c r="R98" i="19"/>
  <c r="P99" i="19"/>
  <c r="Q99" i="19" s="1"/>
  <c r="R207" i="19"/>
  <c r="R225" i="19"/>
  <c r="H609" i="20"/>
  <c r="P155" i="19"/>
  <c r="Q155" i="19" s="1"/>
  <c r="P209" i="19"/>
  <c r="Q209" i="19" s="1"/>
  <c r="L209" i="19" s="1"/>
  <c r="M209" i="19" s="1"/>
  <c r="N209" i="19" s="1"/>
  <c r="P212" i="19"/>
  <c r="Q212" i="19" s="1"/>
  <c r="P233" i="19"/>
  <c r="Q233" i="19" s="1"/>
  <c r="P240" i="19"/>
  <c r="Q240" i="19" s="1"/>
  <c r="P273" i="19"/>
  <c r="Q273" i="19" s="1"/>
  <c r="L273" i="19" s="1"/>
  <c r="M273" i="19" s="1"/>
  <c r="N273" i="19" s="1"/>
  <c r="R273" i="19" s="1"/>
  <c r="P279" i="19"/>
  <c r="Q279" i="19" s="1"/>
  <c r="R279" i="19"/>
  <c r="K606" i="20"/>
  <c r="W50" i="20"/>
  <c r="V50" i="20"/>
  <c r="R106" i="19"/>
  <c r="R158" i="19"/>
  <c r="R211" i="19"/>
  <c r="P211" i="19"/>
  <c r="Q211" i="19" s="1"/>
  <c r="L211" i="19" s="1"/>
  <c r="M211" i="19" s="1"/>
  <c r="N211" i="19" s="1"/>
  <c r="P224" i="19"/>
  <c r="Q224" i="19" s="1"/>
  <c r="R281" i="19"/>
  <c r="P197" i="19"/>
  <c r="Q197" i="19" s="1"/>
  <c r="L197" i="19" s="1"/>
  <c r="M197" i="19" s="1"/>
  <c r="N197" i="19" s="1"/>
  <c r="R197" i="19" s="1"/>
  <c r="P221" i="19"/>
  <c r="Q221" i="19" s="1"/>
  <c r="R221" i="19"/>
  <c r="P267" i="19"/>
  <c r="Q267" i="19" s="1"/>
  <c r="L267" i="19" s="1"/>
  <c r="M267" i="19" s="1"/>
  <c r="N267" i="19" s="1"/>
  <c r="R267" i="19" s="1"/>
  <c r="R269" i="19"/>
  <c r="P310" i="19"/>
  <c r="Q310" i="19" s="1"/>
  <c r="R93" i="19"/>
  <c r="P93" i="19"/>
  <c r="Q93" i="19" s="1"/>
  <c r="R110" i="19"/>
  <c r="P111" i="19"/>
  <c r="Q111" i="19" s="1"/>
  <c r="R121" i="19"/>
  <c r="P121" i="19"/>
  <c r="Q121" i="19" s="1"/>
  <c r="R152" i="19"/>
  <c r="R168" i="19"/>
  <c r="P168" i="19"/>
  <c r="Q168" i="19" s="1"/>
  <c r="R182" i="19"/>
  <c r="P184" i="19"/>
  <c r="Q184" i="19" s="1"/>
  <c r="R228" i="19"/>
  <c r="P228" i="19"/>
  <c r="Q228" i="19" s="1"/>
  <c r="R280" i="19"/>
  <c r="P280" i="19"/>
  <c r="Q280" i="19" s="1"/>
  <c r="R262" i="19"/>
  <c r="P297" i="19"/>
  <c r="Q297" i="19" s="1"/>
  <c r="L297" i="19" s="1"/>
  <c r="M297" i="19" s="1"/>
  <c r="N297" i="19" s="1"/>
  <c r="R297" i="19" s="1"/>
  <c r="K592" i="20"/>
  <c r="P272" i="19"/>
  <c r="Q272" i="19" s="1"/>
  <c r="R276" i="19"/>
  <c r="R290" i="19"/>
  <c r="P290" i="19"/>
  <c r="Q290" i="19" s="1"/>
  <c r="P296" i="19"/>
  <c r="Q296" i="19" s="1"/>
  <c r="L296" i="19" s="1"/>
  <c r="M296" i="19" s="1"/>
  <c r="N296" i="19" s="1"/>
  <c r="R296" i="19" s="1"/>
  <c r="P303" i="19"/>
  <c r="Q303" i="19" s="1"/>
  <c r="L303" i="19" s="1"/>
  <c r="M303" i="19" s="1"/>
  <c r="N303" i="19" s="1"/>
  <c r="R303" i="19" s="1"/>
  <c r="P305" i="19"/>
  <c r="Q305" i="19" s="1"/>
  <c r="P329" i="19"/>
  <c r="Q329" i="19" s="1"/>
  <c r="R329" i="19"/>
  <c r="I600" i="20"/>
  <c r="F612" i="20"/>
  <c r="I626" i="20"/>
  <c r="P322" i="19"/>
  <c r="Q322" i="19" s="1"/>
  <c r="J591" i="20"/>
  <c r="H603" i="20"/>
  <c r="AJ41" i="20" s="1"/>
  <c r="G41" i="20" s="1"/>
  <c r="M41" i="20"/>
  <c r="R320" i="19"/>
  <c r="P320" i="19"/>
  <c r="Q320" i="19" s="1"/>
  <c r="R146" i="19"/>
  <c r="R217" i="19"/>
  <c r="P217" i="19"/>
  <c r="Q217" i="19" s="1"/>
  <c r="L217" i="19" s="1"/>
  <c r="M217" i="19" s="1"/>
  <c r="N217" i="19" s="1"/>
  <c r="P287" i="19"/>
  <c r="Q287" i="19" s="1"/>
  <c r="L287" i="19" s="1"/>
  <c r="M287" i="19" s="1"/>
  <c r="N287" i="19" s="1"/>
  <c r="R292" i="19"/>
  <c r="P292" i="19"/>
  <c r="Q292" i="19" s="1"/>
  <c r="L292" i="19" s="1"/>
  <c r="M292" i="19" s="1"/>
  <c r="N292" i="19" s="1"/>
  <c r="P311" i="19"/>
  <c r="Q311" i="19" s="1"/>
  <c r="P332" i="19"/>
  <c r="Q332" i="19" s="1"/>
  <c r="L332" i="19" s="1"/>
  <c r="M332" i="19" s="1"/>
  <c r="N332" i="19" s="1"/>
  <c r="R332" i="19" s="1"/>
  <c r="K608" i="21"/>
  <c r="R188" i="19"/>
  <c r="K610" i="20"/>
  <c r="AJ62" i="20" s="1"/>
  <c r="P302" i="19"/>
  <c r="Q302" i="19" s="1"/>
  <c r="R306" i="19"/>
  <c r="K630" i="20"/>
  <c r="R268" i="19"/>
  <c r="P278" i="19"/>
  <c r="Q278" i="19" s="1"/>
  <c r="L278" i="19" s="1"/>
  <c r="M278" i="19" s="1"/>
  <c r="N278" i="19" s="1"/>
  <c r="R278" i="19" s="1"/>
  <c r="R308" i="19"/>
  <c r="H598" i="20"/>
  <c r="AJ29" i="20" s="1"/>
  <c r="M29" i="20"/>
  <c r="F594" i="20"/>
  <c r="H21" i="20"/>
  <c r="F596" i="20"/>
  <c r="AJ25" i="20" s="1"/>
  <c r="G25" i="20" s="1"/>
  <c r="G605" i="20"/>
  <c r="AJ47" i="20" s="1"/>
  <c r="F615" i="20"/>
  <c r="K618" i="20"/>
  <c r="J626" i="20"/>
  <c r="J593" i="21"/>
  <c r="G607" i="21"/>
  <c r="I640" i="21"/>
  <c r="I133" i="21"/>
  <c r="I134" i="20"/>
  <c r="G21" i="20"/>
  <c r="M35" i="20"/>
  <c r="I614" i="20"/>
  <c r="I631" i="20"/>
  <c r="I637" i="20"/>
  <c r="P314" i="19"/>
  <c r="Q314" i="19" s="1"/>
  <c r="G596" i="20"/>
  <c r="J25" i="20"/>
  <c r="F599" i="20"/>
  <c r="H31" i="20"/>
  <c r="G31" i="20"/>
  <c r="G620" i="20"/>
  <c r="F639" i="20"/>
  <c r="H599" i="20"/>
  <c r="P338" i="19"/>
  <c r="Q338" i="19" s="1"/>
  <c r="J593" i="20"/>
  <c r="S23" i="20"/>
  <c r="J607" i="20"/>
  <c r="AJ53" i="20" s="1"/>
  <c r="K623" i="20"/>
  <c r="R254" i="19"/>
  <c r="F591" i="20"/>
  <c r="I596" i="20"/>
  <c r="P25" i="20"/>
  <c r="G610" i="20"/>
  <c r="K614" i="20"/>
  <c r="I620" i="20"/>
  <c r="G625" i="20"/>
  <c r="R334" i="19"/>
  <c r="R335" i="19"/>
  <c r="H602" i="20"/>
  <c r="K605" i="20"/>
  <c r="G606" i="20"/>
  <c r="G71" i="20"/>
  <c r="G80" i="20"/>
  <c r="J628" i="20"/>
  <c r="I597" i="21"/>
  <c r="H592" i="20"/>
  <c r="H608" i="20"/>
  <c r="J617" i="20"/>
  <c r="J620" i="20"/>
  <c r="F622" i="20"/>
  <c r="H625" i="20"/>
  <c r="F630" i="20"/>
  <c r="L594" i="21"/>
  <c r="G23" i="20"/>
  <c r="K596" i="20"/>
  <c r="H597" i="20"/>
  <c r="I599" i="20"/>
  <c r="F611" i="20"/>
  <c r="K612" i="20"/>
  <c r="G618" i="20"/>
  <c r="K597" i="21"/>
  <c r="V24" i="21"/>
  <c r="F170" i="20"/>
  <c r="F174" i="20"/>
  <c r="G113" i="20"/>
  <c r="G44" i="20"/>
  <c r="F166" i="20"/>
  <c r="F178" i="20"/>
  <c r="G128" i="20"/>
  <c r="G131" i="20"/>
  <c r="G29" i="20"/>
  <c r="F609" i="20"/>
  <c r="G611" i="20"/>
  <c r="I634" i="20"/>
  <c r="G641" i="20"/>
  <c r="M609" i="21"/>
  <c r="AC55" i="21"/>
  <c r="AB55" i="21"/>
  <c r="R326" i="19"/>
  <c r="P326" i="19"/>
  <c r="Q326" i="19" s="1"/>
  <c r="F593" i="20"/>
  <c r="J602" i="20"/>
  <c r="H618" i="20"/>
  <c r="S95" i="20"/>
  <c r="I630" i="20"/>
  <c r="I635" i="20"/>
  <c r="J640" i="20"/>
  <c r="H641" i="20"/>
  <c r="F616" i="21"/>
  <c r="I608" i="20"/>
  <c r="F614" i="20"/>
  <c r="H74" i="20"/>
  <c r="G617" i="20"/>
  <c r="AJ83" i="20" s="1"/>
  <c r="H624" i="20"/>
  <c r="AJ104" i="20" s="1"/>
  <c r="J631" i="20"/>
  <c r="K632" i="20"/>
  <c r="AJ139" i="20"/>
  <c r="G139" i="20" s="1"/>
  <c r="G606" i="21"/>
  <c r="AJ46" i="21" s="1"/>
  <c r="V46" i="21" s="1"/>
  <c r="J46" i="21"/>
  <c r="K594" i="20"/>
  <c r="G33" i="20"/>
  <c r="K602" i="20"/>
  <c r="J608" i="20"/>
  <c r="G74" i="20"/>
  <c r="V95" i="20"/>
  <c r="I625" i="20"/>
  <c r="P137" i="20"/>
  <c r="J638" i="20"/>
  <c r="G615" i="20"/>
  <c r="L599" i="21"/>
  <c r="Q61" i="21"/>
  <c r="P61" i="21"/>
  <c r="I611" i="21"/>
  <c r="G634" i="21"/>
  <c r="P598" i="22"/>
  <c r="AF22" i="22"/>
  <c r="AE22" i="22"/>
  <c r="AA22" i="21"/>
  <c r="K593" i="20"/>
  <c r="P29" i="20"/>
  <c r="J599" i="20"/>
  <c r="V33" i="20"/>
  <c r="F602" i="20"/>
  <c r="H38" i="20"/>
  <c r="G614" i="20"/>
  <c r="H617" i="20"/>
  <c r="I624" i="20"/>
  <c r="F628" i="20"/>
  <c r="G630" i="20"/>
  <c r="I604" i="20"/>
  <c r="AJ44" i="20" s="1"/>
  <c r="P44" i="20" s="1"/>
  <c r="K595" i="21"/>
  <c r="F602" i="21"/>
  <c r="AJ58" i="21"/>
  <c r="P58" i="21" s="1"/>
  <c r="AC67" i="21"/>
  <c r="M613" i="21"/>
  <c r="AB67" i="21"/>
  <c r="G593" i="20"/>
  <c r="K19" i="20"/>
  <c r="M25" i="20"/>
  <c r="G38" i="20"/>
  <c r="J609" i="20"/>
  <c r="H615" i="20"/>
  <c r="K638" i="20"/>
  <c r="F640" i="20"/>
  <c r="K591" i="20"/>
  <c r="I634" i="21"/>
  <c r="J19" i="20"/>
  <c r="J33" i="20"/>
  <c r="F608" i="20"/>
  <c r="K608" i="20"/>
  <c r="I611" i="20"/>
  <c r="I612" i="20"/>
  <c r="M71" i="20"/>
  <c r="G621" i="20"/>
  <c r="AJ95" i="20" s="1"/>
  <c r="G95" i="20" s="1"/>
  <c r="K625" i="20"/>
  <c r="F626" i="20"/>
  <c r="AJ110" i="20" s="1"/>
  <c r="G628" i="20"/>
  <c r="G632" i="20"/>
  <c r="AJ128" i="20" s="1"/>
  <c r="J128" i="20" s="1"/>
  <c r="M139" i="20"/>
  <c r="G640" i="20"/>
  <c r="W147" i="20"/>
  <c r="K641" i="20"/>
  <c r="I618" i="20"/>
  <c r="J600" i="21"/>
  <c r="L616" i="21"/>
  <c r="H591" i="20"/>
  <c r="I606" i="20"/>
  <c r="J611" i="20"/>
  <c r="J615" i="20"/>
  <c r="K619" i="20"/>
  <c r="AJ89" i="20" s="1"/>
  <c r="V89" i="20"/>
  <c r="H621" i="20"/>
  <c r="M95" i="20"/>
  <c r="G626" i="20"/>
  <c r="J110" i="20"/>
  <c r="I629" i="20"/>
  <c r="F634" i="20"/>
  <c r="H133" i="20"/>
  <c r="G133" i="20"/>
  <c r="AJ137" i="20"/>
  <c r="G137" i="20" s="1"/>
  <c r="J639" i="20"/>
  <c r="I594" i="20"/>
  <c r="F597" i="20"/>
  <c r="K597" i="20"/>
  <c r="F625" i="20"/>
  <c r="G631" i="20"/>
  <c r="AJ125" i="20" s="1"/>
  <c r="S125" i="20" s="1"/>
  <c r="G629" i="20"/>
  <c r="M598" i="21"/>
  <c r="AC26" i="21"/>
  <c r="AB26" i="21"/>
  <c r="L608" i="21"/>
  <c r="AC103" i="21"/>
  <c r="M625" i="21"/>
  <c r="AB103" i="21"/>
  <c r="P23" i="20"/>
  <c r="J614" i="20"/>
  <c r="K617" i="20"/>
  <c r="J623" i="20"/>
  <c r="J635" i="20"/>
  <c r="J637" i="20"/>
  <c r="S139" i="20"/>
  <c r="F641" i="20"/>
  <c r="H605" i="20"/>
  <c r="G613" i="21"/>
  <c r="J622" i="20"/>
  <c r="F600" i="20"/>
  <c r="AJ33" i="20" s="1"/>
  <c r="P33" i="20" s="1"/>
  <c r="F606" i="20"/>
  <c r="L593" i="21"/>
  <c r="L601" i="21"/>
  <c r="M612" i="21"/>
  <c r="AC64" i="21"/>
  <c r="AB64" i="21"/>
  <c r="H613" i="21"/>
  <c r="G609" i="20"/>
  <c r="F597" i="21"/>
  <c r="AJ24" i="21" s="1"/>
  <c r="G24" i="21" s="1"/>
  <c r="M601" i="21"/>
  <c r="AC32" i="21"/>
  <c r="AB32" i="21"/>
  <c r="G619" i="21"/>
  <c r="AC134" i="21"/>
  <c r="M636" i="21"/>
  <c r="AB134" i="21"/>
  <c r="J629" i="20"/>
  <c r="G638" i="20"/>
  <c r="I603" i="20"/>
  <c r="AJ15" i="21"/>
  <c r="S15" i="21" s="1"/>
  <c r="J602" i="21"/>
  <c r="K604" i="21"/>
  <c r="AJ40" i="21" s="1"/>
  <c r="M40" i="21" s="1"/>
  <c r="J606" i="21"/>
  <c r="AJ91" i="21"/>
  <c r="S91" i="21" s="1"/>
  <c r="G86" i="20"/>
  <c r="V98" i="20"/>
  <c r="V104" i="20"/>
  <c r="F629" i="20"/>
  <c r="AJ119" i="20" s="1"/>
  <c r="G119" i="20" s="1"/>
  <c r="G125" i="20"/>
  <c r="G592" i="21"/>
  <c r="AJ12" i="21" s="1"/>
  <c r="J12" i="21" s="1"/>
  <c r="G594" i="21"/>
  <c r="K18" i="21"/>
  <c r="AC94" i="21"/>
  <c r="AB94" i="21"/>
  <c r="M622" i="21"/>
  <c r="H628" i="20"/>
  <c r="J595" i="21"/>
  <c r="F596" i="21"/>
  <c r="K602" i="21"/>
  <c r="L632" i="21"/>
  <c r="L611" i="22"/>
  <c r="H616" i="20"/>
  <c r="AJ80" i="20" s="1"/>
  <c r="P80" i="20" s="1"/>
  <c r="H635" i="20"/>
  <c r="H600" i="21"/>
  <c r="AC34" i="21"/>
  <c r="M602" i="21"/>
  <c r="AB34" i="21"/>
  <c r="F603" i="21"/>
  <c r="H37" i="21"/>
  <c r="M606" i="21"/>
  <c r="AC46" i="21"/>
  <c r="AB46" i="21"/>
  <c r="I609" i="21"/>
  <c r="I618" i="21"/>
  <c r="K619" i="21"/>
  <c r="F620" i="21"/>
  <c r="H634" i="20"/>
  <c r="J641" i="20"/>
  <c r="M15" i="21"/>
  <c r="J594" i="21"/>
  <c r="M595" i="21"/>
  <c r="AC20" i="21"/>
  <c r="AB20" i="21"/>
  <c r="I608" i="21"/>
  <c r="J631" i="21"/>
  <c r="AJ121" i="21" s="1"/>
  <c r="I607" i="21"/>
  <c r="I612" i="21"/>
  <c r="L622" i="21"/>
  <c r="AB127" i="21"/>
  <c r="AC127" i="21"/>
  <c r="M633" i="21"/>
  <c r="L618" i="21"/>
  <c r="N596" i="22"/>
  <c r="F595" i="21"/>
  <c r="H20" i="21"/>
  <c r="G20" i="21"/>
  <c r="I598" i="21"/>
  <c r="N32" i="21"/>
  <c r="M32" i="21"/>
  <c r="K603" i="21"/>
  <c r="L605" i="21"/>
  <c r="I615" i="21"/>
  <c r="F618" i="21"/>
  <c r="L624" i="21"/>
  <c r="AC144" i="21"/>
  <c r="M641" i="21"/>
  <c r="AB144" i="21"/>
  <c r="I593" i="21"/>
  <c r="Q598" i="22"/>
  <c r="AH22" i="22"/>
  <c r="AI22" i="22"/>
  <c r="G603" i="21"/>
  <c r="J607" i="21"/>
  <c r="G611" i="21"/>
  <c r="AJ61" i="21" s="1"/>
  <c r="M61" i="21" s="1"/>
  <c r="K612" i="21"/>
  <c r="G636" i="21"/>
  <c r="AJ134" i="21" s="1"/>
  <c r="I598" i="22"/>
  <c r="S12" i="21"/>
  <c r="AB15" i="21"/>
  <c r="M594" i="21"/>
  <c r="AC18" i="21"/>
  <c r="AB18" i="21"/>
  <c r="L597" i="21"/>
  <c r="AB28" i="21"/>
  <c r="G30" i="21"/>
  <c r="K600" i="21"/>
  <c r="J609" i="21"/>
  <c r="I613" i="21"/>
  <c r="H621" i="21"/>
  <c r="M91" i="21"/>
  <c r="G625" i="21"/>
  <c r="F635" i="21"/>
  <c r="G132" i="21"/>
  <c r="H132" i="21"/>
  <c r="F638" i="21"/>
  <c r="F641" i="21"/>
  <c r="H601" i="21"/>
  <c r="AJ32" i="21" s="1"/>
  <c r="P32" i="21" s="1"/>
  <c r="J619" i="21"/>
  <c r="G12" i="21"/>
  <c r="AC15" i="21"/>
  <c r="AC28" i="21"/>
  <c r="H605" i="21"/>
  <c r="Y64" i="21"/>
  <c r="L612" i="21"/>
  <c r="J613" i="21"/>
  <c r="H614" i="21"/>
  <c r="H616" i="21"/>
  <c r="F619" i="21"/>
  <c r="H85" i="21"/>
  <c r="P91" i="21"/>
  <c r="K629" i="21"/>
  <c r="H633" i="21"/>
  <c r="L625" i="21"/>
  <c r="H642" i="21"/>
  <c r="J597" i="22"/>
  <c r="I594" i="21"/>
  <c r="H597" i="21"/>
  <c r="AB24" i="21"/>
  <c r="G600" i="21"/>
  <c r="H608" i="21"/>
  <c r="Z64" i="21"/>
  <c r="F617" i="21"/>
  <c r="H618" i="21"/>
  <c r="G85" i="21"/>
  <c r="AB85" i="21"/>
  <c r="H622" i="21"/>
  <c r="F632" i="21"/>
  <c r="W146" i="21"/>
  <c r="K642" i="21"/>
  <c r="V146" i="21"/>
  <c r="I596" i="22"/>
  <c r="J636" i="21"/>
  <c r="H641" i="21"/>
  <c r="M595" i="22"/>
  <c r="K613" i="22"/>
  <c r="K596" i="21"/>
  <c r="J599" i="21"/>
  <c r="J611" i="21"/>
  <c r="H73" i="21"/>
  <c r="F615" i="21"/>
  <c r="AJ73" i="21" s="1"/>
  <c r="J73" i="21" s="1"/>
  <c r="J616" i="21"/>
  <c r="G617" i="21"/>
  <c r="H619" i="21"/>
  <c r="M630" i="21"/>
  <c r="AC118" i="21"/>
  <c r="AB118" i="21"/>
  <c r="K633" i="21"/>
  <c r="I635" i="21"/>
  <c r="F637" i="21"/>
  <c r="I595" i="21"/>
  <c r="H612" i="21"/>
  <c r="L613" i="21"/>
  <c r="I632" i="21"/>
  <c r="O609" i="22"/>
  <c r="X49" i="21"/>
  <c r="K612" i="22"/>
  <c r="G596" i="21"/>
  <c r="F599" i="21"/>
  <c r="V32" i="21"/>
  <c r="I602" i="21"/>
  <c r="K606" i="21"/>
  <c r="AB49" i="21"/>
  <c r="J608" i="21"/>
  <c r="H609" i="21"/>
  <c r="K611" i="21"/>
  <c r="V61" i="21"/>
  <c r="K618" i="21"/>
  <c r="G637" i="21"/>
  <c r="K638" i="21"/>
  <c r="I623" i="21"/>
  <c r="AC112" i="21"/>
  <c r="M628" i="21"/>
  <c r="K639" i="21"/>
  <c r="J640" i="21"/>
  <c r="I641" i="21"/>
  <c r="O595" i="22"/>
  <c r="P601" i="22"/>
  <c r="AM28" i="22" s="1"/>
  <c r="AF28" i="22"/>
  <c r="AE28" i="22"/>
  <c r="AC76" i="21"/>
  <c r="M616" i="21"/>
  <c r="M617" i="21"/>
  <c r="AC79" i="21"/>
  <c r="AB79" i="21"/>
  <c r="J620" i="21"/>
  <c r="AB112" i="21"/>
  <c r="V140" i="21"/>
  <c r="K634" i="21"/>
  <c r="P595" i="22"/>
  <c r="AF15" i="22"/>
  <c r="G627" i="21"/>
  <c r="L627" i="21"/>
  <c r="J630" i="21"/>
  <c r="K631" i="21"/>
  <c r="L639" i="21"/>
  <c r="H624" i="21"/>
  <c r="AJ100" i="21" s="1"/>
  <c r="H628" i="21"/>
  <c r="H637" i="21"/>
  <c r="F639" i="21"/>
  <c r="AJ140" i="21" s="1"/>
  <c r="L597" i="22"/>
  <c r="L606" i="22"/>
  <c r="M610" i="22"/>
  <c r="N625" i="22"/>
  <c r="Y97" i="22"/>
  <c r="Z97" i="22"/>
  <c r="U97" i="21"/>
  <c r="F607" i="21"/>
  <c r="I616" i="21"/>
  <c r="J618" i="21"/>
  <c r="AC100" i="21"/>
  <c r="AB124" i="21"/>
  <c r="F634" i="21"/>
  <c r="J642" i="21"/>
  <c r="F609" i="21"/>
  <c r="AJ55" i="21" s="1"/>
  <c r="P55" i="21" s="1"/>
  <c r="M632" i="21"/>
  <c r="I637" i="21"/>
  <c r="L624" i="22"/>
  <c r="O94" i="21"/>
  <c r="M605" i="21"/>
  <c r="AJ43" i="21" s="1"/>
  <c r="AC43" i="21"/>
  <c r="F613" i="21"/>
  <c r="I628" i="21"/>
  <c r="J633" i="21"/>
  <c r="G639" i="21"/>
  <c r="K622" i="21"/>
  <c r="L626" i="21"/>
  <c r="J637" i="21"/>
  <c r="N594" i="22"/>
  <c r="M597" i="22"/>
  <c r="P614" i="22"/>
  <c r="AE64" i="22"/>
  <c r="AF64" i="22"/>
  <c r="H626" i="21"/>
  <c r="AJ106" i="21" s="1"/>
  <c r="V106" i="21" s="1"/>
  <c r="M106" i="21"/>
  <c r="J628" i="21"/>
  <c r="M634" i="21"/>
  <c r="AB130" i="21"/>
  <c r="Z132" i="21"/>
  <c r="L635" i="21"/>
  <c r="Y132" i="21"/>
  <c r="AC142" i="21"/>
  <c r="M640" i="21"/>
  <c r="O605" i="22"/>
  <c r="I616" i="22"/>
  <c r="K620" i="22"/>
  <c r="L609" i="21"/>
  <c r="K617" i="21"/>
  <c r="AC130" i="21"/>
  <c r="G635" i="21"/>
  <c r="AB142" i="21"/>
  <c r="J632" i="21"/>
  <c r="G633" i="21"/>
  <c r="L633" i="21"/>
  <c r="Q140" i="21"/>
  <c r="P140" i="21"/>
  <c r="L614" i="21"/>
  <c r="AJ70" i="21" s="1"/>
  <c r="I625" i="21"/>
  <c r="F627" i="21"/>
  <c r="AJ109" i="21" s="1"/>
  <c r="L631" i="21"/>
  <c r="H640" i="21"/>
  <c r="I594" i="22"/>
  <c r="AM12" i="22" s="1"/>
  <c r="J12" i="22"/>
  <c r="J604" i="22"/>
  <c r="Q608" i="22"/>
  <c r="AI46" i="22"/>
  <c r="AG179" i="22" s="1"/>
  <c r="I611" i="22"/>
  <c r="K55" i="22"/>
  <c r="J55" i="22"/>
  <c r="K635" i="21"/>
  <c r="W132" i="21"/>
  <c r="H639" i="21"/>
  <c r="M610" i="21"/>
  <c r="G642" i="21"/>
  <c r="AJ146" i="21" s="1"/>
  <c r="P596" i="22"/>
  <c r="AF18" i="22"/>
  <c r="AE18" i="22"/>
  <c r="L600" i="22"/>
  <c r="R600" i="22"/>
  <c r="AL26" i="22"/>
  <c r="K605" i="22"/>
  <c r="R605" i="22"/>
  <c r="AL37" i="22"/>
  <c r="AK37" i="22"/>
  <c r="R608" i="22"/>
  <c r="AL46" i="22"/>
  <c r="AK46" i="22"/>
  <c r="O616" i="22"/>
  <c r="Q631" i="22"/>
  <c r="AH115" i="22"/>
  <c r="O599" i="22"/>
  <c r="P610" i="22"/>
  <c r="AF52" i="22"/>
  <c r="AE52" i="22"/>
  <c r="Q614" i="22"/>
  <c r="AI64" i="22"/>
  <c r="AH64" i="22"/>
  <c r="Q615" i="22"/>
  <c r="AI67" i="22"/>
  <c r="N620" i="22"/>
  <c r="N622" i="22"/>
  <c r="U88" i="21"/>
  <c r="M629" i="22"/>
  <c r="AI115" i="22"/>
  <c r="K596" i="22"/>
  <c r="AH18" i="22"/>
  <c r="O602" i="22"/>
  <c r="Q606" i="22"/>
  <c r="AI40" i="22"/>
  <c r="L608" i="22"/>
  <c r="R609" i="22"/>
  <c r="AL49" i="22"/>
  <c r="AK49" i="22"/>
  <c r="AH67" i="22"/>
  <c r="P627" i="22"/>
  <c r="AF103" i="22"/>
  <c r="AE103" i="22"/>
  <c r="AH112" i="22"/>
  <c r="Q630" i="22"/>
  <c r="F625" i="21"/>
  <c r="J612" i="21"/>
  <c r="K615" i="21"/>
  <c r="K627" i="21"/>
  <c r="F629" i="21"/>
  <c r="L595" i="22"/>
  <c r="R595" i="22"/>
  <c r="AL15" i="22"/>
  <c r="AI18" i="22"/>
  <c r="AG167" i="22" s="1"/>
  <c r="O597" i="22"/>
  <c r="L598" i="22"/>
  <c r="J606" i="22"/>
  <c r="AH40" i="22"/>
  <c r="O607" i="22"/>
  <c r="O622" i="22"/>
  <c r="AI112" i="22"/>
  <c r="G609" i="21"/>
  <c r="G615" i="21"/>
  <c r="J634" i="21"/>
  <c r="AB136" i="21"/>
  <c r="L640" i="21"/>
  <c r="AB146" i="21"/>
  <c r="AK18" i="22"/>
  <c r="AK157" i="22" s="1"/>
  <c r="QZ26" i="7" s="1"/>
  <c r="R596" i="22"/>
  <c r="I597" i="22"/>
  <c r="AM20" i="22" s="1"/>
  <c r="K20" i="22"/>
  <c r="J20" i="22"/>
  <c r="M598" i="22"/>
  <c r="Q599" i="22"/>
  <c r="AH24" i="22"/>
  <c r="AI24" i="22"/>
  <c r="N600" i="22"/>
  <c r="I602" i="22"/>
  <c r="AM30" i="22" s="1"/>
  <c r="K30" i="22"/>
  <c r="J30" i="22"/>
  <c r="R610" i="22"/>
  <c r="AL52" i="22"/>
  <c r="AK52" i="22"/>
  <c r="K614" i="22"/>
  <c r="P618" i="22"/>
  <c r="AF76" i="22"/>
  <c r="AE76" i="22"/>
  <c r="AK112" i="22"/>
  <c r="R630" i="22"/>
  <c r="AL112" i="22"/>
  <c r="I607" i="22"/>
  <c r="AM43" i="22" s="1"/>
  <c r="Q607" i="22"/>
  <c r="AI43" i="22"/>
  <c r="AH43" i="22"/>
  <c r="M609" i="22"/>
  <c r="K610" i="22"/>
  <c r="R611" i="22"/>
  <c r="AJ171" i="22"/>
  <c r="AL55" i="22"/>
  <c r="L615" i="22"/>
  <c r="K625" i="22"/>
  <c r="J638" i="21"/>
  <c r="AH20" i="22"/>
  <c r="L604" i="22"/>
  <c r="AK55" i="22"/>
  <c r="R629" i="22"/>
  <c r="AK109" i="22"/>
  <c r="AL109" i="22"/>
  <c r="N595" i="22"/>
  <c r="AM15" i="22" s="1"/>
  <c r="AI20" i="22"/>
  <c r="K602" i="22"/>
  <c r="I605" i="22"/>
  <c r="K37" i="22"/>
  <c r="J37" i="22"/>
  <c r="R612" i="22"/>
  <c r="AK58" i="22"/>
  <c r="AL58" i="22"/>
  <c r="I613" i="22"/>
  <c r="M608" i="22"/>
  <c r="K609" i="22"/>
  <c r="M611" i="22"/>
  <c r="L613" i="22"/>
  <c r="S61" i="22"/>
  <c r="P620" i="22"/>
  <c r="AF82" i="22"/>
  <c r="L626" i="22"/>
  <c r="J596" i="22"/>
  <c r="M18" i="22"/>
  <c r="AH28" i="22"/>
  <c r="P602" i="22"/>
  <c r="AE30" i="22"/>
  <c r="R606" i="22"/>
  <c r="AK40" i="22"/>
  <c r="AE49" i="22"/>
  <c r="M612" i="22"/>
  <c r="T61" i="22"/>
  <c r="R614" i="22"/>
  <c r="AL64" i="22"/>
  <c r="AK64" i="22"/>
  <c r="O617" i="22"/>
  <c r="AE82" i="22"/>
  <c r="M628" i="22"/>
  <c r="I640" i="22"/>
  <c r="M641" i="22"/>
  <c r="N18" i="22"/>
  <c r="AK20" i="22"/>
  <c r="O600" i="22"/>
  <c r="AI28" i="22"/>
  <c r="L602" i="22"/>
  <c r="AF30" i="22"/>
  <c r="P32" i="22"/>
  <c r="AL40" i="22"/>
  <c r="P43" i="22"/>
  <c r="AF49" i="22"/>
  <c r="N611" i="22"/>
  <c r="I622" i="22"/>
  <c r="L631" i="22"/>
  <c r="K600" i="22"/>
  <c r="AM26" i="22" s="1"/>
  <c r="P604" i="22"/>
  <c r="AE34" i="22"/>
  <c r="N606" i="22"/>
  <c r="AM40" i="22" s="1"/>
  <c r="Q609" i="22"/>
  <c r="AI49" i="22"/>
  <c r="N616" i="22"/>
  <c r="R618" i="22"/>
  <c r="AL76" i="22"/>
  <c r="M621" i="22"/>
  <c r="Q622" i="22"/>
  <c r="AI88" i="22"/>
  <c r="AH88" i="22"/>
  <c r="N628" i="22"/>
  <c r="L629" i="22"/>
  <c r="L630" i="22"/>
  <c r="K595" i="22"/>
  <c r="AF24" i="22"/>
  <c r="AH30" i="22"/>
  <c r="AE32" i="22"/>
  <c r="AF34" i="22"/>
  <c r="AI37" i="22"/>
  <c r="AF43" i="22"/>
  <c r="AD182" i="22" s="1"/>
  <c r="AH49" i="22"/>
  <c r="N613" i="22"/>
  <c r="M614" i="22"/>
  <c r="J617" i="22"/>
  <c r="AK76" i="22"/>
  <c r="J622" i="22"/>
  <c r="M599" i="22"/>
  <c r="R607" i="22"/>
  <c r="AL43" i="22"/>
  <c r="AK43" i="22"/>
  <c r="J611" i="22"/>
  <c r="AD171" i="22"/>
  <c r="P611" i="22"/>
  <c r="AF55" i="22"/>
  <c r="I615" i="22"/>
  <c r="Q617" i="22"/>
  <c r="AI73" i="22"/>
  <c r="AH73" i="22"/>
  <c r="O619" i="22"/>
  <c r="M637" i="22"/>
  <c r="P20" i="22"/>
  <c r="I599" i="22"/>
  <c r="M607" i="22"/>
  <c r="P608" i="22"/>
  <c r="AF46" i="22"/>
  <c r="K611" i="22"/>
  <c r="AE55" i="22"/>
  <c r="P612" i="22"/>
  <c r="AF58" i="22"/>
  <c r="AE58" i="22"/>
  <c r="M618" i="22"/>
  <c r="P623" i="22"/>
  <c r="AF91" i="22"/>
  <c r="N637" i="22"/>
  <c r="Z132" i="22"/>
  <c r="P597" i="22"/>
  <c r="AF20" i="22"/>
  <c r="AM32" i="22"/>
  <c r="Q610" i="22"/>
  <c r="AI52" i="22"/>
  <c r="AH9" i="22" s="1"/>
  <c r="Q611" i="22"/>
  <c r="AI55" i="22"/>
  <c r="J612" i="22"/>
  <c r="J615" i="22"/>
  <c r="L617" i="22"/>
  <c r="J619" i="22"/>
  <c r="M625" i="22"/>
  <c r="Y132" i="22"/>
  <c r="K616" i="22"/>
  <c r="P616" i="22"/>
  <c r="AF70" i="22"/>
  <c r="I618" i="22"/>
  <c r="N618" i="22"/>
  <c r="L620" i="22"/>
  <c r="R621" i="22"/>
  <c r="AL85" i="22"/>
  <c r="L623" i="22"/>
  <c r="Q623" i="22"/>
  <c r="AI91" i="22"/>
  <c r="M626" i="22"/>
  <c r="K627" i="22"/>
  <c r="I628" i="22"/>
  <c r="AM106" i="22" s="1"/>
  <c r="J106" i="22" s="1"/>
  <c r="AB106" i="22"/>
  <c r="I633" i="22"/>
  <c r="Q620" i="22"/>
  <c r="AE70" i="22"/>
  <c r="K619" i="22"/>
  <c r="AH82" i="22"/>
  <c r="AK85" i="22"/>
  <c r="AH91" i="22"/>
  <c r="J624" i="22"/>
  <c r="AK121" i="22"/>
  <c r="R635" i="22"/>
  <c r="I614" i="22"/>
  <c r="N614" i="22"/>
  <c r="L616" i="22"/>
  <c r="R617" i="22"/>
  <c r="AL73" i="22"/>
  <c r="J618" i="22"/>
  <c r="P619" i="22"/>
  <c r="AF79" i="22"/>
  <c r="N621" i="22"/>
  <c r="M623" i="22"/>
  <c r="P624" i="22"/>
  <c r="AF94" i="22"/>
  <c r="N626" i="22"/>
  <c r="L627" i="22"/>
  <c r="AL121" i="22"/>
  <c r="AK127" i="22"/>
  <c r="AL32" i="22"/>
  <c r="N610" i="22"/>
  <c r="O611" i="22"/>
  <c r="AI61" i="22"/>
  <c r="AH70" i="22"/>
  <c r="AK73" i="22"/>
  <c r="Q79" i="22"/>
  <c r="AE79" i="22"/>
  <c r="K85" i="22"/>
  <c r="AK91" i="22"/>
  <c r="AE94" i="22"/>
  <c r="AE106" i="22"/>
  <c r="I629" i="22"/>
  <c r="J634" i="22"/>
  <c r="AM124" i="22" s="1"/>
  <c r="S124" i="22" s="1"/>
  <c r="AL127" i="22"/>
  <c r="AF144" i="22"/>
  <c r="P643" i="22"/>
  <c r="AE144" i="22"/>
  <c r="R644" i="22"/>
  <c r="AL146" i="22"/>
  <c r="AK146" i="22"/>
  <c r="J610" i="22"/>
  <c r="L612" i="22"/>
  <c r="R613" i="22"/>
  <c r="AL61" i="22"/>
  <c r="J614" i="22"/>
  <c r="P615" i="22"/>
  <c r="AF67" i="22"/>
  <c r="AI70" i="22"/>
  <c r="N617" i="22"/>
  <c r="L619" i="22"/>
  <c r="AG175" i="22"/>
  <c r="Q619" i="22"/>
  <c r="AI79" i="22"/>
  <c r="J621" i="22"/>
  <c r="AM85" i="22" s="1"/>
  <c r="V85" i="22" s="1"/>
  <c r="O621" i="22"/>
  <c r="I623" i="22"/>
  <c r="AL91" i="22"/>
  <c r="Q624" i="22"/>
  <c r="AI94" i="22"/>
  <c r="P625" i="22"/>
  <c r="AF97" i="22"/>
  <c r="I626" i="22"/>
  <c r="M627" i="22"/>
  <c r="AF106" i="22"/>
  <c r="J629" i="22"/>
  <c r="I630" i="22"/>
  <c r="N635" i="22"/>
  <c r="O640" i="22"/>
  <c r="O628" i="22"/>
  <c r="I631" i="22"/>
  <c r="I632" i="22"/>
  <c r="M633" i="22"/>
  <c r="AE138" i="22"/>
  <c r="P640" i="22"/>
  <c r="AF138" i="22"/>
  <c r="M619" i="22"/>
  <c r="R619" i="22"/>
  <c r="K621" i="22"/>
  <c r="AL94" i="22"/>
  <c r="R624" i="22"/>
  <c r="AK94" i="22"/>
  <c r="Q625" i="22"/>
  <c r="AI97" i="22"/>
  <c r="N627" i="22"/>
  <c r="AE109" i="22"/>
  <c r="J630" i="22"/>
  <c r="O629" i="22"/>
  <c r="AK79" i="22"/>
  <c r="M622" i="22"/>
  <c r="R622" i="22"/>
  <c r="AL88" i="22"/>
  <c r="M624" i="22"/>
  <c r="P626" i="22"/>
  <c r="AF100" i="22"/>
  <c r="L628" i="22"/>
  <c r="AF109" i="22"/>
  <c r="AF112" i="22"/>
  <c r="P630" i="22"/>
  <c r="J631" i="22"/>
  <c r="Q632" i="22"/>
  <c r="AH118" i="22"/>
  <c r="N633" i="22"/>
  <c r="L636" i="22"/>
  <c r="K642" i="22"/>
  <c r="J613" i="22"/>
  <c r="O613" i="22"/>
  <c r="M615" i="22"/>
  <c r="K617" i="22"/>
  <c r="Q618" i="22"/>
  <c r="AI76" i="22"/>
  <c r="I619" i="22"/>
  <c r="N619" i="22"/>
  <c r="AL79" i="22"/>
  <c r="O620" i="22"/>
  <c r="AF85" i="22"/>
  <c r="AK88" i="22"/>
  <c r="L625" i="22"/>
  <c r="AE100" i="22"/>
  <c r="I627" i="22"/>
  <c r="S106" i="22"/>
  <c r="AE112" i="22"/>
  <c r="AE115" i="22"/>
  <c r="AI118" i="22"/>
  <c r="I635" i="22"/>
  <c r="J638" i="22"/>
  <c r="AM134" i="22" s="1"/>
  <c r="Q627" i="22"/>
  <c r="Q629" i="22"/>
  <c r="AI109" i="22"/>
  <c r="M636" i="22"/>
  <c r="Q638" i="22"/>
  <c r="AI134" i="22"/>
  <c r="AH134" i="22"/>
  <c r="L634" i="22"/>
  <c r="J635" i="22"/>
  <c r="L638" i="22"/>
  <c r="AL134" i="22"/>
  <c r="AK134" i="22"/>
  <c r="R638" i="22"/>
  <c r="I637" i="22"/>
  <c r="AK118" i="22"/>
  <c r="R632" i="22"/>
  <c r="R640" i="22"/>
  <c r="AK138" i="22"/>
  <c r="P641" i="22"/>
  <c r="AF140" i="22"/>
  <c r="J643" i="22"/>
  <c r="K644" i="22"/>
  <c r="I625" i="22"/>
  <c r="R627" i="22"/>
  <c r="R628" i="22"/>
  <c r="AL106" i="22"/>
  <c r="AK115" i="22"/>
  <c r="N632" i="22"/>
  <c r="AL118" i="22"/>
  <c r="AF132" i="22"/>
  <c r="AE132" i="22"/>
  <c r="P637" i="22"/>
  <c r="AL138" i="22"/>
  <c r="AE140" i="22"/>
  <c r="J633" i="22"/>
  <c r="J632" i="22"/>
  <c r="AH132" i="22"/>
  <c r="Q637" i="22"/>
  <c r="AI132" i="22"/>
  <c r="K640" i="22"/>
  <c r="L644" i="22"/>
  <c r="I643" i="22"/>
  <c r="AM144" i="22" s="1"/>
  <c r="V144" i="22" s="1"/>
  <c r="N624" i="22"/>
  <c r="J627" i="22"/>
  <c r="J628" i="22"/>
  <c r="AE121" i="22"/>
  <c r="AK124" i="22"/>
  <c r="K637" i="22"/>
  <c r="N638" i="22"/>
  <c r="AE136" i="22"/>
  <c r="AM136" i="22"/>
  <c r="S136" i="22" s="1"/>
  <c r="O631" i="22"/>
  <c r="AF121" i="22"/>
  <c r="AL124" i="22"/>
  <c r="L639" i="22"/>
  <c r="AF136" i="22"/>
  <c r="M640" i="22"/>
  <c r="P140" i="22"/>
  <c r="O627" i="22"/>
  <c r="K631" i="22"/>
  <c r="Q633" i="22"/>
  <c r="AH121" i="22"/>
  <c r="Y124" i="22"/>
  <c r="M635" i="22"/>
  <c r="AF130" i="22"/>
  <c r="P636" i="22"/>
  <c r="N643" i="22"/>
  <c r="P644" i="22"/>
  <c r="AF146" i="22"/>
  <c r="AE146" i="22"/>
  <c r="Q636" i="22"/>
  <c r="R642" i="22"/>
  <c r="K643" i="22"/>
  <c r="AH138" i="22"/>
  <c r="S140" i="22"/>
  <c r="Q643" i="22"/>
  <c r="L637" i="22"/>
  <c r="AI138" i="22"/>
  <c r="AE124" i="22"/>
  <c r="P634" i="22"/>
  <c r="Z146" i="22"/>
  <c r="J644" i="22"/>
  <c r="I641" i="22"/>
  <c r="AM140" i="22" s="1"/>
  <c r="V140" i="22" s="1"/>
  <c r="AL144" i="22"/>
  <c r="AK144" i="22"/>
  <c r="L640" i="22"/>
  <c r="N642" i="22"/>
  <c r="AM142" i="22" s="1"/>
  <c r="P142" i="22" s="1"/>
  <c r="J140" i="22"/>
  <c r="R641" i="22"/>
  <c r="M644" i="22"/>
  <c r="AH146" i="22"/>
  <c r="O638" i="22"/>
  <c r="AJ133" i="20" l="1"/>
  <c r="P133" i="20" s="1"/>
  <c r="J35" i="20"/>
  <c r="V35" i="20"/>
  <c r="AD179" i="22"/>
  <c r="AD175" i="22"/>
  <c r="M100" i="21"/>
  <c r="V100" i="21"/>
  <c r="I52" i="5"/>
  <c r="F209" i="4"/>
  <c r="S134" i="21"/>
  <c r="J134" i="21"/>
  <c r="V134" i="21"/>
  <c r="Y134" i="21"/>
  <c r="M40" i="22"/>
  <c r="S40" i="22"/>
  <c r="V40" i="22"/>
  <c r="M70" i="21"/>
  <c r="S70" i="21"/>
  <c r="AH7" i="22"/>
  <c r="DA25" i="7"/>
  <c r="CF25" i="7" s="1"/>
  <c r="L25" i="4"/>
  <c r="G183" i="4"/>
  <c r="K44" i="5"/>
  <c r="K49" i="5"/>
  <c r="G200" i="4"/>
  <c r="M26" i="22"/>
  <c r="P26" i="22"/>
  <c r="S26" i="22"/>
  <c r="Y26" i="22"/>
  <c r="G43" i="21"/>
  <c r="M43" i="21"/>
  <c r="V43" i="21"/>
  <c r="S15" i="22"/>
  <c r="P15" i="22"/>
  <c r="V15" i="22"/>
  <c r="M15" i="22"/>
  <c r="AB15" i="22"/>
  <c r="S146" i="21"/>
  <c r="M146" i="21"/>
  <c r="P146" i="21"/>
  <c r="J28" i="22"/>
  <c r="V28" i="22"/>
  <c r="M121" i="21"/>
  <c r="V121" i="21"/>
  <c r="S121" i="21"/>
  <c r="J83" i="20"/>
  <c r="G83" i="20"/>
  <c r="M83" i="20"/>
  <c r="S83" i="20"/>
  <c r="U16" i="5"/>
  <c r="L71" i="4"/>
  <c r="S30" i="5"/>
  <c r="K127" i="4"/>
  <c r="W40" i="5"/>
  <c r="M167" i="4"/>
  <c r="AM55" i="22"/>
  <c r="AK156" i="22"/>
  <c r="QX26" i="7" s="1"/>
  <c r="P144" i="22"/>
  <c r="W48" i="5"/>
  <c r="M197" i="4"/>
  <c r="U42" i="5"/>
  <c r="L175" i="4"/>
  <c r="S26" i="5"/>
  <c r="K111" i="4"/>
  <c r="S19" i="5"/>
  <c r="K83" i="4"/>
  <c r="G6" i="5"/>
  <c r="E39" i="4"/>
  <c r="Y15" i="22"/>
  <c r="J43" i="22"/>
  <c r="V43" i="22"/>
  <c r="E12" i="5"/>
  <c r="D57" i="4"/>
  <c r="AB20" i="22"/>
  <c r="V20" i="22"/>
  <c r="S6" i="5"/>
  <c r="K39" i="4"/>
  <c r="AE155" i="22"/>
  <c r="QV24" i="7" s="1"/>
  <c r="AE149" i="22"/>
  <c r="QJ24" i="7" s="1"/>
  <c r="CK24" i="7" s="1"/>
  <c r="AE156" i="22"/>
  <c r="QX24" i="7" s="1"/>
  <c r="AE150" i="22"/>
  <c r="QL24" i="7" s="1"/>
  <c r="CM24" i="7" s="1"/>
  <c r="E21" i="5"/>
  <c r="D91" i="4"/>
  <c r="AJ67" i="21"/>
  <c r="AK151" i="22"/>
  <c r="QN26" i="7" s="1"/>
  <c r="L35" i="19"/>
  <c r="M35" i="19" s="1"/>
  <c r="N35" i="19" s="1"/>
  <c r="R35" i="19" s="1"/>
  <c r="W41" i="5"/>
  <c r="M171" i="4"/>
  <c r="S54" i="5"/>
  <c r="K215" i="4"/>
  <c r="G47" i="20"/>
  <c r="P47" i="20"/>
  <c r="M47" i="20"/>
  <c r="J47" i="20"/>
  <c r="AM100" i="22"/>
  <c r="O47" i="5"/>
  <c r="I194" i="4"/>
  <c r="AG171" i="22"/>
  <c r="I7" i="5"/>
  <c r="F42" i="4"/>
  <c r="U7" i="5"/>
  <c r="L42" i="4"/>
  <c r="AH151" i="22"/>
  <c r="QN25" i="7" s="1"/>
  <c r="AK9" i="22"/>
  <c r="F171" i="22"/>
  <c r="AJ182" i="22"/>
  <c r="F179" i="22"/>
  <c r="AJ103" i="21"/>
  <c r="AM46" i="22"/>
  <c r="W15" i="5"/>
  <c r="M67" i="4"/>
  <c r="V109" i="21"/>
  <c r="G109" i="21"/>
  <c r="P109" i="21"/>
  <c r="AK153" i="22"/>
  <c r="QR26" i="7" s="1"/>
  <c r="AJ79" i="21"/>
  <c r="V58" i="21"/>
  <c r="Y32" i="21"/>
  <c r="AJ116" i="20"/>
  <c r="S141" i="20"/>
  <c r="V141" i="20"/>
  <c r="J141" i="20"/>
  <c r="G141" i="20"/>
  <c r="P30" i="22"/>
  <c r="S30" i="22"/>
  <c r="O35" i="5"/>
  <c r="I147" i="4"/>
  <c r="AJ77" i="20"/>
  <c r="K183" i="4"/>
  <c r="S44" i="5"/>
  <c r="S22" i="5"/>
  <c r="K95" i="4"/>
  <c r="W50" i="5"/>
  <c r="M203" i="4"/>
  <c r="AE152" i="22"/>
  <c r="QP24" i="7" s="1"/>
  <c r="M119" i="20"/>
  <c r="P119" i="20"/>
  <c r="J119" i="20"/>
  <c r="X169" i="22"/>
  <c r="X173" i="22"/>
  <c r="Y140" i="22"/>
  <c r="X181" i="22"/>
  <c r="X177" i="22"/>
  <c r="X165" i="22"/>
  <c r="Y118" i="22"/>
  <c r="Y46" i="22"/>
  <c r="Y43" i="22"/>
  <c r="Y136" i="22"/>
  <c r="Y30" i="22"/>
  <c r="Y91" i="22"/>
  <c r="Y28" i="22"/>
  <c r="Y32" i="22"/>
  <c r="Y20" i="22"/>
  <c r="Y24" i="22"/>
  <c r="AX1" i="22"/>
  <c r="CW22" i="7"/>
  <c r="Y55" i="22"/>
  <c r="Y40" i="22"/>
  <c r="Y85" i="22"/>
  <c r="E38" i="5"/>
  <c r="D159" i="4"/>
  <c r="S21" i="5"/>
  <c r="K91" i="4"/>
  <c r="Y67" i="21"/>
  <c r="AM103" i="22"/>
  <c r="AM112" i="22"/>
  <c r="Y112" i="22" s="1"/>
  <c r="K159" i="4"/>
  <c r="S38" i="5"/>
  <c r="W31" i="5"/>
  <c r="M131" i="4"/>
  <c r="K23" i="5"/>
  <c r="G99" i="4"/>
  <c r="AE148" i="22"/>
  <c r="QH24" i="7" s="1"/>
  <c r="CI24" i="7" s="1"/>
  <c r="AB30" i="22"/>
  <c r="AH153" i="22"/>
  <c r="QR25" i="7" s="1"/>
  <c r="Y12" i="22"/>
  <c r="Y121" i="21"/>
  <c r="AH152" i="22"/>
  <c r="QP25" i="7" s="1"/>
  <c r="AJ64" i="21"/>
  <c r="AJ18" i="21"/>
  <c r="AJ101" i="20"/>
  <c r="AJ34" i="21"/>
  <c r="F206" i="4"/>
  <c r="I51" i="5"/>
  <c r="U19" i="5"/>
  <c r="L83" i="4"/>
  <c r="W6" i="5"/>
  <c r="M39" i="4"/>
  <c r="AK150" i="22"/>
  <c r="QL26" i="7" s="1"/>
  <c r="CM26" i="7" s="1"/>
  <c r="AK154" i="22"/>
  <c r="QT26" i="7" s="1"/>
  <c r="AK148" i="22"/>
  <c r="QH26" i="7" s="1"/>
  <c r="CI26" i="7" s="1"/>
  <c r="AK149" i="22"/>
  <c r="QJ26" i="7" s="1"/>
  <c r="CK26" i="7" s="1"/>
  <c r="O44" i="5"/>
  <c r="I183" i="4"/>
  <c r="S119" i="20"/>
  <c r="M124" i="22"/>
  <c r="J159" i="4"/>
  <c r="Q38" i="5"/>
  <c r="S28" i="5"/>
  <c r="K119" i="4"/>
  <c r="Y58" i="21"/>
  <c r="M212" i="4"/>
  <c r="W53" i="5"/>
  <c r="M123" i="4"/>
  <c r="W29" i="5"/>
  <c r="W28" i="5"/>
  <c r="M119" i="4"/>
  <c r="AE157" i="22"/>
  <c r="QZ24" i="7" s="1"/>
  <c r="L171" i="4"/>
  <c r="U41" i="5"/>
  <c r="AJ82" i="21"/>
  <c r="Y61" i="21"/>
  <c r="Z61" i="21" s="1"/>
  <c r="S36" i="5"/>
  <c r="K151" i="4"/>
  <c r="U26" i="5"/>
  <c r="L111" i="4"/>
  <c r="U30" i="5"/>
  <c r="L127" i="4"/>
  <c r="AM73" i="22"/>
  <c r="AB73" i="22" s="1"/>
  <c r="V106" i="22"/>
  <c r="E15" i="5"/>
  <c r="D67" i="4"/>
  <c r="AE154" i="22"/>
  <c r="QT24" i="7" s="1"/>
  <c r="AH157" i="22"/>
  <c r="QZ25" i="7" s="1"/>
  <c r="AJ85" i="21"/>
  <c r="AJ138" i="21"/>
  <c r="S110" i="20"/>
  <c r="P110" i="20"/>
  <c r="G110" i="20"/>
  <c r="V128" i="20"/>
  <c r="AJ86" i="20"/>
  <c r="V62" i="20"/>
  <c r="G62" i="20"/>
  <c r="J62" i="20"/>
  <c r="M53" i="5"/>
  <c r="H212" i="4"/>
  <c r="P73" i="21"/>
  <c r="V73" i="21"/>
  <c r="G53" i="20"/>
  <c r="S53" i="20"/>
  <c r="AM94" i="22"/>
  <c r="Y100" i="21"/>
  <c r="W27" i="5"/>
  <c r="M115" i="4"/>
  <c r="AJ115" i="21"/>
  <c r="AH150" i="22"/>
  <c r="QL25" i="7" s="1"/>
  <c r="CM25" i="7" s="1"/>
  <c r="Y144" i="22"/>
  <c r="AM97" i="22"/>
  <c r="AM130" i="22"/>
  <c r="J130" i="22" s="1"/>
  <c r="AM118" i="22"/>
  <c r="AM91" i="22"/>
  <c r="K143" i="4"/>
  <c r="S34" i="5"/>
  <c r="M75" i="4"/>
  <c r="W17" i="5"/>
  <c r="U11" i="5"/>
  <c r="L54" i="4"/>
  <c r="W21" i="5"/>
  <c r="M91" i="4"/>
  <c r="J109" i="21"/>
  <c r="P139" i="20"/>
  <c r="L240" i="19"/>
  <c r="M240" i="19" s="1"/>
  <c r="N240" i="19" s="1"/>
  <c r="R240" i="19" s="1"/>
  <c r="E51" i="5"/>
  <c r="D206" i="4"/>
  <c r="J24" i="21"/>
  <c r="M24" i="21"/>
  <c r="X171" i="21"/>
  <c r="X179" i="21"/>
  <c r="Y146" i="21"/>
  <c r="X175" i="21"/>
  <c r="X163" i="21"/>
  <c r="X167" i="21"/>
  <c r="Y79" i="21"/>
  <c r="Y73" i="21"/>
  <c r="Y55" i="21"/>
  <c r="Y20" i="21"/>
  <c r="Z20" i="21" s="1"/>
  <c r="Y43" i="21"/>
  <c r="Z43" i="21" s="1"/>
  <c r="Y138" i="21"/>
  <c r="Z138" i="21" s="1"/>
  <c r="Y15" i="21"/>
  <c r="Y46" i="21"/>
  <c r="Z46" i="21" s="1"/>
  <c r="AV1" i="21"/>
  <c r="Y91" i="21"/>
  <c r="Z91" i="21" s="1"/>
  <c r="Y115" i="21"/>
  <c r="Z115" i="21" s="1"/>
  <c r="Y12" i="21"/>
  <c r="Y18" i="21"/>
  <c r="Z18" i="21" s="1"/>
  <c r="Z103" i="21"/>
  <c r="Y40" i="21"/>
  <c r="Z40" i="21" s="1"/>
  <c r="Y24" i="21"/>
  <c r="Z24" i="21" s="1"/>
  <c r="Y106" i="21"/>
  <c r="Z73" i="21"/>
  <c r="Y140" i="21"/>
  <c r="Z140" i="21" s="1"/>
  <c r="G159" i="4"/>
  <c r="K38" i="5"/>
  <c r="K203" i="4"/>
  <c r="S50" i="5"/>
  <c r="AK155" i="22"/>
  <c r="QV26" i="7" s="1"/>
  <c r="AJ179" i="22"/>
  <c r="L115" i="4"/>
  <c r="U27" i="5"/>
  <c r="AE153" i="22"/>
  <c r="QR24" i="7" s="1"/>
  <c r="D31" i="4"/>
  <c r="E4" i="5"/>
  <c r="AH149" i="22"/>
  <c r="QJ25" i="7" s="1"/>
  <c r="CK25" i="7" s="1"/>
  <c r="Y18" i="22"/>
  <c r="AJ88" i="21"/>
  <c r="Y88" i="21" s="1"/>
  <c r="Z88" i="21" s="1"/>
  <c r="AJ135" i="20"/>
  <c r="AJ122" i="20"/>
  <c r="AM146" i="22"/>
  <c r="J144" i="22"/>
  <c r="F175" i="22"/>
  <c r="M187" i="4"/>
  <c r="W45" i="5"/>
  <c r="F182" i="22"/>
  <c r="AM88" i="22"/>
  <c r="Y88" i="22" s="1"/>
  <c r="AM37" i="22"/>
  <c r="W20" i="5"/>
  <c r="M87" i="4"/>
  <c r="U25" i="5"/>
  <c r="L107" i="4"/>
  <c r="F167" i="22"/>
  <c r="U24" i="5"/>
  <c r="L103" i="4"/>
  <c r="P12" i="22"/>
  <c r="AB12" i="22"/>
  <c r="M12" i="22"/>
  <c r="G106" i="21"/>
  <c r="S11" i="5"/>
  <c r="K54" i="4"/>
  <c r="AH155" i="22"/>
  <c r="QV25" i="7" s="1"/>
  <c r="AM18" i="22"/>
  <c r="AB18" i="22" s="1"/>
  <c r="M20" i="22"/>
  <c r="S55" i="21"/>
  <c r="S33" i="20"/>
  <c r="AB155" i="21"/>
  <c r="G89" i="20"/>
  <c r="S89" i="20"/>
  <c r="M104" i="20"/>
  <c r="P104" i="20"/>
  <c r="J104" i="20"/>
  <c r="G104" i="20"/>
  <c r="M103" i="4"/>
  <c r="W24" i="5"/>
  <c r="W22" i="5"/>
  <c r="M95" i="4"/>
  <c r="Y109" i="21"/>
  <c r="Z109" i="21" s="1"/>
  <c r="AJ76" i="21"/>
  <c r="W44" i="5"/>
  <c r="M183" i="4"/>
  <c r="AM79" i="22"/>
  <c r="Y79" i="22" s="1"/>
  <c r="H206" i="4"/>
  <c r="M51" i="5"/>
  <c r="Y134" i="22"/>
  <c r="AM132" i="22"/>
  <c r="U50" i="5"/>
  <c r="L203" i="4"/>
  <c r="Y142" i="22"/>
  <c r="U48" i="5"/>
  <c r="L197" i="4"/>
  <c r="AM115" i="22"/>
  <c r="Y115" i="22" s="1"/>
  <c r="M139" i="4"/>
  <c r="W33" i="5"/>
  <c r="U12" i="5"/>
  <c r="L57" i="4"/>
  <c r="Y106" i="22"/>
  <c r="E7" i="5"/>
  <c r="D42" i="4"/>
  <c r="W19" i="5"/>
  <c r="M83" i="4"/>
  <c r="AJ167" i="22"/>
  <c r="W18" i="5"/>
  <c r="M79" i="4"/>
  <c r="Y70" i="21"/>
  <c r="S20" i="22"/>
  <c r="AE9" i="22"/>
  <c r="AD167" i="22"/>
  <c r="AH148" i="22"/>
  <c r="QH25" i="7" s="1"/>
  <c r="CI25" i="7" s="1"/>
  <c r="J125" i="20"/>
  <c r="P24" i="21"/>
  <c r="P125" i="20"/>
  <c r="L134" i="19"/>
  <c r="M134" i="19" s="1"/>
  <c r="N134" i="19" s="1"/>
  <c r="I17" i="5"/>
  <c r="F75" i="4"/>
  <c r="L607" i="21"/>
  <c r="AJ49" i="21" s="1"/>
  <c r="AB144" i="22"/>
  <c r="W7" i="5"/>
  <c r="M42" i="4"/>
  <c r="AE151" i="22"/>
  <c r="QN24" i="7" s="1"/>
  <c r="J40" i="21"/>
  <c r="Y103" i="21"/>
  <c r="L194" i="4"/>
  <c r="U47" i="5"/>
  <c r="M144" i="22"/>
  <c r="W32" i="5"/>
  <c r="M135" i="4"/>
  <c r="S39" i="5"/>
  <c r="K163" i="4"/>
  <c r="AJ175" i="22"/>
  <c r="M31" i="5"/>
  <c r="H131" i="4"/>
  <c r="AM24" i="22"/>
  <c r="AM138" i="22"/>
  <c r="M138" i="22" s="1"/>
  <c r="AG182" i="22"/>
  <c r="M109" i="21"/>
  <c r="AB43" i="22"/>
  <c r="AJ127" i="21"/>
  <c r="Y127" i="21" s="1"/>
  <c r="Z127" i="21" s="1"/>
  <c r="AK152" i="22"/>
  <c r="QP26" i="7" s="1"/>
  <c r="AH154" i="22"/>
  <c r="QT25" i="7" s="1"/>
  <c r="AJ30" i="21"/>
  <c r="Y30" i="21" s="1"/>
  <c r="Z30" i="21" s="1"/>
  <c r="AB9" i="21"/>
  <c r="AB7" i="21" s="1"/>
  <c r="AA169" i="21"/>
  <c r="AJ132" i="21"/>
  <c r="J132" i="21" s="1"/>
  <c r="K132" i="21" s="1"/>
  <c r="J61" i="21"/>
  <c r="S46" i="21"/>
  <c r="M596" i="21"/>
  <c r="AJ22" i="21" s="1"/>
  <c r="AC22" i="21"/>
  <c r="AB22" i="21"/>
  <c r="AJ92" i="20"/>
  <c r="AJ21" i="20"/>
  <c r="L54" i="19"/>
  <c r="M54" i="19" s="1"/>
  <c r="N54" i="19" s="1"/>
  <c r="R54" i="19" s="1"/>
  <c r="L260" i="19"/>
  <c r="M260" i="19" s="1"/>
  <c r="N260" i="19" s="1"/>
  <c r="R260" i="19" s="1"/>
  <c r="L184" i="19"/>
  <c r="M184" i="19" s="1"/>
  <c r="N184" i="19" s="1"/>
  <c r="R184" i="19" s="1"/>
  <c r="L1" i="19"/>
  <c r="M1" i="19" s="1"/>
  <c r="N1" i="19" s="1"/>
  <c r="R1" i="19" s="1"/>
  <c r="AA26" i="7"/>
  <c r="SE26" i="7" s="1"/>
  <c r="X26" i="7"/>
  <c r="SD26" i="7" s="1"/>
  <c r="H26" i="7"/>
  <c r="BM16" i="7"/>
  <c r="Z26" i="7"/>
  <c r="U26" i="7"/>
  <c r="SC26" i="7" s="1"/>
  <c r="O165" i="22"/>
  <c r="O169" i="22"/>
  <c r="P136" i="22"/>
  <c r="O181" i="22"/>
  <c r="O177" i="22"/>
  <c r="P134" i="22"/>
  <c r="P124" i="22"/>
  <c r="P112" i="22"/>
  <c r="P85" i="22"/>
  <c r="P130" i="22"/>
  <c r="P40" i="22"/>
  <c r="P55" i="22"/>
  <c r="P46" i="22"/>
  <c r="P73" i="22"/>
  <c r="P28" i="22"/>
  <c r="O173" i="22"/>
  <c r="P115" i="22"/>
  <c r="P100" i="22"/>
  <c r="P106" i="22"/>
  <c r="AU1" i="22"/>
  <c r="P91" i="22"/>
  <c r="CW19" i="7"/>
  <c r="F162" i="20"/>
  <c r="AP1" i="20"/>
  <c r="AA22" i="7"/>
  <c r="SE22" i="7" s="1"/>
  <c r="X22" i="7"/>
  <c r="SD22" i="7" s="1"/>
  <c r="U22" i="7"/>
  <c r="SC22" i="7" s="1"/>
  <c r="H22" i="7"/>
  <c r="BM12" i="7"/>
  <c r="L338" i="19"/>
  <c r="M338" i="19" s="1"/>
  <c r="N338" i="19" s="1"/>
  <c r="R338" i="19" s="1"/>
  <c r="L99" i="19"/>
  <c r="M99" i="19" s="1"/>
  <c r="N99" i="19" s="1"/>
  <c r="R99" i="19" s="1"/>
  <c r="F181" i="22"/>
  <c r="AJ177" i="22"/>
  <c r="AJ181" i="22"/>
  <c r="AJ173" i="22"/>
  <c r="AJ169" i="22"/>
  <c r="AJ165" i="22"/>
  <c r="F177" i="22"/>
  <c r="F173" i="22"/>
  <c r="F169" i="22"/>
  <c r="F165" i="22"/>
  <c r="BB1" i="22"/>
  <c r="CW26" i="7"/>
  <c r="X23" i="7"/>
  <c r="SD23" i="7" s="1"/>
  <c r="AA23" i="7"/>
  <c r="SE23" i="7" s="1"/>
  <c r="U23" i="7"/>
  <c r="SC23" i="7" s="1"/>
  <c r="H23" i="7"/>
  <c r="BM13" i="7"/>
  <c r="I181" i="22"/>
  <c r="J136" i="22"/>
  <c r="I165" i="22"/>
  <c r="J142" i="22"/>
  <c r="I177" i="22"/>
  <c r="I173" i="22"/>
  <c r="I169" i="22"/>
  <c r="J134" i="22"/>
  <c r="J124" i="22"/>
  <c r="J112" i="22"/>
  <c r="J97" i="22"/>
  <c r="J91" i="22"/>
  <c r="J79" i="22"/>
  <c r="J46" i="22"/>
  <c r="J40" i="22"/>
  <c r="J94" i="22"/>
  <c r="J52" i="22"/>
  <c r="J26" i="22"/>
  <c r="AS1" i="22"/>
  <c r="J32" i="22"/>
  <c r="CW17" i="7"/>
  <c r="U170" i="20"/>
  <c r="V137" i="20"/>
  <c r="V131" i="20"/>
  <c r="V80" i="20"/>
  <c r="U178" i="20"/>
  <c r="U162" i="20"/>
  <c r="V139" i="20"/>
  <c r="V29" i="20"/>
  <c r="V44" i="20"/>
  <c r="U166" i="20"/>
  <c r="U174" i="20"/>
  <c r="V110" i="20"/>
  <c r="V53" i="20"/>
  <c r="V125" i="20"/>
  <c r="V116" i="20"/>
  <c r="V113" i="20"/>
  <c r="V23" i="20"/>
  <c r="AU1" i="20"/>
  <c r="V71" i="20"/>
  <c r="V83" i="20"/>
  <c r="V25" i="20"/>
  <c r="V77" i="20"/>
  <c r="V47" i="20"/>
  <c r="V41" i="20"/>
  <c r="V107" i="20"/>
  <c r="V119" i="20"/>
  <c r="L322" i="19"/>
  <c r="M322" i="19" s="1"/>
  <c r="N322" i="19" s="1"/>
  <c r="R322" i="19" s="1"/>
  <c r="BM8" i="7"/>
  <c r="AA18" i="7"/>
  <c r="SE18" i="7" s="1"/>
  <c r="X18" i="7"/>
  <c r="SD18" i="7" s="1"/>
  <c r="U18" i="7"/>
  <c r="SC18" i="7" s="1"/>
  <c r="H18" i="7"/>
  <c r="U179" i="21"/>
  <c r="U167" i="21"/>
  <c r="U175" i="21"/>
  <c r="U163" i="21"/>
  <c r="V124" i="21"/>
  <c r="U171" i="21"/>
  <c r="V103" i="21"/>
  <c r="W103" i="21" s="1"/>
  <c r="V67" i="21"/>
  <c r="V15" i="21"/>
  <c r="W15" i="21" s="1"/>
  <c r="W106" i="21"/>
  <c r="V91" i="21"/>
  <c r="V55" i="21"/>
  <c r="AU1" i="21"/>
  <c r="V37" i="21"/>
  <c r="V79" i="21"/>
  <c r="V18" i="21"/>
  <c r="V82" i="21"/>
  <c r="V70" i="21"/>
  <c r="W55" i="21"/>
  <c r="V12" i="21"/>
  <c r="AJ107" i="20"/>
  <c r="AJ59" i="20"/>
  <c r="M59" i="20" s="1"/>
  <c r="L314" i="19"/>
  <c r="M314" i="19" s="1"/>
  <c r="N314" i="19" s="1"/>
  <c r="R314" i="19" s="1"/>
  <c r="I174" i="20"/>
  <c r="I166" i="20"/>
  <c r="J139" i="20"/>
  <c r="J137" i="20"/>
  <c r="J135" i="20"/>
  <c r="J131" i="20"/>
  <c r="J80" i="20"/>
  <c r="I178" i="20"/>
  <c r="I170" i="20"/>
  <c r="I162" i="20"/>
  <c r="J133" i="20"/>
  <c r="J44" i="20"/>
  <c r="J29" i="20"/>
  <c r="J41" i="20"/>
  <c r="J31" i="20"/>
  <c r="J113" i="20"/>
  <c r="J53" i="20"/>
  <c r="J23" i="20"/>
  <c r="J71" i="20"/>
  <c r="J107" i="20"/>
  <c r="J95" i="20"/>
  <c r="AQ1" i="20"/>
  <c r="J89" i="20"/>
  <c r="AA169" i="22"/>
  <c r="AA173" i="22"/>
  <c r="AA177" i="22"/>
  <c r="AB124" i="22"/>
  <c r="AB118" i="22"/>
  <c r="AA181" i="22"/>
  <c r="AB142" i="22"/>
  <c r="AA165" i="22"/>
  <c r="AB136" i="22"/>
  <c r="AB140" i="22"/>
  <c r="AB91" i="22"/>
  <c r="AB55" i="22"/>
  <c r="AB40" i="22"/>
  <c r="AB134" i="22"/>
  <c r="AB97" i="22"/>
  <c r="AB94" i="22"/>
  <c r="AB61" i="22"/>
  <c r="AB28" i="22"/>
  <c r="AB85" i="22"/>
  <c r="AB100" i="22"/>
  <c r="AB26" i="22"/>
  <c r="AB32" i="22"/>
  <c r="AB46" i="22"/>
  <c r="AY1" i="22"/>
  <c r="AB103" i="22"/>
  <c r="CW23" i="7"/>
  <c r="Z24" i="7"/>
  <c r="X24" i="7"/>
  <c r="SD24" i="7" s="1"/>
  <c r="AA24" i="7"/>
  <c r="SE24" i="7" s="1"/>
  <c r="BM14" i="7"/>
  <c r="H24" i="7"/>
  <c r="U24" i="7"/>
  <c r="SC24" i="7" s="1"/>
  <c r="AJ145" i="20"/>
  <c r="V145" i="20" s="1"/>
  <c r="G206" i="4"/>
  <c r="K51" i="5"/>
  <c r="U43" i="5"/>
  <c r="L179" i="4"/>
  <c r="K179" i="4"/>
  <c r="S43" i="5"/>
  <c r="S51" i="5"/>
  <c r="K206" i="4"/>
  <c r="AM127" i="22"/>
  <c r="Y127" i="22" s="1"/>
  <c r="AM76" i="22"/>
  <c r="Y76" i="22" s="1"/>
  <c r="AM67" i="22"/>
  <c r="AB67" i="22" s="1"/>
  <c r="U32" i="5"/>
  <c r="L135" i="4"/>
  <c r="I13" i="5"/>
  <c r="F60" i="4"/>
  <c r="S24" i="5"/>
  <c r="K103" i="4"/>
  <c r="AJ28" i="21"/>
  <c r="AJ52" i="21"/>
  <c r="AB151" i="21"/>
  <c r="AB154" i="21"/>
  <c r="L45" i="4"/>
  <c r="U8" i="5"/>
  <c r="AJ26" i="21"/>
  <c r="Y26" i="21" s="1"/>
  <c r="Z26" i="21" s="1"/>
  <c r="AJ37" i="21"/>
  <c r="J37" i="21" s="1"/>
  <c r="AJ74" i="20"/>
  <c r="AJ13" i="20"/>
  <c r="P13" i="20" s="1"/>
  <c r="L90" i="19"/>
  <c r="M90" i="19" s="1"/>
  <c r="N90" i="19" s="1"/>
  <c r="L93" i="19"/>
  <c r="M93" i="19" s="1"/>
  <c r="N93" i="19" s="1"/>
  <c r="L272" i="19"/>
  <c r="M272" i="19" s="1"/>
  <c r="N272" i="19" s="1"/>
  <c r="R272" i="19" s="1"/>
  <c r="L34" i="19"/>
  <c r="M34" i="19" s="1"/>
  <c r="N34" i="19" s="1"/>
  <c r="R34" i="19" s="1"/>
  <c r="L305" i="19"/>
  <c r="M305" i="19" s="1"/>
  <c r="N305" i="19" s="1"/>
  <c r="R305" i="19" s="1"/>
  <c r="L165" i="22"/>
  <c r="L169" i="22"/>
  <c r="M140" i="22"/>
  <c r="L181" i="22"/>
  <c r="M136" i="22"/>
  <c r="L173" i="22"/>
  <c r="M100" i="22"/>
  <c r="M91" i="22"/>
  <c r="M142" i="22"/>
  <c r="M97" i="22"/>
  <c r="M43" i="22"/>
  <c r="M106" i="22"/>
  <c r="L177" i="22"/>
  <c r="M134" i="22"/>
  <c r="M52" i="22"/>
  <c r="M28" i="22"/>
  <c r="M103" i="22"/>
  <c r="M32" i="22"/>
  <c r="M73" i="22"/>
  <c r="M30" i="22"/>
  <c r="M24" i="22"/>
  <c r="M79" i="22"/>
  <c r="M46" i="22"/>
  <c r="M37" i="22"/>
  <c r="AT1" i="22"/>
  <c r="M85" i="22"/>
  <c r="CW18" i="7"/>
  <c r="AA175" i="21"/>
  <c r="AA163" i="21"/>
  <c r="AA171" i="21"/>
  <c r="AW1" i="21"/>
  <c r="AA179" i="21"/>
  <c r="AA167" i="21"/>
  <c r="L64" i="19"/>
  <c r="M64" i="19" s="1"/>
  <c r="N64" i="19" s="1"/>
  <c r="R64" i="19" s="1"/>
  <c r="J124" i="21"/>
  <c r="I175" i="21"/>
  <c r="I163" i="21"/>
  <c r="K55" i="21"/>
  <c r="I171" i="21"/>
  <c r="I167" i="21"/>
  <c r="J106" i="21"/>
  <c r="K106" i="21" s="1"/>
  <c r="J91" i="21"/>
  <c r="K91" i="21" s="1"/>
  <c r="J70" i="21"/>
  <c r="J15" i="21"/>
  <c r="J138" i="21"/>
  <c r="K138" i="21" s="1"/>
  <c r="J79" i="21"/>
  <c r="K79" i="21" s="1"/>
  <c r="J55" i="21"/>
  <c r="J121" i="21"/>
  <c r="J100" i="21"/>
  <c r="J58" i="21"/>
  <c r="K58" i="21" s="1"/>
  <c r="J97" i="21"/>
  <c r="K97" i="21" s="1"/>
  <c r="I179" i="21"/>
  <c r="K127" i="21"/>
  <c r="J52" i="21"/>
  <c r="J127" i="21"/>
  <c r="J76" i="21"/>
  <c r="K76" i="21" s="1"/>
  <c r="J43" i="21"/>
  <c r="K43" i="21" s="1"/>
  <c r="J146" i="21"/>
  <c r="AQ1" i="21"/>
  <c r="J64" i="21"/>
  <c r="K64" i="21" s="1"/>
  <c r="J32" i="21"/>
  <c r="J28" i="21"/>
  <c r="K28" i="21" s="1"/>
  <c r="J140" i="21"/>
  <c r="K32" i="21"/>
  <c r="H25" i="7"/>
  <c r="X25" i="7"/>
  <c r="SD25" i="7" s="1"/>
  <c r="U25" i="7"/>
  <c r="SC25" i="7" s="1"/>
  <c r="BM15" i="7"/>
  <c r="Z25" i="7"/>
  <c r="AA25" i="7"/>
  <c r="SE25" i="7" s="1"/>
  <c r="U20" i="7"/>
  <c r="SC20" i="7" s="1"/>
  <c r="X20" i="7"/>
  <c r="SD20" i="7" s="1"/>
  <c r="H20" i="7"/>
  <c r="AA20" i="7"/>
  <c r="SE20" i="7" s="1"/>
  <c r="BM10" i="7"/>
  <c r="AD173" i="22"/>
  <c r="AD177" i="22"/>
  <c r="AD181" i="22"/>
  <c r="AD169" i="22"/>
  <c r="AD165" i="22"/>
  <c r="AZ1" i="22"/>
  <c r="CW24" i="7"/>
  <c r="L215" i="4"/>
  <c r="U54" i="5"/>
  <c r="K171" i="4"/>
  <c r="S41" i="5"/>
  <c r="AM52" i="22"/>
  <c r="AB52" i="22" s="1"/>
  <c r="AM64" i="22"/>
  <c r="L139" i="4"/>
  <c r="U33" i="5"/>
  <c r="S14" i="5"/>
  <c r="K63" i="4"/>
  <c r="W16" i="5"/>
  <c r="M71" i="4"/>
  <c r="AM49" i="22"/>
  <c r="J49" i="22" s="1"/>
  <c r="M163" i="4"/>
  <c r="W39" i="5"/>
  <c r="U40" i="5"/>
  <c r="L167" i="4"/>
  <c r="K87" i="4"/>
  <c r="S20" i="5"/>
  <c r="AJ124" i="21"/>
  <c r="P41" i="20"/>
  <c r="L156" i="19"/>
  <c r="M156" i="19" s="1"/>
  <c r="N156" i="19" s="1"/>
  <c r="R156" i="19" s="1"/>
  <c r="L111" i="19"/>
  <c r="M111" i="19" s="1"/>
  <c r="N111" i="19" s="1"/>
  <c r="R111" i="19" s="1"/>
  <c r="L153" i="19"/>
  <c r="M153" i="19" s="1"/>
  <c r="N153" i="19" s="1"/>
  <c r="R153" i="19" s="1"/>
  <c r="L238" i="19"/>
  <c r="M238" i="19" s="1"/>
  <c r="N238" i="19" s="1"/>
  <c r="R238" i="19" s="1"/>
  <c r="AG173" i="22"/>
  <c r="AG177" i="22"/>
  <c r="AG181" i="22"/>
  <c r="AG169" i="22"/>
  <c r="AG165" i="22"/>
  <c r="BA1" i="22"/>
  <c r="CW25" i="7"/>
  <c r="P128" i="20"/>
  <c r="O178" i="20"/>
  <c r="O170" i="20"/>
  <c r="O162" i="20"/>
  <c r="P145" i="20"/>
  <c r="P116" i="20"/>
  <c r="P95" i="20"/>
  <c r="P71" i="20"/>
  <c r="P131" i="20"/>
  <c r="P83" i="20"/>
  <c r="O174" i="20"/>
  <c r="P89" i="20"/>
  <c r="P92" i="20"/>
  <c r="AS1" i="20"/>
  <c r="P35" i="20"/>
  <c r="P113" i="20"/>
  <c r="P53" i="20"/>
  <c r="O166" i="20"/>
  <c r="K194" i="4"/>
  <c r="S47" i="5"/>
  <c r="K167" i="4"/>
  <c r="S40" i="5"/>
  <c r="W34" i="5"/>
  <c r="M143" i="4"/>
  <c r="W54" i="5"/>
  <c r="M215" i="4"/>
  <c r="AM109" i="22"/>
  <c r="Y109" i="22" s="1"/>
  <c r="S29" i="5"/>
  <c r="K123" i="4"/>
  <c r="AM121" i="22"/>
  <c r="Y121" i="22" s="1"/>
  <c r="L75" i="4"/>
  <c r="U17" i="5"/>
  <c r="U9" i="5"/>
  <c r="L48" i="4"/>
  <c r="S37" i="5"/>
  <c r="K155" i="4"/>
  <c r="K620" i="21"/>
  <c r="V88" i="21"/>
  <c r="W88" i="21" s="1"/>
  <c r="AM34" i="22"/>
  <c r="Y34" i="22" s="1"/>
  <c r="AM82" i="22"/>
  <c r="AB82" i="22" s="1"/>
  <c r="I622" i="21"/>
  <c r="P94" i="21"/>
  <c r="Q94" i="21" s="1"/>
  <c r="AJ118" i="21"/>
  <c r="Y118" i="21" s="1"/>
  <c r="Z118" i="21" s="1"/>
  <c r="AJ136" i="21"/>
  <c r="Y136" i="21" s="1"/>
  <c r="Z136" i="21" s="1"/>
  <c r="AJ144" i="21"/>
  <c r="Y144" i="21" s="1"/>
  <c r="Z144" i="21" s="1"/>
  <c r="AM22" i="22"/>
  <c r="AJ20" i="21"/>
  <c r="V40" i="21"/>
  <c r="W40" i="21" s="1"/>
  <c r="AJ50" i="20"/>
  <c r="AJ147" i="20"/>
  <c r="AJ56" i="20"/>
  <c r="V56" i="20" s="1"/>
  <c r="S41" i="20"/>
  <c r="AJ98" i="20"/>
  <c r="G98" i="20" s="1"/>
  <c r="AJ31" i="20"/>
  <c r="AJ68" i="20"/>
  <c r="S68" i="20" s="1"/>
  <c r="L88" i="19"/>
  <c r="M88" i="19" s="1"/>
  <c r="N88" i="19" s="1"/>
  <c r="L221" i="19"/>
  <c r="M221" i="19" s="1"/>
  <c r="N221" i="19" s="1"/>
  <c r="L52" i="19"/>
  <c r="M52" i="19" s="1"/>
  <c r="N52" i="19" s="1"/>
  <c r="L266" i="19"/>
  <c r="M266" i="19" s="1"/>
  <c r="N266" i="19" s="1"/>
  <c r="R266" i="19" s="1"/>
  <c r="L102" i="19"/>
  <c r="M102" i="19" s="1"/>
  <c r="N102" i="19" s="1"/>
  <c r="R102" i="19" s="1"/>
  <c r="H21" i="7"/>
  <c r="U21" i="7"/>
  <c r="SC21" i="7" s="1"/>
  <c r="BM11" i="7"/>
  <c r="AA21" i="7"/>
  <c r="SE21" i="7" s="1"/>
  <c r="X21" i="7"/>
  <c r="SD21" i="7" s="1"/>
  <c r="O171" i="21"/>
  <c r="P106" i="21"/>
  <c r="Q106" i="21" s="1"/>
  <c r="O167" i="21"/>
  <c r="O179" i="21"/>
  <c r="O175" i="21"/>
  <c r="O163" i="21"/>
  <c r="P134" i="21"/>
  <c r="P100" i="21"/>
  <c r="P76" i="21"/>
  <c r="P12" i="21"/>
  <c r="P115" i="21"/>
  <c r="Q115" i="21" s="1"/>
  <c r="Q100" i="21"/>
  <c r="P40" i="21"/>
  <c r="Q40" i="21" s="1"/>
  <c r="P37" i="21"/>
  <c r="Q37" i="21" s="1"/>
  <c r="P138" i="21"/>
  <c r="P112" i="21"/>
  <c r="Q112" i="21" s="1"/>
  <c r="P46" i="21"/>
  <c r="P15" i="21"/>
  <c r="AS1" i="21"/>
  <c r="Q12" i="21"/>
  <c r="P30" i="21"/>
  <c r="P121" i="21"/>
  <c r="Q121" i="21" s="1"/>
  <c r="P70" i="21"/>
  <c r="Q70" i="21" s="1"/>
  <c r="P85" i="21"/>
  <c r="Q58" i="21"/>
  <c r="P43" i="21"/>
  <c r="L12" i="19"/>
  <c r="M12" i="19" s="1"/>
  <c r="N12" i="19" s="1"/>
  <c r="R12" i="19" s="1"/>
  <c r="L233" i="19"/>
  <c r="M233" i="19" s="1"/>
  <c r="N233" i="19" s="1"/>
  <c r="R233" i="19" s="1"/>
  <c r="X19" i="7"/>
  <c r="SD19" i="7" s="1"/>
  <c r="U19" i="7"/>
  <c r="SC19" i="7" s="1"/>
  <c r="AA19" i="7"/>
  <c r="SE19" i="7" s="1"/>
  <c r="BM9" i="7"/>
  <c r="H19" i="7"/>
  <c r="R174" i="20"/>
  <c r="R162" i="20"/>
  <c r="R178" i="20"/>
  <c r="R166" i="20"/>
  <c r="S128" i="20"/>
  <c r="S113" i="20"/>
  <c r="R170" i="20"/>
  <c r="S104" i="20"/>
  <c r="S98" i="20"/>
  <c r="S62" i="20"/>
  <c r="S122" i="20"/>
  <c r="S80" i="20"/>
  <c r="S47" i="20"/>
  <c r="S137" i="20"/>
  <c r="S133" i="20"/>
  <c r="S107" i="20"/>
  <c r="AT1" i="20"/>
  <c r="S44" i="20"/>
  <c r="S131" i="20"/>
  <c r="S116" i="20"/>
  <c r="S25" i="20"/>
  <c r="S35" i="20"/>
  <c r="S29" i="20"/>
  <c r="S74" i="20"/>
  <c r="S71" i="20"/>
  <c r="S145" i="20"/>
  <c r="R165" i="22"/>
  <c r="S142" i="22"/>
  <c r="R169" i="22"/>
  <c r="R181" i="22"/>
  <c r="R177" i="22"/>
  <c r="R173" i="22"/>
  <c r="S144" i="22"/>
  <c r="S134" i="22"/>
  <c r="S37" i="22"/>
  <c r="S49" i="22"/>
  <c r="S85" i="22"/>
  <c r="S79" i="22"/>
  <c r="S52" i="22"/>
  <c r="S12" i="22"/>
  <c r="S32" i="22"/>
  <c r="AV1" i="22"/>
  <c r="S28" i="22"/>
  <c r="S43" i="22"/>
  <c r="S73" i="22"/>
  <c r="CW20" i="7"/>
  <c r="S8" i="5"/>
  <c r="K45" i="4"/>
  <c r="L302" i="19"/>
  <c r="M302" i="19" s="1"/>
  <c r="N302" i="19" s="1"/>
  <c r="R302" i="19" s="1"/>
  <c r="L311" i="19"/>
  <c r="M311" i="19" s="1"/>
  <c r="N311" i="19" s="1"/>
  <c r="R311" i="19" s="1"/>
  <c r="L4" i="19"/>
  <c r="M4" i="19" s="1"/>
  <c r="N4" i="19" s="1"/>
  <c r="R4" i="19" s="1"/>
  <c r="L174" i="20"/>
  <c r="L166" i="20"/>
  <c r="M137" i="20"/>
  <c r="M131" i="20"/>
  <c r="M89" i="20"/>
  <c r="M122" i="20"/>
  <c r="L178" i="20"/>
  <c r="L170" i="20"/>
  <c r="L162" i="20"/>
  <c r="M110" i="20"/>
  <c r="M128" i="20"/>
  <c r="M113" i="20"/>
  <c r="M92" i="20"/>
  <c r="M13" i="20"/>
  <c r="M116" i="20"/>
  <c r="M53" i="20"/>
  <c r="M74" i="20"/>
  <c r="M62" i="20"/>
  <c r="M98" i="20"/>
  <c r="M27" i="20"/>
  <c r="M133" i="20"/>
  <c r="M44" i="20"/>
  <c r="AR1" i="20"/>
  <c r="M141" i="20"/>
  <c r="M23" i="20"/>
  <c r="M125" i="20"/>
  <c r="R171" i="21"/>
  <c r="R175" i="21"/>
  <c r="R163" i="21"/>
  <c r="R167" i="21"/>
  <c r="S138" i="21"/>
  <c r="R179" i="21"/>
  <c r="S100" i="21"/>
  <c r="T100" i="21" s="1"/>
  <c r="S58" i="21"/>
  <c r="T58" i="21" s="1"/>
  <c r="S40" i="21"/>
  <c r="T40" i="21" s="1"/>
  <c r="S130" i="21"/>
  <c r="T91" i="21"/>
  <c r="S94" i="21"/>
  <c r="T94" i="21" s="1"/>
  <c r="S76" i="21"/>
  <c r="T76" i="21" s="1"/>
  <c r="S61" i="21"/>
  <c r="S43" i="21"/>
  <c r="T32" i="21"/>
  <c r="S140" i="21"/>
  <c r="S109" i="21"/>
  <c r="S106" i="21"/>
  <c r="T106" i="21" s="1"/>
  <c r="S73" i="21"/>
  <c r="AT1" i="21"/>
  <c r="S79" i="21"/>
  <c r="T79" i="21" s="1"/>
  <c r="S136" i="21"/>
  <c r="T136" i="21" s="1"/>
  <c r="T70" i="21"/>
  <c r="S24" i="21"/>
  <c r="T24" i="21" s="1"/>
  <c r="S37" i="21"/>
  <c r="S32" i="21"/>
  <c r="X17" i="7"/>
  <c r="SD17" i="7" s="1"/>
  <c r="U17" i="7"/>
  <c r="SC17" i="7" s="1"/>
  <c r="BM7" i="7"/>
  <c r="H17" i="7"/>
  <c r="AA17" i="7"/>
  <c r="SE17" i="7" s="1"/>
  <c r="AJ38" i="20"/>
  <c r="P38" i="20" s="1"/>
  <c r="AJ19" i="20"/>
  <c r="P19" i="20" s="1"/>
  <c r="L329" i="19"/>
  <c r="M329" i="19" s="1"/>
  <c r="N329" i="19" s="1"/>
  <c r="S49" i="5"/>
  <c r="K200" i="4"/>
  <c r="W42" i="5"/>
  <c r="M175" i="4"/>
  <c r="S53" i="5"/>
  <c r="K212" i="4"/>
  <c r="W43" i="5"/>
  <c r="M179" i="4"/>
  <c r="AM58" i="22"/>
  <c r="S58" i="22" s="1"/>
  <c r="S13" i="5"/>
  <c r="K60" i="4"/>
  <c r="S12" i="5"/>
  <c r="K57" i="4"/>
  <c r="AM61" i="22"/>
  <c r="Y61" i="22" s="1"/>
  <c r="L39" i="4"/>
  <c r="U6" i="5"/>
  <c r="AJ142" i="21"/>
  <c r="AM70" i="22"/>
  <c r="V70" i="22" s="1"/>
  <c r="AJ130" i="21"/>
  <c r="V130" i="21" s="1"/>
  <c r="W130" i="21" s="1"/>
  <c r="K623" i="21"/>
  <c r="AJ97" i="21" s="1"/>
  <c r="S97" i="21" s="1"/>
  <c r="T97" i="21" s="1"/>
  <c r="W97" i="21"/>
  <c r="V97" i="21"/>
  <c r="AJ112" i="21"/>
  <c r="AH156" i="22"/>
  <c r="QX25" i="7" s="1"/>
  <c r="AJ94" i="21"/>
  <c r="Y94" i="21" s="1"/>
  <c r="Z94" i="21" s="1"/>
  <c r="W37" i="21"/>
  <c r="G88" i="21"/>
  <c r="H88" i="21" s="1"/>
  <c r="AJ27" i="20"/>
  <c r="AJ65" i="20"/>
  <c r="P65" i="20" s="1"/>
  <c r="AJ16" i="20"/>
  <c r="AJ143" i="20"/>
  <c r="G143" i="20" s="1"/>
  <c r="L125" i="19"/>
  <c r="M125" i="19" s="1"/>
  <c r="N125" i="19" s="1"/>
  <c r="L74" i="19"/>
  <c r="M74" i="19" s="1"/>
  <c r="N74" i="19" s="1"/>
  <c r="L310" i="19"/>
  <c r="M310" i="19" s="1"/>
  <c r="N310" i="19" s="1"/>
  <c r="R310" i="19" s="1"/>
  <c r="M2" i="19"/>
  <c r="N2" i="19" s="1"/>
  <c r="R2" i="19" s="1"/>
  <c r="L30" i="19"/>
  <c r="M30" i="19" s="1"/>
  <c r="N30" i="19" s="1"/>
  <c r="R30" i="19" s="1"/>
  <c r="L179" i="21"/>
  <c r="L167" i="21"/>
  <c r="L171" i="21"/>
  <c r="M140" i="21"/>
  <c r="N140" i="21" s="1"/>
  <c r="M73" i="21"/>
  <c r="N73" i="21" s="1"/>
  <c r="M138" i="21"/>
  <c r="N138" i="21" s="1"/>
  <c r="M134" i="21"/>
  <c r="N134" i="21" s="1"/>
  <c r="M112" i="21"/>
  <c r="L175" i="21"/>
  <c r="M85" i="21"/>
  <c r="N85" i="21" s="1"/>
  <c r="M58" i="21"/>
  <c r="N58" i="21" s="1"/>
  <c r="M37" i="21"/>
  <c r="N37" i="21" s="1"/>
  <c r="L163" i="21"/>
  <c r="M46" i="21"/>
  <c r="N46" i="21" s="1"/>
  <c r="M28" i="21"/>
  <c r="N28" i="21" s="1"/>
  <c r="M142" i="21"/>
  <c r="N142" i="21" s="1"/>
  <c r="M88" i="21"/>
  <c r="N88" i="21" s="1"/>
  <c r="AR1" i="21"/>
  <c r="N12" i="21"/>
  <c r="M55" i="21"/>
  <c r="N55" i="21" s="1"/>
  <c r="M118" i="21"/>
  <c r="N118" i="21" s="1"/>
  <c r="N40" i="21"/>
  <c r="M94" i="21"/>
  <c r="N94" i="21" s="1"/>
  <c r="M115" i="21"/>
  <c r="M12" i="21"/>
  <c r="U165" i="22"/>
  <c r="U169" i="22"/>
  <c r="V136" i="22"/>
  <c r="U173" i="22"/>
  <c r="V142" i="22"/>
  <c r="U181" i="22"/>
  <c r="U177" i="22"/>
  <c r="V134" i="22"/>
  <c r="V124" i="22"/>
  <c r="V61" i="22"/>
  <c r="V115" i="22"/>
  <c r="V73" i="22"/>
  <c r="V118" i="22"/>
  <c r="V112" i="22"/>
  <c r="V76" i="22"/>
  <c r="V32" i="22"/>
  <c r="V103" i="22"/>
  <c r="V67" i="22"/>
  <c r="V26" i="22"/>
  <c r="V30" i="22"/>
  <c r="V12" i="22"/>
  <c r="AW1" i="22"/>
  <c r="CW21" i="7"/>
  <c r="F179" i="21"/>
  <c r="F167" i="21"/>
  <c r="F171" i="21"/>
  <c r="G146" i="21"/>
  <c r="H146" i="21" s="1"/>
  <c r="G134" i="21"/>
  <c r="H134" i="21" s="1"/>
  <c r="F175" i="21"/>
  <c r="F163" i="21"/>
  <c r="G142" i="21"/>
  <c r="H142" i="21" s="1"/>
  <c r="G40" i="21"/>
  <c r="H40" i="21" s="1"/>
  <c r="G140" i="21"/>
  <c r="G121" i="21"/>
  <c r="H121" i="21" s="1"/>
  <c r="H106" i="21"/>
  <c r="G91" i="21"/>
  <c r="G67" i="21"/>
  <c r="H67" i="21" s="1"/>
  <c r="H32" i="21"/>
  <c r="G32" i="21"/>
  <c r="G64" i="21"/>
  <c r="H64" i="21" s="1"/>
  <c r="G100" i="21"/>
  <c r="H100" i="21" s="1"/>
  <c r="H58" i="21"/>
  <c r="G58" i="21"/>
  <c r="H61" i="21"/>
  <c r="H52" i="21"/>
  <c r="G112" i="21"/>
  <c r="H112" i="21" s="1"/>
  <c r="H43" i="21"/>
  <c r="AP1" i="21"/>
  <c r="B6" i="21" s="1"/>
  <c r="N15" i="21" s="1"/>
  <c r="G52" i="21"/>
  <c r="H91" i="21"/>
  <c r="G70" i="21"/>
  <c r="G46" i="21"/>
  <c r="H46" i="21" s="1"/>
  <c r="G61" i="21"/>
  <c r="AQ40" i="14"/>
  <c r="AQ6" i="14"/>
  <c r="AQ40" i="12"/>
  <c r="AQ68" i="8"/>
  <c r="AQ19" i="14"/>
  <c r="AQ82" i="15"/>
  <c r="AQ95" i="17"/>
  <c r="W154" i="4"/>
  <c r="AQ47" i="14"/>
  <c r="AQ12" i="14"/>
  <c r="AQ5" i="17"/>
  <c r="AQ27" i="16"/>
  <c r="AQ21" i="13"/>
  <c r="T177" i="4"/>
  <c r="AC120" i="4"/>
  <c r="AQ93" i="8"/>
  <c r="T178" i="4"/>
  <c r="W207" i="4"/>
  <c r="AB114" i="4"/>
  <c r="AQ13" i="10"/>
  <c r="AQ39" i="12"/>
  <c r="V207" i="4"/>
  <c r="AQ46" i="17"/>
  <c r="AQ30" i="17"/>
  <c r="AQ69" i="9"/>
  <c r="AQ87" i="13"/>
  <c r="AQ75" i="13"/>
  <c r="Y182" i="4"/>
  <c r="Y141" i="4"/>
  <c r="AQ41" i="10"/>
  <c r="AQ53" i="15"/>
  <c r="AQ96" i="11"/>
  <c r="AQ91" i="15"/>
  <c r="AQ38" i="9"/>
  <c r="AQ14" i="14"/>
  <c r="AQ66" i="10"/>
  <c r="Z64" i="4"/>
  <c r="AQ28" i="9"/>
  <c r="Z173" i="4"/>
  <c r="T185" i="4"/>
  <c r="Y84" i="4"/>
  <c r="AQ38" i="8"/>
  <c r="V59" i="4"/>
  <c r="AQ86" i="10"/>
  <c r="AQ24" i="10"/>
  <c r="AQ12" i="12"/>
  <c r="AQ56" i="16"/>
  <c r="AQ13" i="8"/>
  <c r="AB112" i="4"/>
  <c r="U113" i="4"/>
  <c r="X61" i="4"/>
  <c r="AQ98" i="15"/>
  <c r="AQ45" i="15"/>
  <c r="AQ51" i="15"/>
  <c r="AQ97" i="17"/>
  <c r="AQ54" i="13"/>
  <c r="T56" i="4"/>
  <c r="U117" i="4"/>
  <c r="AQ35" i="17"/>
  <c r="AQ16" i="17"/>
  <c r="AQ22" i="16"/>
  <c r="AQ6" i="13"/>
  <c r="AQ92" i="11"/>
  <c r="AQ44" i="16"/>
  <c r="AQ18" i="13"/>
  <c r="AQ107" i="9"/>
  <c r="AQ86" i="9"/>
  <c r="AQ70" i="14"/>
  <c r="AQ97" i="11"/>
  <c r="AQ69" i="11"/>
  <c r="AQ59" i="11"/>
  <c r="AQ93" i="17"/>
  <c r="AQ86" i="11"/>
  <c r="AQ41" i="15"/>
  <c r="AQ78" i="8"/>
  <c r="AQ54" i="8"/>
  <c r="AQ78" i="16"/>
  <c r="AQ18" i="16"/>
  <c r="V93" i="4"/>
  <c r="AQ19" i="15"/>
  <c r="AC41" i="4"/>
  <c r="W170" i="4"/>
  <c r="U109" i="4"/>
  <c r="AQ100" i="14"/>
  <c r="Y180" i="4"/>
  <c r="AQ55" i="9"/>
  <c r="AQ31" i="13"/>
  <c r="AQ5" i="14"/>
  <c r="AQ84" i="11"/>
  <c r="AQ14" i="10"/>
  <c r="X38" i="4"/>
  <c r="AQ68" i="13"/>
  <c r="AQ95" i="8"/>
  <c r="AA208" i="4"/>
  <c r="T69" i="4"/>
  <c r="AQ8" i="15"/>
  <c r="AQ32" i="10"/>
  <c r="AQ57" i="10"/>
  <c r="AQ64" i="14"/>
  <c r="AQ13" i="17"/>
  <c r="W196" i="4"/>
  <c r="AB113" i="4"/>
  <c r="AB198" i="4"/>
  <c r="U77" i="4"/>
  <c r="Z65" i="4"/>
  <c r="AC134" i="4"/>
  <c r="AQ47" i="17"/>
  <c r="W50" i="4"/>
  <c r="X198" i="4"/>
  <c r="AQ11" i="17"/>
  <c r="AB165" i="4"/>
  <c r="Y172" i="4"/>
  <c r="X125" i="4"/>
  <c r="AQ98" i="10"/>
  <c r="AB74" i="4"/>
  <c r="AA144" i="4"/>
  <c r="AC112" i="4"/>
  <c r="W160" i="4"/>
  <c r="AA44" i="4"/>
  <c r="AQ75" i="12"/>
  <c r="AQ45" i="8"/>
  <c r="X146" i="4"/>
  <c r="AA210" i="4"/>
  <c r="AQ16" i="9"/>
  <c r="AQ52" i="12"/>
  <c r="AQ82" i="13"/>
  <c r="AQ98" i="12"/>
  <c r="AQ48" i="17"/>
  <c r="AQ28" i="17"/>
  <c r="AQ107" i="12"/>
  <c r="AQ79" i="12"/>
  <c r="AQ85" i="15"/>
  <c r="AQ54" i="17"/>
  <c r="AQ69" i="8"/>
  <c r="X70" i="4"/>
  <c r="AQ38" i="10"/>
  <c r="AQ46" i="8"/>
  <c r="T26" i="4"/>
  <c r="AB40" i="4"/>
  <c r="AQ47" i="15"/>
  <c r="AQ12" i="15"/>
  <c r="AQ31" i="11"/>
  <c r="AA114" i="4"/>
  <c r="AQ62" i="11"/>
  <c r="AQ7" i="16"/>
  <c r="AQ52" i="16"/>
  <c r="AQ98" i="17"/>
  <c r="AQ26" i="15"/>
  <c r="W126" i="4"/>
  <c r="Y58" i="4"/>
  <c r="AQ73" i="15"/>
  <c r="AQ99" i="14"/>
  <c r="AQ22" i="10"/>
  <c r="AQ73" i="12"/>
  <c r="AQ102" i="14"/>
  <c r="AQ43" i="17"/>
  <c r="AQ6" i="10"/>
  <c r="X177" i="4"/>
  <c r="AC199" i="4"/>
  <c r="Z162" i="4"/>
  <c r="AQ105" i="11"/>
  <c r="AB58" i="4"/>
  <c r="U157" i="4"/>
  <c r="AQ96" i="16"/>
  <c r="AQ72" i="16"/>
  <c r="AQ99" i="17"/>
  <c r="AQ7" i="15"/>
  <c r="AQ9" i="15"/>
  <c r="U172" i="4"/>
  <c r="AC78" i="4"/>
  <c r="AQ109" i="14"/>
  <c r="AQ75" i="17"/>
  <c r="AQ83" i="11"/>
  <c r="AQ67" i="11"/>
  <c r="AQ95" i="15"/>
  <c r="AQ55" i="16"/>
  <c r="AQ17" i="8"/>
  <c r="X112" i="4"/>
  <c r="Z40" i="4"/>
  <c r="AQ8" i="14"/>
  <c r="AQ84" i="13"/>
  <c r="AQ83" i="16"/>
  <c r="AQ47" i="16"/>
  <c r="AQ64" i="12"/>
  <c r="AQ107" i="14"/>
  <c r="AQ95" i="12"/>
  <c r="AQ85" i="16"/>
  <c r="AQ85" i="10"/>
  <c r="AQ32" i="13"/>
  <c r="AQ58" i="11"/>
  <c r="AQ76" i="16"/>
  <c r="AQ71" i="10"/>
  <c r="AQ30" i="12"/>
  <c r="AQ40" i="16"/>
  <c r="AQ95" i="14"/>
  <c r="AQ39" i="17"/>
  <c r="AQ5" i="8"/>
  <c r="AQ46" i="13"/>
  <c r="AQ71" i="11"/>
  <c r="AC165" i="4"/>
  <c r="AQ99" i="8"/>
  <c r="AB98" i="4"/>
  <c r="Y160" i="4"/>
  <c r="AQ26" i="13"/>
  <c r="AQ39" i="11"/>
  <c r="AQ11" i="15"/>
  <c r="AQ78" i="11"/>
  <c r="AQ103" i="11"/>
  <c r="AQ74" i="16"/>
  <c r="AQ8" i="11"/>
  <c r="AQ49" i="14"/>
  <c r="U152" i="4"/>
  <c r="AQ8" i="12"/>
  <c r="AC114" i="4"/>
  <c r="U142" i="4"/>
  <c r="U168" i="4"/>
  <c r="AQ30" i="13"/>
  <c r="W93" i="4"/>
  <c r="AQ5" i="12"/>
  <c r="AQ24" i="9"/>
  <c r="AQ105" i="16"/>
  <c r="X43" i="4"/>
  <c r="T126" i="4"/>
  <c r="V27" i="4"/>
  <c r="AQ79" i="8"/>
  <c r="AA47" i="4"/>
  <c r="T80" i="4"/>
  <c r="AQ25" i="17"/>
  <c r="AB19" i="4"/>
  <c r="AQ96" i="8"/>
  <c r="AQ62" i="15"/>
  <c r="W162" i="4"/>
  <c r="AQ106" i="8"/>
  <c r="AB116" i="4"/>
  <c r="V173" i="4"/>
  <c r="U89" i="4"/>
  <c r="AA168" i="4"/>
  <c r="V186" i="4"/>
  <c r="T205" i="4"/>
  <c r="X137" i="4"/>
  <c r="AQ93" i="13"/>
  <c r="AQ18" i="14"/>
  <c r="AC126" i="4"/>
  <c r="AA112" i="4"/>
  <c r="AA164" i="4"/>
  <c r="X202" i="4"/>
  <c r="AQ13" i="9"/>
  <c r="X46" i="4"/>
  <c r="Y140" i="4"/>
  <c r="AB136" i="4"/>
  <c r="AQ106" i="12"/>
  <c r="AC178" i="4"/>
  <c r="V84" i="4"/>
  <c r="AQ95" i="16"/>
  <c r="AQ71" i="16"/>
  <c r="AQ91" i="9"/>
  <c r="AQ16" i="13"/>
  <c r="AQ105" i="12"/>
  <c r="AQ12" i="10"/>
  <c r="AQ73" i="9"/>
  <c r="AQ73" i="16"/>
  <c r="AQ24" i="13"/>
  <c r="U46" i="4"/>
  <c r="AQ80" i="10"/>
  <c r="Y170" i="4"/>
  <c r="AC124" i="4"/>
  <c r="AQ108" i="17"/>
  <c r="AQ79" i="17"/>
  <c r="AQ39" i="13"/>
  <c r="AQ14" i="13"/>
  <c r="AQ66" i="17"/>
  <c r="AQ101" i="14"/>
  <c r="AQ76" i="10"/>
  <c r="AQ37" i="10"/>
  <c r="AQ45" i="17"/>
  <c r="AQ20" i="11"/>
  <c r="V109" i="4"/>
  <c r="AQ98" i="11"/>
  <c r="T157" i="4"/>
  <c r="AC162" i="4"/>
  <c r="AQ4" i="10"/>
  <c r="Y136" i="4"/>
  <c r="AQ99" i="9"/>
  <c r="AQ90" i="12"/>
  <c r="AQ105" i="13"/>
  <c r="AQ14" i="17"/>
  <c r="AQ18" i="15"/>
  <c r="AA165" i="4"/>
  <c r="Y34" i="4"/>
  <c r="U186" i="4"/>
  <c r="AQ94" i="16"/>
  <c r="AQ11" i="13"/>
  <c r="AQ85" i="12"/>
  <c r="AQ61" i="12"/>
  <c r="AQ23" i="16"/>
  <c r="AQ57" i="15"/>
  <c r="Y205" i="4"/>
  <c r="AQ85" i="14"/>
  <c r="AQ51" i="8"/>
  <c r="AQ59" i="13"/>
  <c r="AQ30" i="15"/>
  <c r="AQ108" i="16"/>
  <c r="AQ9" i="10"/>
  <c r="AQ41" i="12"/>
  <c r="AQ56" i="17"/>
  <c r="AQ51" i="16"/>
  <c r="AQ75" i="14"/>
  <c r="AQ81" i="12"/>
  <c r="AQ51" i="12"/>
  <c r="AQ36" i="17"/>
  <c r="AQ16" i="8"/>
  <c r="AB207" i="4"/>
  <c r="AQ71" i="12"/>
  <c r="AQ53" i="11"/>
  <c r="AQ100" i="15"/>
  <c r="AQ43" i="16"/>
  <c r="Z37" i="4"/>
  <c r="X62" i="4"/>
  <c r="X40" i="4"/>
  <c r="AC211" i="4"/>
  <c r="AQ70" i="11"/>
  <c r="AQ92" i="8"/>
  <c r="AQ74" i="15"/>
  <c r="AQ61" i="16"/>
  <c r="AQ96" i="12"/>
  <c r="AQ30" i="9"/>
  <c r="AQ64" i="10"/>
  <c r="AQ102" i="13"/>
  <c r="AQ32" i="17"/>
  <c r="AQ24" i="17"/>
  <c r="Y184" i="4"/>
  <c r="AB122" i="4"/>
  <c r="W169" i="4"/>
  <c r="W201" i="4"/>
  <c r="AQ100" i="16"/>
  <c r="AQ24" i="14"/>
  <c r="AQ9" i="14"/>
  <c r="AQ20" i="15"/>
  <c r="AQ54" i="16"/>
  <c r="AQ48" i="8"/>
  <c r="AC156" i="4"/>
  <c r="AQ14" i="11"/>
  <c r="AA176" i="4"/>
  <c r="U122" i="4"/>
  <c r="AQ41" i="13"/>
  <c r="AQ25" i="8"/>
  <c r="AQ62" i="14"/>
  <c r="AQ15" i="17"/>
  <c r="AQ15" i="14"/>
  <c r="AQ32" i="9"/>
  <c r="AB141" i="4"/>
  <c r="AB193" i="4"/>
  <c r="AC136" i="4"/>
  <c r="AQ13" i="12"/>
  <c r="AA195" i="4"/>
  <c r="AQ55" i="15"/>
  <c r="AQ103" i="13"/>
  <c r="AQ88" i="16"/>
  <c r="AQ108" i="11"/>
  <c r="W33" i="4"/>
  <c r="AQ102" i="8"/>
  <c r="AQ88" i="9"/>
  <c r="AQ44" i="11"/>
  <c r="AQ54" i="12"/>
  <c r="AQ59" i="17"/>
  <c r="AQ81" i="16"/>
  <c r="T62" i="4"/>
  <c r="AC98" i="4"/>
  <c r="AQ4" i="16"/>
  <c r="AQ81" i="15"/>
  <c r="AQ89" i="16"/>
  <c r="AC81" i="4"/>
  <c r="AQ7" i="17"/>
  <c r="AQ106" i="16"/>
  <c r="AQ58" i="17"/>
  <c r="AQ107" i="11"/>
  <c r="X37" i="4"/>
  <c r="AQ67" i="17"/>
  <c r="AQ27" i="17"/>
  <c r="AQ38" i="16"/>
  <c r="AQ70" i="10"/>
  <c r="AQ7" i="12"/>
  <c r="U150" i="4"/>
  <c r="V40" i="4"/>
  <c r="AQ88" i="10"/>
  <c r="U65" i="4"/>
  <c r="AQ91" i="16"/>
  <c r="AQ6" i="9"/>
  <c r="AQ86" i="8"/>
  <c r="AQ26" i="17"/>
  <c r="AQ87" i="12"/>
  <c r="X72" i="4"/>
  <c r="AQ73" i="17"/>
  <c r="T92" i="4"/>
  <c r="AQ69" i="16"/>
  <c r="V141" i="4"/>
  <c r="Z43" i="4"/>
  <c r="AC92" i="4"/>
  <c r="AQ17" i="15"/>
  <c r="AQ28" i="15"/>
  <c r="AQ6" i="8"/>
  <c r="V104" i="4"/>
  <c r="W37" i="4"/>
  <c r="AQ80" i="17"/>
  <c r="V70" i="4"/>
  <c r="W177" i="4"/>
  <c r="U38" i="4"/>
  <c r="AQ105" i="14"/>
  <c r="X213" i="4"/>
  <c r="AQ56" i="15"/>
  <c r="W27" i="4"/>
  <c r="T161" i="4"/>
  <c r="AQ36" i="13"/>
  <c r="X164" i="4"/>
  <c r="W205" i="4"/>
  <c r="W150" i="4"/>
  <c r="AA169" i="4"/>
  <c r="U148" i="4"/>
  <c r="U70" i="4"/>
  <c r="Y201" i="4"/>
  <c r="AB49" i="4"/>
  <c r="AQ20" i="9"/>
  <c r="AQ69" i="10"/>
  <c r="AQ42" i="17"/>
  <c r="Y188" i="4"/>
  <c r="AB52" i="4"/>
  <c r="AA140" i="4"/>
  <c r="AQ96" i="14"/>
  <c r="AQ97" i="14"/>
  <c r="AQ99" i="16"/>
  <c r="AQ103" i="12"/>
  <c r="AQ86" i="16"/>
  <c r="AQ64" i="17"/>
  <c r="AQ97" i="10"/>
  <c r="Y101" i="4"/>
  <c r="W43" i="4"/>
  <c r="AC80" i="4"/>
  <c r="AQ100" i="9"/>
  <c r="AQ76" i="17"/>
  <c r="AQ71" i="9"/>
  <c r="AQ91" i="12"/>
  <c r="AQ35" i="9"/>
  <c r="AQ103" i="15"/>
  <c r="AQ35" i="16"/>
  <c r="AQ59" i="8"/>
  <c r="V182" i="4"/>
  <c r="W180" i="4"/>
  <c r="AQ52" i="17"/>
  <c r="AQ82" i="17"/>
  <c r="AQ23" i="15"/>
  <c r="AB195" i="4"/>
  <c r="T100" i="4"/>
  <c r="U43" i="4"/>
  <c r="AQ11" i="8"/>
  <c r="AQ58" i="16"/>
  <c r="AQ81" i="14"/>
  <c r="AQ77" i="13"/>
  <c r="AQ9" i="13"/>
  <c r="W77" i="4"/>
  <c r="X136" i="4"/>
  <c r="AQ12" i="13"/>
  <c r="AQ74" i="17"/>
  <c r="AQ61" i="8"/>
  <c r="AQ109" i="13"/>
  <c r="AQ60" i="14"/>
  <c r="AQ50" i="17"/>
  <c r="AQ49" i="12"/>
  <c r="AQ56" i="12"/>
  <c r="Y198" i="4"/>
  <c r="AQ6" i="17"/>
  <c r="AQ63" i="14"/>
  <c r="AQ21" i="11"/>
  <c r="AQ77" i="16"/>
  <c r="AQ93" i="12"/>
  <c r="AQ84" i="15"/>
  <c r="AQ75" i="15"/>
  <c r="AQ95" i="11"/>
  <c r="AQ61" i="10"/>
  <c r="AQ57" i="12"/>
  <c r="AQ62" i="17"/>
  <c r="AQ9" i="9"/>
  <c r="AQ74" i="8"/>
  <c r="AQ89" i="10"/>
  <c r="AQ27" i="12"/>
  <c r="T142" i="4"/>
  <c r="AQ27" i="15"/>
  <c r="AQ63" i="13"/>
  <c r="AQ106" i="11"/>
  <c r="AQ103" i="9"/>
  <c r="AQ59" i="12"/>
  <c r="AQ20" i="10"/>
  <c r="AQ72" i="14"/>
  <c r="AQ12" i="17"/>
  <c r="AQ57" i="13"/>
  <c r="U74" i="4"/>
  <c r="AQ99" i="10"/>
  <c r="AQ41" i="8"/>
  <c r="T134" i="4"/>
  <c r="AQ53" i="16"/>
  <c r="AQ60" i="15"/>
  <c r="AQ89" i="11"/>
  <c r="AQ25" i="15"/>
  <c r="AQ87" i="10"/>
  <c r="AQ51" i="11"/>
  <c r="U158" i="4"/>
  <c r="V201" i="4"/>
  <c r="Y96" i="4"/>
  <c r="AQ22" i="15"/>
  <c r="AQ10" i="16"/>
  <c r="AQ38" i="17"/>
  <c r="T108" i="4"/>
  <c r="V138" i="4"/>
  <c r="Y74" i="4"/>
  <c r="W78" i="4"/>
  <c r="AQ109" i="16"/>
  <c r="AQ92" i="16"/>
  <c r="AQ26" i="9"/>
  <c r="X85" i="4"/>
  <c r="AB148" i="4"/>
  <c r="AQ76" i="11"/>
  <c r="AQ89" i="12"/>
  <c r="AQ10" i="15"/>
  <c r="AQ90" i="17"/>
  <c r="X204" i="4"/>
  <c r="AQ34" i="14"/>
  <c r="AQ77" i="11"/>
  <c r="AQ94" i="15"/>
  <c r="AQ102" i="11"/>
  <c r="X84" i="4"/>
  <c r="AQ104" i="12"/>
  <c r="AQ95" i="9"/>
  <c r="AQ109" i="9"/>
  <c r="AQ16" i="16"/>
  <c r="AQ66" i="14"/>
  <c r="AQ9" i="11"/>
  <c r="AQ78" i="17"/>
  <c r="AQ28" i="8"/>
  <c r="AQ89" i="17"/>
  <c r="AQ92" i="17"/>
  <c r="AQ42" i="16"/>
  <c r="AQ17" i="9"/>
  <c r="AB185" i="4"/>
  <c r="AA104" i="4"/>
  <c r="AQ36" i="12"/>
  <c r="Z82" i="4"/>
  <c r="AQ70" i="9"/>
  <c r="AQ17" i="12"/>
  <c r="Z137" i="4"/>
  <c r="AA72" i="4"/>
  <c r="AQ33" i="13"/>
  <c r="AQ104" i="11"/>
  <c r="Z207" i="4"/>
  <c r="AQ91" i="14"/>
  <c r="AQ88" i="11"/>
  <c r="AQ81" i="17"/>
  <c r="U133" i="4"/>
  <c r="AA198" i="4"/>
  <c r="V56" i="4"/>
  <c r="Z41" i="4"/>
  <c r="T189" i="4"/>
  <c r="AQ6" i="16"/>
  <c r="AC172" i="4"/>
  <c r="U118" i="4"/>
  <c r="U102" i="4"/>
  <c r="V146" i="4"/>
  <c r="V97" i="4"/>
  <c r="Z141" i="4"/>
  <c r="X76" i="4"/>
  <c r="W102" i="4"/>
  <c r="AQ79" i="10"/>
  <c r="W120" i="4"/>
  <c r="Z132" i="4"/>
  <c r="V106" i="4"/>
  <c r="W109" i="4"/>
  <c r="W113" i="4"/>
  <c r="V125" i="4"/>
  <c r="Z98" i="4"/>
  <c r="T105" i="4"/>
  <c r="V61" i="4"/>
  <c r="Y32" i="4"/>
  <c r="V81" i="4"/>
  <c r="AA58" i="4"/>
  <c r="AQ61" i="11"/>
  <c r="AC37" i="4"/>
  <c r="Z70" i="4"/>
  <c r="AQ33" i="8"/>
  <c r="U196" i="4"/>
  <c r="W72" i="4"/>
  <c r="AB166" i="4"/>
  <c r="AA98" i="4"/>
  <c r="T148" i="4"/>
  <c r="Z199" i="4"/>
  <c r="U207" i="4"/>
  <c r="AQ102" i="9"/>
  <c r="V89" i="4"/>
  <c r="AA94" i="4"/>
  <c r="X53" i="4"/>
  <c r="W49" i="4"/>
  <c r="AB61" i="4"/>
  <c r="T125" i="4"/>
  <c r="Y120" i="4"/>
  <c r="T109" i="4"/>
  <c r="AQ31" i="8"/>
  <c r="V62" i="4"/>
  <c r="AQ94" i="10"/>
  <c r="AA81" i="4"/>
  <c r="Z106" i="4"/>
  <c r="AQ66" i="9"/>
  <c r="Y168" i="4"/>
  <c r="AQ13" i="11"/>
  <c r="Y202" i="4"/>
  <c r="AA74" i="4"/>
  <c r="X109" i="4"/>
  <c r="AQ73" i="8"/>
  <c r="T168" i="4"/>
  <c r="AQ75" i="11"/>
  <c r="AQ43" i="15"/>
  <c r="AQ62" i="9"/>
  <c r="AQ85" i="11"/>
  <c r="AQ11" i="11"/>
  <c r="AQ61" i="13"/>
  <c r="AC113" i="4"/>
  <c r="X208" i="4"/>
  <c r="Y80" i="4"/>
  <c r="AQ80" i="16"/>
  <c r="AQ73" i="11"/>
  <c r="AQ60" i="17"/>
  <c r="W202" i="4"/>
  <c r="AQ86" i="14"/>
  <c r="AQ33" i="15"/>
  <c r="AC196" i="4"/>
  <c r="AC205" i="4"/>
  <c r="Z112" i="4"/>
  <c r="AQ59" i="14"/>
  <c r="AQ56" i="14"/>
  <c r="AQ43" i="11"/>
  <c r="AQ108" i="14"/>
  <c r="AQ89" i="13"/>
  <c r="AA108" i="4"/>
  <c r="AQ104" i="10"/>
  <c r="AQ59" i="15"/>
  <c r="AQ10" i="14"/>
  <c r="AQ58" i="13"/>
  <c r="AQ99" i="15"/>
  <c r="AC132" i="4"/>
  <c r="AC110" i="4"/>
  <c r="AQ31" i="16"/>
  <c r="AQ21" i="10"/>
  <c r="AQ88" i="14"/>
  <c r="AQ29" i="17"/>
  <c r="AQ44" i="12"/>
  <c r="AQ106" i="13"/>
  <c r="AQ104" i="13"/>
  <c r="AQ28" i="14"/>
  <c r="AQ77" i="14"/>
  <c r="W141" i="4"/>
  <c r="AQ11" i="10"/>
  <c r="AQ63" i="12"/>
  <c r="AQ72" i="15"/>
  <c r="AQ23" i="11"/>
  <c r="AQ52" i="11"/>
  <c r="AQ102" i="16"/>
  <c r="AQ42" i="15"/>
  <c r="AA162" i="4"/>
  <c r="AQ65" i="11"/>
  <c r="AQ17" i="16"/>
  <c r="AQ61" i="17"/>
  <c r="Y112" i="4"/>
  <c r="AB189" i="4"/>
  <c r="AC152" i="4"/>
  <c r="AQ65" i="10"/>
  <c r="Z205" i="4"/>
  <c r="AQ47" i="12"/>
  <c r="AQ34" i="17"/>
  <c r="AA161" i="4"/>
  <c r="Z46" i="4"/>
  <c r="AQ48" i="15"/>
  <c r="V128" i="4"/>
  <c r="T84" i="4"/>
  <c r="AQ108" i="15"/>
  <c r="AC108" i="4"/>
  <c r="AQ37" i="13"/>
  <c r="Z150" i="4"/>
  <c r="AQ6" i="12"/>
  <c r="AQ27" i="10"/>
  <c r="Z93" i="4"/>
  <c r="AQ50" i="8"/>
  <c r="AQ96" i="15"/>
  <c r="AQ67" i="14"/>
  <c r="U195" i="4"/>
  <c r="AB164" i="4"/>
  <c r="AQ70" i="8"/>
  <c r="AQ29" i="8"/>
  <c r="AQ84" i="16"/>
  <c r="AQ32" i="14"/>
  <c r="AQ53" i="12"/>
  <c r="Z61" i="4"/>
  <c r="AQ78" i="12"/>
  <c r="AQ42" i="8"/>
  <c r="AQ57" i="8"/>
  <c r="AQ52" i="8"/>
  <c r="AA180" i="4"/>
  <c r="T184" i="4"/>
  <c r="AQ68" i="11"/>
  <c r="AQ39" i="10"/>
  <c r="AQ96" i="10"/>
  <c r="AB97" i="4"/>
  <c r="AQ94" i="8"/>
  <c r="AQ94" i="14"/>
  <c r="W185" i="4"/>
  <c r="AQ51" i="14"/>
  <c r="AC161" i="4"/>
  <c r="AQ62" i="16"/>
  <c r="AQ58" i="10"/>
  <c r="Z210" i="4"/>
  <c r="X189" i="4"/>
  <c r="X180" i="4"/>
  <c r="AQ23" i="14"/>
  <c r="AQ31" i="17"/>
  <c r="AQ67" i="15"/>
  <c r="AQ68" i="15"/>
  <c r="T138" i="4"/>
  <c r="AQ76" i="14"/>
  <c r="AQ33" i="11"/>
  <c r="AQ22" i="13"/>
  <c r="AQ17" i="11"/>
  <c r="Z138" i="4"/>
  <c r="AQ20" i="12"/>
  <c r="AQ64" i="11"/>
  <c r="AQ52" i="15"/>
  <c r="U116" i="4"/>
  <c r="U146" i="4"/>
  <c r="AQ86" i="17"/>
  <c r="AQ64" i="13"/>
  <c r="AQ48" i="13"/>
  <c r="AQ45" i="14"/>
  <c r="AQ48" i="11"/>
  <c r="AQ4" i="17"/>
  <c r="AQ44" i="13"/>
  <c r="AA158" i="4"/>
  <c r="AQ40" i="17"/>
  <c r="AQ35" i="10"/>
  <c r="AQ10" i="13"/>
  <c r="AQ103" i="17"/>
  <c r="X102" i="4"/>
  <c r="AQ90" i="14"/>
  <c r="AQ65" i="17"/>
  <c r="AA213" i="4"/>
  <c r="AA102" i="4"/>
  <c r="Z102" i="4"/>
  <c r="AA149" i="4"/>
  <c r="W148" i="4"/>
  <c r="AQ109" i="10"/>
  <c r="AQ75" i="16"/>
  <c r="AQ103" i="8"/>
  <c r="T211" i="4"/>
  <c r="AC70" i="4"/>
  <c r="AQ91" i="17"/>
  <c r="W204" i="4"/>
  <c r="Z89" i="4"/>
  <c r="AQ63" i="16"/>
  <c r="U204" i="4"/>
  <c r="U166" i="4"/>
  <c r="AQ63" i="9"/>
  <c r="AQ21" i="17"/>
  <c r="AQ85" i="9"/>
  <c r="AQ20" i="16"/>
  <c r="AQ54" i="14"/>
  <c r="AQ83" i="17"/>
  <c r="V172" i="4"/>
  <c r="AQ78" i="14"/>
  <c r="AQ101" i="12"/>
  <c r="AQ55" i="10"/>
  <c r="AQ94" i="13"/>
  <c r="AQ86" i="15"/>
  <c r="AQ40" i="11"/>
  <c r="AA56" i="4"/>
  <c r="AQ28" i="11"/>
  <c r="AQ107" i="8"/>
  <c r="AQ109" i="15"/>
  <c r="V101" i="4"/>
  <c r="AC66" i="4"/>
  <c r="AQ91" i="8"/>
  <c r="AQ66" i="12"/>
  <c r="AQ68" i="12"/>
  <c r="AB56" i="4"/>
  <c r="AQ44" i="17"/>
  <c r="AQ65" i="16"/>
  <c r="AQ16" i="11"/>
  <c r="V181" i="4"/>
  <c r="AQ62" i="8"/>
  <c r="AQ109" i="17"/>
  <c r="AQ66" i="15"/>
  <c r="AQ14" i="9"/>
  <c r="Z208" i="4"/>
  <c r="AQ67" i="12"/>
  <c r="AQ79" i="11"/>
  <c r="AQ27" i="14"/>
  <c r="AQ46" i="12"/>
  <c r="AQ77" i="17"/>
  <c r="AQ45" i="10"/>
  <c r="AQ69" i="13"/>
  <c r="V156" i="4"/>
  <c r="AQ73" i="14"/>
  <c r="Z214" i="4"/>
  <c r="AQ85" i="8"/>
  <c r="AQ17" i="17"/>
  <c r="AQ4" i="14"/>
  <c r="AQ43" i="14"/>
  <c r="X166" i="4"/>
  <c r="AB41" i="4"/>
  <c r="AB142" i="4"/>
  <c r="AQ8" i="17"/>
  <c r="AQ26" i="14"/>
  <c r="W84" i="4"/>
  <c r="AQ106" i="10"/>
  <c r="Y199" i="4"/>
  <c r="AA89" i="4"/>
  <c r="AB37" i="4"/>
  <c r="V144" i="4"/>
  <c r="Y177" i="4"/>
  <c r="X210" i="4"/>
  <c r="U178" i="4"/>
  <c r="AA157" i="4"/>
  <c r="Y76" i="4"/>
  <c r="U184" i="4"/>
  <c r="AQ12" i="9"/>
  <c r="V149" i="4"/>
  <c r="Y128" i="4"/>
  <c r="X186" i="4"/>
  <c r="U49" i="4"/>
  <c r="AC76" i="4"/>
  <c r="AQ33" i="12"/>
  <c r="V50" i="4"/>
  <c r="T74" i="4"/>
  <c r="V33" i="4"/>
  <c r="AB44" i="4"/>
  <c r="AQ39" i="8"/>
  <c r="AB69" i="4"/>
  <c r="X69" i="4"/>
  <c r="AQ104" i="9"/>
  <c r="W132" i="4"/>
  <c r="U130" i="4"/>
  <c r="Y73" i="4"/>
  <c r="V170" i="4"/>
  <c r="W172" i="4"/>
  <c r="AQ103" i="10"/>
  <c r="AA93" i="4"/>
  <c r="AB92" i="4"/>
  <c r="T164" i="4"/>
  <c r="AQ107" i="10"/>
  <c r="Z124" i="4"/>
  <c r="U169" i="4"/>
  <c r="AQ94" i="11"/>
  <c r="AQ93" i="14"/>
  <c r="AB169" i="4"/>
  <c r="AQ7" i="11"/>
  <c r="Z109" i="4"/>
  <c r="AA118" i="4"/>
  <c r="V211" i="4"/>
  <c r="U124" i="4"/>
  <c r="AB181" i="4"/>
  <c r="U145" i="4"/>
  <c r="AC157" i="4"/>
  <c r="AB132" i="4"/>
  <c r="AQ105" i="10"/>
  <c r="X173" i="4"/>
  <c r="V198" i="4"/>
  <c r="X44" i="4"/>
  <c r="Y77" i="4"/>
  <c r="Z180" i="4"/>
  <c r="AA153" i="4"/>
  <c r="AQ81" i="9"/>
  <c r="Z108" i="4"/>
  <c r="U44" i="4"/>
  <c r="Y110" i="4"/>
  <c r="T117" i="4"/>
  <c r="V76" i="4"/>
  <c r="X90" i="4"/>
  <c r="AB65" i="4"/>
  <c r="AQ108" i="10"/>
  <c r="AQ10" i="8"/>
  <c r="X116" i="4"/>
  <c r="AQ71" i="8"/>
  <c r="AB199" i="4"/>
  <c r="AQ41" i="14"/>
  <c r="AQ49" i="11"/>
  <c r="AQ47" i="13"/>
  <c r="AQ12" i="11"/>
  <c r="AQ51" i="17"/>
  <c r="AA182" i="4"/>
  <c r="V202" i="4"/>
  <c r="AQ54" i="11"/>
  <c r="AQ65" i="9"/>
  <c r="AQ32" i="16"/>
  <c r="AQ61" i="14"/>
  <c r="T190" i="4"/>
  <c r="V86" i="4"/>
  <c r="W181" i="4"/>
  <c r="AQ65" i="12"/>
  <c r="AQ24" i="15"/>
  <c r="Y176" i="4"/>
  <c r="Y192" i="4"/>
  <c r="AQ66" i="11"/>
  <c r="AQ84" i="12"/>
  <c r="AQ23" i="17"/>
  <c r="AQ63" i="10"/>
  <c r="AQ25" i="16"/>
  <c r="AQ46" i="11"/>
  <c r="AQ4" i="11"/>
  <c r="T34" i="4"/>
  <c r="W189" i="4"/>
  <c r="AQ66" i="8"/>
  <c r="AQ4" i="15"/>
  <c r="X158" i="4"/>
  <c r="AQ105" i="17"/>
  <c r="AQ21" i="15"/>
  <c r="X182" i="4"/>
  <c r="AQ8" i="10"/>
  <c r="AQ23" i="12"/>
  <c r="AQ5" i="16"/>
  <c r="AQ26" i="11"/>
  <c r="AQ71" i="13"/>
  <c r="W133" i="4"/>
  <c r="AA124" i="4"/>
  <c r="AQ53" i="13"/>
  <c r="T195" i="4"/>
  <c r="AQ40" i="13"/>
  <c r="AQ68" i="10"/>
  <c r="AQ31" i="15"/>
  <c r="AQ35" i="8"/>
  <c r="U96" i="4"/>
  <c r="AQ90" i="10"/>
  <c r="AQ52" i="14"/>
  <c r="AQ64" i="15"/>
  <c r="Z149" i="4"/>
  <c r="Y196" i="4"/>
  <c r="AQ6" i="11"/>
  <c r="V96" i="4"/>
  <c r="Z81" i="4"/>
  <c r="AB34" i="4"/>
  <c r="AQ87" i="17"/>
  <c r="AQ69" i="15"/>
  <c r="T106" i="4"/>
  <c r="X108" i="4"/>
  <c r="Y165" i="4"/>
  <c r="Y43" i="4"/>
  <c r="W121" i="4"/>
  <c r="U180" i="4"/>
  <c r="V204" i="4"/>
  <c r="AQ43" i="10"/>
  <c r="V120" i="4"/>
  <c r="AB125" i="4"/>
  <c r="AA146" i="4"/>
  <c r="T153" i="4"/>
  <c r="Z213" i="4"/>
  <c r="AQ44" i="9"/>
  <c r="Z169" i="4"/>
  <c r="AB188" i="4"/>
  <c r="X100" i="4"/>
  <c r="T192" i="4"/>
  <c r="Z80" i="4"/>
  <c r="AC182" i="4"/>
  <c r="Y33" i="4"/>
  <c r="T154" i="4"/>
  <c r="AQ12" i="16"/>
  <c r="AC198" i="4"/>
  <c r="U69" i="4"/>
  <c r="W149" i="4"/>
  <c r="AB149" i="4"/>
  <c r="X68" i="4"/>
  <c r="X196" i="4"/>
  <c r="Y116" i="4"/>
  <c r="X121" i="4"/>
  <c r="Y166" i="4"/>
  <c r="Y161" i="4"/>
  <c r="V78" i="4"/>
  <c r="Y158" i="4"/>
  <c r="AA38" i="4"/>
  <c r="U201" i="4"/>
  <c r="AQ19" i="10"/>
  <c r="W40" i="4"/>
  <c r="V121" i="4"/>
  <c r="T40" i="4"/>
  <c r="V52" i="4"/>
  <c r="X126" i="4"/>
  <c r="Y126" i="4"/>
  <c r="X97" i="4"/>
  <c r="AB156" i="4"/>
  <c r="Y173" i="4"/>
  <c r="AQ48" i="16"/>
  <c r="Z27" i="4"/>
  <c r="V66" i="4"/>
  <c r="Z104" i="4"/>
  <c r="W76" i="4"/>
  <c r="AB134" i="4"/>
  <c r="V105" i="4"/>
  <c r="Z136" i="4"/>
  <c r="W61" i="4"/>
  <c r="V132" i="4"/>
  <c r="U162" i="4"/>
  <c r="U47" i="4"/>
  <c r="Y27" i="4"/>
  <c r="X27" i="4"/>
  <c r="Y144" i="4"/>
  <c r="AA190" i="4"/>
  <c r="AC125" i="4"/>
  <c r="AA174" i="4"/>
  <c r="AQ15" i="9"/>
  <c r="V210" i="4"/>
  <c r="AQ41" i="9"/>
  <c r="AB205" i="4"/>
  <c r="AQ29" i="13"/>
  <c r="AQ105" i="8"/>
  <c r="AQ104" i="15"/>
  <c r="AQ9" i="12"/>
  <c r="AQ98" i="14"/>
  <c r="AQ30" i="10"/>
  <c r="AQ78" i="13"/>
  <c r="AQ7" i="13"/>
  <c r="U59" i="4"/>
  <c r="AQ81" i="11"/>
  <c r="AQ36" i="11"/>
  <c r="W184" i="4"/>
  <c r="AQ49" i="10"/>
  <c r="AQ87" i="14"/>
  <c r="AQ74" i="10"/>
  <c r="AQ11" i="14"/>
  <c r="AQ33" i="16"/>
  <c r="AQ36" i="14"/>
  <c r="AQ19" i="13"/>
  <c r="AA110" i="4"/>
  <c r="AC58" i="4"/>
  <c r="AQ80" i="9"/>
  <c r="AQ90" i="11"/>
  <c r="AQ89" i="14"/>
  <c r="AQ65" i="8"/>
  <c r="AQ9" i="16"/>
  <c r="AQ106" i="15"/>
  <c r="AQ37" i="17"/>
  <c r="U185" i="4"/>
  <c r="AQ39" i="16"/>
  <c r="AQ52" i="10"/>
  <c r="AQ44" i="15"/>
  <c r="AC74" i="4"/>
  <c r="AA160" i="4"/>
  <c r="AQ96" i="17"/>
  <c r="AQ100" i="17"/>
  <c r="AQ50" i="14"/>
  <c r="AQ29" i="12"/>
  <c r="AQ16" i="10"/>
  <c r="AQ36" i="16"/>
  <c r="AQ68" i="14"/>
  <c r="T21" i="4"/>
  <c r="AC38" i="4"/>
  <c r="AQ82" i="10"/>
  <c r="Z168" i="4"/>
  <c r="AQ29" i="15"/>
  <c r="AQ37" i="14"/>
  <c r="AQ16" i="15"/>
  <c r="AQ13" i="16"/>
  <c r="AQ56" i="10"/>
  <c r="X145" i="4"/>
  <c r="AA53" i="4"/>
  <c r="AQ43" i="12"/>
  <c r="W124" i="4"/>
  <c r="AQ101" i="10"/>
  <c r="Y113" i="4"/>
  <c r="Y41" i="4"/>
  <c r="AQ22" i="8"/>
  <c r="AC195" i="4"/>
  <c r="AQ102" i="12"/>
  <c r="AA52" i="4"/>
  <c r="AA59" i="4"/>
  <c r="X161" i="4"/>
  <c r="X199" i="4"/>
  <c r="AQ32" i="11"/>
  <c r="V154" i="4"/>
  <c r="AQ99" i="12"/>
  <c r="Y164" i="4"/>
  <c r="AQ100" i="8"/>
  <c r="T102" i="4"/>
  <c r="AB105" i="4"/>
  <c r="T70" i="4"/>
  <c r="Y93" i="4"/>
  <c r="T85" i="4"/>
  <c r="V32" i="4"/>
  <c r="AQ102" i="15"/>
  <c r="AQ58" i="8"/>
  <c r="Z47" i="4"/>
  <c r="AC168" i="4"/>
  <c r="AQ33" i="10"/>
  <c r="W69" i="4"/>
  <c r="Z129" i="4"/>
  <c r="AA201" i="4"/>
  <c r="AC40" i="4"/>
  <c r="AC105" i="4"/>
  <c r="AQ78" i="9"/>
  <c r="AQ54" i="15"/>
  <c r="Y40" i="4"/>
  <c r="V160" i="4"/>
  <c r="Z50" i="4"/>
  <c r="V37" i="4"/>
  <c r="T86" i="4"/>
  <c r="T130" i="4"/>
  <c r="AA193" i="4"/>
  <c r="T37" i="4"/>
  <c r="Y162" i="4"/>
  <c r="U76" i="4"/>
  <c r="AA211" i="4"/>
  <c r="Y148" i="4"/>
  <c r="AQ55" i="13"/>
  <c r="AQ22" i="12"/>
  <c r="U141" i="4"/>
  <c r="AQ80" i="11"/>
  <c r="AA181" i="4"/>
  <c r="Z188" i="4"/>
  <c r="AQ76" i="12"/>
  <c r="Z85" i="4"/>
  <c r="Z118" i="4"/>
  <c r="V100" i="4"/>
  <c r="AQ101" i="8"/>
  <c r="AC154" i="4"/>
  <c r="Y193" i="4"/>
  <c r="X96" i="4"/>
  <c r="U27" i="4"/>
  <c r="AQ55" i="17"/>
  <c r="AQ65" i="14"/>
  <c r="T112" i="4"/>
  <c r="AA166" i="4"/>
  <c r="AQ75" i="10"/>
  <c r="U41" i="4"/>
  <c r="Z33" i="4"/>
  <c r="AC153" i="4"/>
  <c r="AQ26" i="8"/>
  <c r="AQ31" i="9"/>
  <c r="W89" i="4"/>
  <c r="AB101" i="4"/>
  <c r="AQ5" i="9"/>
  <c r="AQ82" i="16"/>
  <c r="AQ30" i="16"/>
  <c r="AC109" i="4"/>
  <c r="AQ24" i="16"/>
  <c r="V157" i="4"/>
  <c r="AQ83" i="10"/>
  <c r="AQ40" i="8"/>
  <c r="AA80" i="4"/>
  <c r="AQ67" i="16"/>
  <c r="T140" i="4"/>
  <c r="Y89" i="4"/>
  <c r="AQ72" i="9"/>
  <c r="AQ4" i="8"/>
  <c r="AQ13" i="13"/>
  <c r="AQ34" i="10"/>
  <c r="U93" i="4"/>
  <c r="AB80" i="4"/>
  <c r="AQ55" i="14"/>
  <c r="AQ4" i="13"/>
  <c r="AQ44" i="14"/>
  <c r="Z38" i="4"/>
  <c r="AQ74" i="14"/>
  <c r="AQ56" i="11"/>
  <c r="AQ34" i="13"/>
  <c r="T44" i="4"/>
  <c r="U199" i="4"/>
  <c r="W88" i="4"/>
  <c r="AQ4" i="12"/>
  <c r="AQ28" i="13"/>
  <c r="W97" i="4"/>
  <c r="AQ37" i="9"/>
  <c r="AQ66" i="16"/>
  <c r="AQ74" i="13"/>
  <c r="T149" i="4"/>
  <c r="Y88" i="4"/>
  <c r="T174" i="4"/>
  <c r="AQ74" i="12"/>
  <c r="X82" i="4"/>
  <c r="Z211" i="4"/>
  <c r="W104" i="4"/>
  <c r="Y211" i="4"/>
  <c r="AQ77" i="9"/>
  <c r="AQ57" i="14"/>
  <c r="AC23" i="4"/>
  <c r="AA69" i="4"/>
  <c r="W182" i="4"/>
  <c r="AQ82" i="8"/>
  <c r="AQ19" i="8"/>
  <c r="T169" i="4"/>
  <c r="U149" i="4"/>
  <c r="V185" i="4"/>
  <c r="Y133" i="4"/>
  <c r="AA117" i="4"/>
  <c r="X149" i="4"/>
  <c r="AQ47" i="8"/>
  <c r="T19" i="4"/>
  <c r="Z55" i="4"/>
  <c r="AQ37" i="12"/>
  <c r="W188" i="4"/>
  <c r="T141" i="4"/>
  <c r="AC101" i="4"/>
  <c r="AB33" i="4"/>
  <c r="W100" i="4"/>
  <c r="AC214" i="4"/>
  <c r="AA188" i="4"/>
  <c r="W116" i="4"/>
  <c r="AQ40" i="9"/>
  <c r="AB182" i="4"/>
  <c r="Z122" i="4"/>
  <c r="X77" i="4"/>
  <c r="AC100" i="4"/>
  <c r="AQ43" i="8"/>
  <c r="X190" i="4"/>
  <c r="Z49" i="4"/>
  <c r="AQ15" i="10"/>
  <c r="T104" i="4"/>
  <c r="V122" i="4"/>
  <c r="T53" i="4"/>
  <c r="AB124" i="4"/>
  <c r="T152" i="4"/>
  <c r="AQ38" i="15"/>
  <c r="AC73" i="4"/>
  <c r="U85" i="4"/>
  <c r="U86" i="4"/>
  <c r="T128" i="4"/>
  <c r="X59" i="4"/>
  <c r="AB173" i="4"/>
  <c r="AA27" i="4"/>
  <c r="Y157" i="4"/>
  <c r="AC164" i="4"/>
  <c r="AB162" i="4"/>
  <c r="V169" i="4"/>
  <c r="AB47" i="4"/>
  <c r="Z76" i="4"/>
  <c r="T90" i="4"/>
  <c r="AA34" i="4"/>
  <c r="W52" i="4"/>
  <c r="AC122" i="4"/>
  <c r="AQ19" i="12"/>
  <c r="Y137" i="4"/>
  <c r="AC69" i="4"/>
  <c r="W85" i="4"/>
  <c r="U24" i="4"/>
  <c r="AC62" i="4"/>
  <c r="Y195" i="4"/>
  <c r="T43" i="4"/>
  <c r="X41" i="4"/>
  <c r="X156" i="4"/>
  <c r="X157" i="4"/>
  <c r="AQ27" i="8"/>
  <c r="AA178" i="4"/>
  <c r="T172" i="4"/>
  <c r="AQ87" i="9"/>
  <c r="V41" i="4"/>
  <c r="V129" i="4"/>
  <c r="W145" i="4"/>
  <c r="AQ71" i="15"/>
  <c r="AQ92" i="10"/>
  <c r="AQ61" i="15"/>
  <c r="Y36" i="4"/>
  <c r="AQ26" i="12"/>
  <c r="AQ28" i="16"/>
  <c r="AQ60" i="12"/>
  <c r="AQ90" i="16"/>
  <c r="AQ88" i="12"/>
  <c r="AQ92" i="13"/>
  <c r="AQ87" i="15"/>
  <c r="AQ94" i="12"/>
  <c r="V213" i="4"/>
  <c r="Y154" i="4"/>
  <c r="AQ77" i="12"/>
  <c r="AQ92" i="15"/>
  <c r="AQ23" i="10"/>
  <c r="AA121" i="4"/>
  <c r="AQ48" i="14"/>
  <c r="AQ62" i="13"/>
  <c r="U37" i="4"/>
  <c r="AQ22" i="17"/>
  <c r="AQ108" i="8"/>
  <c r="V58" i="4"/>
  <c r="AQ47" i="10"/>
  <c r="AQ76" i="8"/>
  <c r="X114" i="4"/>
  <c r="AQ69" i="17"/>
  <c r="AQ90" i="13"/>
  <c r="AQ55" i="12"/>
  <c r="AQ29" i="16"/>
  <c r="AQ70" i="16"/>
  <c r="AQ91" i="10"/>
  <c r="AQ16" i="14"/>
  <c r="AQ10" i="12"/>
  <c r="U101" i="4"/>
  <c r="AQ26" i="10"/>
  <c r="AQ21" i="12"/>
  <c r="AQ75" i="8"/>
  <c r="AQ57" i="9"/>
  <c r="Z178" i="4"/>
  <c r="T182" i="4"/>
  <c r="AQ18" i="17"/>
  <c r="AQ98" i="9"/>
  <c r="AB32" i="4"/>
  <c r="W114" i="4"/>
  <c r="AQ36" i="9"/>
  <c r="AQ85" i="17"/>
  <c r="AA154" i="4"/>
  <c r="T38" i="4"/>
  <c r="Z154" i="4"/>
  <c r="Z148" i="4"/>
  <c r="AQ41" i="17"/>
  <c r="U188" i="4"/>
  <c r="AA186" i="4"/>
  <c r="AQ23" i="9"/>
  <c r="AB126" i="4"/>
  <c r="AB89" i="4"/>
  <c r="V114" i="4"/>
  <c r="AQ25" i="14"/>
  <c r="AA192" i="4"/>
  <c r="AQ49" i="8"/>
  <c r="AC170" i="4"/>
  <c r="W153" i="4"/>
  <c r="Y122" i="4"/>
  <c r="X52" i="4"/>
  <c r="AQ33" i="14"/>
  <c r="AQ79" i="9"/>
  <c r="V126" i="4"/>
  <c r="Z198" i="4"/>
  <c r="T133" i="4"/>
  <c r="W190" i="4"/>
  <c r="V112" i="4"/>
  <c r="U104" i="4"/>
  <c r="T36" i="4"/>
  <c r="X176" i="4"/>
  <c r="AB129" i="4"/>
  <c r="W90" i="4"/>
  <c r="AQ21" i="8"/>
  <c r="T170" i="4"/>
  <c r="AB94" i="4"/>
  <c r="X140" i="4"/>
  <c r="AC19" i="4"/>
  <c r="AC166" i="4"/>
  <c r="U173" i="4"/>
  <c r="V94" i="4"/>
  <c r="AQ66" i="13"/>
  <c r="X169" i="4"/>
  <c r="Y114" i="4"/>
  <c r="X55" i="4"/>
  <c r="Y153" i="4"/>
  <c r="AB118" i="4"/>
  <c r="AC20" i="4"/>
  <c r="U106" i="4"/>
  <c r="U32" i="4"/>
  <c r="X110" i="4"/>
  <c r="W64" i="4"/>
  <c r="AC149" i="4"/>
  <c r="W156" i="4"/>
  <c r="V152" i="4"/>
  <c r="X92" i="4"/>
  <c r="Z160" i="4"/>
  <c r="Z36" i="4"/>
  <c r="AQ67" i="10"/>
  <c r="T52" i="4"/>
  <c r="AB102" i="4"/>
  <c r="AB190" i="4"/>
  <c r="Y102" i="4"/>
  <c r="AQ62" i="12"/>
  <c r="AC192" i="4"/>
  <c r="W82" i="4"/>
  <c r="AQ41" i="11"/>
  <c r="AQ51" i="9"/>
  <c r="AQ8" i="16"/>
  <c r="AQ5" i="11"/>
  <c r="AQ90" i="9"/>
  <c r="Y150" i="4"/>
  <c r="Y49" i="4"/>
  <c r="AQ30" i="11"/>
  <c r="AQ106" i="14"/>
  <c r="AQ68" i="16"/>
  <c r="T204" i="4"/>
  <c r="AQ96" i="13"/>
  <c r="AQ50" i="12"/>
  <c r="AQ98" i="8"/>
  <c r="AQ84" i="14"/>
  <c r="AQ88" i="15"/>
  <c r="Z113" i="4"/>
  <c r="AC208" i="4"/>
  <c r="AQ80" i="15"/>
  <c r="Y92" i="4"/>
  <c r="AQ72" i="10"/>
  <c r="AQ79" i="16"/>
  <c r="AQ33" i="9"/>
  <c r="AQ35" i="15"/>
  <c r="AQ71" i="14"/>
  <c r="AQ48" i="12"/>
  <c r="AQ19" i="16"/>
  <c r="AQ81" i="10"/>
  <c r="T193" i="4"/>
  <c r="AQ105" i="9"/>
  <c r="AC64" i="4"/>
  <c r="AA113" i="4"/>
  <c r="V134" i="4"/>
  <c r="X120" i="4"/>
  <c r="AQ107" i="16"/>
  <c r="AB184" i="4"/>
  <c r="AQ46" i="15"/>
  <c r="AQ43" i="9"/>
  <c r="AA142" i="4"/>
  <c r="Z145" i="4"/>
  <c r="AQ16" i="12"/>
  <c r="AA97" i="4"/>
  <c r="AA185" i="4"/>
  <c r="X124" i="4"/>
  <c r="W137" i="4"/>
  <c r="AQ85" i="13"/>
  <c r="AQ27" i="9"/>
  <c r="X94" i="4"/>
  <c r="U161" i="4"/>
  <c r="AC185" i="4"/>
  <c r="T160" i="4"/>
  <c r="U64" i="4"/>
  <c r="AC140" i="4"/>
  <c r="AA37" i="4"/>
  <c r="AQ25" i="9"/>
  <c r="Z177" i="4"/>
  <c r="AQ63" i="8"/>
  <c r="X129" i="4"/>
  <c r="AQ18" i="10"/>
  <c r="AQ14" i="8"/>
  <c r="U213" i="4"/>
  <c r="T173" i="4"/>
  <c r="W108" i="4"/>
  <c r="Y105" i="4"/>
  <c r="W112" i="4"/>
  <c r="AQ45" i="16"/>
  <c r="AC84" i="4"/>
  <c r="AB43" i="4"/>
  <c r="W211" i="4"/>
  <c r="AQ50" i="11"/>
  <c r="AB117" i="4"/>
  <c r="V77" i="4"/>
  <c r="X160" i="4"/>
  <c r="W73" i="4"/>
  <c r="AQ102" i="10"/>
  <c r="X174" i="4"/>
  <c r="AQ108" i="9"/>
  <c r="X132" i="4"/>
  <c r="Z125" i="4"/>
  <c r="Z158" i="4"/>
  <c r="Y24" i="4"/>
  <c r="AQ62" i="10"/>
  <c r="AB154" i="4"/>
  <c r="U156" i="4"/>
  <c r="AQ100" i="11"/>
  <c r="T114" i="4"/>
  <c r="Y68" i="4"/>
  <c r="U208" i="4"/>
  <c r="AB121" i="4"/>
  <c r="T129" i="4"/>
  <c r="Z144" i="4"/>
  <c r="AQ60" i="11"/>
  <c r="AQ74" i="9"/>
  <c r="AA24" i="4"/>
  <c r="U62" i="4"/>
  <c r="AC22" i="4"/>
  <c r="AC158" i="4"/>
  <c r="T65" i="4"/>
  <c r="X165" i="4"/>
  <c r="Z152" i="4"/>
  <c r="X104" i="4"/>
  <c r="U58" i="4"/>
  <c r="V90" i="4"/>
  <c r="AB72" i="4"/>
  <c r="U138" i="4"/>
  <c r="T210" i="4"/>
  <c r="AA184" i="4"/>
  <c r="AC24" i="4"/>
  <c r="AB204" i="4"/>
  <c r="AQ37" i="11"/>
  <c r="AQ21" i="14"/>
  <c r="AQ10" i="9"/>
  <c r="AQ19" i="11"/>
  <c r="AB100" i="4"/>
  <c r="AQ39" i="15"/>
  <c r="AQ24" i="12"/>
  <c r="Y121" i="4"/>
  <c r="W106" i="4"/>
  <c r="AQ58" i="14"/>
  <c r="AQ49" i="17"/>
  <c r="AQ57" i="17"/>
  <c r="U174" i="4"/>
  <c r="AQ25" i="12"/>
  <c r="AQ70" i="17"/>
  <c r="W198" i="4"/>
  <c r="AQ53" i="14"/>
  <c r="AQ13" i="15"/>
  <c r="W213" i="4"/>
  <c r="X207" i="4"/>
  <c r="AQ107" i="13"/>
  <c r="AQ65" i="13"/>
  <c r="AQ93" i="16"/>
  <c r="AQ40" i="15"/>
  <c r="Y204" i="4"/>
  <c r="AQ55" i="11"/>
  <c r="AQ29" i="14"/>
  <c r="AQ53" i="17"/>
  <c r="AQ58" i="15"/>
  <c r="AQ32" i="12"/>
  <c r="AA126" i="4"/>
  <c r="AQ95" i="13"/>
  <c r="U36" i="4"/>
  <c r="AA78" i="4"/>
  <c r="W129" i="4"/>
  <c r="Z44" i="4"/>
  <c r="AQ37" i="15"/>
  <c r="AA32" i="4"/>
  <c r="AQ28" i="10"/>
  <c r="AC53" i="4"/>
  <c r="Z32" i="4"/>
  <c r="W122" i="4"/>
  <c r="AQ34" i="12"/>
  <c r="V142" i="4"/>
  <c r="X105" i="4"/>
  <c r="AC34" i="4"/>
  <c r="V46" i="4"/>
  <c r="AQ31" i="12"/>
  <c r="Z53" i="4"/>
  <c r="W138" i="4"/>
  <c r="AQ59" i="9"/>
  <c r="T98" i="4"/>
  <c r="W195" i="4"/>
  <c r="X142" i="4"/>
  <c r="T176" i="4"/>
  <c r="T49" i="4"/>
  <c r="Z88" i="4"/>
  <c r="T121" i="4"/>
  <c r="U125" i="4"/>
  <c r="V113" i="4"/>
  <c r="W178" i="4"/>
  <c r="AB81" i="4"/>
  <c r="AA173" i="4"/>
  <c r="Y47" i="4"/>
  <c r="X181" i="4"/>
  <c r="W174" i="4"/>
  <c r="AA134" i="4"/>
  <c r="Y145" i="4"/>
  <c r="V189" i="4"/>
  <c r="AQ105" i="15"/>
  <c r="Y174" i="4"/>
  <c r="V85" i="4"/>
  <c r="Y81" i="4"/>
  <c r="AB211" i="4"/>
  <c r="T207" i="4"/>
  <c r="U53" i="4"/>
  <c r="U100" i="4"/>
  <c r="W146" i="4"/>
  <c r="Z72" i="4"/>
  <c r="W176" i="4"/>
  <c r="T120" i="4"/>
  <c r="AC102" i="4"/>
  <c r="AC86" i="4"/>
  <c r="U72" i="4"/>
  <c r="AQ82" i="12"/>
  <c r="Z189" i="4"/>
  <c r="T213" i="4"/>
  <c r="T61" i="4"/>
  <c r="Z161" i="4"/>
  <c r="V199" i="4"/>
  <c r="U66" i="4"/>
  <c r="AA177" i="4"/>
  <c r="AB27" i="4"/>
  <c r="AC97" i="4"/>
  <c r="T166" i="4"/>
  <c r="X93" i="4"/>
  <c r="U94" i="4"/>
  <c r="AQ64" i="8"/>
  <c r="Z77" i="4"/>
  <c r="U80" i="4"/>
  <c r="AA133" i="4"/>
  <c r="AC47" i="4"/>
  <c r="U214" i="4"/>
  <c r="AC142" i="4"/>
  <c r="V102" i="4"/>
  <c r="Z114" i="4"/>
  <c r="AC190" i="4"/>
  <c r="V124" i="4"/>
  <c r="Z24" i="4"/>
  <c r="Y129" i="4"/>
  <c r="AB176" i="4"/>
  <c r="V137" i="4"/>
  <c r="AA101" i="4"/>
  <c r="AQ15" i="15"/>
  <c r="AQ87" i="16"/>
  <c r="W158" i="4"/>
  <c r="W142" i="4"/>
  <c r="AQ51" i="13"/>
  <c r="AQ100" i="10"/>
  <c r="AQ104" i="17"/>
  <c r="AQ46" i="16"/>
  <c r="AQ101" i="16"/>
  <c r="AQ67" i="8"/>
  <c r="AQ4" i="9"/>
  <c r="AA204" i="4"/>
  <c r="AA65" i="4"/>
  <c r="AQ77" i="15"/>
  <c r="AQ98" i="16"/>
  <c r="AQ83" i="13"/>
  <c r="W136" i="4"/>
  <c r="AQ34" i="9"/>
  <c r="AQ19" i="17"/>
  <c r="AQ46" i="10"/>
  <c r="AQ11" i="12"/>
  <c r="AQ86" i="13"/>
  <c r="AQ82" i="14"/>
  <c r="AQ102" i="17"/>
  <c r="AQ97" i="16"/>
  <c r="AQ60" i="13"/>
  <c r="AQ38" i="13"/>
  <c r="AQ53" i="9"/>
  <c r="W193" i="4"/>
  <c r="T180" i="4"/>
  <c r="AQ82" i="9"/>
  <c r="AQ50" i="9"/>
  <c r="AQ94" i="9"/>
  <c r="AQ97" i="8"/>
  <c r="AQ58" i="9"/>
  <c r="AC207" i="4"/>
  <c r="X118" i="4"/>
  <c r="AC137" i="4"/>
  <c r="W94" i="4"/>
  <c r="X117" i="4"/>
  <c r="AA152" i="4"/>
  <c r="AB210" i="4"/>
  <c r="Y72" i="4"/>
  <c r="AA141" i="4"/>
  <c r="AB59" i="4"/>
  <c r="AC130" i="4"/>
  <c r="AQ8" i="9"/>
  <c r="AA61" i="4"/>
  <c r="AC68" i="4"/>
  <c r="Z146" i="4"/>
  <c r="AB21" i="4"/>
  <c r="AC177" i="4"/>
  <c r="X195" i="4"/>
  <c r="Y134" i="4"/>
  <c r="AC43" i="4"/>
  <c r="AQ78" i="10"/>
  <c r="AB161" i="4"/>
  <c r="AQ73" i="13"/>
  <c r="X74" i="4"/>
  <c r="V140" i="4"/>
  <c r="AC56" i="4"/>
  <c r="AQ109" i="8"/>
  <c r="AB36" i="4"/>
  <c r="T110" i="4"/>
  <c r="X133" i="4"/>
  <c r="AQ48" i="9"/>
  <c r="Y186" i="4"/>
  <c r="Y56" i="4"/>
  <c r="W80" i="4"/>
  <c r="X122" i="4"/>
  <c r="AQ89" i="9"/>
  <c r="U190" i="4"/>
  <c r="AC193" i="4"/>
  <c r="Z165" i="4"/>
  <c r="W55" i="4"/>
  <c r="AB110" i="4"/>
  <c r="AQ95" i="10"/>
  <c r="AA49" i="4"/>
  <c r="AC129" i="4"/>
  <c r="Z182" i="4"/>
  <c r="AC25" i="4"/>
  <c r="AQ20" i="14"/>
  <c r="AB23" i="4"/>
  <c r="AQ72" i="12"/>
  <c r="T20" i="4"/>
  <c r="U81" i="4"/>
  <c r="Y55" i="4"/>
  <c r="AC116" i="4"/>
  <c r="AQ108" i="12"/>
  <c r="AB88" i="4"/>
  <c r="AB22" i="4"/>
  <c r="X66" i="4"/>
  <c r="AA43" i="4"/>
  <c r="Y85" i="4"/>
  <c r="AQ7" i="8"/>
  <c r="AB120" i="4"/>
  <c r="T76" i="4"/>
  <c r="AC104" i="4"/>
  <c r="Y118" i="4"/>
  <c r="AA128" i="4"/>
  <c r="Z184" i="4"/>
  <c r="T55" i="4"/>
  <c r="AA125" i="4"/>
  <c r="AB152" i="4"/>
  <c r="U55" i="4"/>
  <c r="AQ59" i="10"/>
  <c r="AQ29" i="10"/>
  <c r="AB196" i="4"/>
  <c r="U137" i="4"/>
  <c r="AQ36" i="15"/>
  <c r="AA46" i="4"/>
  <c r="AB138" i="4"/>
  <c r="X98" i="4"/>
  <c r="V190" i="4"/>
  <c r="X58" i="4"/>
  <c r="X141" i="4"/>
  <c r="AQ89" i="8"/>
  <c r="U134" i="4"/>
  <c r="T64" i="4"/>
  <c r="AQ39" i="14"/>
  <c r="AB82" i="4"/>
  <c r="T165" i="4"/>
  <c r="T145" i="4"/>
  <c r="AB160" i="4"/>
  <c r="AQ101" i="13"/>
  <c r="AQ106" i="17"/>
  <c r="AQ74" i="11"/>
  <c r="AQ7" i="9"/>
  <c r="AQ101" i="15"/>
  <c r="AQ104" i="16"/>
  <c r="AQ38" i="14"/>
  <c r="AC186" i="4"/>
  <c r="Y50" i="4"/>
  <c r="AQ42" i="11"/>
  <c r="T208" i="4"/>
  <c r="AB90" i="4"/>
  <c r="AQ79" i="13"/>
  <c r="U198" i="4"/>
  <c r="AQ107" i="15"/>
  <c r="AA207" i="4"/>
  <c r="V153" i="4"/>
  <c r="AQ55" i="8"/>
  <c r="AA148" i="4"/>
  <c r="Y210" i="4"/>
  <c r="AA40" i="4"/>
  <c r="T22" i="4"/>
  <c r="U129" i="4"/>
  <c r="AB62" i="4"/>
  <c r="AQ80" i="8"/>
  <c r="AQ49" i="9"/>
  <c r="AB85" i="4"/>
  <c r="Z59" i="4"/>
  <c r="V188" i="4"/>
  <c r="X148" i="4"/>
  <c r="Z56" i="4"/>
  <c r="W128" i="4"/>
  <c r="V65" i="4"/>
  <c r="AQ5" i="10"/>
  <c r="X50" i="4"/>
  <c r="T59" i="4"/>
  <c r="X201" i="4"/>
  <c r="U160" i="4"/>
  <c r="T137" i="4"/>
  <c r="X185" i="4"/>
  <c r="Y208" i="4"/>
  <c r="AQ39" i="9"/>
  <c r="AB38" i="4"/>
  <c r="AB70" i="4"/>
  <c r="Z133" i="4"/>
  <c r="W199" i="4"/>
  <c r="X130" i="4"/>
  <c r="AC188" i="4"/>
  <c r="AQ15" i="8"/>
  <c r="AQ29" i="9"/>
  <c r="AQ84" i="8"/>
  <c r="T94" i="4"/>
  <c r="U210" i="4"/>
  <c r="Z110" i="4"/>
  <c r="AQ31" i="10"/>
  <c r="V55" i="4"/>
  <c r="AA172" i="4"/>
  <c r="AQ96" i="9"/>
  <c r="T89" i="4"/>
  <c r="U205" i="4"/>
  <c r="U202" i="4"/>
  <c r="AB208" i="4"/>
  <c r="W46" i="4"/>
  <c r="AQ29" i="11"/>
  <c r="Y78" i="4"/>
  <c r="U140" i="4"/>
  <c r="AB64" i="4"/>
  <c r="W41" i="4"/>
  <c r="W24" i="4"/>
  <c r="AA156" i="4"/>
  <c r="Y104" i="4"/>
  <c r="Z196" i="4"/>
  <c r="T199" i="4"/>
  <c r="T66" i="4"/>
  <c r="AB50" i="4"/>
  <c r="AQ70" i="15"/>
  <c r="Y214" i="4"/>
  <c r="Y152" i="4"/>
  <c r="AA64" i="4"/>
  <c r="AQ18" i="8"/>
  <c r="AA82" i="4"/>
  <c r="V108" i="4"/>
  <c r="V38" i="4"/>
  <c r="V73" i="4"/>
  <c r="AA41" i="4"/>
  <c r="AQ14" i="16"/>
  <c r="AQ76" i="13"/>
  <c r="AQ63" i="11"/>
  <c r="AQ10" i="10"/>
  <c r="AQ72" i="13"/>
  <c r="Y149" i="4"/>
  <c r="AQ77" i="10"/>
  <c r="AB177" i="4"/>
  <c r="AQ24" i="11"/>
  <c r="AQ45" i="13"/>
  <c r="V164" i="4"/>
  <c r="AB86" i="4"/>
  <c r="AC118" i="4"/>
  <c r="AQ30" i="14"/>
  <c r="AC141" i="4"/>
  <c r="AC44" i="4"/>
  <c r="U78" i="4"/>
  <c r="T81" i="4"/>
  <c r="T146" i="4"/>
  <c r="T72" i="4"/>
  <c r="X65" i="4"/>
  <c r="AQ43" i="13"/>
  <c r="W110" i="4"/>
  <c r="Y124" i="4"/>
  <c r="U68" i="4"/>
  <c r="T41" i="4"/>
  <c r="AA150" i="4"/>
  <c r="AC117" i="4"/>
  <c r="AQ101" i="17"/>
  <c r="AQ50" i="16"/>
  <c r="AQ88" i="8"/>
  <c r="AQ42" i="13"/>
  <c r="AQ9" i="17"/>
  <c r="AQ45" i="11"/>
  <c r="Z96" i="4"/>
  <c r="AQ104" i="8"/>
  <c r="Z185" i="4"/>
  <c r="AC96" i="4"/>
  <c r="U97" i="4"/>
  <c r="AC169" i="4"/>
  <c r="Y178" i="4"/>
  <c r="AC55" i="4"/>
  <c r="AB170" i="4"/>
  <c r="AQ50" i="15"/>
  <c r="T113" i="4"/>
  <c r="W117" i="4"/>
  <c r="AA73" i="4"/>
  <c r="AA205" i="4"/>
  <c r="Y213" i="4"/>
  <c r="AB180" i="4"/>
  <c r="Z84" i="4"/>
  <c r="X24" i="4"/>
  <c r="X170" i="4"/>
  <c r="AQ104" i="14"/>
  <c r="AQ37" i="16"/>
  <c r="AC89" i="4"/>
  <c r="AQ34" i="11"/>
  <c r="AQ18" i="12"/>
  <c r="Y61" i="4"/>
  <c r="AB96" i="4"/>
  <c r="Z156" i="4"/>
  <c r="AA88" i="4"/>
  <c r="V176" i="4"/>
  <c r="Y38" i="4"/>
  <c r="AQ35" i="12"/>
  <c r="T186" i="4"/>
  <c r="V158" i="4"/>
  <c r="AB144" i="4"/>
  <c r="Z181" i="4"/>
  <c r="X49" i="4"/>
  <c r="AQ36" i="8"/>
  <c r="V44" i="4"/>
  <c r="AQ31" i="14"/>
  <c r="AQ84" i="17"/>
  <c r="AQ45" i="12"/>
  <c r="AQ50" i="13"/>
  <c r="AQ76" i="9"/>
  <c r="Y109" i="4"/>
  <c r="T27" i="4"/>
  <c r="AQ49" i="16"/>
  <c r="Y82" i="4"/>
  <c r="U90" i="4"/>
  <c r="T162" i="4"/>
  <c r="U192" i="4"/>
  <c r="Z62" i="4"/>
  <c r="Z78" i="4"/>
  <c r="T50" i="4"/>
  <c r="U108" i="4"/>
  <c r="U82" i="4"/>
  <c r="Z105" i="4"/>
  <c r="AA96" i="4"/>
  <c r="W74" i="4"/>
  <c r="AB84" i="4"/>
  <c r="AB140" i="4"/>
  <c r="AQ15" i="16"/>
  <c r="AQ18" i="11"/>
  <c r="AQ64" i="9"/>
  <c r="AQ22" i="9"/>
  <c r="V68" i="4"/>
  <c r="T181" i="4"/>
  <c r="AC46" i="4"/>
  <c r="U88" i="4"/>
  <c r="V192" i="4"/>
  <c r="X192" i="4"/>
  <c r="Y100" i="4"/>
  <c r="W92" i="4"/>
  <c r="Y106" i="4"/>
  <c r="AC128" i="4"/>
  <c r="W210" i="4"/>
  <c r="AC90" i="4"/>
  <c r="AB178" i="4"/>
  <c r="AQ52" i="9"/>
  <c r="Z195" i="4"/>
  <c r="AQ23" i="13"/>
  <c r="AQ109" i="12"/>
  <c r="AQ14" i="15"/>
  <c r="AQ108" i="13"/>
  <c r="AQ72" i="17"/>
  <c r="AQ45" i="9"/>
  <c r="AQ25" i="13"/>
  <c r="AB150" i="4"/>
  <c r="AQ83" i="9"/>
  <c r="AC21" i="4"/>
  <c r="W38" i="4"/>
  <c r="AA92" i="4"/>
  <c r="AC65" i="4"/>
  <c r="AC138" i="4"/>
  <c r="Z130" i="4"/>
  <c r="W192" i="4"/>
  <c r="AQ46" i="14"/>
  <c r="AB214" i="4"/>
  <c r="AC133" i="4"/>
  <c r="T68" i="4"/>
  <c r="AA84" i="4"/>
  <c r="AB153" i="4"/>
  <c r="AB213" i="4"/>
  <c r="AQ5" i="15"/>
  <c r="Y117" i="4"/>
  <c r="AQ84" i="9"/>
  <c r="W32" i="4"/>
  <c r="AQ17" i="13"/>
  <c r="AC88" i="4"/>
  <c r="W118" i="4"/>
  <c r="X78" i="4"/>
  <c r="AQ41" i="16"/>
  <c r="U182" i="4"/>
  <c r="AQ103" i="14"/>
  <c r="AQ72" i="11"/>
  <c r="AQ70" i="13"/>
  <c r="AQ100" i="13"/>
  <c r="AC145" i="4"/>
  <c r="T214" i="4"/>
  <c r="AQ63" i="15"/>
  <c r="Z116" i="4"/>
  <c r="AC27" i="4"/>
  <c r="Z52" i="4"/>
  <c r="X80" i="4"/>
  <c r="AQ17" i="10"/>
  <c r="AQ49" i="13"/>
  <c r="AQ24" i="8"/>
  <c r="AC181" i="4"/>
  <c r="AQ33" i="17"/>
  <c r="X128" i="4"/>
  <c r="V69" i="4"/>
  <c r="T144" i="4"/>
  <c r="U136" i="4"/>
  <c r="U110" i="4"/>
  <c r="V161" i="4"/>
  <c r="AQ91" i="13"/>
  <c r="Y207" i="4"/>
  <c r="Z157" i="4"/>
  <c r="U56" i="4"/>
  <c r="Z142" i="4"/>
  <c r="AQ35" i="11"/>
  <c r="X33" i="4"/>
  <c r="AQ5" i="13"/>
  <c r="V110" i="4"/>
  <c r="T32" i="4"/>
  <c r="AQ81" i="13"/>
  <c r="V74" i="4"/>
  <c r="W56" i="4"/>
  <c r="V64" i="4"/>
  <c r="V180" i="4"/>
  <c r="X106" i="4"/>
  <c r="Y44" i="4"/>
  <c r="T201" i="4"/>
  <c r="AC72" i="4"/>
  <c r="X73" i="4"/>
  <c r="V130" i="4"/>
  <c r="AC180" i="4"/>
  <c r="V166" i="4"/>
  <c r="T78" i="4"/>
  <c r="AQ87" i="8"/>
  <c r="AA85" i="4"/>
  <c r="V165" i="4"/>
  <c r="T97" i="4"/>
  <c r="U181" i="4"/>
  <c r="W65" i="4"/>
  <c r="X214" i="4"/>
  <c r="W47" i="4"/>
  <c r="X138" i="4"/>
  <c r="T47" i="4"/>
  <c r="AA106" i="4"/>
  <c r="AB76" i="4"/>
  <c r="X89" i="4"/>
  <c r="Y97" i="4"/>
  <c r="Y169" i="4"/>
  <c r="AC202" i="4"/>
  <c r="AC204" i="4"/>
  <c r="W134" i="4"/>
  <c r="T58" i="4"/>
  <c r="X150" i="4"/>
  <c r="X211" i="4"/>
  <c r="AA202" i="4"/>
  <c r="Y90" i="4"/>
  <c r="V88" i="4"/>
  <c r="X153" i="4"/>
  <c r="AQ67" i="13"/>
  <c r="V177" i="4"/>
  <c r="AQ15" i="13"/>
  <c r="AQ98" i="13"/>
  <c r="V195" i="4"/>
  <c r="AB20" i="4"/>
  <c r="AC52" i="4"/>
  <c r="X88" i="4"/>
  <c r="AQ76" i="15"/>
  <c r="AC94" i="4"/>
  <c r="AC77" i="4"/>
  <c r="AQ37" i="8"/>
  <c r="AB201" i="4"/>
  <c r="AQ46" i="9"/>
  <c r="AQ83" i="8"/>
  <c r="X184" i="4"/>
  <c r="Z69" i="4"/>
  <c r="T132" i="4"/>
  <c r="W98" i="4"/>
  <c r="AQ14" i="12"/>
  <c r="AB172" i="4"/>
  <c r="T136" i="4"/>
  <c r="Y69" i="4"/>
  <c r="V168" i="4"/>
  <c r="AQ79" i="14"/>
  <c r="Y190" i="4"/>
  <c r="AQ91" i="11"/>
  <c r="W157" i="4"/>
  <c r="AQ32" i="8"/>
  <c r="Z172" i="4"/>
  <c r="U177" i="4"/>
  <c r="AQ34" i="8"/>
  <c r="T88" i="4"/>
  <c r="Z186" i="4"/>
  <c r="U40" i="4"/>
  <c r="Y146" i="4"/>
  <c r="W68" i="4"/>
  <c r="AQ47" i="9"/>
  <c r="W144" i="4"/>
  <c r="W152" i="4"/>
  <c r="AQ79" i="15"/>
  <c r="X101" i="4"/>
  <c r="AA33" i="4"/>
  <c r="U105" i="4"/>
  <c r="X64" i="4"/>
  <c r="V174" i="4"/>
  <c r="V92" i="4"/>
  <c r="AA90" i="4"/>
  <c r="AQ20" i="17"/>
  <c r="AQ59" i="16"/>
  <c r="AQ63" i="17"/>
  <c r="AQ34" i="15"/>
  <c r="AC93" i="4"/>
  <c r="W66" i="4"/>
  <c r="U121" i="4"/>
  <c r="W58" i="4"/>
  <c r="V162" i="4"/>
  <c r="AB53" i="4"/>
  <c r="V117" i="4"/>
  <c r="W166" i="4"/>
  <c r="AA116" i="4"/>
  <c r="AQ9" i="8"/>
  <c r="Z153" i="4"/>
  <c r="X188" i="4"/>
  <c r="T188" i="4"/>
  <c r="AQ42" i="12"/>
  <c r="AC82" i="4"/>
  <c r="AQ54" i="9"/>
  <c r="AQ64" i="16"/>
  <c r="AQ60" i="16"/>
  <c r="Z164" i="4"/>
  <c r="AQ23" i="8"/>
  <c r="AQ20" i="13"/>
  <c r="AC106" i="4"/>
  <c r="AA132" i="4"/>
  <c r="X47" i="4"/>
  <c r="Z140" i="4"/>
  <c r="X193" i="4"/>
  <c r="V80" i="4"/>
  <c r="AQ67" i="9"/>
  <c r="V53" i="4"/>
  <c r="T93" i="4"/>
  <c r="AB174" i="4"/>
  <c r="AC173" i="4"/>
  <c r="AB104" i="4"/>
  <c r="U154" i="4"/>
  <c r="AQ10" i="11"/>
  <c r="AA86" i="4"/>
  <c r="AC85" i="4"/>
  <c r="X34" i="4"/>
  <c r="AQ57" i="11"/>
  <c r="AQ81" i="8"/>
  <c r="AQ25" i="10"/>
  <c r="AQ56" i="13"/>
  <c r="AQ94" i="17"/>
  <c r="AQ87" i="11"/>
  <c r="Z166" i="4"/>
  <c r="X162" i="4"/>
  <c r="T96" i="4"/>
  <c r="X152" i="4"/>
  <c r="AQ60" i="10"/>
  <c r="AC148" i="4"/>
  <c r="W70" i="4"/>
  <c r="AB192" i="4"/>
  <c r="AB137" i="4"/>
  <c r="Y156" i="4"/>
  <c r="AA105" i="4"/>
  <c r="U153" i="4"/>
  <c r="AA129" i="4"/>
  <c r="AQ7" i="14"/>
  <c r="AB46" i="4"/>
  <c r="AA196" i="4"/>
  <c r="Y138" i="4"/>
  <c r="X32" i="4"/>
  <c r="AQ82" i="11"/>
  <c r="V24" i="4"/>
  <c r="Y185" i="4"/>
  <c r="T122" i="4"/>
  <c r="X154" i="4"/>
  <c r="AQ21" i="16"/>
  <c r="Z86" i="4"/>
  <c r="AQ103" i="16"/>
  <c r="Z117" i="4"/>
  <c r="AQ90" i="15"/>
  <c r="AQ101" i="9"/>
  <c r="AQ92" i="12"/>
  <c r="T150" i="4"/>
  <c r="AQ22" i="11"/>
  <c r="AQ28" i="12"/>
  <c r="AQ89" i="15"/>
  <c r="AQ10" i="17"/>
  <c r="AQ57" i="16"/>
  <c r="AQ86" i="12"/>
  <c r="AA36" i="4"/>
  <c r="AB157" i="4"/>
  <c r="AQ35" i="14"/>
  <c r="AQ54" i="10"/>
  <c r="Z68" i="4"/>
  <c r="AQ8" i="8"/>
  <c r="Z101" i="4"/>
  <c r="U92" i="4"/>
  <c r="AQ56" i="9"/>
  <c r="V136" i="4"/>
  <c r="X36" i="4"/>
  <c r="AQ80" i="14"/>
  <c r="AA76" i="4"/>
  <c r="AQ20" i="8"/>
  <c r="U52" i="4"/>
  <c r="X168" i="4"/>
  <c r="AC61" i="4"/>
  <c r="Z170" i="4"/>
  <c r="W214" i="4"/>
  <c r="Y142" i="4"/>
  <c r="AQ53" i="8"/>
  <c r="Z73" i="4"/>
  <c r="AC146" i="4"/>
  <c r="AC32" i="4"/>
  <c r="U120" i="4"/>
  <c r="Z176" i="4"/>
  <c r="T156" i="4"/>
  <c r="W208" i="4"/>
  <c r="Y189" i="4"/>
  <c r="Y132" i="4"/>
  <c r="AQ42" i="9"/>
  <c r="AQ44" i="8"/>
  <c r="W62" i="4"/>
  <c r="Z34" i="4"/>
  <c r="V34" i="4"/>
  <c r="AC49" i="4"/>
  <c r="AQ97" i="13"/>
  <c r="X144" i="4"/>
  <c r="U73" i="4"/>
  <c r="AQ19" i="9"/>
  <c r="T116" i="4"/>
  <c r="W164" i="4"/>
  <c r="Z90" i="4"/>
  <c r="U114" i="4"/>
  <c r="AB24" i="4"/>
  <c r="Y181" i="4"/>
  <c r="AA130" i="4"/>
  <c r="W36" i="4"/>
  <c r="Y53" i="4"/>
  <c r="T25" i="4"/>
  <c r="X134" i="4"/>
  <c r="AQ11" i="9"/>
  <c r="AQ42" i="10"/>
  <c r="AC184" i="4"/>
  <c r="V82" i="4"/>
  <c r="T23" i="4"/>
  <c r="AC210" i="4"/>
  <c r="X172" i="4"/>
  <c r="AA145" i="4"/>
  <c r="AA189" i="4"/>
  <c r="AA50" i="4"/>
  <c r="Y64" i="4"/>
  <c r="X205" i="4"/>
  <c r="U112" i="4"/>
  <c r="AQ7" i="10"/>
  <c r="AQ99" i="11"/>
  <c r="AC50" i="4"/>
  <c r="X86" i="4"/>
  <c r="U189" i="4"/>
  <c r="AQ60" i="9"/>
  <c r="AQ93" i="11"/>
  <c r="Z204" i="4"/>
  <c r="V150" i="4"/>
  <c r="Z192" i="4"/>
  <c r="T33" i="4"/>
  <c r="AA62" i="4"/>
  <c r="W53" i="4"/>
  <c r="Z97" i="4"/>
  <c r="Z174" i="4"/>
  <c r="Z74" i="4"/>
  <c r="AB133" i="4"/>
  <c r="AQ50" i="10"/>
  <c r="AQ15" i="11"/>
  <c r="AQ38" i="12"/>
  <c r="AQ93" i="15"/>
  <c r="AA137" i="4"/>
  <c r="AQ49" i="15"/>
  <c r="AA138" i="4"/>
  <c r="AQ47" i="11"/>
  <c r="AB66" i="4"/>
  <c r="Y98" i="4"/>
  <c r="AA77" i="4"/>
  <c r="AQ52" i="13"/>
  <c r="V148" i="4"/>
  <c r="W34" i="4"/>
  <c r="V98" i="4"/>
  <c r="Z202" i="4"/>
  <c r="X81" i="4"/>
  <c r="T124" i="4"/>
  <c r="AA109" i="4"/>
  <c r="AQ21" i="9"/>
  <c r="AQ69" i="12"/>
  <c r="AQ99" i="13"/>
  <c r="AA136" i="4"/>
  <c r="AQ44" i="10"/>
  <c r="V133" i="4"/>
  <c r="V214" i="4"/>
  <c r="W161" i="4"/>
  <c r="U165" i="4"/>
  <c r="AQ97" i="15"/>
  <c r="U34" i="4"/>
  <c r="AB108" i="4"/>
  <c r="AC150" i="4"/>
  <c r="U211" i="4"/>
  <c r="AQ15" i="12"/>
  <c r="U84" i="4"/>
  <c r="AQ18" i="9"/>
  <c r="AQ48" i="10"/>
  <c r="AQ71" i="17"/>
  <c r="Z94" i="4"/>
  <c r="Y125" i="4"/>
  <c r="Y94" i="4"/>
  <c r="U128" i="4"/>
  <c r="AC176" i="4"/>
  <c r="AB55" i="4"/>
  <c r="W86" i="4"/>
  <c r="AB145" i="4"/>
  <c r="U33" i="4"/>
  <c r="Y65" i="4"/>
  <c r="U61" i="4"/>
  <c r="Z58" i="4"/>
  <c r="Z92" i="4"/>
  <c r="AQ56" i="8"/>
  <c r="AQ107" i="17"/>
  <c r="AQ60" i="8"/>
  <c r="X178" i="4"/>
  <c r="AQ68" i="17"/>
  <c r="AQ92" i="14"/>
  <c r="AA70" i="4"/>
  <c r="V178" i="4"/>
  <c r="W125" i="4"/>
  <c r="AQ61" i="9"/>
  <c r="U144" i="4"/>
  <c r="AQ30" i="8"/>
  <c r="Z100" i="4"/>
  <c r="V193" i="4"/>
  <c r="AB128" i="4"/>
  <c r="AQ80" i="12"/>
  <c r="W173" i="4"/>
  <c r="AQ83" i="14"/>
  <c r="AQ83" i="12"/>
  <c r="AA100" i="4"/>
  <c r="AQ51" i="10"/>
  <c r="Y52" i="4"/>
  <c r="T82" i="4"/>
  <c r="AQ35" i="13"/>
  <c r="AQ97" i="9"/>
  <c r="Z126" i="4"/>
  <c r="AA120" i="4"/>
  <c r="AQ32" i="15"/>
  <c r="AQ88" i="17"/>
  <c r="AC121" i="4"/>
  <c r="W44" i="4"/>
  <c r="V49" i="4"/>
  <c r="AC33" i="4"/>
  <c r="Z193" i="4"/>
  <c r="U126" i="4"/>
  <c r="AA199" i="4"/>
  <c r="Y66" i="4"/>
  <c r="AQ38" i="11"/>
  <c r="AQ58" i="12"/>
  <c r="Y86" i="4"/>
  <c r="AA214" i="4"/>
  <c r="W101" i="4"/>
  <c r="AQ70" i="12"/>
  <c r="AQ100" i="12"/>
  <c r="U193" i="4"/>
  <c r="AQ93" i="9"/>
  <c r="AQ68" i="9"/>
  <c r="Z120" i="4"/>
  <c r="AQ80" i="13"/>
  <c r="AC174" i="4"/>
  <c r="W168" i="4"/>
  <c r="T118" i="4"/>
  <c r="Y46" i="4"/>
  <c r="AB130" i="4"/>
  <c r="T46" i="4"/>
  <c r="W105" i="4"/>
  <c r="T202" i="4"/>
  <c r="T198" i="4"/>
  <c r="AQ73" i="10"/>
  <c r="U164" i="4"/>
  <c r="V116" i="4"/>
  <c r="U50" i="4"/>
  <c r="Y70" i="4"/>
  <c r="U98" i="4"/>
  <c r="W81" i="4"/>
  <c r="AB78" i="4"/>
  <c r="AB158" i="4"/>
  <c r="X113" i="4"/>
  <c r="AQ106" i="9"/>
  <c r="AB106" i="4"/>
  <c r="AB68" i="4"/>
  <c r="AQ11" i="16"/>
  <c r="AQ13" i="14"/>
  <c r="AQ109" i="11"/>
  <c r="AQ26" i="16"/>
  <c r="T101" i="4"/>
  <c r="AQ17" i="14"/>
  <c r="AQ78" i="15"/>
  <c r="AQ8" i="13"/>
  <c r="AQ83" i="15"/>
  <c r="AQ6" i="15"/>
  <c r="AQ34" i="16"/>
  <c r="AQ27" i="11"/>
  <c r="AQ90" i="8"/>
  <c r="AQ92" i="9"/>
  <c r="AQ12" i="8"/>
  <c r="AB202" i="4"/>
  <c r="X56" i="4"/>
  <c r="V47" i="4"/>
  <c r="W140" i="4"/>
  <c r="Y130" i="4"/>
  <c r="V196" i="4"/>
  <c r="V145" i="4"/>
  <c r="AQ22" i="14"/>
  <c r="AQ40" i="10"/>
  <c r="V36" i="4"/>
  <c r="T73" i="4"/>
  <c r="T24" i="4"/>
  <c r="AQ69" i="14"/>
  <c r="AQ101" i="11"/>
  <c r="AQ88" i="13"/>
  <c r="AQ36" i="10"/>
  <c r="Z128" i="4"/>
  <c r="AQ77" i="8"/>
  <c r="U170" i="4"/>
  <c r="U176" i="4"/>
  <c r="Z121" i="4"/>
  <c r="AB77" i="4"/>
  <c r="Z201" i="4"/>
  <c r="AC160" i="4"/>
  <c r="AQ75" i="9"/>
  <c r="U132" i="4"/>
  <c r="W165" i="4"/>
  <c r="AA55" i="4"/>
  <c r="V118" i="4"/>
  <c r="AA66" i="4"/>
  <c r="Z66" i="4"/>
  <c r="AQ25" i="11"/>
  <c r="AQ42" i="14"/>
  <c r="T77" i="4"/>
  <c r="W59" i="4"/>
  <c r="AQ97" i="12"/>
  <c r="Y108" i="4"/>
  <c r="AB73" i="4"/>
  <c r="AQ27" i="13"/>
  <c r="V184" i="4"/>
  <c r="AQ53" i="10"/>
  <c r="Z190" i="4"/>
  <c r="W186" i="4"/>
  <c r="Y62" i="4"/>
  <c r="AC59" i="4"/>
  <c r="AC144" i="4"/>
  <c r="AB186" i="4"/>
  <c r="AC201" i="4"/>
  <c r="Y59" i="4"/>
  <c r="V43" i="4"/>
  <c r="AA122" i="4"/>
  <c r="AC36" i="4"/>
  <c r="T196" i="4"/>
  <c r="Z134" i="4"/>
  <c r="AQ93" i="10"/>
  <c r="AB146" i="4"/>
  <c r="AQ84" i="10"/>
  <c r="V205" i="4"/>
  <c r="AQ72" i="8"/>
  <c r="AQ65" i="15"/>
  <c r="W96" i="4"/>
  <c r="Y37" i="4"/>
  <c r="W130" i="4"/>
  <c r="AA68" i="4"/>
  <c r="AB93" i="4"/>
  <c r="AB168" i="4"/>
  <c r="T158" i="4"/>
  <c r="AC189" i="4"/>
  <c r="V72" i="4"/>
  <c r="AA170" i="4"/>
  <c r="AC213" i="4"/>
  <c r="V208" i="4"/>
  <c r="AB109" i="4"/>
  <c r="M130" i="22" l="1"/>
  <c r="AB130" i="22"/>
  <c r="Z22" i="7"/>
  <c r="J34" i="22"/>
  <c r="Z21" i="7"/>
  <c r="J18" i="22"/>
  <c r="Z23" i="7"/>
  <c r="K89" i="8"/>
  <c r="M89" i="8" s="1"/>
  <c r="K67" i="13"/>
  <c r="M67" i="13" s="1"/>
  <c r="S117" i="4"/>
  <c r="K87" i="9"/>
  <c r="M87" i="9" s="1"/>
  <c r="S129" i="4"/>
  <c r="K21" i="9"/>
  <c r="M21" i="9" s="1"/>
  <c r="S24" i="4"/>
  <c r="S62" i="4"/>
  <c r="S192" i="4"/>
  <c r="K95" i="10"/>
  <c r="M95" i="10" s="1"/>
  <c r="S85" i="4"/>
  <c r="S190" i="4"/>
  <c r="K27" i="8"/>
  <c r="M27" i="8" s="1"/>
  <c r="S69" i="4"/>
  <c r="K96" i="9"/>
  <c r="M96" i="9" s="1"/>
  <c r="K62" i="12"/>
  <c r="M62" i="12" s="1"/>
  <c r="K19" i="12"/>
  <c r="M19" i="12" s="1"/>
  <c r="S213" i="4"/>
  <c r="S142" i="4"/>
  <c r="S122" i="4"/>
  <c r="S150" i="4"/>
  <c r="S47" i="4"/>
  <c r="K31" i="10"/>
  <c r="M31" i="10" s="1"/>
  <c r="S193" i="4"/>
  <c r="K106" i="9"/>
  <c r="M106" i="9" s="1"/>
  <c r="K52" i="9"/>
  <c r="M52" i="9" s="1"/>
  <c r="S36" i="4"/>
  <c r="K69" i="14"/>
  <c r="M69" i="14" s="1"/>
  <c r="S133" i="4"/>
  <c r="K87" i="8"/>
  <c r="M87" i="8" s="1"/>
  <c r="S158" i="4"/>
  <c r="K67" i="10"/>
  <c r="M67" i="10" s="1"/>
  <c r="K89" i="9"/>
  <c r="M89" i="9" s="1"/>
  <c r="K36" i="8"/>
  <c r="M36" i="8" s="1"/>
  <c r="K64" i="8"/>
  <c r="M64" i="8" s="1"/>
  <c r="S22" i="4"/>
  <c r="K10" i="11"/>
  <c r="M10" i="11" s="1"/>
  <c r="K47" i="9"/>
  <c r="M47" i="9" s="1"/>
  <c r="K40" i="10"/>
  <c r="M40" i="10" s="1"/>
  <c r="S164" i="4"/>
  <c r="K84" i="8"/>
  <c r="M84" i="8" s="1"/>
  <c r="S33" i="4"/>
  <c r="K74" i="9"/>
  <c r="M74" i="9" s="1"/>
  <c r="K41" i="9"/>
  <c r="M41" i="9" s="1"/>
  <c r="K29" i="9"/>
  <c r="M29" i="9" s="1"/>
  <c r="K82" i="11"/>
  <c r="M82" i="11" s="1"/>
  <c r="S97" i="4"/>
  <c r="K60" i="11"/>
  <c r="M60" i="11" s="1"/>
  <c r="K9" i="8"/>
  <c r="M9" i="8" s="1"/>
  <c r="S180" i="4"/>
  <c r="K15" i="9"/>
  <c r="M15" i="9" s="1"/>
  <c r="S149" i="4"/>
  <c r="K15" i="8"/>
  <c r="M15" i="8" s="1"/>
  <c r="S189" i="4"/>
  <c r="K29" i="11"/>
  <c r="M29" i="11" s="1"/>
  <c r="S125" i="4"/>
  <c r="S188" i="4"/>
  <c r="K48" i="9"/>
  <c r="M48" i="9" s="1"/>
  <c r="S90" i="4"/>
  <c r="K31" i="9"/>
  <c r="M31" i="9" s="1"/>
  <c r="K83" i="8"/>
  <c r="M83" i="8" s="1"/>
  <c r="K19" i="9"/>
  <c r="M19" i="9" s="1"/>
  <c r="K26" i="8"/>
  <c r="M26" i="8" s="1"/>
  <c r="K71" i="8"/>
  <c r="M71" i="8" s="1"/>
  <c r="S153" i="4"/>
  <c r="K22" i="14"/>
  <c r="M22" i="14" s="1"/>
  <c r="K10" i="8"/>
  <c r="M10" i="8" s="1"/>
  <c r="K46" i="14"/>
  <c r="M46" i="14" s="1"/>
  <c r="S20" i="4"/>
  <c r="S73" i="4"/>
  <c r="K30" i="8"/>
  <c r="M30" i="8" s="1"/>
  <c r="K108" i="10"/>
  <c r="M108" i="10" s="1"/>
  <c r="K100" i="11"/>
  <c r="M100" i="11" s="1"/>
  <c r="K75" i="10"/>
  <c r="M75" i="10" s="1"/>
  <c r="K38" i="15"/>
  <c r="M38" i="15" s="1"/>
  <c r="S116" i="4"/>
  <c r="K97" i="13"/>
  <c r="M97" i="13" s="1"/>
  <c r="S72" i="4"/>
  <c r="K109" i="8"/>
  <c r="M109" i="8" s="1"/>
  <c r="S173" i="4"/>
  <c r="K82" i="12"/>
  <c r="M82" i="12" s="1"/>
  <c r="K65" i="14"/>
  <c r="M65" i="14" s="1"/>
  <c r="K97" i="15"/>
  <c r="M97" i="15" s="1"/>
  <c r="S49" i="4"/>
  <c r="K62" i="10"/>
  <c r="M62" i="10" s="1"/>
  <c r="K55" i="17"/>
  <c r="M55" i="17" s="1"/>
  <c r="S56" i="4"/>
  <c r="S86" i="4"/>
  <c r="K43" i="13"/>
  <c r="M43" i="13" s="1"/>
  <c r="K39" i="9"/>
  <c r="M39" i="9" s="1"/>
  <c r="S102" i="4"/>
  <c r="K66" i="13"/>
  <c r="M66" i="13" s="1"/>
  <c r="K81" i="9"/>
  <c r="M81" i="9" s="1"/>
  <c r="K46" i="9"/>
  <c r="M46" i="9" s="1"/>
  <c r="S154" i="4"/>
  <c r="K15" i="10"/>
  <c r="M15" i="10" s="1"/>
  <c r="S121" i="4"/>
  <c r="S128" i="4"/>
  <c r="S201" i="4"/>
  <c r="K101" i="8"/>
  <c r="M101" i="8" s="1"/>
  <c r="K48" i="16"/>
  <c r="M48" i="16" s="1"/>
  <c r="K73" i="13"/>
  <c r="M73" i="13" s="1"/>
  <c r="K108" i="9"/>
  <c r="M108" i="9" s="1"/>
  <c r="S166" i="4"/>
  <c r="K44" i="8"/>
  <c r="M44" i="8" s="1"/>
  <c r="S19" i="4"/>
  <c r="K43" i="8"/>
  <c r="M43" i="8" s="1"/>
  <c r="K73" i="8"/>
  <c r="M73" i="8" s="1"/>
  <c r="K76" i="12"/>
  <c r="M76" i="12" s="1"/>
  <c r="K102" i="10"/>
  <c r="M102" i="10" s="1"/>
  <c r="S100" i="4"/>
  <c r="K42" i="9"/>
  <c r="M42" i="9" s="1"/>
  <c r="K105" i="10"/>
  <c r="M105" i="10" s="1"/>
  <c r="K78" i="10"/>
  <c r="M78" i="10" s="1"/>
  <c r="K7" i="14"/>
  <c r="M7" i="14" s="1"/>
  <c r="S138" i="4"/>
  <c r="K75" i="9"/>
  <c r="M75" i="9" s="1"/>
  <c r="S104" i="4"/>
  <c r="K18" i="8"/>
  <c r="M18" i="8" s="1"/>
  <c r="K80" i="11"/>
  <c r="M80" i="11" s="1"/>
  <c r="S157" i="4"/>
  <c r="K13" i="11"/>
  <c r="M13" i="11" s="1"/>
  <c r="S43" i="4"/>
  <c r="K88" i="17"/>
  <c r="M88" i="17" s="1"/>
  <c r="S144" i="4"/>
  <c r="K21" i="8"/>
  <c r="M21" i="8" s="1"/>
  <c r="S210" i="4"/>
  <c r="K81" i="13"/>
  <c r="M81" i="13" s="1"/>
  <c r="K22" i="12"/>
  <c r="M22" i="12" s="1"/>
  <c r="K66" i="9"/>
  <c r="M66" i="9" s="1"/>
  <c r="S65" i="4"/>
  <c r="K40" i="9"/>
  <c r="M40" i="9" s="1"/>
  <c r="K55" i="13"/>
  <c r="M55" i="13" s="1"/>
  <c r="S160" i="4"/>
  <c r="K50" i="11"/>
  <c r="M50" i="11" s="1"/>
  <c r="K19" i="10"/>
  <c r="M19" i="10" s="1"/>
  <c r="K73" i="10"/>
  <c r="M73" i="10" s="1"/>
  <c r="K94" i="10"/>
  <c r="M94" i="10" s="1"/>
  <c r="K5" i="10"/>
  <c r="M5" i="10" s="1"/>
  <c r="S177" i="4"/>
  <c r="K32" i="15"/>
  <c r="M32" i="15" s="1"/>
  <c r="K105" i="15"/>
  <c r="M105" i="15" s="1"/>
  <c r="S214" i="4"/>
  <c r="K31" i="8"/>
  <c r="M31" i="8" s="1"/>
  <c r="K7" i="11"/>
  <c r="M7" i="11" s="1"/>
  <c r="K5" i="13"/>
  <c r="M5" i="13" s="1"/>
  <c r="S84" i="4"/>
  <c r="K61" i="9"/>
  <c r="M61" i="9" s="1"/>
  <c r="S59" i="4"/>
  <c r="K93" i="14"/>
  <c r="M93" i="14" s="1"/>
  <c r="K45" i="16"/>
  <c r="M45" i="16" s="1"/>
  <c r="K94" i="11"/>
  <c r="M94" i="11" s="1"/>
  <c r="S101" i="4"/>
  <c r="K35" i="12"/>
  <c r="M35" i="12" s="1"/>
  <c r="K37" i="8"/>
  <c r="M37" i="8" s="1"/>
  <c r="S204" i="4"/>
  <c r="S32" i="4"/>
  <c r="K35" i="11"/>
  <c r="M35" i="11" s="1"/>
  <c r="S68" i="4"/>
  <c r="K67" i="9"/>
  <c r="M67" i="9" s="1"/>
  <c r="K107" i="10"/>
  <c r="M107" i="10" s="1"/>
  <c r="S146" i="4"/>
  <c r="K37" i="12"/>
  <c r="M37" i="12" s="1"/>
  <c r="K102" i="9"/>
  <c r="M102" i="9" s="1"/>
  <c r="K7" i="8"/>
  <c r="M7" i="8" s="1"/>
  <c r="K54" i="15"/>
  <c r="M54" i="15" s="1"/>
  <c r="K79" i="9"/>
  <c r="M79" i="9" s="1"/>
  <c r="K8" i="9"/>
  <c r="M8" i="9" s="1"/>
  <c r="K78" i="9"/>
  <c r="M78" i="9" s="1"/>
  <c r="K103" i="10"/>
  <c r="M103" i="10" s="1"/>
  <c r="K14" i="8"/>
  <c r="M14" i="8" s="1"/>
  <c r="K33" i="14"/>
  <c r="M33" i="14" s="1"/>
  <c r="S77" i="4"/>
  <c r="K53" i="8"/>
  <c r="M53" i="8" s="1"/>
  <c r="S105" i="4"/>
  <c r="S198" i="4"/>
  <c r="S130" i="4"/>
  <c r="K18" i="10"/>
  <c r="M18" i="10" s="1"/>
  <c r="K47" i="8"/>
  <c r="M47" i="8" s="1"/>
  <c r="S40" i="4"/>
  <c r="S176" i="4"/>
  <c r="K12" i="16"/>
  <c r="M12" i="16" s="1"/>
  <c r="K34" i="8"/>
  <c r="M34" i="8" s="1"/>
  <c r="S44" i="4"/>
  <c r="S202" i="4"/>
  <c r="K52" i="13"/>
  <c r="M52" i="13" s="1"/>
  <c r="K63" i="8"/>
  <c r="M63" i="8" s="1"/>
  <c r="S141" i="4"/>
  <c r="K91" i="13"/>
  <c r="M91" i="13" s="1"/>
  <c r="K49" i="9"/>
  <c r="M49" i="9" s="1"/>
  <c r="S182" i="4"/>
  <c r="K33" i="8"/>
  <c r="M33" i="8" s="1"/>
  <c r="S21" i="4"/>
  <c r="S170" i="4"/>
  <c r="K33" i="10"/>
  <c r="M33" i="10" s="1"/>
  <c r="K104" i="9"/>
  <c r="M104" i="9" s="1"/>
  <c r="K50" i="15"/>
  <c r="M50" i="15" s="1"/>
  <c r="K72" i="12"/>
  <c r="M72" i="12" s="1"/>
  <c r="K25" i="9"/>
  <c r="M25" i="9" s="1"/>
  <c r="S168" i="4"/>
  <c r="K49" i="8"/>
  <c r="M49" i="8" s="1"/>
  <c r="S37" i="4"/>
  <c r="K80" i="8"/>
  <c r="M80" i="8" s="1"/>
  <c r="K61" i="11"/>
  <c r="M61" i="11" s="1"/>
  <c r="K93" i="11"/>
  <c r="M93" i="11" s="1"/>
  <c r="S61" i="4"/>
  <c r="K58" i="8"/>
  <c r="M58" i="8" s="1"/>
  <c r="K39" i="8"/>
  <c r="M39" i="8" s="1"/>
  <c r="K97" i="9"/>
  <c r="M97" i="9" s="1"/>
  <c r="S140" i="4"/>
  <c r="K25" i="14"/>
  <c r="M25" i="14" s="1"/>
  <c r="K102" i="15"/>
  <c r="M102" i="15" s="1"/>
  <c r="S94" i="4"/>
  <c r="K44" i="9"/>
  <c r="M44" i="9" s="1"/>
  <c r="K19" i="8"/>
  <c r="M19" i="8" s="1"/>
  <c r="K82" i="8"/>
  <c r="M82" i="8" s="1"/>
  <c r="K30" i="14"/>
  <c r="M30" i="14" s="1"/>
  <c r="S184" i="4"/>
  <c r="K83" i="9"/>
  <c r="M83" i="9" s="1"/>
  <c r="S185" i="4"/>
  <c r="K33" i="12"/>
  <c r="M33" i="12" s="1"/>
  <c r="S55" i="4"/>
  <c r="K13" i="9"/>
  <c r="M13" i="9" s="1"/>
  <c r="S118" i="4"/>
  <c r="K20" i="8"/>
  <c r="M20" i="8" s="1"/>
  <c r="K59" i="9"/>
  <c r="M59" i="9" s="1"/>
  <c r="K23" i="9"/>
  <c r="M23" i="9" s="1"/>
  <c r="S76" i="4"/>
  <c r="S23" i="4"/>
  <c r="K60" i="9"/>
  <c r="M60" i="9" s="1"/>
  <c r="K100" i="8"/>
  <c r="M100" i="8" s="1"/>
  <c r="K43" i="10"/>
  <c r="M43" i="10" s="1"/>
  <c r="S137" i="4"/>
  <c r="S148" i="4"/>
  <c r="K35" i="13"/>
  <c r="M35" i="13" s="1"/>
  <c r="S126" i="4"/>
  <c r="K27" i="9"/>
  <c r="M27" i="9" s="1"/>
  <c r="K57" i="14"/>
  <c r="M57" i="14" s="1"/>
  <c r="K53" i="10"/>
  <c r="M53" i="10" s="1"/>
  <c r="K18" i="14"/>
  <c r="M18" i="14" s="1"/>
  <c r="K45" i="8"/>
  <c r="M45" i="8" s="1"/>
  <c r="K42" i="17"/>
  <c r="M42" i="17" s="1"/>
  <c r="K76" i="15"/>
  <c r="M76" i="15" s="1"/>
  <c r="K70" i="15"/>
  <c r="M70" i="15" s="1"/>
  <c r="K80" i="14"/>
  <c r="M80" i="14" s="1"/>
  <c r="K33" i="17"/>
  <c r="M33" i="17" s="1"/>
  <c r="K31" i="12"/>
  <c r="M31" i="12" s="1"/>
  <c r="K85" i="13"/>
  <c r="M85" i="13" s="1"/>
  <c r="K93" i="13"/>
  <c r="M93" i="13" s="1"/>
  <c r="K75" i="12"/>
  <c r="M75" i="12" s="1"/>
  <c r="K99" i="12"/>
  <c r="M99" i="12" s="1"/>
  <c r="K41" i="17"/>
  <c r="M41" i="17" s="1"/>
  <c r="K69" i="10"/>
  <c r="M69" i="10" s="1"/>
  <c r="K77" i="9"/>
  <c r="M77" i="9" s="1"/>
  <c r="S46" i="4"/>
  <c r="K20" i="9"/>
  <c r="M20" i="9" s="1"/>
  <c r="K79" i="10"/>
  <c r="M79" i="10" s="1"/>
  <c r="K12" i="9"/>
  <c r="M12" i="9" s="1"/>
  <c r="S181" i="4"/>
  <c r="K32" i="11"/>
  <c r="M32" i="11" s="1"/>
  <c r="S112" i="4"/>
  <c r="K55" i="8"/>
  <c r="M55" i="8" s="1"/>
  <c r="S207" i="4"/>
  <c r="K60" i="10"/>
  <c r="M60" i="10" s="1"/>
  <c r="S34" i="4"/>
  <c r="S169" i="4"/>
  <c r="K24" i="8"/>
  <c r="M24" i="8" s="1"/>
  <c r="K98" i="10"/>
  <c r="M98" i="10" s="1"/>
  <c r="K58" i="9"/>
  <c r="M58" i="9" s="1"/>
  <c r="S174" i="4"/>
  <c r="S106" i="4"/>
  <c r="K29" i="8"/>
  <c r="M29" i="8" s="1"/>
  <c r="K44" i="10"/>
  <c r="M44" i="10" s="1"/>
  <c r="K106" i="8"/>
  <c r="M106" i="8" s="1"/>
  <c r="K70" i="8"/>
  <c r="M70" i="8" s="1"/>
  <c r="K56" i="9"/>
  <c r="M56" i="9" s="1"/>
  <c r="K49" i="13"/>
  <c r="M49" i="13" s="1"/>
  <c r="K69" i="15"/>
  <c r="M69" i="15" s="1"/>
  <c r="K97" i="8"/>
  <c r="M97" i="8" s="1"/>
  <c r="K25" i="13"/>
  <c r="M25" i="13" s="1"/>
  <c r="K62" i="15"/>
  <c r="M62" i="15" s="1"/>
  <c r="K11" i="17"/>
  <c r="M11" i="17" s="1"/>
  <c r="K34" i="12"/>
  <c r="M34" i="12" s="1"/>
  <c r="K16" i="12"/>
  <c r="M16" i="12" s="1"/>
  <c r="K85" i="17"/>
  <c r="M85" i="17" s="1"/>
  <c r="K36" i="13"/>
  <c r="M36" i="13" s="1"/>
  <c r="K74" i="12"/>
  <c r="M74" i="12" s="1"/>
  <c r="K65" i="15"/>
  <c r="M65" i="15" s="1"/>
  <c r="K102" i="12"/>
  <c r="M102" i="12" s="1"/>
  <c r="K27" i="13"/>
  <c r="M27" i="13" s="1"/>
  <c r="K87" i="17"/>
  <c r="M87" i="17" s="1"/>
  <c r="K96" i="8"/>
  <c r="M96" i="8" s="1"/>
  <c r="K32" i="8"/>
  <c r="M32" i="8" s="1"/>
  <c r="K17" i="10"/>
  <c r="M17" i="10" s="1"/>
  <c r="S195" i="4"/>
  <c r="K67" i="14"/>
  <c r="M67" i="14" s="1"/>
  <c r="S172" i="4"/>
  <c r="K36" i="9"/>
  <c r="M36" i="9" s="1"/>
  <c r="K107" i="15"/>
  <c r="M107" i="15" s="1"/>
  <c r="K25" i="17"/>
  <c r="M25" i="17" s="1"/>
  <c r="K47" i="17"/>
  <c r="M47" i="17" s="1"/>
  <c r="K94" i="9"/>
  <c r="M94" i="9" s="1"/>
  <c r="K80" i="13"/>
  <c r="M80" i="13" s="1"/>
  <c r="K20" i="13"/>
  <c r="M20" i="13" s="1"/>
  <c r="K56" i="15"/>
  <c r="M56" i="15" s="1"/>
  <c r="K92" i="14"/>
  <c r="M92" i="14" s="1"/>
  <c r="K49" i="16"/>
  <c r="M49" i="16" s="1"/>
  <c r="K96" i="15"/>
  <c r="M96" i="15" s="1"/>
  <c r="K6" i="16"/>
  <c r="M6" i="16" s="1"/>
  <c r="K22" i="8"/>
  <c r="M22" i="8" s="1"/>
  <c r="S134" i="4"/>
  <c r="S96" i="4"/>
  <c r="K63" i="9"/>
  <c r="M63" i="9" s="1"/>
  <c r="K50" i="8"/>
  <c r="M50" i="8" s="1"/>
  <c r="K105" i="14"/>
  <c r="M105" i="14" s="1"/>
  <c r="K79" i="8"/>
  <c r="M79" i="8" s="1"/>
  <c r="K50" i="9"/>
  <c r="M50" i="9" s="1"/>
  <c r="S53" i="4"/>
  <c r="K43" i="9"/>
  <c r="M43" i="9" s="1"/>
  <c r="K6" i="11"/>
  <c r="M6" i="11" s="1"/>
  <c r="K27" i="10"/>
  <c r="M27" i="10" s="1"/>
  <c r="S93" i="4"/>
  <c r="K77" i="8"/>
  <c r="M77" i="8" s="1"/>
  <c r="S52" i="4"/>
  <c r="K8" i="8"/>
  <c r="M8" i="8" s="1"/>
  <c r="K101" i="10"/>
  <c r="M101" i="10" s="1"/>
  <c r="K6" i="12"/>
  <c r="M6" i="12" s="1"/>
  <c r="K106" i="10"/>
  <c r="M106" i="10" s="1"/>
  <c r="K63" i="16"/>
  <c r="M63" i="16" s="1"/>
  <c r="K80" i="17"/>
  <c r="M80" i="17" s="1"/>
  <c r="K28" i="10"/>
  <c r="M28" i="10" s="1"/>
  <c r="K46" i="15"/>
  <c r="M46" i="15" s="1"/>
  <c r="K98" i="9"/>
  <c r="M98" i="9" s="1"/>
  <c r="K74" i="13"/>
  <c r="M74" i="13" s="1"/>
  <c r="K79" i="13"/>
  <c r="M79" i="13" s="1"/>
  <c r="K82" i="9"/>
  <c r="M82" i="9" s="1"/>
  <c r="K105" i="16"/>
  <c r="M105" i="16" s="1"/>
  <c r="K13" i="17"/>
  <c r="M13" i="17" s="1"/>
  <c r="K45" i="9"/>
  <c r="M45" i="9" s="1"/>
  <c r="K24" i="9"/>
  <c r="M24" i="9" s="1"/>
  <c r="K64" i="14"/>
  <c r="M64" i="14" s="1"/>
  <c r="K47" i="11"/>
  <c r="M47" i="11" s="1"/>
  <c r="K37" i="13"/>
  <c r="M37" i="13" s="1"/>
  <c r="K81" i="17"/>
  <c r="M81" i="17" s="1"/>
  <c r="K18" i="17"/>
  <c r="M18" i="17" s="1"/>
  <c r="K43" i="12"/>
  <c r="M43" i="12" s="1"/>
  <c r="K5" i="12"/>
  <c r="M5" i="12" s="1"/>
  <c r="K57" i="10"/>
  <c r="M57" i="10" s="1"/>
  <c r="K66" i="16"/>
  <c r="M66" i="16" s="1"/>
  <c r="K64" i="15"/>
  <c r="M64" i="15" s="1"/>
  <c r="K26" i="14"/>
  <c r="M26" i="14" s="1"/>
  <c r="K6" i="8"/>
  <c r="M6" i="8" s="1"/>
  <c r="K42" i="10"/>
  <c r="M42" i="10" s="1"/>
  <c r="S27" i="4"/>
  <c r="S108" i="4"/>
  <c r="K32" i="10"/>
  <c r="M32" i="10" s="1"/>
  <c r="K88" i="11"/>
  <c r="M88" i="11" s="1"/>
  <c r="K28" i="15"/>
  <c r="M28" i="15" s="1"/>
  <c r="K23" i="8"/>
  <c r="M23" i="8" s="1"/>
  <c r="K52" i="14"/>
  <c r="M52" i="14" s="1"/>
  <c r="K8" i="17"/>
  <c r="M8" i="17" s="1"/>
  <c r="K91" i="17"/>
  <c r="M91" i="17" s="1"/>
  <c r="K30" i="13"/>
  <c r="M30" i="13" s="1"/>
  <c r="K8" i="15"/>
  <c r="M8" i="15" s="1"/>
  <c r="K37" i="15"/>
  <c r="M37" i="15" s="1"/>
  <c r="K107" i="16"/>
  <c r="M107" i="16" s="1"/>
  <c r="K108" i="15"/>
  <c r="M108" i="15" s="1"/>
  <c r="K17" i="15"/>
  <c r="M17" i="15" s="1"/>
  <c r="K91" i="14"/>
  <c r="M91" i="14" s="1"/>
  <c r="K37" i="9"/>
  <c r="M37" i="9" s="1"/>
  <c r="K22" i="9"/>
  <c r="M22" i="9" s="1"/>
  <c r="K90" i="10"/>
  <c r="M90" i="10" s="1"/>
  <c r="S92" i="4"/>
  <c r="S70" i="4"/>
  <c r="K54" i="10"/>
  <c r="M54" i="10" s="1"/>
  <c r="K56" i="10"/>
  <c r="M56" i="10" s="1"/>
  <c r="S114" i="4"/>
  <c r="K95" i="8"/>
  <c r="M95" i="8" s="1"/>
  <c r="K104" i="11"/>
  <c r="M104" i="11" s="1"/>
  <c r="K68" i="9"/>
  <c r="M68" i="9" s="1"/>
  <c r="K51" i="10"/>
  <c r="M51" i="10" s="1"/>
  <c r="K68" i="17"/>
  <c r="M68" i="17" s="1"/>
  <c r="K71" i="17"/>
  <c r="M71" i="17" s="1"/>
  <c r="K8" i="12"/>
  <c r="M8" i="12" s="1"/>
  <c r="K68" i="13"/>
  <c r="M68" i="13" s="1"/>
  <c r="K18" i="12"/>
  <c r="M18" i="12" s="1"/>
  <c r="K13" i="16"/>
  <c r="M13" i="16" s="1"/>
  <c r="K48" i="15"/>
  <c r="M48" i="15" s="1"/>
  <c r="K69" i="16"/>
  <c r="M69" i="16" s="1"/>
  <c r="K33" i="13"/>
  <c r="M33" i="13" s="1"/>
  <c r="K4" i="9"/>
  <c r="M4" i="9" s="1"/>
  <c r="K35" i="8"/>
  <c r="M35" i="8" s="1"/>
  <c r="K103" i="8"/>
  <c r="M103" i="8" s="1"/>
  <c r="K57" i="9"/>
  <c r="M57" i="9" s="1"/>
  <c r="K28" i="13"/>
  <c r="M28" i="13" s="1"/>
  <c r="K104" i="8"/>
  <c r="M104" i="8" s="1"/>
  <c r="S50" i="4"/>
  <c r="K12" i="8"/>
  <c r="M12" i="8" s="1"/>
  <c r="K16" i="15"/>
  <c r="M16" i="15" s="1"/>
  <c r="K49" i="14"/>
  <c r="M49" i="14" s="1"/>
  <c r="K14" i="10"/>
  <c r="M14" i="10" s="1"/>
  <c r="K35" i="14"/>
  <c r="M35" i="14" s="1"/>
  <c r="K31" i="15"/>
  <c r="M31" i="15" s="1"/>
  <c r="K43" i="14"/>
  <c r="M43" i="14" s="1"/>
  <c r="K73" i="17"/>
  <c r="M73" i="17" s="1"/>
  <c r="K75" i="16"/>
  <c r="M75" i="16" s="1"/>
  <c r="K63" i="15"/>
  <c r="M63" i="15" s="1"/>
  <c r="K42" i="11"/>
  <c r="M42" i="11" s="1"/>
  <c r="K53" i="9"/>
  <c r="M53" i="9" s="1"/>
  <c r="K93" i="9"/>
  <c r="M93" i="9" s="1"/>
  <c r="K8" i="11"/>
  <c r="M8" i="11" s="1"/>
  <c r="K84" i="11"/>
  <c r="M84" i="11" s="1"/>
  <c r="K106" i="11"/>
  <c r="M106" i="11" s="1"/>
  <c r="K75" i="8"/>
  <c r="M75" i="8" s="1"/>
  <c r="K37" i="14"/>
  <c r="M37" i="14" s="1"/>
  <c r="K4" i="12"/>
  <c r="M4" i="12" s="1"/>
  <c r="K68" i="10"/>
  <c r="M68" i="10" s="1"/>
  <c r="K4" i="14"/>
  <c r="M4" i="14" s="1"/>
  <c r="K74" i="16"/>
  <c r="M74" i="16" s="1"/>
  <c r="K5" i="14"/>
  <c r="M5" i="14" s="1"/>
  <c r="K109" i="10"/>
  <c r="M109" i="10" s="1"/>
  <c r="K72" i="17"/>
  <c r="M72" i="17" s="1"/>
  <c r="K34" i="17"/>
  <c r="M34" i="17" s="1"/>
  <c r="K87" i="12"/>
  <c r="M87" i="12" s="1"/>
  <c r="K17" i="12"/>
  <c r="M17" i="12" s="1"/>
  <c r="K63" i="13"/>
  <c r="M63" i="13" s="1"/>
  <c r="K72" i="8"/>
  <c r="M72" i="8" s="1"/>
  <c r="K103" i="11"/>
  <c r="M103" i="11" s="1"/>
  <c r="K31" i="13"/>
  <c r="M31" i="13" s="1"/>
  <c r="K45" i="13"/>
  <c r="M45" i="13" s="1"/>
  <c r="K92" i="9"/>
  <c r="M92" i="9" s="1"/>
  <c r="K29" i="15"/>
  <c r="M29" i="15" s="1"/>
  <c r="K26" i="17"/>
  <c r="M26" i="17" s="1"/>
  <c r="K8" i="16"/>
  <c r="M8" i="16" s="1"/>
  <c r="K40" i="13"/>
  <c r="M40" i="13" s="1"/>
  <c r="K47" i="12"/>
  <c r="M47" i="12" s="1"/>
  <c r="K70" i="9"/>
  <c r="M70" i="9" s="1"/>
  <c r="K27" i="15"/>
  <c r="M27" i="15" s="1"/>
  <c r="K17" i="17"/>
  <c r="M17" i="17" s="1"/>
  <c r="K78" i="11"/>
  <c r="M78" i="11" s="1"/>
  <c r="K55" i="9"/>
  <c r="M55" i="9" s="1"/>
  <c r="S64" i="4"/>
  <c r="K86" i="8"/>
  <c r="M86" i="8" s="1"/>
  <c r="K21" i="12"/>
  <c r="M21" i="12" s="1"/>
  <c r="K11" i="15"/>
  <c r="M11" i="15" s="1"/>
  <c r="K6" i="9"/>
  <c r="M6" i="9" s="1"/>
  <c r="K38" i="13"/>
  <c r="M38" i="13" s="1"/>
  <c r="K85" i="8"/>
  <c r="M85" i="8" s="1"/>
  <c r="K39" i="11"/>
  <c r="M39" i="11" s="1"/>
  <c r="K100" i="14"/>
  <c r="M100" i="14" s="1"/>
  <c r="K34" i="15"/>
  <c r="M34" i="15" s="1"/>
  <c r="K67" i="8"/>
  <c r="M67" i="8" s="1"/>
  <c r="K65" i="10"/>
  <c r="M65" i="10" s="1"/>
  <c r="K91" i="16"/>
  <c r="M91" i="16" s="1"/>
  <c r="K36" i="12"/>
  <c r="M36" i="12" s="1"/>
  <c r="K27" i="12"/>
  <c r="M27" i="12" s="1"/>
  <c r="K95" i="13"/>
  <c r="M95" i="13" s="1"/>
  <c r="K105" i="9"/>
  <c r="M105" i="9" s="1"/>
  <c r="K26" i="10"/>
  <c r="M26" i="10" s="1"/>
  <c r="K82" i="10"/>
  <c r="M82" i="10" s="1"/>
  <c r="K26" i="13"/>
  <c r="M26" i="13" s="1"/>
  <c r="K53" i="13"/>
  <c r="M53" i="13" s="1"/>
  <c r="S152" i="4"/>
  <c r="K89" i="10"/>
  <c r="M89" i="10" s="1"/>
  <c r="K90" i="8"/>
  <c r="M90" i="8" s="1"/>
  <c r="K88" i="10"/>
  <c r="M88" i="10" s="1"/>
  <c r="S145" i="4"/>
  <c r="S38" i="4"/>
  <c r="S41" i="4"/>
  <c r="K74" i="8"/>
  <c r="M74" i="8" s="1"/>
  <c r="K73" i="14"/>
  <c r="M73" i="14" s="1"/>
  <c r="S186" i="4"/>
  <c r="K99" i="8"/>
  <c r="M99" i="8" s="1"/>
  <c r="K19" i="15"/>
  <c r="M19" i="15" s="1"/>
  <c r="K60" i="13"/>
  <c r="M60" i="13" s="1"/>
  <c r="K17" i="9"/>
  <c r="M17" i="9" s="1"/>
  <c r="K9" i="9"/>
  <c r="M9" i="9" s="1"/>
  <c r="S165" i="4"/>
  <c r="K64" i="9"/>
  <c r="M64" i="9" s="1"/>
  <c r="K48" i="10"/>
  <c r="M48" i="10" s="1"/>
  <c r="K7" i="12"/>
  <c r="M7" i="12" s="1"/>
  <c r="K91" i="11"/>
  <c r="M91" i="11" s="1"/>
  <c r="K101" i="16"/>
  <c r="M101" i="16" s="1"/>
  <c r="K61" i="17"/>
  <c r="M61" i="17" s="1"/>
  <c r="K42" i="16"/>
  <c r="M42" i="16" s="1"/>
  <c r="K62" i="17"/>
  <c r="M62" i="17" s="1"/>
  <c r="K32" i="12"/>
  <c r="M32" i="12" s="1"/>
  <c r="K71" i="11"/>
  <c r="M71" i="11" s="1"/>
  <c r="K18" i="16"/>
  <c r="M18" i="16" s="1"/>
  <c r="K81" i="10"/>
  <c r="M81" i="10" s="1"/>
  <c r="K10" i="12"/>
  <c r="M10" i="12" s="1"/>
  <c r="K68" i="14"/>
  <c r="M68" i="14" s="1"/>
  <c r="K70" i="10"/>
  <c r="M70" i="10" s="1"/>
  <c r="K34" i="13"/>
  <c r="M34" i="13" s="1"/>
  <c r="K71" i="13"/>
  <c r="M71" i="13" s="1"/>
  <c r="K69" i="13"/>
  <c r="M69" i="13" s="1"/>
  <c r="K65" i="17"/>
  <c r="M65" i="17" s="1"/>
  <c r="K49" i="15"/>
  <c r="M49" i="15" s="1"/>
  <c r="K17" i="16"/>
  <c r="M17" i="16" s="1"/>
  <c r="K46" i="13"/>
  <c r="M46" i="13" s="1"/>
  <c r="K78" i="16"/>
  <c r="M78" i="16" s="1"/>
  <c r="K92" i="17"/>
  <c r="M92" i="17" s="1"/>
  <c r="K57" i="12"/>
  <c r="M57" i="12" s="1"/>
  <c r="K98" i="13"/>
  <c r="M98" i="13" s="1"/>
  <c r="K38" i="16"/>
  <c r="M38" i="16" s="1"/>
  <c r="K27" i="11"/>
  <c r="M27" i="11" s="1"/>
  <c r="K86" i="12"/>
  <c r="M86" i="12" s="1"/>
  <c r="K100" i="13"/>
  <c r="M100" i="13" s="1"/>
  <c r="K38" i="14"/>
  <c r="M38" i="14" s="1"/>
  <c r="K97" i="16"/>
  <c r="M97" i="16" s="1"/>
  <c r="K36" i="16"/>
  <c r="M36" i="16" s="1"/>
  <c r="K5" i="8"/>
  <c r="M5" i="8" s="1"/>
  <c r="K54" i="8"/>
  <c r="M54" i="8" s="1"/>
  <c r="K92" i="13"/>
  <c r="M92" i="13" s="1"/>
  <c r="K26" i="11"/>
  <c r="M26" i="11" s="1"/>
  <c r="K65" i="11"/>
  <c r="M65" i="11" s="1"/>
  <c r="K27" i="17"/>
  <c r="M27" i="17" s="1"/>
  <c r="K89" i="17"/>
  <c r="M89" i="17" s="1"/>
  <c r="K61" i="10"/>
  <c r="M61" i="10" s="1"/>
  <c r="K45" i="10"/>
  <c r="M45" i="10" s="1"/>
  <c r="K90" i="14"/>
  <c r="M90" i="14" s="1"/>
  <c r="K58" i="15"/>
  <c r="M58" i="15" s="1"/>
  <c r="K19" i="16"/>
  <c r="M19" i="16" s="1"/>
  <c r="K39" i="17"/>
  <c r="M39" i="17" s="1"/>
  <c r="K78" i="8"/>
  <c r="M78" i="8" s="1"/>
  <c r="K16" i="14"/>
  <c r="M16" i="14" s="1"/>
  <c r="K56" i="11"/>
  <c r="M56" i="11" s="1"/>
  <c r="K87" i="11"/>
  <c r="M87" i="11" s="1"/>
  <c r="K67" i="17"/>
  <c r="M67" i="17" s="1"/>
  <c r="K60" i="16"/>
  <c r="M60" i="16" s="1"/>
  <c r="K28" i="8"/>
  <c r="M28" i="8" s="1"/>
  <c r="K95" i="11"/>
  <c r="M95" i="11" s="1"/>
  <c r="K16" i="10"/>
  <c r="M16" i="10" s="1"/>
  <c r="K95" i="14"/>
  <c r="M95" i="14" s="1"/>
  <c r="K41" i="15"/>
  <c r="M41" i="15" s="1"/>
  <c r="K97" i="12"/>
  <c r="M97" i="12" s="1"/>
  <c r="K5" i="16"/>
  <c r="M5" i="16" s="1"/>
  <c r="K77" i="17"/>
  <c r="M77" i="17" s="1"/>
  <c r="K45" i="11"/>
  <c r="M45" i="11" s="1"/>
  <c r="K24" i="11"/>
  <c r="M24" i="11" s="1"/>
  <c r="K19" i="11"/>
  <c r="M19" i="11" s="1"/>
  <c r="K42" i="15"/>
  <c r="M42" i="15" s="1"/>
  <c r="K40" i="16"/>
  <c r="M40" i="16" s="1"/>
  <c r="K86" i="11"/>
  <c r="M86" i="11" s="1"/>
  <c r="K78" i="17"/>
  <c r="M78" i="17" s="1"/>
  <c r="K75" i="15"/>
  <c r="M75" i="15" s="1"/>
  <c r="K53" i="17"/>
  <c r="M53" i="17" s="1"/>
  <c r="K107" i="11"/>
  <c r="M107" i="11" s="1"/>
  <c r="K48" i="12"/>
  <c r="M48" i="12" s="1"/>
  <c r="K91" i="10"/>
  <c r="M91" i="10" s="1"/>
  <c r="K29" i="12"/>
  <c r="M29" i="12" s="1"/>
  <c r="K74" i="14"/>
  <c r="M74" i="14" s="1"/>
  <c r="K23" i="12"/>
  <c r="M23" i="12" s="1"/>
  <c r="K46" i="12"/>
  <c r="M46" i="12" s="1"/>
  <c r="K30" i="12"/>
  <c r="M30" i="12" s="1"/>
  <c r="K93" i="17"/>
  <c r="M93" i="17" s="1"/>
  <c r="K103" i="17"/>
  <c r="M103" i="17" s="1"/>
  <c r="K34" i="16"/>
  <c r="M34" i="16" s="1"/>
  <c r="K102" i="16"/>
  <c r="M102" i="16" s="1"/>
  <c r="K58" i="17"/>
  <c r="M58" i="17" s="1"/>
  <c r="K9" i="11"/>
  <c r="M9" i="11" s="1"/>
  <c r="K84" i="15"/>
  <c r="M84" i="15" s="1"/>
  <c r="K57" i="16"/>
  <c r="M57" i="16" s="1"/>
  <c r="K70" i="13"/>
  <c r="M70" i="13" s="1"/>
  <c r="K104" i="16"/>
  <c r="M104" i="16" s="1"/>
  <c r="K102" i="17"/>
  <c r="M102" i="17" s="1"/>
  <c r="K71" i="10"/>
  <c r="M71" i="10" s="1"/>
  <c r="K59" i="11"/>
  <c r="M59" i="11" s="1"/>
  <c r="K100" i="12"/>
  <c r="M100" i="12" s="1"/>
  <c r="K108" i="13"/>
  <c r="M108" i="13" s="1"/>
  <c r="K50" i="14"/>
  <c r="M50" i="14" s="1"/>
  <c r="K106" i="16"/>
  <c r="M106" i="16" s="1"/>
  <c r="K46" i="16"/>
  <c r="M46" i="16" s="1"/>
  <c r="K8" i="10"/>
  <c r="M8" i="10" s="1"/>
  <c r="K52" i="11"/>
  <c r="M52" i="11" s="1"/>
  <c r="K66" i="14"/>
  <c r="M66" i="14" s="1"/>
  <c r="K93" i="12"/>
  <c r="M93" i="12" s="1"/>
  <c r="K27" i="14"/>
  <c r="M27" i="14" s="1"/>
  <c r="K76" i="16"/>
  <c r="M76" i="16" s="1"/>
  <c r="K69" i="11"/>
  <c r="M69" i="11" s="1"/>
  <c r="K10" i="13"/>
  <c r="M10" i="13" s="1"/>
  <c r="K29" i="14"/>
  <c r="M29" i="14" s="1"/>
  <c r="K71" i="14"/>
  <c r="M71" i="14" s="1"/>
  <c r="K7" i="17"/>
  <c r="M7" i="17" s="1"/>
  <c r="K70" i="16"/>
  <c r="M70" i="16" s="1"/>
  <c r="K76" i="9"/>
  <c r="M76" i="9" s="1"/>
  <c r="K36" i="10"/>
  <c r="M36" i="10" s="1"/>
  <c r="K23" i="11"/>
  <c r="M23" i="11" s="1"/>
  <c r="K58" i="11"/>
  <c r="M58" i="11" s="1"/>
  <c r="K97" i="11"/>
  <c r="M97" i="11" s="1"/>
  <c r="K16" i="16"/>
  <c r="M16" i="16" s="1"/>
  <c r="K77" i="16"/>
  <c r="M77" i="16" s="1"/>
  <c r="K100" i="17"/>
  <c r="M100" i="17" s="1"/>
  <c r="S81" i="4"/>
  <c r="K79" i="11"/>
  <c r="M79" i="11" s="1"/>
  <c r="K35" i="10"/>
  <c r="M35" i="10" s="1"/>
  <c r="K99" i="11"/>
  <c r="M99" i="11" s="1"/>
  <c r="K6" i="15"/>
  <c r="M6" i="15" s="1"/>
  <c r="K32" i="13"/>
  <c r="M32" i="13" s="1"/>
  <c r="K70" i="14"/>
  <c r="M70" i="14" s="1"/>
  <c r="K10" i="17"/>
  <c r="M10" i="17" s="1"/>
  <c r="K88" i="12"/>
  <c r="M88" i="12" s="1"/>
  <c r="K72" i="15"/>
  <c r="M72" i="15" s="1"/>
  <c r="K89" i="16"/>
  <c r="M89" i="16" s="1"/>
  <c r="K109" i="9"/>
  <c r="M109" i="9" s="1"/>
  <c r="K21" i="11"/>
  <c r="M21" i="11" s="1"/>
  <c r="K55" i="11"/>
  <c r="M55" i="11" s="1"/>
  <c r="K35" i="15"/>
  <c r="M35" i="15" s="1"/>
  <c r="K29" i="16"/>
  <c r="M29" i="16" s="1"/>
  <c r="K96" i="17"/>
  <c r="M96" i="17" s="1"/>
  <c r="K85" i="10"/>
  <c r="M85" i="10" s="1"/>
  <c r="K86" i="9"/>
  <c r="M86" i="9" s="1"/>
  <c r="K44" i="14"/>
  <c r="M44" i="14" s="1"/>
  <c r="K21" i="15"/>
  <c r="M21" i="15" s="1"/>
  <c r="K67" i="12"/>
  <c r="M67" i="12" s="1"/>
  <c r="K81" i="15"/>
  <c r="M81" i="15" s="1"/>
  <c r="K40" i="17"/>
  <c r="M40" i="17" s="1"/>
  <c r="K72" i="11"/>
  <c r="M72" i="11" s="1"/>
  <c r="K63" i="12"/>
  <c r="M63" i="12" s="1"/>
  <c r="K95" i="9"/>
  <c r="M95" i="9" s="1"/>
  <c r="K63" i="14"/>
  <c r="M63" i="14" s="1"/>
  <c r="K101" i="15"/>
  <c r="M101" i="15" s="1"/>
  <c r="K85" i="16"/>
  <c r="M85" i="16" s="1"/>
  <c r="K107" i="9"/>
  <c r="M107" i="9" s="1"/>
  <c r="K82" i="14"/>
  <c r="M82" i="14" s="1"/>
  <c r="K36" i="15"/>
  <c r="M36" i="15" s="1"/>
  <c r="K83" i="12"/>
  <c r="M83" i="12" s="1"/>
  <c r="K4" i="16"/>
  <c r="M4" i="16" s="1"/>
  <c r="K63" i="17"/>
  <c r="M63" i="17" s="1"/>
  <c r="K51" i="9"/>
  <c r="M51" i="9" s="1"/>
  <c r="K105" i="17"/>
  <c r="M105" i="17" s="1"/>
  <c r="K11" i="10"/>
  <c r="M11" i="10" s="1"/>
  <c r="K95" i="12"/>
  <c r="M95" i="12" s="1"/>
  <c r="K18" i="13"/>
  <c r="M18" i="13" s="1"/>
  <c r="K104" i="12"/>
  <c r="M104" i="12" s="1"/>
  <c r="K6" i="17"/>
  <c r="M6" i="17" s="1"/>
  <c r="S98" i="4"/>
  <c r="K33" i="9"/>
  <c r="M33" i="9" s="1"/>
  <c r="K55" i="12"/>
  <c r="M55" i="12" s="1"/>
  <c r="K4" i="13"/>
  <c r="M4" i="13" s="1"/>
  <c r="K29" i="10"/>
  <c r="M29" i="10" s="1"/>
  <c r="K107" i="14"/>
  <c r="M107" i="14" s="1"/>
  <c r="K44" i="16"/>
  <c r="M44" i="16" s="1"/>
  <c r="K9" i="17"/>
  <c r="M9" i="17" s="1"/>
  <c r="K15" i="13"/>
  <c r="M15" i="13" s="1"/>
  <c r="S74" i="4"/>
  <c r="K14" i="9"/>
  <c r="M14" i="9" s="1"/>
  <c r="K64" i="12"/>
  <c r="M64" i="12" s="1"/>
  <c r="K92" i="11"/>
  <c r="M92" i="11" s="1"/>
  <c r="K44" i="13"/>
  <c r="M44" i="13" s="1"/>
  <c r="K89" i="15"/>
  <c r="M89" i="15" s="1"/>
  <c r="K103" i="14"/>
  <c r="M103" i="14" s="1"/>
  <c r="K81" i="16"/>
  <c r="M81" i="16" s="1"/>
  <c r="K7" i="9"/>
  <c r="M7" i="9" s="1"/>
  <c r="K10" i="9"/>
  <c r="M10" i="9" s="1"/>
  <c r="K77" i="14"/>
  <c r="M77" i="14" s="1"/>
  <c r="K102" i="11"/>
  <c r="M102" i="11" s="1"/>
  <c r="K56" i="12"/>
  <c r="M56" i="12" s="1"/>
  <c r="K40" i="15"/>
  <c r="M40" i="15" s="1"/>
  <c r="K47" i="16"/>
  <c r="M47" i="16" s="1"/>
  <c r="K6" i="13"/>
  <c r="M6" i="13" s="1"/>
  <c r="K79" i="16"/>
  <c r="M79" i="16" s="1"/>
  <c r="K90" i="13"/>
  <c r="M90" i="13" s="1"/>
  <c r="K44" i="15"/>
  <c r="M44" i="15" s="1"/>
  <c r="K59" i="17"/>
  <c r="M59" i="17" s="1"/>
  <c r="K55" i="14"/>
  <c r="M55" i="14" s="1"/>
  <c r="K4" i="15"/>
  <c r="M4" i="15" s="1"/>
  <c r="K66" i="15"/>
  <c r="M66" i="15" s="1"/>
  <c r="K4" i="17"/>
  <c r="M4" i="17" s="1"/>
  <c r="K86" i="13"/>
  <c r="M86" i="13" s="1"/>
  <c r="K28" i="14"/>
  <c r="M28" i="14" s="1"/>
  <c r="K83" i="16"/>
  <c r="M83" i="16" s="1"/>
  <c r="K22" i="16"/>
  <c r="M22" i="16" s="1"/>
  <c r="K94" i="15"/>
  <c r="M94" i="15" s="1"/>
  <c r="K49" i="12"/>
  <c r="M49" i="12" s="1"/>
  <c r="K70" i="12"/>
  <c r="M70" i="12" s="1"/>
  <c r="K54" i="12"/>
  <c r="M54" i="12" s="1"/>
  <c r="K64" i="16"/>
  <c r="M64" i="16" s="1"/>
  <c r="K60" i="8"/>
  <c r="M60" i="8" s="1"/>
  <c r="K18" i="9"/>
  <c r="M18" i="9" s="1"/>
  <c r="K34" i="11"/>
  <c r="M34" i="11" s="1"/>
  <c r="K93" i="15"/>
  <c r="M93" i="15" s="1"/>
  <c r="K52" i="10"/>
  <c r="M52" i="10" s="1"/>
  <c r="K84" i="13"/>
  <c r="M84" i="13" s="1"/>
  <c r="K16" i="17"/>
  <c r="M16" i="17" s="1"/>
  <c r="K104" i="17"/>
  <c r="M104" i="17" s="1"/>
  <c r="K66" i="8"/>
  <c r="M66" i="8" s="1"/>
  <c r="K104" i="13"/>
  <c r="M104" i="13" s="1"/>
  <c r="K44" i="11"/>
  <c r="M44" i="11" s="1"/>
  <c r="K77" i="11"/>
  <c r="M77" i="11" s="1"/>
  <c r="K50" i="17"/>
  <c r="M50" i="17" s="1"/>
  <c r="K109" i="17"/>
  <c r="M109" i="17" s="1"/>
  <c r="K48" i="11"/>
  <c r="M48" i="11" s="1"/>
  <c r="K93" i="16"/>
  <c r="M93" i="16" s="1"/>
  <c r="K72" i="10"/>
  <c r="M72" i="10" s="1"/>
  <c r="K8" i="14"/>
  <c r="M8" i="14" s="1"/>
  <c r="K35" i="17"/>
  <c r="M35" i="17" s="1"/>
  <c r="K69" i="17"/>
  <c r="M69" i="17" s="1"/>
  <c r="K88" i="9"/>
  <c r="M88" i="9" s="1"/>
  <c r="K11" i="9"/>
  <c r="M11" i="9" s="1"/>
  <c r="K28" i="12"/>
  <c r="M28" i="12" s="1"/>
  <c r="K106" i="13"/>
  <c r="M106" i="13" s="1"/>
  <c r="K34" i="14"/>
  <c r="M34" i="14" s="1"/>
  <c r="K60" i="14"/>
  <c r="M60" i="14" s="1"/>
  <c r="K39" i="16"/>
  <c r="M39" i="16" s="1"/>
  <c r="K62" i="8"/>
  <c r="M62" i="8" s="1"/>
  <c r="K102" i="8"/>
  <c r="M102" i="8" s="1"/>
  <c r="K45" i="14"/>
  <c r="M45" i="14" s="1"/>
  <c r="K74" i="11"/>
  <c r="M74" i="11" s="1"/>
  <c r="K11" i="12"/>
  <c r="M11" i="12" s="1"/>
  <c r="K94" i="17"/>
  <c r="M94" i="17" s="1"/>
  <c r="K90" i="16"/>
  <c r="M90" i="16" s="1"/>
  <c r="K44" i="12"/>
  <c r="M44" i="12" s="1"/>
  <c r="K109" i="13"/>
  <c r="M109" i="13" s="1"/>
  <c r="K65" i="13"/>
  <c r="M65" i="13" s="1"/>
  <c r="K17" i="8"/>
  <c r="M17" i="8" s="1"/>
  <c r="K54" i="13"/>
  <c r="M54" i="13" s="1"/>
  <c r="K48" i="13"/>
  <c r="M48" i="13" s="1"/>
  <c r="K83" i="14"/>
  <c r="M83" i="14" s="1"/>
  <c r="K29" i="17"/>
  <c r="M29" i="17" s="1"/>
  <c r="K108" i="11"/>
  <c r="M108" i="11" s="1"/>
  <c r="K90" i="17"/>
  <c r="M90" i="17" s="1"/>
  <c r="K61" i="8"/>
  <c r="M61" i="8" s="1"/>
  <c r="K84" i="10"/>
  <c r="M84" i="10" s="1"/>
  <c r="K56" i="17"/>
  <c r="M56" i="17" s="1"/>
  <c r="K50" i="13"/>
  <c r="M50" i="13" s="1"/>
  <c r="K99" i="13"/>
  <c r="M99" i="13" s="1"/>
  <c r="K55" i="16"/>
  <c r="M55" i="16" s="1"/>
  <c r="K97" i="17"/>
  <c r="M97" i="17" s="1"/>
  <c r="K42" i="13"/>
  <c r="M42" i="13" s="1"/>
  <c r="K77" i="10"/>
  <c r="M77" i="10" s="1"/>
  <c r="K83" i="15"/>
  <c r="M83" i="15" s="1"/>
  <c r="K88" i="16"/>
  <c r="M88" i="16" s="1"/>
  <c r="K37" i="17"/>
  <c r="M37" i="17" s="1"/>
  <c r="K60" i="12"/>
  <c r="M60" i="12" s="1"/>
  <c r="K4" i="11"/>
  <c r="M4" i="11" s="1"/>
  <c r="K41" i="12"/>
  <c r="M41" i="12" s="1"/>
  <c r="K88" i="14"/>
  <c r="M88" i="14" s="1"/>
  <c r="K10" i="15"/>
  <c r="M10" i="15" s="1"/>
  <c r="K95" i="15"/>
  <c r="M95" i="15" s="1"/>
  <c r="K51" i="15"/>
  <c r="M51" i="15" s="1"/>
  <c r="K74" i="17"/>
  <c r="M74" i="17" s="1"/>
  <c r="K16" i="11"/>
  <c r="M16" i="11" s="1"/>
  <c r="K64" i="13"/>
  <c r="M64" i="13" s="1"/>
  <c r="K103" i="13"/>
  <c r="M103" i="13" s="1"/>
  <c r="K107" i="13"/>
  <c r="M107" i="13" s="1"/>
  <c r="K80" i="15"/>
  <c r="M80" i="15" s="1"/>
  <c r="K76" i="8"/>
  <c r="M76" i="8" s="1"/>
  <c r="K9" i="10"/>
  <c r="M9" i="10" s="1"/>
  <c r="K34" i="10"/>
  <c r="M34" i="10" s="1"/>
  <c r="K22" i="11"/>
  <c r="M22" i="11" s="1"/>
  <c r="K67" i="11"/>
  <c r="M67" i="11" s="1"/>
  <c r="K45" i="15"/>
  <c r="M45" i="15" s="1"/>
  <c r="K41" i="16"/>
  <c r="M41" i="16" s="1"/>
  <c r="K106" i="17"/>
  <c r="M106" i="17" s="1"/>
  <c r="K21" i="10"/>
  <c r="M21" i="10" s="1"/>
  <c r="K55" i="15"/>
  <c r="M55" i="15" s="1"/>
  <c r="K89" i="12"/>
  <c r="M89" i="12" s="1"/>
  <c r="K12" i="13"/>
  <c r="M12" i="13" s="1"/>
  <c r="K106" i="15"/>
  <c r="M106" i="15" s="1"/>
  <c r="K108" i="16"/>
  <c r="M108" i="16" s="1"/>
  <c r="K46" i="10"/>
  <c r="M46" i="10" s="1"/>
  <c r="K46" i="11"/>
  <c r="M46" i="11" s="1"/>
  <c r="K83" i="11"/>
  <c r="M83" i="11" s="1"/>
  <c r="K98" i="15"/>
  <c r="M98" i="15" s="1"/>
  <c r="K65" i="16"/>
  <c r="M65" i="16" s="1"/>
  <c r="K86" i="17"/>
  <c r="M86" i="17" s="1"/>
  <c r="K54" i="9"/>
  <c r="M54" i="9" s="1"/>
  <c r="K18" i="11"/>
  <c r="M18" i="11" s="1"/>
  <c r="K100" i="10"/>
  <c r="M100" i="10" s="1"/>
  <c r="K30" i="15"/>
  <c r="M30" i="15" s="1"/>
  <c r="K31" i="16"/>
  <c r="M31" i="16" s="1"/>
  <c r="K76" i="11"/>
  <c r="M76" i="11" s="1"/>
  <c r="K75" i="17"/>
  <c r="M75" i="17" s="1"/>
  <c r="S208" i="4"/>
  <c r="K13" i="12"/>
  <c r="M13" i="12" s="1"/>
  <c r="K47" i="10"/>
  <c r="M47" i="10" s="1"/>
  <c r="K9" i="16"/>
  <c r="M9" i="16" s="1"/>
  <c r="K13" i="13"/>
  <c r="M13" i="13" s="1"/>
  <c r="K59" i="13"/>
  <c r="M59" i="13" s="1"/>
  <c r="K25" i="16"/>
  <c r="M25" i="16" s="1"/>
  <c r="K44" i="17"/>
  <c r="M44" i="17" s="1"/>
  <c r="K109" i="14"/>
  <c r="M109" i="14" s="1"/>
  <c r="S110" i="4"/>
  <c r="S136" i="4"/>
  <c r="K51" i="8"/>
  <c r="M51" i="8" s="1"/>
  <c r="K38" i="12"/>
  <c r="M38" i="12" s="1"/>
  <c r="S78" i="4"/>
  <c r="K65" i="8"/>
  <c r="M65" i="8" s="1"/>
  <c r="K21" i="14"/>
  <c r="M21" i="14" s="1"/>
  <c r="K63" i="10"/>
  <c r="M63" i="10" s="1"/>
  <c r="K85" i="14"/>
  <c r="M85" i="14" s="1"/>
  <c r="S132" i="4"/>
  <c r="K13" i="8"/>
  <c r="M13" i="8" s="1"/>
  <c r="K9" i="13"/>
  <c r="M9" i="13" s="1"/>
  <c r="K4" i="8"/>
  <c r="M4" i="8" s="1"/>
  <c r="K101" i="13"/>
  <c r="M101" i="13" s="1"/>
  <c r="K9" i="15"/>
  <c r="M9" i="15" s="1"/>
  <c r="K56" i="16"/>
  <c r="M56" i="16" s="1"/>
  <c r="K19" i="17"/>
  <c r="M19" i="17" s="1"/>
  <c r="K56" i="13"/>
  <c r="M56" i="13" s="1"/>
  <c r="K99" i="15"/>
  <c r="M99" i="15" s="1"/>
  <c r="K32" i="9"/>
  <c r="M32" i="9" s="1"/>
  <c r="K26" i="9"/>
  <c r="M26" i="9" s="1"/>
  <c r="K77" i="13"/>
  <c r="M77" i="13" s="1"/>
  <c r="K89" i="14"/>
  <c r="M89" i="14" s="1"/>
  <c r="K57" i="15"/>
  <c r="M57" i="15" s="1"/>
  <c r="K14" i="15"/>
  <c r="M14" i="15" s="1"/>
  <c r="K23" i="17"/>
  <c r="M23" i="17" s="1"/>
  <c r="K7" i="15"/>
  <c r="M7" i="15" s="1"/>
  <c r="K12" i="12"/>
  <c r="M12" i="12" s="1"/>
  <c r="K68" i="12"/>
  <c r="M68" i="12" s="1"/>
  <c r="K52" i="15"/>
  <c r="M52" i="15" s="1"/>
  <c r="K59" i="16"/>
  <c r="M59" i="16" s="1"/>
  <c r="K15" i="14"/>
  <c r="M15" i="14" s="1"/>
  <c r="K45" i="12"/>
  <c r="M45" i="12" s="1"/>
  <c r="K88" i="13"/>
  <c r="M88" i="13" s="1"/>
  <c r="K28" i="16"/>
  <c r="M28" i="16" s="1"/>
  <c r="K23" i="16"/>
  <c r="M23" i="16" s="1"/>
  <c r="K58" i="13"/>
  <c r="M58" i="13" s="1"/>
  <c r="K92" i="16"/>
  <c r="M92" i="16" s="1"/>
  <c r="K99" i="17"/>
  <c r="M99" i="17" s="1"/>
  <c r="K24" i="10"/>
  <c r="M24" i="10" s="1"/>
  <c r="K81" i="14"/>
  <c r="M81" i="14" s="1"/>
  <c r="K13" i="15"/>
  <c r="M13" i="15" s="1"/>
  <c r="K88" i="15"/>
  <c r="M88" i="15" s="1"/>
  <c r="K15" i="17"/>
  <c r="M15" i="17" s="1"/>
  <c r="K108" i="8"/>
  <c r="M108" i="8" s="1"/>
  <c r="K90" i="11"/>
  <c r="M90" i="11" s="1"/>
  <c r="K72" i="9"/>
  <c r="M72" i="9" s="1"/>
  <c r="K61" i="12"/>
  <c r="M61" i="12" s="1"/>
  <c r="K84" i="12"/>
  <c r="M84" i="12" s="1"/>
  <c r="K66" i="12"/>
  <c r="M66" i="12" s="1"/>
  <c r="K72" i="16"/>
  <c r="M72" i="16" s="1"/>
  <c r="K86" i="10"/>
  <c r="M86" i="10" s="1"/>
  <c r="K64" i="11"/>
  <c r="M64" i="11" s="1"/>
  <c r="K108" i="12"/>
  <c r="M108" i="12" s="1"/>
  <c r="K10" i="14"/>
  <c r="M10" i="14" s="1"/>
  <c r="K62" i="14"/>
  <c r="M62" i="14" s="1"/>
  <c r="K109" i="16"/>
  <c r="M109" i="16" s="1"/>
  <c r="K58" i="16"/>
  <c r="M58" i="16" s="1"/>
  <c r="K7" i="10"/>
  <c r="M7" i="10" s="1"/>
  <c r="K85" i="12"/>
  <c r="M85" i="12" s="1"/>
  <c r="K8" i="13"/>
  <c r="M8" i="13" s="1"/>
  <c r="K92" i="12"/>
  <c r="M92" i="12" s="1"/>
  <c r="K96" i="16"/>
  <c r="M96" i="16" s="1"/>
  <c r="K34" i="9"/>
  <c r="M34" i="9" s="1"/>
  <c r="K25" i="8"/>
  <c r="M25" i="8" s="1"/>
  <c r="K80" i="9"/>
  <c r="M80" i="9" s="1"/>
  <c r="K51" i="13"/>
  <c r="M51" i="13" s="1"/>
  <c r="K66" i="11"/>
  <c r="M66" i="11" s="1"/>
  <c r="K11" i="13"/>
  <c r="M11" i="13" s="1"/>
  <c r="K59" i="15"/>
  <c r="M59" i="15" s="1"/>
  <c r="K38" i="8"/>
  <c r="M38" i="8" s="1"/>
  <c r="K11" i="8"/>
  <c r="M11" i="8" s="1"/>
  <c r="K91" i="8"/>
  <c r="M91" i="8" s="1"/>
  <c r="K20" i="12"/>
  <c r="M20" i="12" s="1"/>
  <c r="K41" i="13"/>
  <c r="M41" i="13" s="1"/>
  <c r="K53" i="14"/>
  <c r="M53" i="14" s="1"/>
  <c r="K84" i="14"/>
  <c r="M84" i="14" s="1"/>
  <c r="K22" i="17"/>
  <c r="M22" i="17" s="1"/>
  <c r="K94" i="16"/>
  <c r="M94" i="16" s="1"/>
  <c r="S82" i="4"/>
  <c r="K104" i="10"/>
  <c r="M104" i="10" s="1"/>
  <c r="S58" i="4"/>
  <c r="K105" i="11"/>
  <c r="M105" i="11" s="1"/>
  <c r="S66" i="4"/>
  <c r="S89" i="4"/>
  <c r="K88" i="8"/>
  <c r="M88" i="8" s="1"/>
  <c r="K20" i="14"/>
  <c r="M20" i="14" s="1"/>
  <c r="K98" i="8"/>
  <c r="M98" i="8" s="1"/>
  <c r="K14" i="11"/>
  <c r="M14" i="11" s="1"/>
  <c r="S199" i="4"/>
  <c r="K28" i="9"/>
  <c r="M28" i="9" s="1"/>
  <c r="K17" i="11"/>
  <c r="M17" i="11" s="1"/>
  <c r="K78" i="15"/>
  <c r="M78" i="15" s="1"/>
  <c r="K89" i="13"/>
  <c r="M89" i="13" s="1"/>
  <c r="S156" i="4"/>
  <c r="K101" i="9"/>
  <c r="M101" i="9" s="1"/>
  <c r="K18" i="15"/>
  <c r="M18" i="15" s="1"/>
  <c r="S88" i="4"/>
  <c r="K48" i="8"/>
  <c r="M48" i="8" s="1"/>
  <c r="K19" i="13"/>
  <c r="M19" i="13" s="1"/>
  <c r="K26" i="12"/>
  <c r="M26" i="12" s="1"/>
  <c r="K24" i="15"/>
  <c r="M24" i="15" s="1"/>
  <c r="K14" i="17"/>
  <c r="M14" i="17" s="1"/>
  <c r="K108" i="14"/>
  <c r="M108" i="14" s="1"/>
  <c r="K38" i="17"/>
  <c r="M38" i="17" s="1"/>
  <c r="K6" i="10"/>
  <c r="M6" i="10" s="1"/>
  <c r="K66" i="10"/>
  <c r="M66" i="10" s="1"/>
  <c r="K23" i="15"/>
  <c r="M23" i="15" s="1"/>
  <c r="K109" i="15"/>
  <c r="M109" i="15" s="1"/>
  <c r="K22" i="13"/>
  <c r="M22" i="13" s="1"/>
  <c r="K54" i="16"/>
  <c r="M54" i="16" s="1"/>
  <c r="K70" i="17"/>
  <c r="M70" i="17" s="1"/>
  <c r="K50" i="12"/>
  <c r="M50" i="12" s="1"/>
  <c r="K62" i="13"/>
  <c r="M62" i="13" s="1"/>
  <c r="K105" i="13"/>
  <c r="M105" i="13" s="1"/>
  <c r="K67" i="16"/>
  <c r="M67" i="16" s="1"/>
  <c r="K107" i="17"/>
  <c r="M107" i="17" s="1"/>
  <c r="K43" i="17"/>
  <c r="M43" i="17" s="1"/>
  <c r="K14" i="14"/>
  <c r="M14" i="14" s="1"/>
  <c r="K79" i="15"/>
  <c r="M79" i="15" s="1"/>
  <c r="K37" i="16"/>
  <c r="M37" i="16" s="1"/>
  <c r="K43" i="11"/>
  <c r="M43" i="11" s="1"/>
  <c r="K20" i="15"/>
  <c r="M20" i="15" s="1"/>
  <c r="K10" i="16"/>
  <c r="M10" i="16" s="1"/>
  <c r="K82" i="17"/>
  <c r="M82" i="17" s="1"/>
  <c r="K36" i="14"/>
  <c r="M36" i="14" s="1"/>
  <c r="K90" i="12"/>
  <c r="M90" i="12" s="1"/>
  <c r="K15" i="11"/>
  <c r="M15" i="11" s="1"/>
  <c r="K65" i="12"/>
  <c r="M65" i="12" s="1"/>
  <c r="K102" i="14"/>
  <c r="M102" i="14" s="1"/>
  <c r="K38" i="9"/>
  <c r="M38" i="9" s="1"/>
  <c r="K107" i="8"/>
  <c r="M107" i="8" s="1"/>
  <c r="K33" i="11"/>
  <c r="M33" i="11" s="1"/>
  <c r="K72" i="13"/>
  <c r="M72" i="13" s="1"/>
  <c r="K9" i="14"/>
  <c r="M9" i="14" s="1"/>
  <c r="K17" i="14"/>
  <c r="M17" i="14" s="1"/>
  <c r="K90" i="15"/>
  <c r="M90" i="15" s="1"/>
  <c r="K41" i="11"/>
  <c r="M41" i="11" s="1"/>
  <c r="K99" i="9"/>
  <c r="M99" i="9" s="1"/>
  <c r="K56" i="14"/>
  <c r="M56" i="14" s="1"/>
  <c r="K22" i="15"/>
  <c r="M22" i="15" s="1"/>
  <c r="K73" i="12"/>
  <c r="M73" i="12" s="1"/>
  <c r="K91" i="15"/>
  <c r="M91" i="15" s="1"/>
  <c r="K52" i="17"/>
  <c r="M52" i="17" s="1"/>
  <c r="K25" i="12"/>
  <c r="M25" i="12" s="1"/>
  <c r="K96" i="13"/>
  <c r="M96" i="13" s="1"/>
  <c r="K24" i="14"/>
  <c r="M24" i="14" s="1"/>
  <c r="K48" i="14"/>
  <c r="M48" i="14" s="1"/>
  <c r="K33" i="16"/>
  <c r="M33" i="16" s="1"/>
  <c r="K28" i="11"/>
  <c r="M28" i="11" s="1"/>
  <c r="K22" i="10"/>
  <c r="M22" i="10" s="1"/>
  <c r="K96" i="11"/>
  <c r="M96" i="11" s="1"/>
  <c r="K76" i="14"/>
  <c r="M76" i="14" s="1"/>
  <c r="K17" i="13"/>
  <c r="M17" i="13" s="1"/>
  <c r="K59" i="14"/>
  <c r="M59" i="14" s="1"/>
  <c r="K100" i="16"/>
  <c r="M100" i="16" s="1"/>
  <c r="K4" i="10"/>
  <c r="M4" i="10" s="1"/>
  <c r="K83" i="13"/>
  <c r="M83" i="13" s="1"/>
  <c r="K25" i="10"/>
  <c r="M25" i="10" s="1"/>
  <c r="K99" i="14"/>
  <c r="M99" i="14" s="1"/>
  <c r="K53" i="15"/>
  <c r="M53" i="15" s="1"/>
  <c r="K109" i="12"/>
  <c r="M109" i="12" s="1"/>
  <c r="K15" i="16"/>
  <c r="M15" i="16" s="1"/>
  <c r="K84" i="17"/>
  <c r="M84" i="17" s="1"/>
  <c r="K11" i="14"/>
  <c r="M11" i="14" s="1"/>
  <c r="S162" i="4"/>
  <c r="K73" i="15"/>
  <c r="M73" i="15" s="1"/>
  <c r="K41" i="10"/>
  <c r="M41" i="10" s="1"/>
  <c r="K40" i="8"/>
  <c r="M40" i="8" s="1"/>
  <c r="K59" i="10"/>
  <c r="M59" i="10" s="1"/>
  <c r="S205" i="4"/>
  <c r="K59" i="8"/>
  <c r="M59" i="8" s="1"/>
  <c r="K74" i="10"/>
  <c r="M74" i="10" s="1"/>
  <c r="K98" i="11"/>
  <c r="M98" i="11" s="1"/>
  <c r="K40" i="11"/>
  <c r="M40" i="11" s="1"/>
  <c r="K68" i="15"/>
  <c r="M68" i="15" s="1"/>
  <c r="S196" i="4"/>
  <c r="K51" i="11"/>
  <c r="M51" i="11" s="1"/>
  <c r="K26" i="15"/>
  <c r="M26" i="15" s="1"/>
  <c r="K75" i="13"/>
  <c r="M75" i="13" s="1"/>
  <c r="K35" i="16"/>
  <c r="M35" i="16" s="1"/>
  <c r="K57" i="17"/>
  <c r="M57" i="17" s="1"/>
  <c r="K68" i="16"/>
  <c r="M68" i="16" s="1"/>
  <c r="K24" i="17"/>
  <c r="M24" i="17" s="1"/>
  <c r="K23" i="10"/>
  <c r="M23" i="10" s="1"/>
  <c r="K87" i="14"/>
  <c r="M87" i="14" s="1"/>
  <c r="K83" i="10"/>
  <c r="M83" i="10" s="1"/>
  <c r="K20" i="11"/>
  <c r="M20" i="11" s="1"/>
  <c r="K61" i="14"/>
  <c r="M61" i="14" s="1"/>
  <c r="K86" i="15"/>
  <c r="M86" i="15" s="1"/>
  <c r="K98" i="17"/>
  <c r="M98" i="17" s="1"/>
  <c r="K87" i="13"/>
  <c r="M87" i="13" s="1"/>
  <c r="K94" i="14"/>
  <c r="M94" i="14" s="1"/>
  <c r="K67" i="15"/>
  <c r="M67" i="15" s="1"/>
  <c r="K33" i="15"/>
  <c r="M33" i="15" s="1"/>
  <c r="K32" i="17"/>
  <c r="M32" i="17" s="1"/>
  <c r="K87" i="10"/>
  <c r="M87" i="10" s="1"/>
  <c r="K103" i="15"/>
  <c r="M103" i="15" s="1"/>
  <c r="K98" i="16"/>
  <c r="M98" i="16" s="1"/>
  <c r="K45" i="17"/>
  <c r="M45" i="17" s="1"/>
  <c r="K58" i="12"/>
  <c r="M58" i="12" s="1"/>
  <c r="K42" i="12"/>
  <c r="M42" i="12" s="1"/>
  <c r="K52" i="16"/>
  <c r="M52" i="16" s="1"/>
  <c r="K69" i="9"/>
  <c r="M69" i="9" s="1"/>
  <c r="K93" i="10"/>
  <c r="M93" i="10" s="1"/>
  <c r="K42" i="14"/>
  <c r="M42" i="14" s="1"/>
  <c r="K69" i="12"/>
  <c r="M69" i="12" s="1"/>
  <c r="K102" i="13"/>
  <c r="M102" i="13" s="1"/>
  <c r="K50" i="16"/>
  <c r="M50" i="16" s="1"/>
  <c r="K94" i="8"/>
  <c r="M94" i="8" s="1"/>
  <c r="K49" i="10"/>
  <c r="M49" i="10" s="1"/>
  <c r="K37" i="10"/>
  <c r="M37" i="10" s="1"/>
  <c r="K86" i="14"/>
  <c r="M86" i="14" s="1"/>
  <c r="K25" i="15"/>
  <c r="M25" i="15" s="1"/>
  <c r="K7" i="16"/>
  <c r="M7" i="16" s="1"/>
  <c r="K30" i="17"/>
  <c r="M30" i="17" s="1"/>
  <c r="K35" i="9"/>
  <c r="M35" i="9" s="1"/>
  <c r="K37" i="11"/>
  <c r="M37" i="11" s="1"/>
  <c r="K32" i="16"/>
  <c r="M32" i="16" s="1"/>
  <c r="K64" i="10"/>
  <c r="M64" i="10" s="1"/>
  <c r="K94" i="13"/>
  <c r="M94" i="13" s="1"/>
  <c r="K31" i="17"/>
  <c r="M31" i="17" s="1"/>
  <c r="K49" i="17"/>
  <c r="M49" i="17" s="1"/>
  <c r="K76" i="10"/>
  <c r="M76" i="10" s="1"/>
  <c r="K106" i="14"/>
  <c r="M106" i="14" s="1"/>
  <c r="K92" i="15"/>
  <c r="M92" i="15" s="1"/>
  <c r="K62" i="11"/>
  <c r="M62" i="11" s="1"/>
  <c r="K46" i="17"/>
  <c r="M46" i="17" s="1"/>
  <c r="K30" i="9"/>
  <c r="M30" i="9" s="1"/>
  <c r="K89" i="11"/>
  <c r="M89" i="11" s="1"/>
  <c r="K91" i="12"/>
  <c r="M91" i="12" s="1"/>
  <c r="K10" i="10"/>
  <c r="M10" i="10" s="1"/>
  <c r="K101" i="14"/>
  <c r="M101" i="14" s="1"/>
  <c r="K26" i="16"/>
  <c r="M26" i="16" s="1"/>
  <c r="K103" i="16"/>
  <c r="M103" i="16" s="1"/>
  <c r="K84" i="9"/>
  <c r="M84" i="9" s="1"/>
  <c r="K65" i="9"/>
  <c r="M65" i="9" s="1"/>
  <c r="K96" i="12"/>
  <c r="M96" i="12" s="1"/>
  <c r="K55" i="10"/>
  <c r="M55" i="10" s="1"/>
  <c r="K96" i="10"/>
  <c r="M96" i="10" s="1"/>
  <c r="K23" i="14"/>
  <c r="M23" i="14" s="1"/>
  <c r="K66" i="17"/>
  <c r="M66" i="17" s="1"/>
  <c r="K60" i="17"/>
  <c r="M60" i="17" s="1"/>
  <c r="K60" i="15"/>
  <c r="M60" i="15" s="1"/>
  <c r="K31" i="11"/>
  <c r="M31" i="11" s="1"/>
  <c r="K39" i="12"/>
  <c r="M39" i="12" s="1"/>
  <c r="K71" i="9"/>
  <c r="M71" i="9" s="1"/>
  <c r="K39" i="14"/>
  <c r="M39" i="14" s="1"/>
  <c r="K77" i="15"/>
  <c r="M77" i="15" s="1"/>
  <c r="K61" i="16"/>
  <c r="M61" i="16" s="1"/>
  <c r="K81" i="8"/>
  <c r="M81" i="8" s="1"/>
  <c r="K61" i="15"/>
  <c r="M61" i="15" s="1"/>
  <c r="K58" i="14"/>
  <c r="M58" i="14" s="1"/>
  <c r="K14" i="13"/>
  <c r="M14" i="13" s="1"/>
  <c r="K30" i="11"/>
  <c r="M30" i="11" s="1"/>
  <c r="K77" i="12"/>
  <c r="M77" i="12" s="1"/>
  <c r="K12" i="15"/>
  <c r="M12" i="15" s="1"/>
  <c r="K13" i="10"/>
  <c r="M13" i="10" s="1"/>
  <c r="K39" i="10"/>
  <c r="M39" i="10" s="1"/>
  <c r="K36" i="11"/>
  <c r="M36" i="11" s="1"/>
  <c r="K73" i="11"/>
  <c r="M73" i="11" s="1"/>
  <c r="K74" i="15"/>
  <c r="M74" i="15" s="1"/>
  <c r="K53" i="16"/>
  <c r="M53" i="16" s="1"/>
  <c r="K76" i="17"/>
  <c r="M76" i="17" s="1"/>
  <c r="K24" i="16"/>
  <c r="M24" i="16" s="1"/>
  <c r="K39" i="13"/>
  <c r="M39" i="13" s="1"/>
  <c r="K54" i="11"/>
  <c r="M54" i="11" s="1"/>
  <c r="K101" i="12"/>
  <c r="M101" i="12" s="1"/>
  <c r="K47" i="15"/>
  <c r="M47" i="15" s="1"/>
  <c r="K56" i="8"/>
  <c r="M56" i="8" s="1"/>
  <c r="K92" i="8"/>
  <c r="M92" i="8" s="1"/>
  <c r="K31" i="14"/>
  <c r="M31" i="14" s="1"/>
  <c r="K68" i="11"/>
  <c r="M68" i="11" s="1"/>
  <c r="K101" i="11"/>
  <c r="M101" i="11" s="1"/>
  <c r="K79" i="17"/>
  <c r="M79" i="17" s="1"/>
  <c r="K80" i="16"/>
  <c r="M80" i="16" s="1"/>
  <c r="K100" i="9"/>
  <c r="M100" i="9" s="1"/>
  <c r="K50" i="10"/>
  <c r="M50" i="10" s="1"/>
  <c r="K63" i="11"/>
  <c r="M63" i="11" s="1"/>
  <c r="K70" i="11"/>
  <c r="M70" i="11" s="1"/>
  <c r="K109" i="11"/>
  <c r="M109" i="11" s="1"/>
  <c r="K81" i="11"/>
  <c r="M81" i="11" s="1"/>
  <c r="K87" i="16"/>
  <c r="M87" i="16" s="1"/>
  <c r="K108" i="17"/>
  <c r="M108" i="17" s="1"/>
  <c r="K78" i="14"/>
  <c r="M78" i="14" s="1"/>
  <c r="S211" i="4"/>
  <c r="K41" i="8"/>
  <c r="M41" i="8" s="1"/>
  <c r="S80" i="4"/>
  <c r="S124" i="4"/>
  <c r="K46" i="8"/>
  <c r="M46" i="8" s="1"/>
  <c r="K93" i="8"/>
  <c r="M93" i="8" s="1"/>
  <c r="S109" i="4"/>
  <c r="K99" i="10"/>
  <c r="M99" i="10" s="1"/>
  <c r="K38" i="10"/>
  <c r="M38" i="10" s="1"/>
  <c r="S120" i="4"/>
  <c r="K57" i="11"/>
  <c r="M57" i="11" s="1"/>
  <c r="K80" i="10"/>
  <c r="M80" i="10" s="1"/>
  <c r="K80" i="12"/>
  <c r="M80" i="12" s="1"/>
  <c r="K52" i="8"/>
  <c r="M52" i="8" s="1"/>
  <c r="K92" i="10"/>
  <c r="M92" i="10" s="1"/>
  <c r="S113" i="4"/>
  <c r="K69" i="8"/>
  <c r="M69" i="8" s="1"/>
  <c r="K21" i="13"/>
  <c r="M21" i="13" s="1"/>
  <c r="K7" i="13"/>
  <c r="M7" i="13" s="1"/>
  <c r="K30" i="16"/>
  <c r="M30" i="16" s="1"/>
  <c r="K51" i="17"/>
  <c r="M51" i="17" s="1"/>
  <c r="K43" i="16"/>
  <c r="M43" i="16" s="1"/>
  <c r="K83" i="17"/>
  <c r="M83" i="17" s="1"/>
  <c r="K57" i="8"/>
  <c r="M57" i="8" s="1"/>
  <c r="K58" i="10"/>
  <c r="M58" i="10" s="1"/>
  <c r="K24" i="13"/>
  <c r="M24" i="13" s="1"/>
  <c r="K61" i="13"/>
  <c r="M61" i="13" s="1"/>
  <c r="K57" i="13"/>
  <c r="M57" i="13" s="1"/>
  <c r="K54" i="17"/>
  <c r="M54" i="17" s="1"/>
  <c r="K27" i="16"/>
  <c r="M27" i="16" s="1"/>
  <c r="K97" i="10"/>
  <c r="M97" i="10" s="1"/>
  <c r="K25" i="11"/>
  <c r="M25" i="11" s="1"/>
  <c r="K79" i="14"/>
  <c r="M79" i="14" s="1"/>
  <c r="K100" i="15"/>
  <c r="M100" i="15" s="1"/>
  <c r="K101" i="17"/>
  <c r="M101" i="17" s="1"/>
  <c r="K76" i="13"/>
  <c r="M76" i="13" s="1"/>
  <c r="K13" i="14"/>
  <c r="M13" i="14" s="1"/>
  <c r="K73" i="16"/>
  <c r="M73" i="16" s="1"/>
  <c r="K21" i="16"/>
  <c r="M21" i="16" s="1"/>
  <c r="K5" i="15"/>
  <c r="M5" i="15" s="1"/>
  <c r="K85" i="15"/>
  <c r="M85" i="15" s="1"/>
  <c r="K5" i="17"/>
  <c r="M5" i="17" s="1"/>
  <c r="K42" i="8"/>
  <c r="M42" i="8" s="1"/>
  <c r="K78" i="13"/>
  <c r="M78" i="13" s="1"/>
  <c r="K11" i="11"/>
  <c r="M11" i="11" s="1"/>
  <c r="K53" i="11"/>
  <c r="M53" i="11" s="1"/>
  <c r="K12" i="17"/>
  <c r="M12" i="17" s="1"/>
  <c r="K64" i="17"/>
  <c r="M64" i="17" s="1"/>
  <c r="K15" i="15"/>
  <c r="M15" i="15" s="1"/>
  <c r="K73" i="9"/>
  <c r="M73" i="9" s="1"/>
  <c r="K12" i="11"/>
  <c r="M12" i="11" s="1"/>
  <c r="K54" i="14"/>
  <c r="M54" i="14" s="1"/>
  <c r="K79" i="12"/>
  <c r="M79" i="12" s="1"/>
  <c r="K12" i="14"/>
  <c r="M12" i="14" s="1"/>
  <c r="K62" i="16"/>
  <c r="M62" i="16" s="1"/>
  <c r="K24" i="12"/>
  <c r="M24" i="12" s="1"/>
  <c r="K90" i="9"/>
  <c r="M90" i="9" s="1"/>
  <c r="K71" i="12"/>
  <c r="M71" i="12" s="1"/>
  <c r="K94" i="12"/>
  <c r="M94" i="12" s="1"/>
  <c r="K78" i="12"/>
  <c r="M78" i="12" s="1"/>
  <c r="K82" i="16"/>
  <c r="M82" i="16" s="1"/>
  <c r="K12" i="10"/>
  <c r="M12" i="10" s="1"/>
  <c r="K85" i="11"/>
  <c r="M85" i="11" s="1"/>
  <c r="K72" i="14"/>
  <c r="M72" i="14" s="1"/>
  <c r="K107" i="12"/>
  <c r="M107" i="12" s="1"/>
  <c r="K47" i="14"/>
  <c r="M47" i="14" s="1"/>
  <c r="K86" i="16"/>
  <c r="M86" i="16" s="1"/>
  <c r="K38" i="11"/>
  <c r="M38" i="11" s="1"/>
  <c r="K30" i="10"/>
  <c r="M30" i="10" s="1"/>
  <c r="K104" i="15"/>
  <c r="M104" i="15" s="1"/>
  <c r="K105" i="12"/>
  <c r="M105" i="12" s="1"/>
  <c r="K47" i="13"/>
  <c r="M47" i="13" s="1"/>
  <c r="K20" i="16"/>
  <c r="M20" i="16" s="1"/>
  <c r="K28" i="17"/>
  <c r="M28" i="17" s="1"/>
  <c r="S161" i="4"/>
  <c r="K62" i="9"/>
  <c r="M62" i="9" s="1"/>
  <c r="K16" i="8"/>
  <c r="M16" i="8" s="1"/>
  <c r="K20" i="10"/>
  <c r="M20" i="10" s="1"/>
  <c r="K103" i="12"/>
  <c r="M103" i="12" s="1"/>
  <c r="K23" i="13"/>
  <c r="M23" i="13" s="1"/>
  <c r="K16" i="13"/>
  <c r="M16" i="13" s="1"/>
  <c r="K20" i="17"/>
  <c r="M20" i="17" s="1"/>
  <c r="K15" i="12"/>
  <c r="M15" i="12" s="1"/>
  <c r="K48" i="17"/>
  <c r="M48" i="17" s="1"/>
  <c r="K95" i="17"/>
  <c r="M95" i="17" s="1"/>
  <c r="K104" i="14"/>
  <c r="M104" i="14" s="1"/>
  <c r="K71" i="15"/>
  <c r="M71" i="15" s="1"/>
  <c r="K39" i="15"/>
  <c r="M39" i="15" s="1"/>
  <c r="K36" i="17"/>
  <c r="M36" i="17" s="1"/>
  <c r="K5" i="11"/>
  <c r="M5" i="11" s="1"/>
  <c r="K53" i="12"/>
  <c r="M53" i="12" s="1"/>
  <c r="K98" i="14"/>
  <c r="M98" i="14" s="1"/>
  <c r="K91" i="9"/>
  <c r="M91" i="9" s="1"/>
  <c r="K43" i="15"/>
  <c r="M43" i="15" s="1"/>
  <c r="K59" i="12"/>
  <c r="M59" i="12" s="1"/>
  <c r="K98" i="12"/>
  <c r="M98" i="12" s="1"/>
  <c r="K82" i="15"/>
  <c r="M82" i="15" s="1"/>
  <c r="K99" i="16"/>
  <c r="M99" i="16" s="1"/>
  <c r="K105" i="8"/>
  <c r="M105" i="8" s="1"/>
  <c r="K49" i="11"/>
  <c r="M49" i="11" s="1"/>
  <c r="K51" i="12"/>
  <c r="M51" i="12" s="1"/>
  <c r="K85" i="9"/>
  <c r="M85" i="9" s="1"/>
  <c r="K51" i="14"/>
  <c r="M51" i="14" s="1"/>
  <c r="K87" i="15"/>
  <c r="M87" i="15" s="1"/>
  <c r="K71" i="16"/>
  <c r="M71" i="16" s="1"/>
  <c r="K5" i="9"/>
  <c r="M5" i="9" s="1"/>
  <c r="K14" i="12"/>
  <c r="M14" i="12" s="1"/>
  <c r="K82" i="13"/>
  <c r="M82" i="13" s="1"/>
  <c r="K19" i="14"/>
  <c r="M19" i="14" s="1"/>
  <c r="K32" i="14"/>
  <c r="M32" i="14" s="1"/>
  <c r="K14" i="16"/>
  <c r="M14" i="16" s="1"/>
  <c r="K75" i="11"/>
  <c r="M75" i="11" s="1"/>
  <c r="K81" i="12"/>
  <c r="M81" i="12" s="1"/>
  <c r="K103" i="9"/>
  <c r="M103" i="9" s="1"/>
  <c r="K97" i="14"/>
  <c r="M97" i="14" s="1"/>
  <c r="K11" i="16"/>
  <c r="M11" i="16" s="1"/>
  <c r="K95" i="16"/>
  <c r="M95" i="16" s="1"/>
  <c r="K52" i="12"/>
  <c r="M52" i="12" s="1"/>
  <c r="K68" i="8"/>
  <c r="M68" i="8" s="1"/>
  <c r="K9" i="12"/>
  <c r="M9" i="12" s="1"/>
  <c r="K29" i="13"/>
  <c r="M29" i="13" s="1"/>
  <c r="K41" i="14"/>
  <c r="M41" i="14" s="1"/>
  <c r="K75" i="14"/>
  <c r="M75" i="14" s="1"/>
  <c r="K21" i="17"/>
  <c r="M21" i="17" s="1"/>
  <c r="K84" i="16"/>
  <c r="M84" i="16" s="1"/>
  <c r="S178" i="4"/>
  <c r="K106" i="12"/>
  <c r="M106" i="12" s="1"/>
  <c r="K16" i="9"/>
  <c r="M16" i="9" s="1"/>
  <c r="K40" i="12"/>
  <c r="M40" i="12" s="1"/>
  <c r="K6" i="14"/>
  <c r="M6" i="14" s="1"/>
  <c r="K40" i="14"/>
  <c r="M40" i="14" s="1"/>
  <c r="K96" i="14"/>
  <c r="M96" i="14" s="1"/>
  <c r="K51" i="16"/>
  <c r="M51" i="16" s="1"/>
  <c r="S25" i="4"/>
  <c r="J87" i="4"/>
  <c r="Q20" i="5"/>
  <c r="K22" i="5"/>
  <c r="G95" i="4"/>
  <c r="Q30" i="5"/>
  <c r="J127" i="4"/>
  <c r="E19" i="5"/>
  <c r="D83" i="4"/>
  <c r="S49" i="21"/>
  <c r="T49" i="21" s="1"/>
  <c r="J49" i="21"/>
  <c r="K49" i="21" s="1"/>
  <c r="P49" i="21"/>
  <c r="Q49" i="21" s="1"/>
  <c r="M49" i="21"/>
  <c r="N49" i="21" s="1"/>
  <c r="G49" i="21"/>
  <c r="H49" i="21" s="1"/>
  <c r="Y49" i="21"/>
  <c r="Z49" i="21" s="1"/>
  <c r="O41" i="5"/>
  <c r="I171" i="4"/>
  <c r="O29" i="5"/>
  <c r="I123" i="4"/>
  <c r="O40" i="5"/>
  <c r="I167" i="4"/>
  <c r="J107" i="4"/>
  <c r="Q25" i="5"/>
  <c r="I119" i="4"/>
  <c r="O28" i="5"/>
  <c r="O32" i="5"/>
  <c r="I135" i="4"/>
  <c r="O45" i="5"/>
  <c r="I187" i="4"/>
  <c r="O43" i="5"/>
  <c r="I179" i="4"/>
  <c r="M26" i="5"/>
  <c r="H111" i="4"/>
  <c r="S22" i="21"/>
  <c r="T22" i="21" s="1"/>
  <c r="V22" i="21"/>
  <c r="W22" i="21" s="1"/>
  <c r="J22" i="21"/>
  <c r="K22" i="21" s="1"/>
  <c r="M22" i="21"/>
  <c r="N22" i="21" s="1"/>
  <c r="G22" i="21"/>
  <c r="H22" i="21" s="1"/>
  <c r="P22" i="21"/>
  <c r="Q22" i="21" s="1"/>
  <c r="O39" i="5"/>
  <c r="I163" i="4"/>
  <c r="E203" i="4"/>
  <c r="G50" i="5"/>
  <c r="O23" i="5"/>
  <c r="I99" i="4"/>
  <c r="J99" i="4"/>
  <c r="Q23" i="5"/>
  <c r="M143" i="20"/>
  <c r="K4" i="5"/>
  <c r="G31" i="4"/>
  <c r="N115" i="21"/>
  <c r="T73" i="21"/>
  <c r="S88" i="22"/>
  <c r="G147" i="20"/>
  <c r="J147" i="20"/>
  <c r="S147" i="20"/>
  <c r="M147" i="20"/>
  <c r="K73" i="21"/>
  <c r="K70" i="21"/>
  <c r="J26" i="21"/>
  <c r="K26" i="21" s="1"/>
  <c r="K124" i="21"/>
  <c r="G18" i="5"/>
  <c r="E79" i="4"/>
  <c r="G12" i="5"/>
  <c r="E57" i="4"/>
  <c r="E200" i="4"/>
  <c r="G49" i="5"/>
  <c r="G28" i="21"/>
  <c r="H28" i="21" s="1"/>
  <c r="S28" i="21"/>
  <c r="T28" i="21" s="1"/>
  <c r="V28" i="21"/>
  <c r="W28" i="21" s="1"/>
  <c r="P28" i="21"/>
  <c r="Q28" i="21" s="1"/>
  <c r="Q10" i="5"/>
  <c r="J51" i="4"/>
  <c r="Q51" i="5"/>
  <c r="J206" i="4"/>
  <c r="J56" i="20"/>
  <c r="J98" i="20"/>
  <c r="V26" i="21"/>
  <c r="W26" i="21" s="1"/>
  <c r="W91" i="21"/>
  <c r="V65" i="20"/>
  <c r="I46" i="5"/>
  <c r="F191" i="4"/>
  <c r="P121" i="22"/>
  <c r="RW26" i="7"/>
  <c r="O26" i="4"/>
  <c r="P26" i="4" s="1"/>
  <c r="AB150" i="21"/>
  <c r="AB149" i="21"/>
  <c r="AB148" i="21"/>
  <c r="E212" i="4"/>
  <c r="G53" i="5"/>
  <c r="O52" i="5"/>
  <c r="I209" i="4"/>
  <c r="G76" i="21"/>
  <c r="H76" i="21" s="1"/>
  <c r="M76" i="21"/>
  <c r="N76" i="21" s="1"/>
  <c r="Y97" i="21"/>
  <c r="Z97" i="21" s="1"/>
  <c r="Z146" i="21"/>
  <c r="Z106" i="21"/>
  <c r="V85" i="21"/>
  <c r="W85" i="21" s="1"/>
  <c r="J85" i="21"/>
  <c r="K85" i="21" s="1"/>
  <c r="S85" i="21"/>
  <c r="T85" i="21" s="1"/>
  <c r="O5" i="5"/>
  <c r="I35" i="4"/>
  <c r="W121" i="21"/>
  <c r="G5" i="5"/>
  <c r="E35" i="4"/>
  <c r="H24" i="21"/>
  <c r="K134" i="21"/>
  <c r="M41" i="5"/>
  <c r="H171" i="4"/>
  <c r="Q30" i="21"/>
  <c r="H155" i="4"/>
  <c r="M37" i="5"/>
  <c r="N109" i="21"/>
  <c r="M13" i="5"/>
  <c r="H60" i="4"/>
  <c r="T37" i="21"/>
  <c r="T138" i="21"/>
  <c r="K27" i="5"/>
  <c r="G115" i="4"/>
  <c r="K20" i="5"/>
  <c r="G87" i="4"/>
  <c r="Q43" i="21"/>
  <c r="P88" i="21"/>
  <c r="Q88" i="21" s="1"/>
  <c r="S34" i="22"/>
  <c r="AB34" i="22"/>
  <c r="M34" i="22"/>
  <c r="H70" i="21"/>
  <c r="G97" i="21"/>
  <c r="H97" i="21" s="1"/>
  <c r="M10" i="5"/>
  <c r="H51" i="4"/>
  <c r="V34" i="22"/>
  <c r="H200" i="4"/>
  <c r="M49" i="5"/>
  <c r="N112" i="21"/>
  <c r="J112" i="21"/>
  <c r="K112" i="21" s="1"/>
  <c r="V112" i="21"/>
  <c r="W112" i="21" s="1"/>
  <c r="S112" i="21"/>
  <c r="T112" i="21" s="1"/>
  <c r="G19" i="20"/>
  <c r="V19" i="20"/>
  <c r="S19" i="20"/>
  <c r="M19" i="20"/>
  <c r="M152" i="20" s="1"/>
  <c r="RW19" i="7"/>
  <c r="O19" i="4"/>
  <c r="RW21" i="7"/>
  <c r="O21" i="4"/>
  <c r="P50" i="20"/>
  <c r="J50" i="20"/>
  <c r="M50" i="20"/>
  <c r="S50" i="20"/>
  <c r="G50" i="20"/>
  <c r="V109" i="22"/>
  <c r="AB109" i="22"/>
  <c r="J109" i="22"/>
  <c r="M109" i="22"/>
  <c r="S109" i="22"/>
  <c r="P147" i="20"/>
  <c r="RC25" i="7"/>
  <c r="CC25" i="7"/>
  <c r="A25" i="7"/>
  <c r="M124" i="21"/>
  <c r="N124" i="21" s="1"/>
  <c r="G124" i="21"/>
  <c r="H124" i="21" s="1"/>
  <c r="P124" i="21"/>
  <c r="Q124" i="21" s="1"/>
  <c r="S124" i="21"/>
  <c r="T124" i="21" s="1"/>
  <c r="K15" i="21"/>
  <c r="J94" i="21"/>
  <c r="K94" i="21" s="1"/>
  <c r="AB121" i="22"/>
  <c r="W32" i="21"/>
  <c r="W109" i="21"/>
  <c r="J127" i="22"/>
  <c r="E44" i="5"/>
  <c r="D183" i="4"/>
  <c r="RW23" i="7"/>
  <c r="O23" i="4"/>
  <c r="P76" i="22"/>
  <c r="F200" i="4"/>
  <c r="I49" i="5"/>
  <c r="AA173" i="21"/>
  <c r="AA177" i="21"/>
  <c r="AA180" i="21"/>
  <c r="K61" i="21"/>
  <c r="O38" i="5"/>
  <c r="I159" i="4"/>
  <c r="V37" i="22"/>
  <c r="P37" i="22"/>
  <c r="AB37" i="22"/>
  <c r="S135" i="20"/>
  <c r="V135" i="20"/>
  <c r="M135" i="20"/>
  <c r="G135" i="20"/>
  <c r="H135" i="20" s="1"/>
  <c r="P135" i="20"/>
  <c r="Y85" i="21"/>
  <c r="Z85" i="21" s="1"/>
  <c r="Y130" i="21"/>
  <c r="Z130" i="21" s="1"/>
  <c r="V115" i="21"/>
  <c r="W115" i="21" s="1"/>
  <c r="G115" i="21"/>
  <c r="H115" i="21" s="1"/>
  <c r="S115" i="21"/>
  <c r="T115" i="21" s="1"/>
  <c r="J115" i="21"/>
  <c r="K115" i="21" s="1"/>
  <c r="H12" i="21"/>
  <c r="O49" i="5"/>
  <c r="I200" i="4"/>
  <c r="K119" i="20"/>
  <c r="G57" i="4"/>
  <c r="K12" i="5"/>
  <c r="S46" i="22"/>
  <c r="V46" i="22"/>
  <c r="N121" i="21"/>
  <c r="M5" i="5"/>
  <c r="H35" i="4"/>
  <c r="Q32" i="21"/>
  <c r="DB25" i="7"/>
  <c r="L26" i="4"/>
  <c r="T134" i="21"/>
  <c r="D197" i="4"/>
  <c r="E48" i="5"/>
  <c r="AE7" i="22"/>
  <c r="DA24" i="7"/>
  <c r="CF24" i="7" s="1"/>
  <c r="K25" i="4"/>
  <c r="P34" i="21"/>
  <c r="Q34" i="21" s="1"/>
  <c r="M34" i="21"/>
  <c r="N34" i="21" s="1"/>
  <c r="S34" i="21"/>
  <c r="T34" i="21" s="1"/>
  <c r="G34" i="21"/>
  <c r="H34" i="21" s="1"/>
  <c r="O21" i="5"/>
  <c r="I91" i="4"/>
  <c r="I48" i="4"/>
  <c r="O9" i="5"/>
  <c r="O11" i="5"/>
  <c r="I54" i="4"/>
  <c r="I175" i="4"/>
  <c r="O42" i="5"/>
  <c r="F57" i="4"/>
  <c r="I12" i="5"/>
  <c r="J103" i="21"/>
  <c r="K103" i="21" s="1"/>
  <c r="P103" i="21"/>
  <c r="Q103" i="21" s="1"/>
  <c r="G103" i="21"/>
  <c r="H103" i="21" s="1"/>
  <c r="M103" i="21"/>
  <c r="N103" i="21" s="1"/>
  <c r="S103" i="21"/>
  <c r="T103" i="21" s="1"/>
  <c r="F35" i="4"/>
  <c r="I5" i="5"/>
  <c r="AA165" i="21"/>
  <c r="M23" i="5"/>
  <c r="H99" i="4"/>
  <c r="J183" i="4"/>
  <c r="Q44" i="5"/>
  <c r="K95" i="20"/>
  <c r="AB138" i="22"/>
  <c r="S138" i="22"/>
  <c r="V138" i="22"/>
  <c r="P138" i="22"/>
  <c r="J138" i="22"/>
  <c r="O14" i="5"/>
  <c r="I63" i="4"/>
  <c r="H119" i="4"/>
  <c r="M28" i="5"/>
  <c r="W76" i="22"/>
  <c r="T109" i="21"/>
  <c r="T130" i="21"/>
  <c r="K17" i="5"/>
  <c r="G75" i="4"/>
  <c r="K31" i="5"/>
  <c r="G131" i="4"/>
  <c r="K52" i="5"/>
  <c r="G209" i="4"/>
  <c r="V20" i="21"/>
  <c r="W20" i="21" s="1"/>
  <c r="J20" i="21"/>
  <c r="K20" i="21" s="1"/>
  <c r="P20" i="21"/>
  <c r="Q20" i="21" s="1"/>
  <c r="S20" i="21"/>
  <c r="T20" i="21" s="1"/>
  <c r="P64" i="22"/>
  <c r="V64" i="22"/>
  <c r="S64" i="22"/>
  <c r="J64" i="22"/>
  <c r="J88" i="21"/>
  <c r="K88" i="21" s="1"/>
  <c r="K121" i="21"/>
  <c r="G29" i="5"/>
  <c r="E123" i="4"/>
  <c r="G27" i="5"/>
  <c r="E115" i="4"/>
  <c r="M70" i="22"/>
  <c r="G51" i="5"/>
  <c r="E206" i="4"/>
  <c r="S13" i="20"/>
  <c r="V13" i="20"/>
  <c r="G13" i="20"/>
  <c r="J13" i="20"/>
  <c r="Q49" i="5"/>
  <c r="J200" i="4"/>
  <c r="K107" i="20"/>
  <c r="W70" i="21"/>
  <c r="RW18" i="7"/>
  <c r="O18" i="4"/>
  <c r="CC17" i="7"/>
  <c r="A17" i="7"/>
  <c r="J82" i="22"/>
  <c r="I11" i="5"/>
  <c r="F54" i="4"/>
  <c r="I31" i="5"/>
  <c r="F131" i="4"/>
  <c r="Q85" i="22"/>
  <c r="P24" i="22"/>
  <c r="V24" i="22"/>
  <c r="J24" i="22"/>
  <c r="AB24" i="22"/>
  <c r="S24" i="22"/>
  <c r="Y138" i="22"/>
  <c r="G4" i="5"/>
  <c r="E31" i="4"/>
  <c r="O6" i="5"/>
  <c r="I39" i="4"/>
  <c r="Z67" i="21"/>
  <c r="Z12" i="21"/>
  <c r="Y34" i="21"/>
  <c r="Z34" i="21" s="1"/>
  <c r="Q139" i="20"/>
  <c r="J101" i="20"/>
  <c r="V101" i="20"/>
  <c r="G101" i="20"/>
  <c r="H101" i="20" s="1"/>
  <c r="S101" i="20"/>
  <c r="M101" i="20"/>
  <c r="N101" i="20" s="1"/>
  <c r="P101" i="20"/>
  <c r="O17" i="5"/>
  <c r="I75" i="4"/>
  <c r="F212" i="4"/>
  <c r="I53" i="5"/>
  <c r="K12" i="21"/>
  <c r="K5" i="5"/>
  <c r="G35" i="4"/>
  <c r="N70" i="21"/>
  <c r="Q36" i="5"/>
  <c r="J151" i="4"/>
  <c r="E20" i="5"/>
  <c r="D87" i="4"/>
  <c r="V58" i="22"/>
  <c r="P58" i="22"/>
  <c r="AB58" i="22"/>
  <c r="M97" i="21"/>
  <c r="N97" i="21" s="1"/>
  <c r="P97" i="21"/>
  <c r="Q97" i="21" s="1"/>
  <c r="RW17" i="7"/>
  <c r="O5" i="4"/>
  <c r="T140" i="21"/>
  <c r="S132" i="21"/>
  <c r="T132" i="21" s="1"/>
  <c r="T74" i="20"/>
  <c r="Q85" i="21"/>
  <c r="Q15" i="21"/>
  <c r="J22" i="22"/>
  <c r="J150" i="22" s="1"/>
  <c r="QL17" i="7" s="1"/>
  <c r="CM17" i="7" s="1"/>
  <c r="S22" i="22"/>
  <c r="V22" i="22"/>
  <c r="M22" i="22"/>
  <c r="V52" i="22"/>
  <c r="P52" i="22"/>
  <c r="J34" i="21"/>
  <c r="K34" i="21" s="1"/>
  <c r="M58" i="22"/>
  <c r="E60" i="4"/>
  <c r="G13" i="5"/>
  <c r="G38" i="5"/>
  <c r="E159" i="4"/>
  <c r="J74" i="20"/>
  <c r="K74" i="20" s="1"/>
  <c r="P74" i="20"/>
  <c r="V74" i="20"/>
  <c r="W74" i="20" s="1"/>
  <c r="Q6" i="5"/>
  <c r="J39" i="4"/>
  <c r="W82" i="21"/>
  <c r="V143" i="20"/>
  <c r="W143" i="20" s="1"/>
  <c r="D60" i="4"/>
  <c r="E13" i="5"/>
  <c r="D143" i="4"/>
  <c r="E34" i="5"/>
  <c r="E35" i="5"/>
  <c r="D147" i="4"/>
  <c r="B5" i="20"/>
  <c r="T133" i="20" s="1"/>
  <c r="A5" i="20"/>
  <c r="I36" i="5"/>
  <c r="F151" i="4"/>
  <c r="I27" i="5"/>
  <c r="F115" i="4"/>
  <c r="P109" i="22"/>
  <c r="T46" i="21"/>
  <c r="K7" i="5"/>
  <c r="G42" i="4"/>
  <c r="J31" i="4"/>
  <c r="Q4" i="5"/>
  <c r="Y28" i="21"/>
  <c r="Z28" i="21" s="1"/>
  <c r="Z15" i="21"/>
  <c r="Y37" i="21"/>
  <c r="Z37" i="21" s="1"/>
  <c r="Y112" i="21"/>
  <c r="Z112" i="21" s="1"/>
  <c r="T15" i="21"/>
  <c r="Z121" i="21"/>
  <c r="O33" i="5"/>
  <c r="I139" i="4"/>
  <c r="I79" i="4"/>
  <c r="O18" i="5"/>
  <c r="S100" i="22"/>
  <c r="V100" i="22"/>
  <c r="J100" i="22"/>
  <c r="M11" i="5"/>
  <c r="H54" i="4"/>
  <c r="N74" i="20"/>
  <c r="Q35" i="5"/>
  <c r="J147" i="4"/>
  <c r="E33" i="5"/>
  <c r="D139" i="4"/>
  <c r="M88" i="22"/>
  <c r="V88" i="22"/>
  <c r="AB88" i="22"/>
  <c r="AL2" i="21"/>
  <c r="N106" i="21"/>
  <c r="Q55" i="21"/>
  <c r="W61" i="21"/>
  <c r="K46" i="21"/>
  <c r="H140" i="21"/>
  <c r="H167" i="4"/>
  <c r="M40" i="5"/>
  <c r="M44" i="5"/>
  <c r="H183" i="4"/>
  <c r="P16" i="20"/>
  <c r="Q16" i="20" s="1"/>
  <c r="J16" i="20"/>
  <c r="K16" i="20" s="1"/>
  <c r="V16" i="20"/>
  <c r="M16" i="20"/>
  <c r="N16" i="20" s="1"/>
  <c r="P130" i="21"/>
  <c r="Q130" i="21" s="1"/>
  <c r="J130" i="21"/>
  <c r="K130" i="21" s="1"/>
  <c r="S88" i="21"/>
  <c r="T88" i="21" s="1"/>
  <c r="K11" i="5"/>
  <c r="G54" i="4"/>
  <c r="T85" i="22"/>
  <c r="K48" i="5"/>
  <c r="G197" i="4"/>
  <c r="S143" i="20"/>
  <c r="T143" i="20" s="1"/>
  <c r="Q46" i="21"/>
  <c r="P144" i="21"/>
  <c r="Q144" i="21" s="1"/>
  <c r="G144" i="21"/>
  <c r="H144" i="21" s="1"/>
  <c r="S144" i="21"/>
  <c r="T144" i="21" s="1"/>
  <c r="V144" i="21"/>
  <c r="W144" i="21" s="1"/>
  <c r="M144" i="21"/>
  <c r="N144" i="21" s="1"/>
  <c r="Q92" i="20"/>
  <c r="P143" i="20"/>
  <c r="Z20" i="7"/>
  <c r="RW25" i="7"/>
  <c r="O25" i="4"/>
  <c r="P25" i="4" s="1"/>
  <c r="K146" i="21"/>
  <c r="K52" i="21"/>
  <c r="M61" i="22"/>
  <c r="E75" i="4"/>
  <c r="G17" i="5"/>
  <c r="K37" i="21"/>
  <c r="J155" i="4"/>
  <c r="Q37" i="5"/>
  <c r="Q31" i="5"/>
  <c r="J131" i="4"/>
  <c r="Q48" i="5"/>
  <c r="J197" i="4"/>
  <c r="K139" i="20"/>
  <c r="E6" i="5"/>
  <c r="D39" i="4"/>
  <c r="K18" i="22"/>
  <c r="E16" i="5"/>
  <c r="D71" i="4"/>
  <c r="J30" i="21"/>
  <c r="K30" i="21" s="1"/>
  <c r="S30" i="21"/>
  <c r="T30" i="21" s="1"/>
  <c r="M30" i="21"/>
  <c r="N30" i="21" s="1"/>
  <c r="V30" i="21"/>
  <c r="W30" i="21" s="1"/>
  <c r="K40" i="21"/>
  <c r="S132" i="22"/>
  <c r="V132" i="22"/>
  <c r="P132" i="22"/>
  <c r="M132" i="22"/>
  <c r="AB152" i="21"/>
  <c r="I4" i="5"/>
  <c r="F31" i="4"/>
  <c r="Z55" i="21"/>
  <c r="S91" i="22"/>
  <c r="V91" i="22"/>
  <c r="Z100" i="21"/>
  <c r="S86" i="20"/>
  <c r="J86" i="20"/>
  <c r="K86" i="20" s="1"/>
  <c r="V86" i="20"/>
  <c r="W86" i="20" s="1"/>
  <c r="P86" i="20"/>
  <c r="Q86" i="20" s="1"/>
  <c r="M86" i="20"/>
  <c r="N86" i="20" s="1"/>
  <c r="W46" i="21"/>
  <c r="P18" i="21"/>
  <c r="Q18" i="21" s="1"/>
  <c r="G18" i="21"/>
  <c r="S18" i="21"/>
  <c r="M18" i="21"/>
  <c r="N18" i="21" s="1"/>
  <c r="Y100" i="22"/>
  <c r="O7" i="5"/>
  <c r="I42" i="4"/>
  <c r="Y52" i="22"/>
  <c r="W141" i="20"/>
  <c r="K83" i="20"/>
  <c r="E11" i="5"/>
  <c r="D54" i="4"/>
  <c r="N43" i="21"/>
  <c r="H71" i="4"/>
  <c r="M16" i="5"/>
  <c r="K15" i="5"/>
  <c r="G67" i="4"/>
  <c r="A19" i="7"/>
  <c r="CC19" i="7"/>
  <c r="I40" i="5"/>
  <c r="F167" i="4"/>
  <c r="O48" i="5"/>
  <c r="I197" i="4"/>
  <c r="AB153" i="21"/>
  <c r="K109" i="21"/>
  <c r="S118" i="22"/>
  <c r="M118" i="22"/>
  <c r="J118" i="22"/>
  <c r="P118" i="22"/>
  <c r="V94" i="22"/>
  <c r="P94" i="22"/>
  <c r="S94" i="22"/>
  <c r="M94" i="22"/>
  <c r="W128" i="20"/>
  <c r="G82" i="21"/>
  <c r="H82" i="21" s="1"/>
  <c r="M82" i="21"/>
  <c r="N82" i="21" s="1"/>
  <c r="S82" i="21"/>
  <c r="T82" i="21" s="1"/>
  <c r="J82" i="21"/>
  <c r="K82" i="21" s="1"/>
  <c r="P82" i="21"/>
  <c r="Q82" i="21" s="1"/>
  <c r="P64" i="21"/>
  <c r="Q64" i="21" s="1"/>
  <c r="V64" i="21"/>
  <c r="W64" i="21" s="1"/>
  <c r="M64" i="21"/>
  <c r="N64" i="21" s="1"/>
  <c r="S64" i="21"/>
  <c r="T64" i="21" s="1"/>
  <c r="O31" i="5"/>
  <c r="I131" i="4"/>
  <c r="Y82" i="22"/>
  <c r="Z43" i="22"/>
  <c r="Y22" i="22"/>
  <c r="T141" i="20"/>
  <c r="G79" i="21"/>
  <c r="H79" i="21" s="1"/>
  <c r="P79" i="21"/>
  <c r="Q79" i="21" s="1"/>
  <c r="AK7" i="22"/>
  <c r="DA26" i="7"/>
  <c r="CF26" i="7" s="1"/>
  <c r="M25" i="4"/>
  <c r="N26" i="4" s="1"/>
  <c r="K47" i="20"/>
  <c r="N61" i="21"/>
  <c r="H42" i="4"/>
  <c r="M7" i="5"/>
  <c r="W20" i="22"/>
  <c r="Y58" i="22"/>
  <c r="M55" i="22"/>
  <c r="V55" i="22"/>
  <c r="S55" i="22"/>
  <c r="Q146" i="21"/>
  <c r="K16" i="5"/>
  <c r="G71" i="4"/>
  <c r="T40" i="22"/>
  <c r="T12" i="21"/>
  <c r="M4" i="5"/>
  <c r="H31" i="4"/>
  <c r="K29" i="5"/>
  <c r="G123" i="4"/>
  <c r="T79" i="22"/>
  <c r="CC23" i="7"/>
  <c r="A23" i="7"/>
  <c r="H175" i="4"/>
  <c r="M42" i="5"/>
  <c r="P70" i="22"/>
  <c r="J70" i="22"/>
  <c r="S70" i="22"/>
  <c r="AB70" i="22"/>
  <c r="G212" i="4"/>
  <c r="K53" i="5"/>
  <c r="T144" i="22"/>
  <c r="P136" i="21"/>
  <c r="Q136" i="21" s="1"/>
  <c r="J136" i="21"/>
  <c r="K136" i="21" s="1"/>
  <c r="V136" i="21"/>
  <c r="W136" i="21" s="1"/>
  <c r="M136" i="21"/>
  <c r="N136" i="21" s="1"/>
  <c r="J71" i="4"/>
  <c r="Q16" i="5"/>
  <c r="W18" i="21"/>
  <c r="W47" i="20"/>
  <c r="B6" i="22"/>
  <c r="N130" i="22" s="1"/>
  <c r="E18" i="5"/>
  <c r="D79" i="4"/>
  <c r="K46" i="22"/>
  <c r="G136" i="21"/>
  <c r="H136" i="21" s="1"/>
  <c r="CC21" i="7"/>
  <c r="A21" i="7"/>
  <c r="M27" i="5"/>
  <c r="H115" i="4"/>
  <c r="W73" i="22"/>
  <c r="W124" i="22"/>
  <c r="M132" i="21"/>
  <c r="N132" i="21" s="1"/>
  <c r="G27" i="20"/>
  <c r="H27" i="20" s="1"/>
  <c r="S27" i="20"/>
  <c r="T27" i="20" s="1"/>
  <c r="J27" i="20"/>
  <c r="K27" i="20" s="1"/>
  <c r="P27" i="20"/>
  <c r="Q27" i="20" s="1"/>
  <c r="V27" i="20"/>
  <c r="W27" i="20" s="1"/>
  <c r="P142" i="21"/>
  <c r="Q142" i="21" s="1"/>
  <c r="J142" i="21"/>
  <c r="K142" i="21" s="1"/>
  <c r="S142" i="21"/>
  <c r="T142" i="21" s="1"/>
  <c r="V142" i="21"/>
  <c r="W142" i="21" s="1"/>
  <c r="N116" i="20"/>
  <c r="K19" i="5"/>
  <c r="G83" i="4"/>
  <c r="T49" i="22"/>
  <c r="S127" i="22"/>
  <c r="S38" i="20"/>
  <c r="T38" i="20" s="1"/>
  <c r="Z19" i="7"/>
  <c r="M68" i="20"/>
  <c r="N68" i="20" s="1"/>
  <c r="V68" i="20"/>
  <c r="W68" i="20" s="1"/>
  <c r="P68" i="20"/>
  <c r="Q68" i="20" s="1"/>
  <c r="G68" i="20"/>
  <c r="H68" i="20" s="1"/>
  <c r="J68" i="20"/>
  <c r="K68" i="20" s="1"/>
  <c r="J118" i="21"/>
  <c r="K118" i="21" s="1"/>
  <c r="S118" i="21"/>
  <c r="T118" i="21" s="1"/>
  <c r="P118" i="21"/>
  <c r="Q118" i="21" s="1"/>
  <c r="G118" i="21"/>
  <c r="H118" i="21" s="1"/>
  <c r="RW20" i="7"/>
  <c r="O20" i="4"/>
  <c r="K140" i="21"/>
  <c r="K100" i="21"/>
  <c r="G37" i="5"/>
  <c r="E155" i="4"/>
  <c r="N103" i="22"/>
  <c r="E209" i="4"/>
  <c r="G52" i="5"/>
  <c r="S67" i="22"/>
  <c r="M67" i="22"/>
  <c r="J67" i="22"/>
  <c r="AC124" i="22"/>
  <c r="Q21" i="5"/>
  <c r="J91" i="4"/>
  <c r="J209" i="4"/>
  <c r="Q52" i="5"/>
  <c r="W100" i="21"/>
  <c r="V118" i="21"/>
  <c r="W118" i="21" s="1"/>
  <c r="Z18" i="7"/>
  <c r="J88" i="22"/>
  <c r="E40" i="5"/>
  <c r="D167" i="4"/>
  <c r="K112" i="22"/>
  <c r="D209" i="4"/>
  <c r="E52" i="5"/>
  <c r="A26" i="7"/>
  <c r="RC26" i="7"/>
  <c r="CC26" i="7"/>
  <c r="I33" i="5"/>
  <c r="F139" i="4"/>
  <c r="Q91" i="22"/>
  <c r="I18" i="5"/>
  <c r="F79" i="4"/>
  <c r="V21" i="20"/>
  <c r="W21" i="20" s="1"/>
  <c r="P21" i="20"/>
  <c r="Q21" i="20" s="1"/>
  <c r="S21" i="20"/>
  <c r="T21" i="20" s="1"/>
  <c r="J21" i="20"/>
  <c r="K21" i="20" s="1"/>
  <c r="Q125" i="20"/>
  <c r="H104" i="20"/>
  <c r="T55" i="21"/>
  <c r="Y67" i="22"/>
  <c r="Z32" i="21"/>
  <c r="Z79" i="21"/>
  <c r="S130" i="22"/>
  <c r="V130" i="22"/>
  <c r="T53" i="20"/>
  <c r="H110" i="20"/>
  <c r="Y64" i="22"/>
  <c r="Y37" i="22"/>
  <c r="J116" i="20"/>
  <c r="K116" i="20" s="1"/>
  <c r="G116" i="20"/>
  <c r="H116" i="20" s="1"/>
  <c r="N47" i="20"/>
  <c r="Q7" i="5"/>
  <c r="J42" i="4"/>
  <c r="N146" i="21"/>
  <c r="O10" i="5"/>
  <c r="I51" i="4"/>
  <c r="G16" i="5"/>
  <c r="E71" i="4"/>
  <c r="N40" i="22"/>
  <c r="V38" i="20"/>
  <c r="W38" i="20" s="1"/>
  <c r="J38" i="20"/>
  <c r="K38" i="20" s="1"/>
  <c r="M38" i="20"/>
  <c r="N38" i="20" s="1"/>
  <c r="M25" i="5"/>
  <c r="H107" i="4"/>
  <c r="M48" i="5"/>
  <c r="H197" i="4"/>
  <c r="W134" i="22"/>
  <c r="J65" i="20"/>
  <c r="K65" i="20" s="1"/>
  <c r="S65" i="20"/>
  <c r="T65" i="20" s="1"/>
  <c r="G65" i="20"/>
  <c r="H65" i="20" s="1"/>
  <c r="M65" i="20"/>
  <c r="N65" i="20" s="1"/>
  <c r="Z17" i="7"/>
  <c r="N27" i="20"/>
  <c r="T145" i="20"/>
  <c r="G35" i="5"/>
  <c r="E147" i="4"/>
  <c r="N97" i="22"/>
  <c r="S26" i="21"/>
  <c r="T26" i="21" s="1"/>
  <c r="P26" i="21"/>
  <c r="Q26" i="21" s="1"/>
  <c r="G26" i="21"/>
  <c r="H26" i="21" s="1"/>
  <c r="G145" i="20"/>
  <c r="H145" i="20" s="1"/>
  <c r="J145" i="20"/>
  <c r="K145" i="20" s="1"/>
  <c r="E14" i="5"/>
  <c r="D63" i="4"/>
  <c r="G130" i="21"/>
  <c r="H130" i="21" s="1"/>
  <c r="W112" i="22"/>
  <c r="N100" i="21"/>
  <c r="M130" i="21"/>
  <c r="N130" i="21" s="1"/>
  <c r="V34" i="21"/>
  <c r="W34" i="21" s="1"/>
  <c r="T61" i="21"/>
  <c r="M145" i="20"/>
  <c r="N145" i="20" s="1"/>
  <c r="K13" i="5"/>
  <c r="G60" i="4"/>
  <c r="T137" i="20"/>
  <c r="Q76" i="21"/>
  <c r="V31" i="20"/>
  <c r="W31" i="20" s="1"/>
  <c r="M31" i="20"/>
  <c r="N31" i="20" s="1"/>
  <c r="S31" i="20"/>
  <c r="T31" i="20" s="1"/>
  <c r="P31" i="20"/>
  <c r="Q31" i="20" s="1"/>
  <c r="P49" i="22"/>
  <c r="V49" i="22"/>
  <c r="AB49" i="22"/>
  <c r="AB152" i="22" s="1"/>
  <c r="QP23" i="7" s="1"/>
  <c r="J144" i="21"/>
  <c r="K144" i="21" s="1"/>
  <c r="CC18" i="7"/>
  <c r="A18" i="7"/>
  <c r="M49" i="22"/>
  <c r="G11" i="5"/>
  <c r="E54" i="4"/>
  <c r="G33" i="5"/>
  <c r="E139" i="4"/>
  <c r="N91" i="22"/>
  <c r="M76" i="22"/>
  <c r="S76" i="22"/>
  <c r="J76" i="22"/>
  <c r="AB76" i="22"/>
  <c r="RW24" i="7"/>
  <c r="O24" i="4"/>
  <c r="J54" i="4"/>
  <c r="Q11" i="5"/>
  <c r="J143" i="20"/>
  <c r="K143" i="20" s="1"/>
  <c r="W12" i="21"/>
  <c r="W25" i="20"/>
  <c r="J58" i="22"/>
  <c r="K142" i="22"/>
  <c r="I41" i="5"/>
  <c r="F171" i="4"/>
  <c r="Q115" i="22"/>
  <c r="I21" i="5"/>
  <c r="F91" i="4"/>
  <c r="F183" i="4"/>
  <c r="I44" i="5"/>
  <c r="S92" i="20"/>
  <c r="T92" i="20" s="1"/>
  <c r="V92" i="20"/>
  <c r="W92" i="20" s="1"/>
  <c r="G92" i="20"/>
  <c r="H92" i="20" s="1"/>
  <c r="J92" i="20"/>
  <c r="K92" i="20" s="1"/>
  <c r="Q24" i="21"/>
  <c r="M115" i="22"/>
  <c r="J115" i="22"/>
  <c r="AB115" i="22"/>
  <c r="S115" i="22"/>
  <c r="G7" i="5"/>
  <c r="E42" i="4"/>
  <c r="N20" i="22"/>
  <c r="D212" i="4"/>
  <c r="E53" i="5"/>
  <c r="Z58" i="21"/>
  <c r="V97" i="22"/>
  <c r="P97" i="22"/>
  <c r="S97" i="22"/>
  <c r="H53" i="20"/>
  <c r="M38" i="5"/>
  <c r="H159" i="4"/>
  <c r="W106" i="22"/>
  <c r="M112" i="22"/>
  <c r="AB112" i="22"/>
  <c r="S112" i="22"/>
  <c r="Z18" i="22"/>
  <c r="Q109" i="21"/>
  <c r="W140" i="21"/>
  <c r="T146" i="21"/>
  <c r="K10" i="5"/>
  <c r="G51" i="4"/>
  <c r="T26" i="22"/>
  <c r="W24" i="21"/>
  <c r="Z15" i="22"/>
  <c r="N13" i="20"/>
  <c r="T25" i="20"/>
  <c r="V59" i="20"/>
  <c r="W59" i="20" s="1"/>
  <c r="S59" i="20"/>
  <c r="T59" i="20" s="1"/>
  <c r="G59" i="20"/>
  <c r="H59" i="20" s="1"/>
  <c r="P59" i="20"/>
  <c r="Q59" i="20" s="1"/>
  <c r="J59" i="20"/>
  <c r="K59" i="20" s="1"/>
  <c r="W125" i="20"/>
  <c r="K32" i="22"/>
  <c r="K134" i="22"/>
  <c r="I38" i="5"/>
  <c r="F159" i="4"/>
  <c r="Q112" i="22"/>
  <c r="P88" i="22"/>
  <c r="I48" i="5"/>
  <c r="F197" i="4"/>
  <c r="Q134" i="22"/>
  <c r="Z70" i="21"/>
  <c r="V79" i="22"/>
  <c r="AB79" i="22"/>
  <c r="S18" i="22"/>
  <c r="P18" i="22"/>
  <c r="V18" i="22"/>
  <c r="P146" i="22"/>
  <c r="V146" i="22"/>
  <c r="S146" i="22"/>
  <c r="J146" i="22"/>
  <c r="M146" i="22"/>
  <c r="AB146" i="22"/>
  <c r="Y142" i="21"/>
  <c r="Z142" i="21" s="1"/>
  <c r="N24" i="21"/>
  <c r="O53" i="5"/>
  <c r="I212" i="4"/>
  <c r="T110" i="20"/>
  <c r="Q27" i="5"/>
  <c r="J115" i="4"/>
  <c r="O4" i="5"/>
  <c r="I31" i="4"/>
  <c r="J103" i="22"/>
  <c r="S103" i="22"/>
  <c r="P103" i="22"/>
  <c r="A22" i="7"/>
  <c r="CC22" i="7"/>
  <c r="O12" i="5"/>
  <c r="I57" i="4"/>
  <c r="Z91" i="22"/>
  <c r="O51" i="5"/>
  <c r="I206" i="4"/>
  <c r="W58" i="21"/>
  <c r="H109" i="21"/>
  <c r="H47" i="20"/>
  <c r="J67" i="21"/>
  <c r="K67" i="21" s="1"/>
  <c r="P67" i="21"/>
  <c r="Q67" i="21" s="1"/>
  <c r="M67" i="21"/>
  <c r="N67" i="21" s="1"/>
  <c r="S67" i="21"/>
  <c r="T67" i="21" s="1"/>
  <c r="Y103" i="22"/>
  <c r="I10" i="5"/>
  <c r="F51" i="4"/>
  <c r="Q26" i="22"/>
  <c r="H98" i="20"/>
  <c r="E87" i="4"/>
  <c r="G20" i="5"/>
  <c r="N52" i="22"/>
  <c r="AB127" i="22"/>
  <c r="P127" i="22"/>
  <c r="Q18" i="5"/>
  <c r="J79" i="4"/>
  <c r="AC100" i="22"/>
  <c r="J191" i="4"/>
  <c r="Q46" i="5"/>
  <c r="M52" i="5"/>
  <c r="H209" i="4"/>
  <c r="Q134" i="21"/>
  <c r="T41" i="20"/>
  <c r="V121" i="22"/>
  <c r="S121" i="22"/>
  <c r="J121" i="22"/>
  <c r="M121" i="22"/>
  <c r="P98" i="20"/>
  <c r="Q98" i="20" s="1"/>
  <c r="M64" i="22"/>
  <c r="M152" i="22" s="1"/>
  <c r="QP18" i="7" s="1"/>
  <c r="Q13" i="5"/>
  <c r="J60" i="4"/>
  <c r="P107" i="20"/>
  <c r="Q107" i="20" s="1"/>
  <c r="M107" i="20"/>
  <c r="N107" i="20" s="1"/>
  <c r="G107" i="20"/>
  <c r="H107" i="20" s="1"/>
  <c r="W43" i="21"/>
  <c r="W67" i="21"/>
  <c r="W124" i="21"/>
  <c r="K34" i="22"/>
  <c r="E29" i="5"/>
  <c r="D123" i="4"/>
  <c r="K79" i="22"/>
  <c r="E49" i="5"/>
  <c r="D200" i="4"/>
  <c r="RW22" i="7"/>
  <c r="O22" i="4"/>
  <c r="I16" i="5"/>
  <c r="F71" i="4"/>
  <c r="V127" i="21"/>
  <c r="W127" i="21" s="1"/>
  <c r="G127" i="21"/>
  <c r="H127" i="21" s="1"/>
  <c r="M127" i="21"/>
  <c r="N127" i="21" s="1"/>
  <c r="P127" i="21"/>
  <c r="Q127" i="21" s="1"/>
  <c r="S127" i="21"/>
  <c r="T127" i="21" s="1"/>
  <c r="Q53" i="5"/>
  <c r="J212" i="4"/>
  <c r="K125" i="20"/>
  <c r="Q104" i="20"/>
  <c r="Z134" i="21"/>
  <c r="Y124" i="21"/>
  <c r="Z124" i="21" s="1"/>
  <c r="Y82" i="21"/>
  <c r="Z82" i="21" s="1"/>
  <c r="K24" i="21"/>
  <c r="W73" i="21"/>
  <c r="G138" i="21"/>
  <c r="H138" i="21" s="1"/>
  <c r="V138" i="21"/>
  <c r="W138" i="21" s="1"/>
  <c r="Y76" i="21"/>
  <c r="Z76" i="21" s="1"/>
  <c r="Z28" i="22"/>
  <c r="O13" i="5"/>
  <c r="I60" i="4"/>
  <c r="N91" i="21"/>
  <c r="M17" i="5"/>
  <c r="H75" i="4"/>
  <c r="G10" i="5"/>
  <c r="E51" i="4"/>
  <c r="N26" i="22"/>
  <c r="Q91" i="21"/>
  <c r="RC24" i="7"/>
  <c r="A24" i="7"/>
  <c r="CC24" i="7"/>
  <c r="E131" i="4"/>
  <c r="G31" i="5"/>
  <c r="N85" i="22"/>
  <c r="G36" i="5"/>
  <c r="E151" i="4"/>
  <c r="N100" i="22"/>
  <c r="E191" i="4"/>
  <c r="G46" i="5"/>
  <c r="V127" i="22"/>
  <c r="J61" i="22"/>
  <c r="P61" i="22"/>
  <c r="N141" i="20"/>
  <c r="H57" i="4"/>
  <c r="M12" i="5"/>
  <c r="M26" i="21"/>
  <c r="N26" i="21" s="1"/>
  <c r="V94" i="21"/>
  <c r="W94" i="21" s="1"/>
  <c r="G94" i="21"/>
  <c r="H94" i="21" s="1"/>
  <c r="T43" i="21"/>
  <c r="A20" i="7"/>
  <c r="CC20" i="7"/>
  <c r="T116" i="20"/>
  <c r="S16" i="20"/>
  <c r="T16" i="20" s="1"/>
  <c r="Q73" i="21"/>
  <c r="P132" i="21"/>
  <c r="Q132" i="21" s="1"/>
  <c r="Q138" i="21"/>
  <c r="P56" i="20"/>
  <c r="Q56" i="20" s="1"/>
  <c r="M56" i="20"/>
  <c r="N56" i="20" s="1"/>
  <c r="S56" i="20"/>
  <c r="T56" i="20" s="1"/>
  <c r="S82" i="22"/>
  <c r="M82" i="22"/>
  <c r="V82" i="22"/>
  <c r="P82" i="22"/>
  <c r="G15" i="5"/>
  <c r="E67" i="4"/>
  <c r="G9" i="5"/>
  <c r="E48" i="4"/>
  <c r="G48" i="5"/>
  <c r="E197" i="4"/>
  <c r="N134" i="22"/>
  <c r="M127" i="22"/>
  <c r="P52" i="21"/>
  <c r="Q52" i="21" s="1"/>
  <c r="M52" i="21"/>
  <c r="N52" i="21" s="1"/>
  <c r="V52" i="21"/>
  <c r="W52" i="21" s="1"/>
  <c r="S52" i="21"/>
  <c r="T52" i="21" s="1"/>
  <c r="AC32" i="22"/>
  <c r="Q34" i="5"/>
  <c r="J143" i="4"/>
  <c r="Q33" i="5"/>
  <c r="J139" i="4"/>
  <c r="J175" i="4"/>
  <c r="Q42" i="5"/>
  <c r="AC118" i="22"/>
  <c r="V76" i="21"/>
  <c r="W76" i="21" s="1"/>
  <c r="W79" i="21"/>
  <c r="W119" i="20"/>
  <c r="W83" i="20"/>
  <c r="E10" i="5"/>
  <c r="D51" i="4"/>
  <c r="E46" i="5"/>
  <c r="D191" i="4"/>
  <c r="P22" i="22"/>
  <c r="P34" i="22"/>
  <c r="P67" i="22"/>
  <c r="Q17" i="5"/>
  <c r="J75" i="4"/>
  <c r="AC43" i="22"/>
  <c r="N104" i="20"/>
  <c r="V122" i="20"/>
  <c r="W122" i="20" s="1"/>
  <c r="P122" i="20"/>
  <c r="Q122" i="20" s="1"/>
  <c r="J122" i="20"/>
  <c r="K122" i="20" s="1"/>
  <c r="G122" i="20"/>
  <c r="H122" i="20" s="1"/>
  <c r="Y52" i="21"/>
  <c r="Z52" i="21" s="1"/>
  <c r="Y70" i="22"/>
  <c r="G44" i="5"/>
  <c r="E183" i="4"/>
  <c r="N124" i="22"/>
  <c r="Q12" i="5"/>
  <c r="J57" i="4"/>
  <c r="AC30" i="22"/>
  <c r="I71" i="4"/>
  <c r="O16" i="5"/>
  <c r="Y73" i="22"/>
  <c r="Y94" i="22"/>
  <c r="Y130" i="22"/>
  <c r="Y150" i="22" s="1"/>
  <c r="QL22" i="7" s="1"/>
  <c r="CM22" i="7" s="1"/>
  <c r="J77" i="20"/>
  <c r="K77" i="20" s="1"/>
  <c r="S77" i="20"/>
  <c r="T77" i="20" s="1"/>
  <c r="P77" i="20"/>
  <c r="Q77" i="20" s="1"/>
  <c r="G77" i="20"/>
  <c r="H77" i="20" s="1"/>
  <c r="M77" i="20"/>
  <c r="N77" i="20" s="1"/>
  <c r="D75" i="4"/>
  <c r="E17" i="5"/>
  <c r="K43" i="22"/>
  <c r="T121" i="21"/>
  <c r="Q5" i="5"/>
  <c r="J35" i="4"/>
  <c r="AC15" i="22"/>
  <c r="N25" i="4"/>
  <c r="W134" i="21"/>
  <c r="AC26" i="4"/>
  <c r="AB25" i="4"/>
  <c r="S157" i="22" l="1"/>
  <c r="QZ20" i="7" s="1"/>
  <c r="Y152" i="22"/>
  <c r="QP22" i="7" s="1"/>
  <c r="V157" i="22"/>
  <c r="QZ21" i="7" s="1"/>
  <c r="J152" i="22"/>
  <c r="QP17" i="7" s="1"/>
  <c r="M157" i="22"/>
  <c r="QZ18" i="7" s="1"/>
  <c r="J157" i="22"/>
  <c r="QZ17" i="7" s="1"/>
  <c r="P152" i="22"/>
  <c r="QP19" i="7" s="1"/>
  <c r="M9" i="21"/>
  <c r="V149" i="22"/>
  <c r="QJ21" i="7" s="1"/>
  <c r="CK21" i="7" s="1"/>
  <c r="P9" i="21"/>
  <c r="O173" i="21"/>
  <c r="S26" i="4"/>
  <c r="J153" i="21"/>
  <c r="P153" i="21"/>
  <c r="M34" i="5"/>
  <c r="H143" i="4"/>
  <c r="W94" i="22"/>
  <c r="H187" i="4"/>
  <c r="M45" i="5"/>
  <c r="W127" i="22"/>
  <c r="Y151" i="22"/>
  <c r="QN22" i="7" s="1"/>
  <c r="Q29" i="5"/>
  <c r="J123" i="4"/>
  <c r="AC79" i="22"/>
  <c r="O180" i="21"/>
  <c r="Q41" i="5"/>
  <c r="J171" i="4"/>
  <c r="AC115" i="22"/>
  <c r="O15" i="5"/>
  <c r="I67" i="4"/>
  <c r="Z37" i="22"/>
  <c r="J152" i="21"/>
  <c r="V152" i="22"/>
  <c r="QP21" i="7" s="1"/>
  <c r="G34" i="5"/>
  <c r="E143" i="4"/>
  <c r="N94" i="22"/>
  <c r="Y149" i="21"/>
  <c r="Q100" i="22"/>
  <c r="K40" i="22"/>
  <c r="T134" i="22"/>
  <c r="L173" i="21"/>
  <c r="AB150" i="22"/>
  <c r="QL23" i="7" s="1"/>
  <c r="CM23" i="7" s="1"/>
  <c r="K52" i="22"/>
  <c r="H62" i="20"/>
  <c r="M153" i="22"/>
  <c r="QR18" i="7" s="1"/>
  <c r="E9" i="5"/>
  <c r="D48" i="4"/>
  <c r="K24" i="22"/>
  <c r="C4" i="21"/>
  <c r="C7" i="20"/>
  <c r="H103" i="4"/>
  <c r="M24" i="5"/>
  <c r="W64" i="22"/>
  <c r="N110" i="20"/>
  <c r="J203" i="4"/>
  <c r="Q50" i="5"/>
  <c r="AC138" i="22"/>
  <c r="Z118" i="22"/>
  <c r="DB24" i="7"/>
  <c r="K26" i="4"/>
  <c r="K18" i="5"/>
  <c r="G79" i="4"/>
  <c r="T46" i="22"/>
  <c r="D187" i="4"/>
  <c r="E45" i="5"/>
  <c r="K127" i="22"/>
  <c r="N50" i="20"/>
  <c r="J63" i="4"/>
  <c r="Q14" i="5"/>
  <c r="AC34" i="22"/>
  <c r="V153" i="21"/>
  <c r="S154" i="22"/>
  <c r="QT20" i="7" s="1"/>
  <c r="Q65" i="20"/>
  <c r="I37" i="5"/>
  <c r="F155" i="4"/>
  <c r="Q103" i="22"/>
  <c r="AB154" i="22"/>
  <c r="QT23" i="7" s="1"/>
  <c r="E179" i="4"/>
  <c r="G43" i="5"/>
  <c r="N121" i="22"/>
  <c r="Y155" i="22"/>
  <c r="QV22" i="7" s="1"/>
  <c r="M29" i="5"/>
  <c r="H123" i="4"/>
  <c r="W79" i="22"/>
  <c r="G147" i="4"/>
  <c r="K35" i="5"/>
  <c r="T97" i="22"/>
  <c r="D171" i="4"/>
  <c r="E41" i="5"/>
  <c r="K115" i="22"/>
  <c r="Q28" i="5"/>
  <c r="J119" i="4"/>
  <c r="AC76" i="22"/>
  <c r="I103" i="4"/>
  <c r="O24" i="5"/>
  <c r="Z64" i="22"/>
  <c r="P148" i="21"/>
  <c r="AO2" i="22"/>
  <c r="W85" i="22"/>
  <c r="K106" i="22"/>
  <c r="W140" i="22"/>
  <c r="Z136" i="22"/>
  <c r="Q140" i="22"/>
  <c r="W30" i="22"/>
  <c r="K144" i="22"/>
  <c r="AC142" i="22"/>
  <c r="AC28" i="22"/>
  <c r="T43" i="22"/>
  <c r="T32" i="22"/>
  <c r="K140" i="22"/>
  <c r="Z85" i="22"/>
  <c r="AC136" i="22"/>
  <c r="AC91" i="22"/>
  <c r="AC55" i="22"/>
  <c r="N142" i="22"/>
  <c r="N15" i="22"/>
  <c r="W43" i="22"/>
  <c r="Z12" i="22"/>
  <c r="K12" i="22"/>
  <c r="N28" i="22"/>
  <c r="T15" i="22"/>
  <c r="T30" i="22"/>
  <c r="W26" i="22"/>
  <c r="Q40" i="22"/>
  <c r="K136" i="22"/>
  <c r="N24" i="22"/>
  <c r="T124" i="22"/>
  <c r="Z124" i="22"/>
  <c r="Q124" i="22"/>
  <c r="Q55" i="22"/>
  <c r="K124" i="22"/>
  <c r="N43" i="22"/>
  <c r="W136" i="22"/>
  <c r="W32" i="22"/>
  <c r="Q130" i="22"/>
  <c r="Z30" i="22"/>
  <c r="T106" i="22"/>
  <c r="AC106" i="22"/>
  <c r="Q142" i="22"/>
  <c r="Z140" i="22"/>
  <c r="W144" i="22"/>
  <c r="Q136" i="22"/>
  <c r="Q12" i="22"/>
  <c r="K94" i="22"/>
  <c r="AC144" i="22"/>
  <c r="AC12" i="22"/>
  <c r="T52" i="22"/>
  <c r="T136" i="22"/>
  <c r="Z32" i="22"/>
  <c r="Q15" i="22"/>
  <c r="T28" i="22"/>
  <c r="Z26" i="22"/>
  <c r="Q43" i="22"/>
  <c r="Q46" i="22"/>
  <c r="K130" i="22"/>
  <c r="AC94" i="22"/>
  <c r="Q26" i="5"/>
  <c r="J111" i="4"/>
  <c r="AC70" i="22"/>
  <c r="K34" i="5"/>
  <c r="G143" i="4"/>
  <c r="T94" i="22"/>
  <c r="Y153" i="21"/>
  <c r="E194" i="4"/>
  <c r="G47" i="5"/>
  <c r="N132" i="22"/>
  <c r="L165" i="21"/>
  <c r="M155" i="22"/>
  <c r="QV18" i="7" s="1"/>
  <c r="H48" i="4"/>
  <c r="M9" i="5"/>
  <c r="W24" i="22"/>
  <c r="G26" i="5"/>
  <c r="E111" i="4"/>
  <c r="N70" i="22"/>
  <c r="I24" i="5"/>
  <c r="F103" i="4"/>
  <c r="Q64" i="22"/>
  <c r="W107" i="20"/>
  <c r="J149" i="22"/>
  <c r="QJ17" i="7" s="1"/>
  <c r="CK17" i="7" s="1"/>
  <c r="K50" i="20"/>
  <c r="K14" i="5"/>
  <c r="G63" i="4"/>
  <c r="T34" i="22"/>
  <c r="J154" i="22"/>
  <c r="QT17" i="7" s="1"/>
  <c r="V151" i="21"/>
  <c r="S156" i="22"/>
  <c r="QX20" i="7" s="1"/>
  <c r="N59" i="20"/>
  <c r="W142" i="22"/>
  <c r="K26" i="22"/>
  <c r="T142" i="22"/>
  <c r="K137" i="20"/>
  <c r="Q145" i="20"/>
  <c r="Z46" i="22"/>
  <c r="Q19" i="5"/>
  <c r="J83" i="4"/>
  <c r="AC49" i="22"/>
  <c r="P150" i="22"/>
  <c r="QL19" i="7" s="1"/>
  <c r="CM19" i="7" s="1"/>
  <c r="I191" i="4"/>
  <c r="O46" i="5"/>
  <c r="Z130" i="22"/>
  <c r="I30" i="5"/>
  <c r="F127" i="4"/>
  <c r="Q82" i="22"/>
  <c r="H127" i="4"/>
  <c r="M30" i="5"/>
  <c r="W82" i="22"/>
  <c r="G30" i="5"/>
  <c r="E127" i="4"/>
  <c r="N82" i="22"/>
  <c r="D179" i="4"/>
  <c r="E43" i="5"/>
  <c r="K121" i="22"/>
  <c r="F187" i="4"/>
  <c r="I45" i="5"/>
  <c r="Q127" i="22"/>
  <c r="Y148" i="22"/>
  <c r="QH22" i="7" s="1"/>
  <c r="CI22" i="7" s="1"/>
  <c r="J153" i="22"/>
  <c r="QR17" i="7" s="1"/>
  <c r="F147" i="4"/>
  <c r="I35" i="5"/>
  <c r="Q97" i="22"/>
  <c r="G41" i="5"/>
  <c r="E171" i="4"/>
  <c r="N115" i="22"/>
  <c r="E28" i="5"/>
  <c r="D119" i="4"/>
  <c r="K76" i="22"/>
  <c r="C6" i="21"/>
  <c r="C9" i="20"/>
  <c r="P150" i="21"/>
  <c r="G111" i="4"/>
  <c r="K26" i="5"/>
  <c r="T70" i="22"/>
  <c r="I34" i="5"/>
  <c r="F143" i="4"/>
  <c r="Q94" i="22"/>
  <c r="Y154" i="21"/>
  <c r="Z106" i="22"/>
  <c r="P148" i="22"/>
  <c r="QH19" i="7" s="1"/>
  <c r="CI19" i="7" s="1"/>
  <c r="F194" i="4"/>
  <c r="I47" i="5"/>
  <c r="Q132" i="22"/>
  <c r="AC103" i="22"/>
  <c r="Q143" i="20"/>
  <c r="M149" i="21"/>
  <c r="Q32" i="5"/>
  <c r="J135" i="4"/>
  <c r="AC88" i="22"/>
  <c r="H83" i="20"/>
  <c r="AB148" i="22"/>
  <c r="QH23" i="7" s="1"/>
  <c r="CI23" i="7" s="1"/>
  <c r="AC18" i="22"/>
  <c r="E95" i="4"/>
  <c r="G22" i="5"/>
  <c r="N58" i="22"/>
  <c r="H141" i="20"/>
  <c r="M148" i="22"/>
  <c r="QH18" i="7" s="1"/>
  <c r="CI18" i="7" s="1"/>
  <c r="I9" i="5"/>
  <c r="F48" i="4"/>
  <c r="Q24" i="22"/>
  <c r="N73" i="22"/>
  <c r="K133" i="20"/>
  <c r="Q135" i="20"/>
  <c r="Q50" i="20"/>
  <c r="W115" i="22"/>
  <c r="V152" i="21"/>
  <c r="N147" i="20"/>
  <c r="S153" i="22"/>
  <c r="QR20" i="7" s="1"/>
  <c r="K89" i="20"/>
  <c r="Z109" i="22"/>
  <c r="AC40" i="22"/>
  <c r="T37" i="22"/>
  <c r="Z76" i="22"/>
  <c r="T122" i="20"/>
  <c r="AC82" i="22"/>
  <c r="Z34" i="22"/>
  <c r="Q54" i="5"/>
  <c r="J215" i="4"/>
  <c r="AC146" i="22"/>
  <c r="X165" i="21"/>
  <c r="Y9" i="21"/>
  <c r="X180" i="21"/>
  <c r="X177" i="21"/>
  <c r="X169" i="21"/>
  <c r="X173" i="21"/>
  <c r="Q43" i="5"/>
  <c r="J179" i="4"/>
  <c r="AC121" i="22"/>
  <c r="CO25" i="7"/>
  <c r="AB25" i="7"/>
  <c r="CZ25" i="7"/>
  <c r="CE25" i="7" s="1"/>
  <c r="C7" i="21"/>
  <c r="C10" i="20"/>
  <c r="W103" i="22"/>
  <c r="I43" i="5"/>
  <c r="F179" i="4"/>
  <c r="Q121" i="22"/>
  <c r="V154" i="21"/>
  <c r="T147" i="20"/>
  <c r="S155" i="22"/>
  <c r="QV20" i="7" s="1"/>
  <c r="AC46" i="22"/>
  <c r="Q13" i="20"/>
  <c r="N37" i="22"/>
  <c r="AC97" i="22"/>
  <c r="Q19" i="20"/>
  <c r="M35" i="5"/>
  <c r="H147" i="4"/>
  <c r="W97" i="22"/>
  <c r="K28" i="5"/>
  <c r="G119" i="4"/>
  <c r="T76" i="22"/>
  <c r="V155" i="22"/>
  <c r="QV21" i="7" s="1"/>
  <c r="M32" i="5"/>
  <c r="H135" i="4"/>
  <c r="W88" i="22"/>
  <c r="G28" i="5"/>
  <c r="E119" i="4"/>
  <c r="N76" i="22"/>
  <c r="H191" i="4"/>
  <c r="M46" i="5"/>
  <c r="W130" i="22"/>
  <c r="F111" i="4"/>
  <c r="I26" i="5"/>
  <c r="Q70" i="22"/>
  <c r="F175" i="4"/>
  <c r="I42" i="5"/>
  <c r="Q118" i="22"/>
  <c r="Y155" i="21"/>
  <c r="O20" i="5"/>
  <c r="I87" i="4"/>
  <c r="Z52" i="22"/>
  <c r="P149" i="22"/>
  <c r="QJ19" i="7" s="1"/>
  <c r="CK19" i="7" s="1"/>
  <c r="K47" i="5"/>
  <c r="G194" i="4"/>
  <c r="T132" i="22"/>
  <c r="M148" i="21"/>
  <c r="G32" i="5"/>
  <c r="E135" i="4"/>
  <c r="N88" i="22"/>
  <c r="M36" i="5"/>
  <c r="H151" i="4"/>
  <c r="W100" i="22"/>
  <c r="AB153" i="22"/>
  <c r="QR23" i="7" s="1"/>
  <c r="AL3" i="20"/>
  <c r="H35" i="20"/>
  <c r="W35" i="20"/>
  <c r="H71" i="20"/>
  <c r="T23" i="20"/>
  <c r="Q44" i="20"/>
  <c r="K35" i="20"/>
  <c r="Q29" i="20"/>
  <c r="H25" i="20"/>
  <c r="Q133" i="20"/>
  <c r="H137" i="20"/>
  <c r="H113" i="20"/>
  <c r="N25" i="20"/>
  <c r="Q131" i="20"/>
  <c r="Q53" i="20"/>
  <c r="N95" i="20"/>
  <c r="H33" i="20"/>
  <c r="N139" i="20"/>
  <c r="H139" i="20"/>
  <c r="Q25" i="20"/>
  <c r="W104" i="20"/>
  <c r="W77" i="20"/>
  <c r="K41" i="20"/>
  <c r="K128" i="20"/>
  <c r="Q119" i="20"/>
  <c r="T104" i="20"/>
  <c r="N53" i="20"/>
  <c r="K141" i="20"/>
  <c r="W33" i="20"/>
  <c r="H95" i="20"/>
  <c r="K110" i="20"/>
  <c r="H131" i="20"/>
  <c r="N41" i="20"/>
  <c r="W89" i="20"/>
  <c r="N128" i="20"/>
  <c r="N137" i="20"/>
  <c r="H29" i="20"/>
  <c r="K29" i="20"/>
  <c r="T62" i="20"/>
  <c r="N44" i="20"/>
  <c r="H44" i="20"/>
  <c r="H119" i="20"/>
  <c r="T89" i="20"/>
  <c r="N71" i="20"/>
  <c r="W137" i="20"/>
  <c r="K53" i="20"/>
  <c r="K33" i="20"/>
  <c r="K113" i="20"/>
  <c r="Q41" i="20"/>
  <c r="W95" i="20"/>
  <c r="N29" i="20"/>
  <c r="T80" i="20"/>
  <c r="N92" i="20"/>
  <c r="H125" i="20"/>
  <c r="W29" i="20"/>
  <c r="Q23" i="20"/>
  <c r="T139" i="20"/>
  <c r="T95" i="20"/>
  <c r="K23" i="20"/>
  <c r="Q128" i="20"/>
  <c r="Q33" i="20"/>
  <c r="H41" i="20"/>
  <c r="K25" i="20"/>
  <c r="H23" i="20"/>
  <c r="N113" i="20"/>
  <c r="N23" i="20"/>
  <c r="T125" i="20"/>
  <c r="W116" i="20"/>
  <c r="W41" i="20"/>
  <c r="W80" i="20"/>
  <c r="K135" i="20"/>
  <c r="Q35" i="20"/>
  <c r="Q80" i="20"/>
  <c r="T131" i="20"/>
  <c r="T113" i="20"/>
  <c r="N131" i="20"/>
  <c r="N119" i="20"/>
  <c r="W110" i="20"/>
  <c r="W71" i="20"/>
  <c r="T33" i="20"/>
  <c r="Q137" i="20"/>
  <c r="H128" i="20"/>
  <c r="H80" i="20"/>
  <c r="Q116" i="20"/>
  <c r="T128" i="20"/>
  <c r="T29" i="20"/>
  <c r="N35" i="20"/>
  <c r="W131" i="20"/>
  <c r="K44" i="20"/>
  <c r="Q47" i="20"/>
  <c r="Q110" i="20"/>
  <c r="T35" i="20"/>
  <c r="K31" i="20"/>
  <c r="I20" i="5"/>
  <c r="F87" i="4"/>
  <c r="Q52" i="22"/>
  <c r="C3" i="21"/>
  <c r="C6" i="20"/>
  <c r="M154" i="22"/>
  <c r="QT18" i="7" s="1"/>
  <c r="N135" i="20"/>
  <c r="AC140" i="22"/>
  <c r="Q147" i="20"/>
  <c r="V148" i="21"/>
  <c r="K147" i="20"/>
  <c r="S148" i="22"/>
  <c r="QH20" i="7" s="1"/>
  <c r="CI20" i="7" s="1"/>
  <c r="T44" i="20"/>
  <c r="P152" i="20"/>
  <c r="Z121" i="22"/>
  <c r="J154" i="21"/>
  <c r="Z79" i="22"/>
  <c r="W113" i="20"/>
  <c r="E36" i="5"/>
  <c r="D151" i="4"/>
  <c r="K100" i="22"/>
  <c r="G45" i="5"/>
  <c r="E187" i="4"/>
  <c r="N127" i="22"/>
  <c r="J149" i="21"/>
  <c r="M43" i="5"/>
  <c r="H179" i="4"/>
  <c r="W121" i="22"/>
  <c r="Y153" i="22"/>
  <c r="QR22" i="7" s="1"/>
  <c r="G25" i="5"/>
  <c r="E107" i="4"/>
  <c r="N67" i="22"/>
  <c r="I25" i="5"/>
  <c r="F107" i="4"/>
  <c r="Q67" i="22"/>
  <c r="E54" i="5"/>
  <c r="D215" i="4"/>
  <c r="K146" i="22"/>
  <c r="V151" i="22"/>
  <c r="QN21" i="7" s="1"/>
  <c r="DB26" i="7"/>
  <c r="M26" i="4"/>
  <c r="E42" i="5"/>
  <c r="D175" i="4"/>
  <c r="K118" i="22"/>
  <c r="Z20" i="22"/>
  <c r="P153" i="22"/>
  <c r="QR19" i="7" s="1"/>
  <c r="M152" i="21"/>
  <c r="K91" i="22"/>
  <c r="G151" i="4"/>
  <c r="K36" i="5"/>
  <c r="T100" i="22"/>
  <c r="T20" i="22"/>
  <c r="K97" i="22"/>
  <c r="M20" i="5"/>
  <c r="H87" i="4"/>
  <c r="W52" i="22"/>
  <c r="Q89" i="20"/>
  <c r="Z24" i="22"/>
  <c r="M151" i="22"/>
  <c r="QN18" i="7" s="1"/>
  <c r="N79" i="22"/>
  <c r="DE25" i="7"/>
  <c r="DS25" i="7"/>
  <c r="DT25" i="7" s="1"/>
  <c r="DF25" i="7"/>
  <c r="EE25" i="7"/>
  <c r="EF25" i="7" s="1"/>
  <c r="DR25" i="7"/>
  <c r="DD25" i="7"/>
  <c r="ED25" i="7"/>
  <c r="DP25" i="7"/>
  <c r="DQ25" i="7" s="1"/>
  <c r="DC25" i="7"/>
  <c r="EA25" i="7"/>
  <c r="DM25" i="7"/>
  <c r="DN25" i="7" s="1"/>
  <c r="DL25" i="7"/>
  <c r="DY25" i="7"/>
  <c r="DZ25" i="7" s="1"/>
  <c r="CX25" i="7"/>
  <c r="CD25" i="7" s="1"/>
  <c r="DV25" i="7"/>
  <c r="DW25" i="7" s="1"/>
  <c r="DU25" i="7"/>
  <c r="DJ25" i="7"/>
  <c r="DK25" i="7" s="1"/>
  <c r="DI25" i="7"/>
  <c r="EB25" i="7"/>
  <c r="EC25" i="7" s="1"/>
  <c r="DX25" i="7"/>
  <c r="DO25" i="7"/>
  <c r="DG25" i="7"/>
  <c r="DH25" i="7" s="1"/>
  <c r="W135" i="20"/>
  <c r="N46" i="22"/>
  <c r="G163" i="4"/>
  <c r="K39" i="5"/>
  <c r="T109" i="22"/>
  <c r="C5" i="21"/>
  <c r="C8" i="20"/>
  <c r="Z142" i="22"/>
  <c r="K98" i="20"/>
  <c r="H147" i="20"/>
  <c r="S150" i="22"/>
  <c r="QL20" i="7" s="1"/>
  <c r="CM20" i="7" s="1"/>
  <c r="Z61" i="22"/>
  <c r="K71" i="20"/>
  <c r="P150" i="20"/>
  <c r="N98" i="20"/>
  <c r="AC67" i="22"/>
  <c r="T47" i="20"/>
  <c r="Q71" i="20"/>
  <c r="K37" i="5"/>
  <c r="G155" i="4"/>
  <c r="T103" i="22"/>
  <c r="G54" i="5"/>
  <c r="E215" i="4"/>
  <c r="N146" i="22"/>
  <c r="M154" i="20"/>
  <c r="J155" i="21"/>
  <c r="M19" i="5"/>
  <c r="H83" i="4"/>
  <c r="W49" i="22"/>
  <c r="P151" i="21"/>
  <c r="D155" i="4"/>
  <c r="E37" i="5"/>
  <c r="K103" i="22"/>
  <c r="M151" i="20"/>
  <c r="J155" i="22"/>
  <c r="QV17" i="7" s="1"/>
  <c r="E22" i="5"/>
  <c r="D95" i="4"/>
  <c r="K58" i="22"/>
  <c r="I19" i="5"/>
  <c r="F83" i="4"/>
  <c r="Q49" i="22"/>
  <c r="K46" i="5"/>
  <c r="G191" i="4"/>
  <c r="T130" i="22"/>
  <c r="K25" i="5"/>
  <c r="G107" i="4"/>
  <c r="T67" i="22"/>
  <c r="P154" i="21"/>
  <c r="O26" i="5"/>
  <c r="I111" i="4"/>
  <c r="Z70" i="22"/>
  <c r="I14" i="5"/>
  <c r="F63" i="4"/>
  <c r="Q34" i="22"/>
  <c r="J148" i="22"/>
  <c r="QH17" i="7" s="1"/>
  <c r="CI17" i="7" s="1"/>
  <c r="AC73" i="22"/>
  <c r="G215" i="4"/>
  <c r="K54" i="5"/>
  <c r="T146" i="22"/>
  <c r="M150" i="20"/>
  <c r="K40" i="5"/>
  <c r="G167" i="4"/>
  <c r="T112" i="22"/>
  <c r="W67" i="22"/>
  <c r="AC20" i="22"/>
  <c r="E32" i="5"/>
  <c r="D135" i="4"/>
  <c r="K88" i="22"/>
  <c r="N136" i="22"/>
  <c r="P149" i="21"/>
  <c r="V154" i="22"/>
  <c r="QT21" i="7" s="1"/>
  <c r="K21" i="5"/>
  <c r="G91" i="4"/>
  <c r="T55" i="22"/>
  <c r="G42" i="5"/>
  <c r="E175" i="4"/>
  <c r="N118" i="22"/>
  <c r="Z134" i="22"/>
  <c r="W40" i="22"/>
  <c r="T86" i="20"/>
  <c r="P155" i="22"/>
  <c r="QV19" i="7" s="1"/>
  <c r="W139" i="20"/>
  <c r="N133" i="20"/>
  <c r="M155" i="21"/>
  <c r="Q74" i="20"/>
  <c r="Q83" i="20"/>
  <c r="Q101" i="20"/>
  <c r="J154" i="20"/>
  <c r="J149" i="20"/>
  <c r="J151" i="20"/>
  <c r="J153" i="20"/>
  <c r="J152" i="20"/>
  <c r="J150" i="20"/>
  <c r="K13" i="20"/>
  <c r="Q30" i="22"/>
  <c r="T135" i="20"/>
  <c r="N30" i="22"/>
  <c r="G39" i="5"/>
  <c r="E163" i="4"/>
  <c r="N109" i="22"/>
  <c r="M14" i="5"/>
  <c r="H63" i="4"/>
  <c r="W34" i="22"/>
  <c r="T73" i="22"/>
  <c r="T119" i="20"/>
  <c r="N144" i="22"/>
  <c r="W65" i="20"/>
  <c r="K56" i="20"/>
  <c r="G135" i="4"/>
  <c r="K32" i="5"/>
  <c r="T88" i="22"/>
  <c r="S152" i="22"/>
  <c r="QP20" i="7" s="1"/>
  <c r="Z144" i="22"/>
  <c r="P149" i="20"/>
  <c r="Z127" i="22"/>
  <c r="T71" i="20"/>
  <c r="K104" i="20"/>
  <c r="G127" i="4"/>
  <c r="K30" i="5"/>
  <c r="T82" i="22"/>
  <c r="K43" i="5"/>
  <c r="G179" i="4"/>
  <c r="T121" i="22"/>
  <c r="Y152" i="21"/>
  <c r="M47" i="5"/>
  <c r="H194" i="4"/>
  <c r="W132" i="22"/>
  <c r="U165" i="21"/>
  <c r="V9" i="21"/>
  <c r="U169" i="21"/>
  <c r="U177" i="21"/>
  <c r="U180" i="21"/>
  <c r="U173" i="21"/>
  <c r="P152" i="21"/>
  <c r="V156" i="22"/>
  <c r="QX21" i="7" s="1"/>
  <c r="M21" i="5"/>
  <c r="H91" i="4"/>
  <c r="W55" i="22"/>
  <c r="G175" i="4"/>
  <c r="K42" i="5"/>
  <c r="T118" i="22"/>
  <c r="P154" i="22"/>
  <c r="QT19" i="7" s="1"/>
  <c r="M153" i="21"/>
  <c r="AB156" i="22"/>
  <c r="QX23" i="7" s="1"/>
  <c r="E45" i="4"/>
  <c r="G8" i="5"/>
  <c r="N22" i="22"/>
  <c r="M150" i="22"/>
  <c r="QL18" i="7" s="1"/>
  <c r="CM18" i="7" s="1"/>
  <c r="G153" i="20"/>
  <c r="G151" i="20"/>
  <c r="G149" i="20"/>
  <c r="G154" i="20"/>
  <c r="G152" i="20"/>
  <c r="G150" i="20"/>
  <c r="H13" i="20"/>
  <c r="W15" i="22"/>
  <c r="Q15" i="5"/>
  <c r="J67" i="4"/>
  <c r="AC37" i="22"/>
  <c r="I28" i="5"/>
  <c r="F119" i="4"/>
  <c r="Q76" i="22"/>
  <c r="E39" i="5"/>
  <c r="D163" i="4"/>
  <c r="K109" i="22"/>
  <c r="T12" i="22"/>
  <c r="T98" i="20"/>
  <c r="S151" i="22"/>
  <c r="QN20" i="7" s="1"/>
  <c r="P154" i="20"/>
  <c r="T68" i="20"/>
  <c r="Q95" i="20"/>
  <c r="T58" i="22"/>
  <c r="W145" i="20"/>
  <c r="J167" i="4"/>
  <c r="Q40" i="5"/>
  <c r="AC112" i="22"/>
  <c r="O34" i="5"/>
  <c r="I143" i="4"/>
  <c r="Z94" i="22"/>
  <c r="Y154" i="22"/>
  <c r="QT22" i="7" s="1"/>
  <c r="F215" i="4"/>
  <c r="I54" i="5"/>
  <c r="Q146" i="22"/>
  <c r="M149" i="20"/>
  <c r="G40" i="5"/>
  <c r="E167" i="4"/>
  <c r="N112" i="22"/>
  <c r="W61" i="22"/>
  <c r="O25" i="5"/>
  <c r="I107" i="4"/>
  <c r="Z67" i="22"/>
  <c r="P155" i="21"/>
  <c r="G21" i="5"/>
  <c r="E91" i="4"/>
  <c r="N55" i="22"/>
  <c r="I151" i="4"/>
  <c r="O36" i="5"/>
  <c r="Z100" i="22"/>
  <c r="M33" i="5"/>
  <c r="H139" i="4"/>
  <c r="W91" i="22"/>
  <c r="P156" i="22"/>
  <c r="QX19" i="7" s="1"/>
  <c r="AC134" i="22"/>
  <c r="G23" i="5"/>
  <c r="E99" i="4"/>
  <c r="N61" i="22"/>
  <c r="M151" i="21"/>
  <c r="L180" i="21"/>
  <c r="AB149" i="22"/>
  <c r="QJ23" i="7" s="1"/>
  <c r="CK23" i="7" s="1"/>
  <c r="N106" i="22"/>
  <c r="M8" i="5"/>
  <c r="H45" i="4"/>
  <c r="W22" i="22"/>
  <c r="H143" i="20"/>
  <c r="T101" i="20"/>
  <c r="N12" i="22"/>
  <c r="M156" i="22"/>
  <c r="QX18" i="7" s="1"/>
  <c r="E30" i="5"/>
  <c r="D127" i="4"/>
  <c r="K82" i="22"/>
  <c r="V151" i="20"/>
  <c r="V150" i="20"/>
  <c r="V152" i="20"/>
  <c r="V154" i="20"/>
  <c r="V149" i="20"/>
  <c r="V153" i="20"/>
  <c r="W13" i="20"/>
  <c r="D203" i="4"/>
  <c r="E50" i="5"/>
  <c r="K138" i="22"/>
  <c r="F67" i="4"/>
  <c r="I15" i="5"/>
  <c r="Q37" i="22"/>
  <c r="C9" i="21"/>
  <c r="Q39" i="5"/>
  <c r="J163" i="4"/>
  <c r="AC109" i="22"/>
  <c r="N19" i="20"/>
  <c r="L179" i="20" s="1"/>
  <c r="W118" i="22"/>
  <c r="P153" i="20"/>
  <c r="N125" i="20"/>
  <c r="Q106" i="22"/>
  <c r="AC130" i="22"/>
  <c r="W53" i="20"/>
  <c r="AC52" i="22"/>
  <c r="C8" i="21"/>
  <c r="C11" i="20"/>
  <c r="M153" i="20"/>
  <c r="O27" i="5"/>
  <c r="I115" i="4"/>
  <c r="Z73" i="22"/>
  <c r="Y156" i="22"/>
  <c r="QX22" i="7" s="1"/>
  <c r="M6" i="5"/>
  <c r="H39" i="4"/>
  <c r="W18" i="22"/>
  <c r="O177" i="21"/>
  <c r="V148" i="22"/>
  <c r="QH21" i="7" s="1"/>
  <c r="CI21" i="7" s="1"/>
  <c r="O22" i="5"/>
  <c r="I95" i="4"/>
  <c r="Z58" i="22"/>
  <c r="O8" i="5"/>
  <c r="I45" i="4"/>
  <c r="Z22" i="22"/>
  <c r="Y151" i="21"/>
  <c r="J151" i="21"/>
  <c r="K33" i="5"/>
  <c r="G139" i="4"/>
  <c r="T91" i="22"/>
  <c r="M154" i="21"/>
  <c r="L169" i="21"/>
  <c r="AB151" i="22"/>
  <c r="QN23" i="7" s="1"/>
  <c r="I39" i="5"/>
  <c r="F163" i="4"/>
  <c r="Q109" i="22"/>
  <c r="K8" i="5"/>
  <c r="G45" i="4"/>
  <c r="T22" i="22"/>
  <c r="Q22" i="5"/>
  <c r="J95" i="4"/>
  <c r="AC58" i="22"/>
  <c r="I165" i="21"/>
  <c r="J9" i="21"/>
  <c r="I177" i="21"/>
  <c r="I173" i="21"/>
  <c r="I180" i="21"/>
  <c r="I169" i="21"/>
  <c r="O50" i="5"/>
  <c r="I203" i="4"/>
  <c r="Z138" i="22"/>
  <c r="S153" i="20"/>
  <c r="S151" i="20"/>
  <c r="S149" i="20"/>
  <c r="S150" i="20"/>
  <c r="S152" i="20"/>
  <c r="S154" i="20"/>
  <c r="T13" i="20"/>
  <c r="I50" i="5"/>
  <c r="F203" i="4"/>
  <c r="Q138" i="22"/>
  <c r="K62" i="20"/>
  <c r="M15" i="5"/>
  <c r="H67" i="4"/>
  <c r="W37" i="22"/>
  <c r="M39" i="5"/>
  <c r="H163" i="4"/>
  <c r="W109" i="22"/>
  <c r="T19" i="20"/>
  <c r="J148" i="21"/>
  <c r="V150" i="21"/>
  <c r="AC26" i="22"/>
  <c r="N143" i="20"/>
  <c r="Q38" i="20"/>
  <c r="P151" i="20"/>
  <c r="W44" i="20"/>
  <c r="W12" i="22"/>
  <c r="W23" i="20"/>
  <c r="Q113" i="20"/>
  <c r="K131" i="20"/>
  <c r="Q45" i="5"/>
  <c r="J187" i="4"/>
  <c r="AC127" i="22"/>
  <c r="D107" i="4"/>
  <c r="E25" i="5"/>
  <c r="K67" i="22"/>
  <c r="E26" i="5"/>
  <c r="D111" i="4"/>
  <c r="K70" i="22"/>
  <c r="F45" i="4"/>
  <c r="I8" i="5"/>
  <c r="Q22" i="22"/>
  <c r="H215" i="4"/>
  <c r="M54" i="5"/>
  <c r="W146" i="22"/>
  <c r="I32" i="5"/>
  <c r="F135" i="4"/>
  <c r="Q88" i="22"/>
  <c r="O169" i="21"/>
  <c r="I23" i="5"/>
  <c r="F99" i="4"/>
  <c r="Q61" i="22"/>
  <c r="Y157" i="22"/>
  <c r="QZ22" i="7" s="1"/>
  <c r="I6" i="5"/>
  <c r="F39" i="4"/>
  <c r="Q18" i="22"/>
  <c r="O165" i="21"/>
  <c r="E83" i="4"/>
  <c r="G19" i="5"/>
  <c r="N49" i="22"/>
  <c r="V150" i="22"/>
  <c r="QL21" i="7" s="1"/>
  <c r="CM21" i="7" s="1"/>
  <c r="Y148" i="21"/>
  <c r="K28" i="22"/>
  <c r="T18" i="21"/>
  <c r="R177" i="21" s="1"/>
  <c r="S155" i="21"/>
  <c r="S152" i="21"/>
  <c r="S149" i="21"/>
  <c r="S150" i="21"/>
  <c r="S151" i="21"/>
  <c r="S148" i="21"/>
  <c r="S154" i="21"/>
  <c r="S153" i="21"/>
  <c r="P151" i="22"/>
  <c r="QN19" i="7" s="1"/>
  <c r="J150" i="21"/>
  <c r="L177" i="21"/>
  <c r="AB157" i="22"/>
  <c r="QZ23" i="7" s="1"/>
  <c r="Q73" i="22"/>
  <c r="D45" i="4"/>
  <c r="E8" i="5"/>
  <c r="K22" i="22"/>
  <c r="J151" i="22"/>
  <c r="QN17" i="7" s="1"/>
  <c r="I22" i="5"/>
  <c r="F95" i="4"/>
  <c r="Q58" i="22"/>
  <c r="N83" i="20"/>
  <c r="W101" i="20"/>
  <c r="K9" i="5"/>
  <c r="G48" i="4"/>
  <c r="T24" i="22"/>
  <c r="N140" i="22"/>
  <c r="E24" i="5"/>
  <c r="D103" i="4"/>
  <c r="K64" i="22"/>
  <c r="M50" i="5"/>
  <c r="H203" i="4"/>
  <c r="W138" i="22"/>
  <c r="N24" i="4"/>
  <c r="H89" i="20"/>
  <c r="H50" i="20"/>
  <c r="W19" i="20"/>
  <c r="V155" i="21"/>
  <c r="AC61" i="22"/>
  <c r="N138" i="22"/>
  <c r="N89" i="20"/>
  <c r="N122" i="20"/>
  <c r="Z40" i="22"/>
  <c r="Z112" i="22"/>
  <c r="W56" i="20"/>
  <c r="K49" i="22"/>
  <c r="Z55" i="22"/>
  <c r="M150" i="21"/>
  <c r="D99" i="4"/>
  <c r="E23" i="5"/>
  <c r="K61" i="22"/>
  <c r="CZ24" i="7"/>
  <c r="CE24" i="7" s="1"/>
  <c r="CO24" i="7"/>
  <c r="AB24" i="7"/>
  <c r="G24" i="5"/>
  <c r="E103" i="4"/>
  <c r="N64" i="22"/>
  <c r="I155" i="4"/>
  <c r="O37" i="5"/>
  <c r="Z103" i="22"/>
  <c r="Y149" i="22"/>
  <c r="QJ22" i="7" s="1"/>
  <c r="CK22" i="7" s="1"/>
  <c r="K6" i="5"/>
  <c r="G39" i="4"/>
  <c r="T18" i="22"/>
  <c r="K41" i="5"/>
  <c r="G171" i="4"/>
  <c r="T115" i="22"/>
  <c r="C10" i="21"/>
  <c r="P24" i="4"/>
  <c r="E10" i="21" s="1"/>
  <c r="AB26" i="7"/>
  <c r="CZ26" i="7"/>
  <c r="CE26" i="7" s="1"/>
  <c r="CO26" i="7"/>
  <c r="G187" i="4"/>
  <c r="K45" i="5"/>
  <c r="T127" i="22"/>
  <c r="V153" i="22"/>
  <c r="QR21" i="7" s="1"/>
  <c r="I127" i="4"/>
  <c r="O30" i="5"/>
  <c r="Z82" i="22"/>
  <c r="Y150" i="21"/>
  <c r="G153" i="21"/>
  <c r="G155" i="21"/>
  <c r="G150" i="21"/>
  <c r="G154" i="21"/>
  <c r="G151" i="21"/>
  <c r="G148" i="21"/>
  <c r="G152" i="21"/>
  <c r="G149" i="21"/>
  <c r="H18" i="21"/>
  <c r="F177" i="21" s="1"/>
  <c r="J156" i="22"/>
  <c r="QX17" i="7" s="1"/>
  <c r="P157" i="22"/>
  <c r="QZ19" i="7" s="1"/>
  <c r="Q28" i="22"/>
  <c r="AC85" i="22"/>
  <c r="T107" i="20"/>
  <c r="W16" i="20"/>
  <c r="W28" i="22"/>
  <c r="W62" i="20"/>
  <c r="AB155" i="22"/>
  <c r="QV23" i="7" s="1"/>
  <c r="N32" i="22"/>
  <c r="H95" i="4"/>
  <c r="M22" i="5"/>
  <c r="W58" i="22"/>
  <c r="Q144" i="22"/>
  <c r="K101" i="20"/>
  <c r="M149" i="22"/>
  <c r="QJ18" i="7" s="1"/>
  <c r="CK18" i="7" s="1"/>
  <c r="Q9" i="5"/>
  <c r="J48" i="4"/>
  <c r="AC24" i="22"/>
  <c r="G103" i="4"/>
  <c r="K24" i="5"/>
  <c r="T64" i="22"/>
  <c r="K50" i="5"/>
  <c r="G203" i="4"/>
  <c r="T138" i="22"/>
  <c r="T83" i="20"/>
  <c r="H79" i="4"/>
  <c r="M18" i="5"/>
  <c r="W46" i="22"/>
  <c r="T50" i="20"/>
  <c r="H19" i="20"/>
  <c r="G14" i="5"/>
  <c r="E63" i="4"/>
  <c r="N34" i="22"/>
  <c r="V149" i="21"/>
  <c r="S149" i="22"/>
  <c r="QJ20" i="7" s="1"/>
  <c r="CK20" i="7" s="1"/>
  <c r="W70" i="22"/>
  <c r="N62" i="20"/>
  <c r="Z88" i="22"/>
  <c r="Z115" i="22"/>
  <c r="K80" i="20"/>
  <c r="AB26" i="4"/>
  <c r="L168" i="20" l="1"/>
  <c r="S10" i="20"/>
  <c r="R164" i="20"/>
  <c r="R176" i="20"/>
  <c r="R172" i="20"/>
  <c r="R179" i="20"/>
  <c r="R168" i="20"/>
  <c r="R167" i="22"/>
  <c r="G19" i="4" s="1"/>
  <c r="R182" i="22"/>
  <c r="G23" i="4" s="1"/>
  <c r="S9" i="22"/>
  <c r="R171" i="22"/>
  <c r="G20" i="4" s="1"/>
  <c r="R175" i="22"/>
  <c r="G21" i="4" s="1"/>
  <c r="R179" i="22"/>
  <c r="G22" i="4" s="1"/>
  <c r="F169" i="21"/>
  <c r="L164" i="20"/>
  <c r="R173" i="21"/>
  <c r="BE24" i="7"/>
  <c r="BF24" i="7" s="1"/>
  <c r="AS24" i="7"/>
  <c r="AT24" i="7" s="1"/>
  <c r="AG24" i="7"/>
  <c r="AH24" i="7" s="1"/>
  <c r="SZ24" i="7"/>
  <c r="TA24" i="7" s="1"/>
  <c r="AM24" i="7"/>
  <c r="AN24" i="7" s="1"/>
  <c r="SY24" i="7"/>
  <c r="AY24" i="7"/>
  <c r="AZ24" i="7" s="1"/>
  <c r="AL24" i="7"/>
  <c r="AX24" i="7"/>
  <c r="TI24" i="7"/>
  <c r="TJ24" i="7" s="1"/>
  <c r="SV24" i="7"/>
  <c r="SW24" i="7"/>
  <c r="SX24" i="7" s="1"/>
  <c r="AJ24" i="7"/>
  <c r="AK24" i="7" s="1"/>
  <c r="ST24" i="7"/>
  <c r="SU24" i="7" s="1"/>
  <c r="SS24" i="7"/>
  <c r="BA24" i="7"/>
  <c r="TH24" i="7"/>
  <c r="SP24" i="7"/>
  <c r="AU24" i="7"/>
  <c r="AD24" i="7"/>
  <c r="AE24" i="7" s="1"/>
  <c r="TC24" i="7"/>
  <c r="TD24" i="7" s="1"/>
  <c r="AF24" i="7"/>
  <c r="SQ24" i="7"/>
  <c r="SR24" i="7" s="1"/>
  <c r="BB24" i="7"/>
  <c r="BC24" i="7" s="1"/>
  <c r="AC24" i="7"/>
  <c r="AV24" i="7"/>
  <c r="AW24" i="7" s="1"/>
  <c r="TF24" i="7"/>
  <c r="TG24" i="7" s="1"/>
  <c r="TE24" i="7"/>
  <c r="AP24" i="7"/>
  <c r="AQ24" i="7" s="1"/>
  <c r="AR24" i="7"/>
  <c r="TB24" i="7"/>
  <c r="AO24" i="7"/>
  <c r="AI24" i="7"/>
  <c r="BD24" i="7"/>
  <c r="F173" i="21"/>
  <c r="R169" i="21"/>
  <c r="TC26" i="7"/>
  <c r="TD26" i="7" s="1"/>
  <c r="SQ26" i="7"/>
  <c r="SR26" i="7" s="1"/>
  <c r="BA26" i="7"/>
  <c r="AO26" i="7"/>
  <c r="AC26" i="7"/>
  <c r="AY26" i="7"/>
  <c r="AZ26" i="7" s="1"/>
  <c r="AM26" i="7"/>
  <c r="AN26" i="7" s="1"/>
  <c r="AS26" i="7"/>
  <c r="AT26" i="7" s="1"/>
  <c r="TB26" i="7"/>
  <c r="AR26" i="7"/>
  <c r="AD26" i="7"/>
  <c r="AE26" i="7" s="1"/>
  <c r="SZ26" i="7"/>
  <c r="TA26" i="7" s="1"/>
  <c r="BE26" i="7"/>
  <c r="BF26" i="7" s="1"/>
  <c r="ST26" i="7"/>
  <c r="SU26" i="7" s="1"/>
  <c r="SS26" i="7"/>
  <c r="AJ26" i="7"/>
  <c r="AK26" i="7" s="1"/>
  <c r="BD26" i="7"/>
  <c r="AI26" i="7"/>
  <c r="AX26" i="7"/>
  <c r="AF26" i="7"/>
  <c r="TF26" i="7"/>
  <c r="TG26" i="7" s="1"/>
  <c r="AU26" i="7"/>
  <c r="SY26" i="7"/>
  <c r="AP26" i="7"/>
  <c r="AQ26" i="7" s="1"/>
  <c r="SV26" i="7"/>
  <c r="AG26" i="7"/>
  <c r="AH26" i="7" s="1"/>
  <c r="SP26" i="7"/>
  <c r="TI26" i="7"/>
  <c r="TJ26" i="7" s="1"/>
  <c r="AL26" i="7"/>
  <c r="TH26" i="7"/>
  <c r="TE26" i="7"/>
  <c r="SW26" i="7"/>
  <c r="SX26" i="7" s="1"/>
  <c r="BB26" i="7"/>
  <c r="BC26" i="7" s="1"/>
  <c r="AV26" i="7"/>
  <c r="AW26" i="7" s="1"/>
  <c r="F180" i="21"/>
  <c r="EG25" i="7"/>
  <c r="R180" i="21"/>
  <c r="G9" i="21"/>
  <c r="Y7" i="21" s="1"/>
  <c r="S9" i="21"/>
  <c r="F165" i="21"/>
  <c r="R165" i="21"/>
  <c r="I179" i="20"/>
  <c r="J10" i="20"/>
  <c r="I164" i="20"/>
  <c r="I172" i="20"/>
  <c r="I168" i="20"/>
  <c r="I176" i="20"/>
  <c r="P10" i="20"/>
  <c r="O179" i="20"/>
  <c r="O164" i="20"/>
  <c r="O168" i="20"/>
  <c r="O172" i="20"/>
  <c r="O176" i="20"/>
  <c r="AA167" i="22"/>
  <c r="J19" i="4" s="1"/>
  <c r="AA182" i="22"/>
  <c r="J23" i="4" s="1"/>
  <c r="AB9" i="22"/>
  <c r="AA179" i="22"/>
  <c r="J22" i="4" s="1"/>
  <c r="AA175" i="22"/>
  <c r="J21" i="4" s="1"/>
  <c r="AA171" i="22"/>
  <c r="J20" i="4" s="1"/>
  <c r="TF25" i="7"/>
  <c r="TG25" i="7" s="1"/>
  <c r="ST25" i="7"/>
  <c r="SU25" i="7" s="1"/>
  <c r="BB25" i="7"/>
  <c r="BC25" i="7" s="1"/>
  <c r="AP25" i="7"/>
  <c r="AQ25" i="7" s="1"/>
  <c r="AD25" i="7"/>
  <c r="AE25" i="7" s="1"/>
  <c r="TC25" i="7"/>
  <c r="TD25" i="7" s="1"/>
  <c r="AY25" i="7"/>
  <c r="AZ25" i="7" s="1"/>
  <c r="AL25" i="7"/>
  <c r="TB25" i="7"/>
  <c r="AX25" i="7"/>
  <c r="AJ25" i="7"/>
  <c r="AK25" i="7" s="1"/>
  <c r="SY25" i="7"/>
  <c r="AU25" i="7"/>
  <c r="SW25" i="7"/>
  <c r="SX25" i="7" s="1"/>
  <c r="AV25" i="7"/>
  <c r="AW25" i="7" s="1"/>
  <c r="AC25" i="7"/>
  <c r="SV25" i="7"/>
  <c r="SQ25" i="7"/>
  <c r="SR25" i="7" s="1"/>
  <c r="SP25" i="7"/>
  <c r="AS25" i="7"/>
  <c r="AT25" i="7" s="1"/>
  <c r="AO25" i="7"/>
  <c r="AM25" i="7"/>
  <c r="AN25" i="7" s="1"/>
  <c r="TI25" i="7"/>
  <c r="TJ25" i="7" s="1"/>
  <c r="AI25" i="7"/>
  <c r="TH25" i="7"/>
  <c r="AG25" i="7"/>
  <c r="AH25" i="7" s="1"/>
  <c r="SZ25" i="7"/>
  <c r="TA25" i="7" s="1"/>
  <c r="BD25" i="7"/>
  <c r="AR25" i="7"/>
  <c r="AF25" i="7"/>
  <c r="TE25" i="7"/>
  <c r="SS25" i="7"/>
  <c r="BE25" i="7"/>
  <c r="BF25" i="7" s="1"/>
  <c r="BA25" i="7"/>
  <c r="U167" i="22"/>
  <c r="H19" i="4" s="1"/>
  <c r="V9" i="22"/>
  <c r="U179" i="22"/>
  <c r="H22" i="4" s="1"/>
  <c r="U171" i="22"/>
  <c r="H20" i="4" s="1"/>
  <c r="U175" i="22"/>
  <c r="H21" i="4" s="1"/>
  <c r="U182" i="22"/>
  <c r="H23" i="4" s="1"/>
  <c r="L172" i="20"/>
  <c r="L176" i="20"/>
  <c r="O167" i="22"/>
  <c r="F19" i="4" s="1"/>
  <c r="O182" i="22"/>
  <c r="F23" i="4" s="1"/>
  <c r="P9" i="22"/>
  <c r="O171" i="22"/>
  <c r="F20" i="4" s="1"/>
  <c r="O179" i="22"/>
  <c r="F22" i="4" s="1"/>
  <c r="O175" i="22"/>
  <c r="F21" i="4" s="1"/>
  <c r="I167" i="22"/>
  <c r="D19" i="4" s="1"/>
  <c r="I175" i="22"/>
  <c r="D21" i="4" s="1"/>
  <c r="J9" i="22"/>
  <c r="I182" i="22"/>
  <c r="D23" i="4" s="1"/>
  <c r="I171" i="22"/>
  <c r="D20" i="4" s="1"/>
  <c r="I179" i="22"/>
  <c r="D22" i="4" s="1"/>
  <c r="DS24" i="7"/>
  <c r="DT24" i="7" s="1"/>
  <c r="DF24" i="7"/>
  <c r="EE24" i="7"/>
  <c r="EF24" i="7" s="1"/>
  <c r="DR24" i="7"/>
  <c r="DE24" i="7"/>
  <c r="ED24" i="7"/>
  <c r="DD24" i="7"/>
  <c r="DP24" i="7"/>
  <c r="DQ24" i="7" s="1"/>
  <c r="EA24" i="7"/>
  <c r="DO24" i="7"/>
  <c r="DL24" i="7"/>
  <c r="DI24" i="7"/>
  <c r="EB24" i="7"/>
  <c r="EC24" i="7" s="1"/>
  <c r="DG24" i="7"/>
  <c r="DH24" i="7" s="1"/>
  <c r="DC24" i="7"/>
  <c r="CX24" i="7"/>
  <c r="CD24" i="7" s="1"/>
  <c r="DV24" i="7"/>
  <c r="DW24" i="7" s="1"/>
  <c r="DY24" i="7"/>
  <c r="DZ24" i="7" s="1"/>
  <c r="DX24" i="7"/>
  <c r="DU24" i="7"/>
  <c r="DM24" i="7"/>
  <c r="DN24" i="7" s="1"/>
  <c r="DJ24" i="7"/>
  <c r="DK24" i="7" s="1"/>
  <c r="L167" i="22"/>
  <c r="E19" i="4" s="1"/>
  <c r="M9" i="22"/>
  <c r="L182" i="22"/>
  <c r="E23" i="4" s="1"/>
  <c r="L175" i="22"/>
  <c r="E21" i="4" s="1"/>
  <c r="L171" i="22"/>
  <c r="E20" i="4" s="1"/>
  <c r="L179" i="22"/>
  <c r="E22" i="4" s="1"/>
  <c r="M10" i="20"/>
  <c r="X167" i="22"/>
  <c r="I19" i="4" s="1"/>
  <c r="Y9" i="22"/>
  <c r="X182" i="22"/>
  <c r="I23" i="4" s="1"/>
  <c r="X175" i="22"/>
  <c r="I21" i="4" s="1"/>
  <c r="X179" i="22"/>
  <c r="I22" i="4" s="1"/>
  <c r="X171" i="22"/>
  <c r="I20" i="4" s="1"/>
  <c r="U172" i="20"/>
  <c r="U164" i="20"/>
  <c r="V10" i="20"/>
  <c r="U168" i="20"/>
  <c r="U179" i="20"/>
  <c r="U176" i="20"/>
  <c r="F179" i="20"/>
  <c r="F176" i="20"/>
  <c r="F172" i="20"/>
  <c r="F164" i="20"/>
  <c r="G10" i="20"/>
  <c r="F168" i="20"/>
  <c r="EB26" i="7"/>
  <c r="EC26" i="7" s="1"/>
  <c r="DP26" i="7"/>
  <c r="DQ26" i="7" s="1"/>
  <c r="DD26" i="7"/>
  <c r="DM26" i="7"/>
  <c r="DN26" i="7" s="1"/>
  <c r="CX26" i="7"/>
  <c r="CD26" i="7" s="1"/>
  <c r="EA26" i="7"/>
  <c r="DL26" i="7"/>
  <c r="DY26" i="7"/>
  <c r="DZ26" i="7" s="1"/>
  <c r="DI26" i="7"/>
  <c r="DO26" i="7"/>
  <c r="DJ26" i="7"/>
  <c r="DK26" i="7" s="1"/>
  <c r="DX26" i="7"/>
  <c r="DE26" i="7"/>
  <c r="DG26" i="7"/>
  <c r="DH26" i="7" s="1"/>
  <c r="DC26" i="7"/>
  <c r="EE26" i="7"/>
  <c r="EF26" i="7" s="1"/>
  <c r="ED26" i="7"/>
  <c r="DV26" i="7"/>
  <c r="DW26" i="7" s="1"/>
  <c r="DU26" i="7"/>
  <c r="DS26" i="7"/>
  <c r="DT26" i="7" s="1"/>
  <c r="DR26" i="7"/>
  <c r="DF26" i="7"/>
  <c r="X22" i="4"/>
  <c r="X23" i="4"/>
  <c r="AA21" i="4"/>
  <c r="V21" i="4"/>
  <c r="V20" i="4"/>
  <c r="X20" i="4"/>
  <c r="U21" i="4"/>
  <c r="Y22" i="4"/>
  <c r="X21" i="4"/>
  <c r="X19" i="4"/>
  <c r="W22" i="4"/>
  <c r="V23" i="4"/>
  <c r="AA20" i="4"/>
  <c r="V22" i="4"/>
  <c r="U19" i="4"/>
  <c r="U22" i="4"/>
  <c r="W20" i="4"/>
  <c r="W19" i="4"/>
  <c r="Y23" i="4"/>
  <c r="Z22" i="4"/>
  <c r="U23" i="4"/>
  <c r="U20" i="4"/>
  <c r="Z19" i="4"/>
  <c r="Z21" i="4"/>
  <c r="AA19" i="4"/>
  <c r="AA22" i="4"/>
  <c r="W21" i="4"/>
  <c r="AA23" i="4"/>
  <c r="Y19" i="4"/>
  <c r="Z23" i="4"/>
  <c r="Z20" i="4"/>
  <c r="V19" i="4"/>
  <c r="Y20" i="4"/>
  <c r="Y21" i="4"/>
  <c r="W23" i="4"/>
  <c r="G8" i="20" l="1"/>
  <c r="EG26" i="7"/>
  <c r="M7" i="22"/>
  <c r="DA18" i="7"/>
  <c r="CF18" i="7" s="1"/>
  <c r="E25" i="4"/>
  <c r="S7" i="22"/>
  <c r="DA20" i="7"/>
  <c r="CF20" i="7" s="1"/>
  <c r="G25" i="4"/>
  <c r="S7" i="21"/>
  <c r="P7" i="21"/>
  <c r="M7" i="21"/>
  <c r="G7" i="21"/>
  <c r="Y7" i="22"/>
  <c r="DA22" i="7"/>
  <c r="CF22" i="7" s="1"/>
  <c r="I25" i="4"/>
  <c r="P8" i="20"/>
  <c r="V7" i="22"/>
  <c r="DA21" i="7"/>
  <c r="CF21" i="7" s="1"/>
  <c r="H25" i="4"/>
  <c r="EO25" i="7"/>
  <c r="FF25" i="7"/>
  <c r="FG25" i="7" s="1"/>
  <c r="ER25" i="7"/>
  <c r="ES25" i="7" s="1"/>
  <c r="FD25" i="7"/>
  <c r="FE25" i="7" s="1"/>
  <c r="EQ25" i="7"/>
  <c r="FB25" i="7"/>
  <c r="FC25" i="7" s="1"/>
  <c r="EN25" i="7"/>
  <c r="EZ25" i="7"/>
  <c r="FA25" i="7" s="1"/>
  <c r="EI25" i="7"/>
  <c r="EH25" i="7"/>
  <c r="EX25" i="7"/>
  <c r="EY25" i="7" s="1"/>
  <c r="FJ25" i="7"/>
  <c r="FK25" i="7" s="1"/>
  <c r="EJ25" i="7"/>
  <c r="FH25" i="7"/>
  <c r="FI25" i="7" s="1"/>
  <c r="EV25" i="7"/>
  <c r="EW25" i="7" s="1"/>
  <c r="EM25" i="7"/>
  <c r="EL25" i="7"/>
  <c r="ET25" i="7"/>
  <c r="EU25" i="7" s="1"/>
  <c r="EP25" i="7"/>
  <c r="EK25" i="7"/>
  <c r="J7" i="22"/>
  <c r="E9" i="22"/>
  <c r="DA17" i="7"/>
  <c r="CF17" i="7" s="1"/>
  <c r="D25" i="4"/>
  <c r="J7" i="21"/>
  <c r="P7" i="22"/>
  <c r="DA19" i="7"/>
  <c r="CF19" i="7" s="1"/>
  <c r="F25" i="4"/>
  <c r="AB7" i="22"/>
  <c r="DA23" i="7"/>
  <c r="CF23" i="7" s="1"/>
  <c r="J25" i="4"/>
  <c r="V7" i="21"/>
  <c r="M8" i="20"/>
  <c r="EG24" i="7"/>
  <c r="V8" i="20"/>
  <c r="J8" i="20"/>
  <c r="S8" i="20"/>
  <c r="W25" i="4"/>
  <c r="V25" i="4"/>
  <c r="Y25" i="4"/>
  <c r="X25" i="4"/>
  <c r="AA25" i="4"/>
  <c r="U25" i="4"/>
  <c r="Z25" i="4"/>
  <c r="N20" i="4" l="1"/>
  <c r="N19" i="4"/>
  <c r="FL25" i="7"/>
  <c r="N5" i="4"/>
  <c r="DB20" i="7"/>
  <c r="G26" i="4"/>
  <c r="FD24" i="7"/>
  <c r="FE24" i="7" s="1"/>
  <c r="ER24" i="7"/>
  <c r="ES24" i="7" s="1"/>
  <c r="ET24" i="7"/>
  <c r="EU24" i="7" s="1"/>
  <c r="FF24" i="7"/>
  <c r="FG24" i="7" s="1"/>
  <c r="EQ24" i="7"/>
  <c r="EZ24" i="7"/>
  <c r="FA24" i="7" s="1"/>
  <c r="EJ24" i="7"/>
  <c r="EX24" i="7"/>
  <c r="EY24" i="7" s="1"/>
  <c r="EH24" i="7"/>
  <c r="FJ24" i="7"/>
  <c r="FK24" i="7" s="1"/>
  <c r="EM24" i="7"/>
  <c r="FH24" i="7"/>
  <c r="FI24" i="7" s="1"/>
  <c r="EK24" i="7"/>
  <c r="FB24" i="7"/>
  <c r="FC24" i="7" s="1"/>
  <c r="EP24" i="7"/>
  <c r="EO24" i="7"/>
  <c r="EV24" i="7"/>
  <c r="EW24" i="7" s="1"/>
  <c r="EN24" i="7"/>
  <c r="EL24" i="7"/>
  <c r="EI24" i="7"/>
  <c r="DB21" i="7"/>
  <c r="H26" i="4"/>
  <c r="N18" i="4"/>
  <c r="N21" i="4"/>
  <c r="DB17" i="7"/>
  <c r="D26" i="4"/>
  <c r="DB22" i="7"/>
  <c r="I26" i="4"/>
  <c r="DB19" i="7"/>
  <c r="F26" i="4"/>
  <c r="DB18" i="7"/>
  <c r="E26" i="4"/>
  <c r="DB23" i="7"/>
  <c r="J26" i="4"/>
  <c r="N22" i="4"/>
  <c r="N23" i="4"/>
  <c r="EZ26" i="7"/>
  <c r="FA26" i="7" s="1"/>
  <c r="EN26" i="7"/>
  <c r="FJ26" i="7"/>
  <c r="FK26" i="7" s="1"/>
  <c r="EX26" i="7"/>
  <c r="EY26" i="7" s="1"/>
  <c r="EL26" i="7"/>
  <c r="EQ26" i="7"/>
  <c r="FD26" i="7"/>
  <c r="FE26" i="7" s="1"/>
  <c r="EP26" i="7"/>
  <c r="EO26" i="7"/>
  <c r="EK26" i="7"/>
  <c r="FF26" i="7"/>
  <c r="FG26" i="7" s="1"/>
  <c r="EH26" i="7"/>
  <c r="FB26" i="7"/>
  <c r="FC26" i="7" s="1"/>
  <c r="ER26" i="7"/>
  <c r="ES26" i="7" s="1"/>
  <c r="EJ26" i="7"/>
  <c r="FH26" i="7"/>
  <c r="FI26" i="7" s="1"/>
  <c r="EV26" i="7"/>
  <c r="EW26" i="7" s="1"/>
  <c r="ET26" i="7"/>
  <c r="EU26" i="7" s="1"/>
  <c r="EM26" i="7"/>
  <c r="EI26" i="7"/>
  <c r="W26" i="4"/>
  <c r="U26" i="4"/>
  <c r="Y26" i="4"/>
  <c r="X26" i="4"/>
  <c r="Z26" i="4"/>
  <c r="AA26" i="4"/>
  <c r="V26" i="4"/>
  <c r="DY19" i="7" l="1"/>
  <c r="DZ19" i="7" s="1"/>
  <c r="DM19" i="7"/>
  <c r="DN19" i="7" s="1"/>
  <c r="DS19" i="7"/>
  <c r="DT19" i="7" s="1"/>
  <c r="DF19" i="7"/>
  <c r="EE19" i="7"/>
  <c r="EF19" i="7" s="1"/>
  <c r="DR19" i="7"/>
  <c r="DE19" i="7"/>
  <c r="ED19" i="7"/>
  <c r="DD19" i="7"/>
  <c r="EA19" i="7"/>
  <c r="DJ19" i="7"/>
  <c r="DK19" i="7" s="1"/>
  <c r="EB19" i="7"/>
  <c r="EC19" i="7" s="1"/>
  <c r="DI19" i="7"/>
  <c r="DX19" i="7"/>
  <c r="DG19" i="7"/>
  <c r="DH19" i="7" s="1"/>
  <c r="DC19" i="7"/>
  <c r="DV19" i="7"/>
  <c r="DW19" i="7" s="1"/>
  <c r="DU19" i="7"/>
  <c r="CX19" i="7"/>
  <c r="DO19" i="7"/>
  <c r="DL19" i="7"/>
  <c r="AG14" i="4"/>
  <c r="AG13" i="4"/>
  <c r="AG12" i="4"/>
  <c r="AG11" i="4"/>
  <c r="AG10" i="4"/>
  <c r="AG9" i="4"/>
  <c r="AG8" i="4"/>
  <c r="AG7" i="4"/>
  <c r="AG6" i="4"/>
  <c r="AH5" i="4"/>
  <c r="AF5" i="4" s="1"/>
  <c r="AG5" i="4"/>
  <c r="AG17" i="4"/>
  <c r="AG16" i="4"/>
  <c r="AG15" i="4"/>
  <c r="DX17" i="7"/>
  <c r="DL17" i="7"/>
  <c r="CX17" i="7"/>
  <c r="DJ17" i="7"/>
  <c r="DK17" i="7" s="1"/>
  <c r="EE17" i="7"/>
  <c r="EF17" i="7" s="1"/>
  <c r="DS17" i="7"/>
  <c r="DT17" i="7" s="1"/>
  <c r="DG17" i="7"/>
  <c r="DH17" i="7" s="1"/>
  <c r="DY17" i="7"/>
  <c r="DZ17" i="7" s="1"/>
  <c r="DE17" i="7"/>
  <c r="DU17" i="7"/>
  <c r="DD17" i="7"/>
  <c r="DC17" i="7"/>
  <c r="DR17" i="7"/>
  <c r="DP17" i="7"/>
  <c r="DQ17" i="7" s="1"/>
  <c r="DO17" i="7"/>
  <c r="ED17" i="7"/>
  <c r="DM17" i="7"/>
  <c r="DN17" i="7" s="1"/>
  <c r="EB17" i="7"/>
  <c r="EC17" i="7" s="1"/>
  <c r="DI17" i="7"/>
  <c r="EA17" i="7"/>
  <c r="DF17" i="7"/>
  <c r="DV20" i="7"/>
  <c r="DW20" i="7" s="1"/>
  <c r="DJ20" i="7"/>
  <c r="DK20" i="7" s="1"/>
  <c r="DU20" i="7"/>
  <c r="DS20" i="7"/>
  <c r="DT20" i="7" s="1"/>
  <c r="DE20" i="7"/>
  <c r="DR20" i="7"/>
  <c r="DD20" i="7"/>
  <c r="EE20" i="7"/>
  <c r="EF20" i="7" s="1"/>
  <c r="DC20" i="7"/>
  <c r="EB20" i="7"/>
  <c r="EC20" i="7" s="1"/>
  <c r="DO20" i="7"/>
  <c r="DM20" i="7"/>
  <c r="DN20" i="7" s="1"/>
  <c r="DL20" i="7"/>
  <c r="ED20" i="7"/>
  <c r="DI20" i="7"/>
  <c r="EA20" i="7"/>
  <c r="DF20" i="7"/>
  <c r="DY20" i="7"/>
  <c r="DZ20" i="7" s="1"/>
  <c r="DX20" i="7"/>
  <c r="CX20" i="7"/>
  <c r="DP20" i="7"/>
  <c r="DQ20" i="7" s="1"/>
  <c r="FL26" i="7"/>
  <c r="N27" i="4"/>
  <c r="FL24" i="7"/>
  <c r="CX23" i="7"/>
  <c r="ED23" i="7"/>
  <c r="DD23" i="7"/>
  <c r="DO23" i="7"/>
  <c r="EA23" i="7"/>
  <c r="DX23" i="7"/>
  <c r="DI23" i="7"/>
  <c r="DS23" i="7"/>
  <c r="DT23" i="7" s="1"/>
  <c r="DP23" i="7"/>
  <c r="DQ23" i="7" s="1"/>
  <c r="DL23" i="7"/>
  <c r="DG23" i="7"/>
  <c r="DH23" i="7" s="1"/>
  <c r="DY23" i="7"/>
  <c r="DZ23" i="7" s="1"/>
  <c r="DF23" i="7"/>
  <c r="EE23" i="7"/>
  <c r="EF23" i="7" s="1"/>
  <c r="EB23" i="7"/>
  <c r="EC23" i="7" s="1"/>
  <c r="DV23" i="7"/>
  <c r="DW23" i="7" s="1"/>
  <c r="DU23" i="7"/>
  <c r="DR23" i="7"/>
  <c r="DJ23" i="7"/>
  <c r="DK23" i="7" s="1"/>
  <c r="DE23" i="7"/>
  <c r="DC23" i="7"/>
  <c r="GK25" i="7"/>
  <c r="GL25" i="7" s="1"/>
  <c r="FY25" i="7"/>
  <c r="FZ25" i="7" s="1"/>
  <c r="FM25" i="7"/>
  <c r="FS25" i="7"/>
  <c r="GE25" i="7"/>
  <c r="GF25" i="7" s="1"/>
  <c r="FR25" i="7"/>
  <c r="FQ25" i="7"/>
  <c r="GO25" i="7"/>
  <c r="GP25" i="7" s="1"/>
  <c r="FO25" i="7"/>
  <c r="FV25" i="7"/>
  <c r="GM25" i="7"/>
  <c r="GN25" i="7" s="1"/>
  <c r="FU25" i="7"/>
  <c r="FT25" i="7"/>
  <c r="GI25" i="7"/>
  <c r="GJ25" i="7" s="1"/>
  <c r="GC25" i="7"/>
  <c r="GD25" i="7" s="1"/>
  <c r="GA25" i="7"/>
  <c r="GB25" i="7" s="1"/>
  <c r="FP25" i="7"/>
  <c r="FN25" i="7"/>
  <c r="GG25" i="7"/>
  <c r="GH25" i="7" s="1"/>
  <c r="FW25" i="7"/>
  <c r="FX25" i="7" s="1"/>
  <c r="EE22" i="7"/>
  <c r="EF22" i="7" s="1"/>
  <c r="DR22" i="7"/>
  <c r="DE22" i="7"/>
  <c r="DS22" i="7"/>
  <c r="DT22" i="7" s="1"/>
  <c r="DD22" i="7"/>
  <c r="ED22" i="7"/>
  <c r="DP22" i="7"/>
  <c r="DQ22" i="7" s="1"/>
  <c r="EA22" i="7"/>
  <c r="DL22" i="7"/>
  <c r="DF22" i="7"/>
  <c r="DU22" i="7"/>
  <c r="CX22" i="7"/>
  <c r="DO22" i="7"/>
  <c r="DM22" i="7"/>
  <c r="DN22" i="7" s="1"/>
  <c r="DI22" i="7"/>
  <c r="DG22" i="7"/>
  <c r="DH22" i="7" s="1"/>
  <c r="DC22" i="7"/>
  <c r="EB22" i="7"/>
  <c r="EC22" i="7" s="1"/>
  <c r="DY22" i="7"/>
  <c r="DZ22" i="7" s="1"/>
  <c r="DX22" i="7"/>
  <c r="DV22" i="7"/>
  <c r="DW22" i="7" s="1"/>
  <c r="DE21" i="7"/>
  <c r="EG21" i="7" s="1"/>
  <c r="DV21" i="7"/>
  <c r="DW21" i="7" s="1"/>
  <c r="DI21" i="7"/>
  <c r="DU21" i="7"/>
  <c r="DG21" i="7"/>
  <c r="DH21" i="7" s="1"/>
  <c r="EB21" i="7"/>
  <c r="EC21" i="7" s="1"/>
  <c r="DM21" i="7"/>
  <c r="DN21" i="7" s="1"/>
  <c r="EA21" i="7"/>
  <c r="DL21" i="7"/>
  <c r="DF21" i="7"/>
  <c r="DJ21" i="7"/>
  <c r="DK21" i="7" s="1"/>
  <c r="EE21" i="7"/>
  <c r="EF21" i="7" s="1"/>
  <c r="ED21" i="7"/>
  <c r="DC21" i="7"/>
  <c r="DY21" i="7"/>
  <c r="DZ21" i="7" s="1"/>
  <c r="DX21" i="7"/>
  <c r="DS21" i="7"/>
  <c r="DT21" i="7" s="1"/>
  <c r="CX21" i="7"/>
  <c r="DR21" i="7"/>
  <c r="DP21" i="7"/>
  <c r="DQ21" i="7" s="1"/>
  <c r="DO21" i="7"/>
  <c r="DU18" i="7"/>
  <c r="DI18" i="7"/>
  <c r="EE18" i="7"/>
  <c r="EF18" i="7" s="1"/>
  <c r="DG18" i="7"/>
  <c r="DH18" i="7" s="1"/>
  <c r="EB18" i="7"/>
  <c r="EC18" i="7" s="1"/>
  <c r="DP18" i="7"/>
  <c r="DQ18" i="7" s="1"/>
  <c r="DD18" i="7"/>
  <c r="DO18" i="7"/>
  <c r="CX18" i="7"/>
  <c r="ED18" i="7"/>
  <c r="DM18" i="7"/>
  <c r="DN18" i="7" s="1"/>
  <c r="DL18" i="7"/>
  <c r="EA18" i="7"/>
  <c r="DJ18" i="7"/>
  <c r="DK18" i="7" s="1"/>
  <c r="DY18" i="7"/>
  <c r="DZ18" i="7" s="1"/>
  <c r="DF18" i="7"/>
  <c r="DX18" i="7"/>
  <c r="DE18" i="7"/>
  <c r="DC18" i="7"/>
  <c r="DV18" i="7"/>
  <c r="DW18" i="7" s="1"/>
  <c r="DR18" i="7"/>
  <c r="DP19" i="7" l="1"/>
  <c r="DQ19" i="7" s="1"/>
  <c r="EG19" i="7" s="1"/>
  <c r="DV17" i="7"/>
  <c r="DW17" i="7" s="1"/>
  <c r="EG17" i="7" s="1"/>
  <c r="DS18" i="7"/>
  <c r="DT18" i="7" s="1"/>
  <c r="EG18" i="7" s="1"/>
  <c r="DJ22" i="7"/>
  <c r="DK22" i="7" s="1"/>
  <c r="EG22" i="7" s="1"/>
  <c r="DD21" i="7"/>
  <c r="DG20" i="7"/>
  <c r="DH20" i="7" s="1"/>
  <c r="EG20" i="7" s="1"/>
  <c r="DM23" i="7"/>
  <c r="DN23" i="7" s="1"/>
  <c r="EG23" i="7" s="1"/>
  <c r="CD23" i="7"/>
  <c r="RC23" i="7"/>
  <c r="CD18" i="7"/>
  <c r="RC18" i="7"/>
  <c r="FP24" i="7"/>
  <c r="GG24" i="7"/>
  <c r="GH24" i="7" s="1"/>
  <c r="FT24" i="7"/>
  <c r="FS24" i="7"/>
  <c r="GE24" i="7"/>
  <c r="GF24" i="7" s="1"/>
  <c r="FR24" i="7"/>
  <c r="FQ24" i="7"/>
  <c r="FN24" i="7"/>
  <c r="GA24" i="7"/>
  <c r="GB24" i="7" s="1"/>
  <c r="GI24" i="7"/>
  <c r="GJ24" i="7" s="1"/>
  <c r="GC24" i="7"/>
  <c r="GD24" i="7" s="1"/>
  <c r="FY24" i="7"/>
  <c r="FZ24" i="7" s="1"/>
  <c r="FW24" i="7"/>
  <c r="FX24" i="7" s="1"/>
  <c r="GM24" i="7"/>
  <c r="GN24" i="7" s="1"/>
  <c r="FO24" i="7"/>
  <c r="FM24" i="7"/>
  <c r="GO24" i="7"/>
  <c r="GP24" i="7" s="1"/>
  <c r="GK24" i="7"/>
  <c r="GL24" i="7" s="1"/>
  <c r="FV24" i="7"/>
  <c r="FU24" i="7"/>
  <c r="CD20" i="7"/>
  <c r="RC20" i="7"/>
  <c r="CD21" i="7"/>
  <c r="RC21" i="7"/>
  <c r="AG25" i="4"/>
  <c r="AH25" i="4" s="1"/>
  <c r="AG22" i="4"/>
  <c r="AH22" i="4" s="1"/>
  <c r="AG19" i="4"/>
  <c r="AH19" i="4" s="1"/>
  <c r="AF25" i="4"/>
  <c r="AF24" i="4"/>
  <c r="AG26" i="4"/>
  <c r="AH26" i="4" s="1"/>
  <c r="AF26" i="4"/>
  <c r="AG18" i="4"/>
  <c r="AH18" i="4" s="1"/>
  <c r="AF18" i="4" s="1"/>
  <c r="AG24" i="4"/>
  <c r="AH24" i="4" s="1"/>
  <c r="AG23" i="4"/>
  <c r="AH23" i="4" s="1"/>
  <c r="AG20" i="4"/>
  <c r="AH20" i="4" s="1"/>
  <c r="AG21" i="4"/>
  <c r="AH21" i="4" s="1"/>
  <c r="CD19" i="7"/>
  <c r="RC19" i="7"/>
  <c r="CD22" i="7"/>
  <c r="RC22" i="7"/>
  <c r="GQ25" i="7"/>
  <c r="EO21" i="7"/>
  <c r="EV21" i="7"/>
  <c r="EW21" i="7" s="1"/>
  <c r="EI21" i="7"/>
  <c r="EX21" i="7"/>
  <c r="EY21" i="7" s="1"/>
  <c r="EJ21" i="7"/>
  <c r="FF21" i="7"/>
  <c r="FG21" i="7" s="1"/>
  <c r="EQ21" i="7"/>
  <c r="EP21" i="7"/>
  <c r="FB21" i="7"/>
  <c r="FC21" i="7" s="1"/>
  <c r="EL21" i="7"/>
  <c r="FH21" i="7"/>
  <c r="FI21" i="7" s="1"/>
  <c r="EH21" i="7"/>
  <c r="FD21" i="7"/>
  <c r="FE21" i="7" s="1"/>
  <c r="EZ21" i="7"/>
  <c r="FA21" i="7" s="1"/>
  <c r="ET21" i="7"/>
  <c r="EU21" i="7" s="1"/>
  <c r="EN21" i="7"/>
  <c r="EM21" i="7"/>
  <c r="FJ21" i="7"/>
  <c r="FK21" i="7" s="1"/>
  <c r="EK21" i="7"/>
  <c r="CD17" i="7"/>
  <c r="RC17" i="7"/>
  <c r="FV26" i="7"/>
  <c r="GG26" i="7"/>
  <c r="GH26" i="7" s="1"/>
  <c r="FS26" i="7"/>
  <c r="FR26" i="7"/>
  <c r="GE26" i="7"/>
  <c r="GF26" i="7" s="1"/>
  <c r="FQ26" i="7"/>
  <c r="GC26" i="7"/>
  <c r="GD26" i="7" s="1"/>
  <c r="FO26" i="7"/>
  <c r="FY26" i="7"/>
  <c r="FZ26" i="7" s="1"/>
  <c r="FW26" i="7"/>
  <c r="FX26" i="7" s="1"/>
  <c r="GM26" i="7"/>
  <c r="GN26" i="7" s="1"/>
  <c r="FP26" i="7"/>
  <c r="FU26" i="7"/>
  <c r="FN26" i="7"/>
  <c r="GO26" i="7"/>
  <c r="GP26" i="7" s="1"/>
  <c r="GK26" i="7"/>
  <c r="GL26" i="7" s="1"/>
  <c r="GI26" i="7"/>
  <c r="GJ26" i="7" s="1"/>
  <c r="GA26" i="7"/>
  <c r="GB26" i="7" s="1"/>
  <c r="FT26" i="7"/>
  <c r="FM26" i="7"/>
  <c r="AF21" i="4" l="1"/>
  <c r="AF19" i="4"/>
  <c r="AF23" i="4"/>
  <c r="AF22" i="4"/>
  <c r="AF20" i="4"/>
  <c r="GW25" i="7"/>
  <c r="HF25" i="7"/>
  <c r="HG25" i="7" s="1"/>
  <c r="GS25" i="7"/>
  <c r="HR25" i="7"/>
  <c r="HS25" i="7" s="1"/>
  <c r="GR25" i="7"/>
  <c r="HD25" i="7"/>
  <c r="HE25" i="7" s="1"/>
  <c r="HB25" i="7"/>
  <c r="HC25" i="7" s="1"/>
  <c r="HJ25" i="7"/>
  <c r="HK25" i="7" s="1"/>
  <c r="HH25" i="7"/>
  <c r="HI25" i="7" s="1"/>
  <c r="GZ25" i="7"/>
  <c r="HP25" i="7"/>
  <c r="HQ25" i="7" s="1"/>
  <c r="HA25" i="7"/>
  <c r="GV25" i="7"/>
  <c r="GU25" i="7"/>
  <c r="HN25" i="7"/>
  <c r="HO25" i="7" s="1"/>
  <c r="HL25" i="7"/>
  <c r="HM25" i="7" s="1"/>
  <c r="GY25" i="7"/>
  <c r="GX25" i="7"/>
  <c r="GT25" i="7"/>
  <c r="HT25" i="7"/>
  <c r="HU25" i="7" s="1"/>
  <c r="CZ17" i="7"/>
  <c r="CE17" i="7" s="1"/>
  <c r="CO17" i="7"/>
  <c r="AB17" i="7"/>
  <c r="EI23" i="7"/>
  <c r="FD23" i="7"/>
  <c r="FE23" i="7" s="1"/>
  <c r="EQ23" i="7"/>
  <c r="FF23" i="7"/>
  <c r="FG23" i="7" s="1"/>
  <c r="ER23" i="7"/>
  <c r="ES23" i="7" s="1"/>
  <c r="EO23" i="7"/>
  <c r="EZ23" i="7"/>
  <c r="FA23" i="7" s="1"/>
  <c r="EL23" i="7"/>
  <c r="EK23" i="7"/>
  <c r="EH23" i="7"/>
  <c r="ET23" i="7"/>
  <c r="EU23" i="7" s="1"/>
  <c r="EJ23" i="7"/>
  <c r="FJ23" i="7"/>
  <c r="FK23" i="7" s="1"/>
  <c r="FH23" i="7"/>
  <c r="FI23" i="7" s="1"/>
  <c r="FB23" i="7"/>
  <c r="FC23" i="7" s="1"/>
  <c r="EV23" i="7"/>
  <c r="EW23" i="7" s="1"/>
  <c r="EP23" i="7"/>
  <c r="EN23" i="7"/>
  <c r="EM23" i="7"/>
  <c r="CZ22" i="7"/>
  <c r="CE22" i="7" s="1"/>
  <c r="CO22" i="7"/>
  <c r="AB22" i="7"/>
  <c r="FD18" i="7"/>
  <c r="FE18" i="7" s="1"/>
  <c r="ER18" i="7"/>
  <c r="ES18" i="7" s="1"/>
  <c r="EQ18" i="7"/>
  <c r="EZ18" i="7"/>
  <c r="FA18" i="7" s="1"/>
  <c r="EN18" i="7"/>
  <c r="EJ18" i="7"/>
  <c r="EI18" i="7"/>
  <c r="EX18" i="7"/>
  <c r="EY18" i="7" s="1"/>
  <c r="EH18" i="7"/>
  <c r="EV18" i="7"/>
  <c r="EW18" i="7" s="1"/>
  <c r="FJ18" i="7"/>
  <c r="FK18" i="7" s="1"/>
  <c r="ET18" i="7"/>
  <c r="EU18" i="7" s="1"/>
  <c r="EP18" i="7"/>
  <c r="FH18" i="7"/>
  <c r="FI18" i="7" s="1"/>
  <c r="EO18" i="7"/>
  <c r="EM18" i="7"/>
  <c r="FF18" i="7"/>
  <c r="FG18" i="7" s="1"/>
  <c r="EL18" i="7"/>
  <c r="EK18" i="7"/>
  <c r="GQ24" i="7"/>
  <c r="GQ26" i="7"/>
  <c r="CZ19" i="7"/>
  <c r="CE19" i="7" s="1"/>
  <c r="CO19" i="7"/>
  <c r="AB19" i="7"/>
  <c r="FH17" i="7"/>
  <c r="FI17" i="7" s="1"/>
  <c r="EV17" i="7"/>
  <c r="EW17" i="7" s="1"/>
  <c r="EJ17" i="7"/>
  <c r="EI17" i="7"/>
  <c r="FF17" i="7"/>
  <c r="FG17" i="7" s="1"/>
  <c r="ET17" i="7"/>
  <c r="EU17" i="7" s="1"/>
  <c r="EH17" i="7"/>
  <c r="EQ17" i="7"/>
  <c r="EO17" i="7"/>
  <c r="EN17" i="7"/>
  <c r="EM17" i="7"/>
  <c r="FB17" i="7"/>
  <c r="FC17" i="7" s="1"/>
  <c r="EL17" i="7"/>
  <c r="EK17" i="7"/>
  <c r="EZ17" i="7"/>
  <c r="FA17" i="7" s="1"/>
  <c r="EX17" i="7"/>
  <c r="EY17" i="7" s="1"/>
  <c r="ER17" i="7"/>
  <c r="ES17" i="7" s="1"/>
  <c r="FJ17" i="7"/>
  <c r="FK17" i="7" s="1"/>
  <c r="EP17" i="7"/>
  <c r="CZ18" i="7"/>
  <c r="CE18" i="7" s="1"/>
  <c r="AB18" i="7"/>
  <c r="CO18" i="7"/>
  <c r="AB21" i="7"/>
  <c r="CZ21" i="7"/>
  <c r="CE21" i="7" s="1"/>
  <c r="CO21" i="7"/>
  <c r="EK19" i="7"/>
  <c r="FF19" i="7"/>
  <c r="FG19" i="7" s="1"/>
  <c r="ER19" i="7"/>
  <c r="ES19" i="7" s="1"/>
  <c r="FD19" i="7"/>
  <c r="FE19" i="7" s="1"/>
  <c r="EQ19" i="7"/>
  <c r="EN19" i="7"/>
  <c r="EX19" i="7"/>
  <c r="EY19" i="7" s="1"/>
  <c r="EV19" i="7"/>
  <c r="EW19" i="7" s="1"/>
  <c r="ET19" i="7"/>
  <c r="EU19" i="7" s="1"/>
  <c r="EP19" i="7"/>
  <c r="FJ19" i="7"/>
  <c r="FK19" i="7" s="1"/>
  <c r="EO19" i="7"/>
  <c r="FH19" i="7"/>
  <c r="FI19" i="7" s="1"/>
  <c r="EM19" i="7"/>
  <c r="EL19" i="7"/>
  <c r="EJ19" i="7"/>
  <c r="FB19" i="7"/>
  <c r="FC19" i="7" s="1"/>
  <c r="EI19" i="7"/>
  <c r="EH19" i="7"/>
  <c r="FF20" i="7"/>
  <c r="FG20" i="7" s="1"/>
  <c r="EH20" i="7"/>
  <c r="EV20" i="7"/>
  <c r="EW20" i="7" s="1"/>
  <c r="EI20" i="7"/>
  <c r="FJ20" i="7"/>
  <c r="FK20" i="7" s="1"/>
  <c r="FH20" i="7"/>
  <c r="FI20" i="7" s="1"/>
  <c r="FD20" i="7"/>
  <c r="FE20" i="7" s="1"/>
  <c r="EP20" i="7"/>
  <c r="EL20" i="7"/>
  <c r="EK20" i="7"/>
  <c r="FB20" i="7"/>
  <c r="FC20" i="7" s="1"/>
  <c r="EJ20" i="7"/>
  <c r="EZ20" i="7"/>
  <c r="FA20" i="7" s="1"/>
  <c r="EX20" i="7"/>
  <c r="EY20" i="7" s="1"/>
  <c r="ER20" i="7"/>
  <c r="ES20" i="7" s="1"/>
  <c r="EQ20" i="7"/>
  <c r="EO20" i="7"/>
  <c r="EN20" i="7"/>
  <c r="EM20" i="7"/>
  <c r="FJ22" i="7"/>
  <c r="FK22" i="7" s="1"/>
  <c r="EX22" i="7"/>
  <c r="EY22" i="7" s="1"/>
  <c r="EL22" i="7"/>
  <c r="ER22" i="7"/>
  <c r="ES22" i="7" s="1"/>
  <c r="EO22" i="7"/>
  <c r="EP22" i="7"/>
  <c r="FF22" i="7"/>
  <c r="FG22" i="7" s="1"/>
  <c r="EM22" i="7"/>
  <c r="FD22" i="7"/>
  <c r="FE22" i="7" s="1"/>
  <c r="EK22" i="7"/>
  <c r="FB22" i="7"/>
  <c r="FC22" i="7" s="1"/>
  <c r="EJ22" i="7"/>
  <c r="EZ22" i="7"/>
  <c r="FA22" i="7" s="1"/>
  <c r="ET22" i="7"/>
  <c r="EU22" i="7" s="1"/>
  <c r="EQ22" i="7"/>
  <c r="EN22" i="7"/>
  <c r="EI22" i="7"/>
  <c r="EH22" i="7"/>
  <c r="FH22" i="7"/>
  <c r="FI22" i="7" s="1"/>
  <c r="CZ20" i="7"/>
  <c r="CE20" i="7" s="1"/>
  <c r="CO20" i="7"/>
  <c r="AB20" i="7"/>
  <c r="CZ23" i="7"/>
  <c r="CE23" i="7" s="1"/>
  <c r="AB23" i="7"/>
  <c r="CO23" i="7"/>
  <c r="FD17" i="7" l="1"/>
  <c r="FE17" i="7" s="1"/>
  <c r="EX23" i="7"/>
  <c r="EY23" i="7" s="1"/>
  <c r="FL23" i="7" s="1"/>
  <c r="EZ19" i="7"/>
  <c r="FA19" i="7" s="1"/>
  <c r="FL19" i="7" s="1"/>
  <c r="EV22" i="7"/>
  <c r="EW22" i="7" s="1"/>
  <c r="FL22" i="7" s="1"/>
  <c r="FB18" i="7"/>
  <c r="FC18" i="7" s="1"/>
  <c r="FL18" i="7" s="1"/>
  <c r="ET20" i="7"/>
  <c r="EU20" i="7" s="1"/>
  <c r="FL20" i="7" s="1"/>
  <c r="BB21" i="7"/>
  <c r="BC21" i="7" s="1"/>
  <c r="AP21" i="7"/>
  <c r="AQ21" i="7" s="1"/>
  <c r="AD21" i="7"/>
  <c r="AE21" i="7" s="1"/>
  <c r="TB21" i="7"/>
  <c r="AO21" i="7"/>
  <c r="TI21" i="7"/>
  <c r="TJ21" i="7" s="1"/>
  <c r="SS21" i="7"/>
  <c r="AI21" i="7"/>
  <c r="TC21" i="7"/>
  <c r="TD21" i="7" s="1"/>
  <c r="BA21" i="7"/>
  <c r="AL21" i="7"/>
  <c r="SW21" i="7"/>
  <c r="SX21" i="7" s="1"/>
  <c r="SV21" i="7"/>
  <c r="AY21" i="7"/>
  <c r="AZ21" i="7" s="1"/>
  <c r="AJ21" i="7"/>
  <c r="AK21" i="7" s="1"/>
  <c r="SP21" i="7"/>
  <c r="AU21" i="7"/>
  <c r="AF21" i="7"/>
  <c r="TH21" i="7"/>
  <c r="BE21" i="7"/>
  <c r="BF21" i="7" s="1"/>
  <c r="TF21" i="7"/>
  <c r="TG21" i="7" s="1"/>
  <c r="BD21" i="7"/>
  <c r="AC21" i="7"/>
  <c r="TE21" i="7"/>
  <c r="AX21" i="7"/>
  <c r="AV21" i="7"/>
  <c r="AW21" i="7" s="1"/>
  <c r="SZ21" i="7"/>
  <c r="TA21" i="7" s="1"/>
  <c r="SY21" i="7"/>
  <c r="AS21" i="7"/>
  <c r="AT21" i="7" s="1"/>
  <c r="ST21" i="7"/>
  <c r="SU21" i="7" s="1"/>
  <c r="AR21" i="7"/>
  <c r="SQ21" i="7"/>
  <c r="SR21" i="7" s="1"/>
  <c r="AM21" i="7"/>
  <c r="AN21" i="7" s="1"/>
  <c r="AG21" i="7"/>
  <c r="AH21" i="7" s="1"/>
  <c r="SZ19" i="7"/>
  <c r="TA19" i="7" s="1"/>
  <c r="AX19" i="7"/>
  <c r="AL19" i="7"/>
  <c r="TE19" i="7"/>
  <c r="TI19" i="7"/>
  <c r="TJ19" i="7" s="1"/>
  <c r="AM19" i="7"/>
  <c r="AN19" i="7" s="1"/>
  <c r="TH19" i="7"/>
  <c r="ST19" i="7"/>
  <c r="SU19" i="7" s="1"/>
  <c r="AY19" i="7"/>
  <c r="AZ19" i="7" s="1"/>
  <c r="SS19" i="7"/>
  <c r="AJ19" i="7"/>
  <c r="AK19" i="7" s="1"/>
  <c r="TC19" i="7"/>
  <c r="TD19" i="7" s="1"/>
  <c r="AG19" i="7"/>
  <c r="AH19" i="7" s="1"/>
  <c r="TF19" i="7"/>
  <c r="TG19" i="7" s="1"/>
  <c r="AR19" i="7"/>
  <c r="TB19" i="7"/>
  <c r="AP19" i="7"/>
  <c r="AQ19" i="7" s="1"/>
  <c r="AO19" i="7"/>
  <c r="SY19" i="7"/>
  <c r="BE19" i="7"/>
  <c r="BF19" i="7" s="1"/>
  <c r="BD19" i="7"/>
  <c r="AI19" i="7"/>
  <c r="SW19" i="7"/>
  <c r="SX19" i="7" s="1"/>
  <c r="SV19" i="7"/>
  <c r="BB19" i="7"/>
  <c r="BC19" i="7" s="1"/>
  <c r="AF19" i="7"/>
  <c r="SQ19" i="7"/>
  <c r="SR19" i="7" s="1"/>
  <c r="BA19" i="7"/>
  <c r="SP19" i="7"/>
  <c r="AV19" i="7"/>
  <c r="AW19" i="7" s="1"/>
  <c r="AD19" i="7"/>
  <c r="AE19" i="7" s="1"/>
  <c r="AU19" i="7"/>
  <c r="AC19" i="7"/>
  <c r="AS19" i="7"/>
  <c r="AT19" i="7" s="1"/>
  <c r="SY17" i="7"/>
  <c r="AV17" i="7"/>
  <c r="AW17" i="7" s="1"/>
  <c r="AJ17" i="7"/>
  <c r="AK17" i="7" s="1"/>
  <c r="TI17" i="7"/>
  <c r="TJ17" i="7" s="1"/>
  <c r="SW17" i="7"/>
  <c r="SX17" i="7" s="1"/>
  <c r="AU17" i="7"/>
  <c r="AI17" i="7"/>
  <c r="TF17" i="7"/>
  <c r="TG17" i="7" s="1"/>
  <c r="ST17" i="7"/>
  <c r="SU17" i="7" s="1"/>
  <c r="BD17" i="7"/>
  <c r="AR17" i="7"/>
  <c r="AF17" i="7"/>
  <c r="SZ17" i="7"/>
  <c r="TA17" i="7" s="1"/>
  <c r="AP17" i="7"/>
  <c r="AQ17" i="7" s="1"/>
  <c r="SV17" i="7"/>
  <c r="AO17" i="7"/>
  <c r="BE17" i="7"/>
  <c r="BF17" i="7" s="1"/>
  <c r="SS17" i="7"/>
  <c r="AM17" i="7"/>
  <c r="AN17" i="7" s="1"/>
  <c r="BB17" i="7"/>
  <c r="BC17" i="7" s="1"/>
  <c r="AL17" i="7"/>
  <c r="TH17" i="7"/>
  <c r="SQ17" i="7"/>
  <c r="SR17" i="7" s="1"/>
  <c r="BA17" i="7"/>
  <c r="SP17" i="7"/>
  <c r="AG17" i="7"/>
  <c r="AH17" i="7" s="1"/>
  <c r="TE17" i="7"/>
  <c r="AY17" i="7"/>
  <c r="AZ17" i="7" s="1"/>
  <c r="AX17" i="7"/>
  <c r="AD17" i="7"/>
  <c r="AE17" i="7" s="1"/>
  <c r="TC17" i="7"/>
  <c r="TD17" i="7" s="1"/>
  <c r="AC17" i="7"/>
  <c r="TB17" i="7"/>
  <c r="AS17" i="7"/>
  <c r="AT17" i="7" s="1"/>
  <c r="HL24" i="7"/>
  <c r="HM24" i="7" s="1"/>
  <c r="GZ24" i="7"/>
  <c r="HT24" i="7"/>
  <c r="HU24" i="7" s="1"/>
  <c r="GT24" i="7"/>
  <c r="HF24" i="7"/>
  <c r="HG24" i="7" s="1"/>
  <c r="GS24" i="7"/>
  <c r="HR24" i="7"/>
  <c r="HS24" i="7" s="1"/>
  <c r="GR24" i="7"/>
  <c r="HA24" i="7"/>
  <c r="GX24" i="7"/>
  <c r="GU24" i="7"/>
  <c r="HD24" i="7"/>
  <c r="HE24" i="7" s="1"/>
  <c r="HB24" i="7"/>
  <c r="HC24" i="7" s="1"/>
  <c r="GW24" i="7"/>
  <c r="GV24" i="7"/>
  <c r="HP24" i="7"/>
  <c r="HQ24" i="7" s="1"/>
  <c r="HJ24" i="7"/>
  <c r="HK24" i="7" s="1"/>
  <c r="HH24" i="7"/>
  <c r="HI24" i="7" s="1"/>
  <c r="GY24" i="7"/>
  <c r="HN24" i="7"/>
  <c r="HO24" i="7" s="1"/>
  <c r="HV25" i="7"/>
  <c r="AV23" i="7"/>
  <c r="AW23" i="7" s="1"/>
  <c r="AJ23" i="7"/>
  <c r="AK23" i="7" s="1"/>
  <c r="SZ23" i="7"/>
  <c r="TA23" i="7" s="1"/>
  <c r="SY23" i="7"/>
  <c r="AY23" i="7"/>
  <c r="AZ23" i="7" s="1"/>
  <c r="AL23" i="7"/>
  <c r="SQ23" i="7"/>
  <c r="SR23" i="7" s="1"/>
  <c r="AS23" i="7"/>
  <c r="AT23" i="7" s="1"/>
  <c r="TE23" i="7"/>
  <c r="BE23" i="7"/>
  <c r="BF23" i="7" s="1"/>
  <c r="AC23" i="7"/>
  <c r="TB23" i="7"/>
  <c r="BB23" i="7"/>
  <c r="BC23" i="7" s="1"/>
  <c r="SS23" i="7"/>
  <c r="AG23" i="7"/>
  <c r="AH23" i="7" s="1"/>
  <c r="SP23" i="7"/>
  <c r="AD23" i="7"/>
  <c r="AE23" i="7" s="1"/>
  <c r="TI23" i="7"/>
  <c r="TJ23" i="7" s="1"/>
  <c r="AU23" i="7"/>
  <c r="TH23" i="7"/>
  <c r="TC23" i="7"/>
  <c r="TD23" i="7" s="1"/>
  <c r="AO23" i="7"/>
  <c r="SW23" i="7"/>
  <c r="SX23" i="7" s="1"/>
  <c r="AM23" i="7"/>
  <c r="AN23" i="7" s="1"/>
  <c r="TF23" i="7"/>
  <c r="TG23" i="7" s="1"/>
  <c r="AF23" i="7"/>
  <c r="SV23" i="7"/>
  <c r="BD23" i="7"/>
  <c r="ST23" i="7"/>
  <c r="SU23" i="7" s="1"/>
  <c r="BA23" i="7"/>
  <c r="AX23" i="7"/>
  <c r="AR23" i="7"/>
  <c r="AP23" i="7"/>
  <c r="AQ23" i="7" s="1"/>
  <c r="AI23" i="7"/>
  <c r="ER21" i="7"/>
  <c r="ES21" i="7" s="1"/>
  <c r="FL21" i="7" s="1"/>
  <c r="AY22" i="7"/>
  <c r="AZ22" i="7" s="1"/>
  <c r="AM22" i="7"/>
  <c r="AN22" i="7" s="1"/>
  <c r="SY22" i="7"/>
  <c r="BA22" i="7"/>
  <c r="TE22" i="7"/>
  <c r="SQ22" i="7"/>
  <c r="SR22" i="7" s="1"/>
  <c r="AI22" i="7"/>
  <c r="TC22" i="7"/>
  <c r="TD22" i="7" s="1"/>
  <c r="AU22" i="7"/>
  <c r="AG22" i="7"/>
  <c r="AH22" i="7" s="1"/>
  <c r="AR22" i="7"/>
  <c r="AD22" i="7"/>
  <c r="AE22" i="7" s="1"/>
  <c r="SZ22" i="7"/>
  <c r="TA22" i="7" s="1"/>
  <c r="BD22" i="7"/>
  <c r="SV22" i="7"/>
  <c r="BB22" i="7"/>
  <c r="BC22" i="7" s="1"/>
  <c r="AF22" i="7"/>
  <c r="ST22" i="7"/>
  <c r="SU22" i="7" s="1"/>
  <c r="AX22" i="7"/>
  <c r="TH22" i="7"/>
  <c r="SP22" i="7"/>
  <c r="AS22" i="7"/>
  <c r="AT22" i="7" s="1"/>
  <c r="AL22" i="7"/>
  <c r="TI22" i="7"/>
  <c r="TJ22" i="7" s="1"/>
  <c r="AJ22" i="7"/>
  <c r="AK22" i="7" s="1"/>
  <c r="TF22" i="7"/>
  <c r="TG22" i="7" s="1"/>
  <c r="AC22" i="7"/>
  <c r="TB22" i="7"/>
  <c r="SW22" i="7"/>
  <c r="SX22" i="7" s="1"/>
  <c r="SS22" i="7"/>
  <c r="BE22" i="7"/>
  <c r="BF22" i="7" s="1"/>
  <c r="AV22" i="7"/>
  <c r="AW22" i="7" s="1"/>
  <c r="AP22" i="7"/>
  <c r="AQ22" i="7" s="1"/>
  <c r="AO22" i="7"/>
  <c r="TC18" i="7"/>
  <c r="TD18" i="7" s="1"/>
  <c r="SQ18" i="7"/>
  <c r="SR18" i="7" s="1"/>
  <c r="SZ18" i="7"/>
  <c r="TA18" i="7" s="1"/>
  <c r="SY18" i="7"/>
  <c r="BE18" i="7"/>
  <c r="BF18" i="7" s="1"/>
  <c r="AS18" i="7"/>
  <c r="AT18" i="7" s="1"/>
  <c r="AG18" i="7"/>
  <c r="AH18" i="7" s="1"/>
  <c r="BD18" i="7"/>
  <c r="AR18" i="7"/>
  <c r="AF18" i="7"/>
  <c r="TH18" i="7"/>
  <c r="BA18" i="7"/>
  <c r="AO18" i="7"/>
  <c r="AC18" i="7"/>
  <c r="TI18" i="7"/>
  <c r="TJ18" i="7" s="1"/>
  <c r="SP18" i="7"/>
  <c r="AX18" i="7"/>
  <c r="AD18" i="7"/>
  <c r="AE18" i="7" s="1"/>
  <c r="TF18" i="7"/>
  <c r="TG18" i="7" s="1"/>
  <c r="AV18" i="7"/>
  <c r="AW18" i="7" s="1"/>
  <c r="TE18" i="7"/>
  <c r="AU18" i="7"/>
  <c r="TB18" i="7"/>
  <c r="AP18" i="7"/>
  <c r="AQ18" i="7" s="1"/>
  <c r="SW18" i="7"/>
  <c r="SX18" i="7" s="1"/>
  <c r="AM18" i="7"/>
  <c r="AN18" i="7" s="1"/>
  <c r="SV18" i="7"/>
  <c r="AL18" i="7"/>
  <c r="ST18" i="7"/>
  <c r="SU18" i="7" s="1"/>
  <c r="BB18" i="7"/>
  <c r="BC18" i="7" s="1"/>
  <c r="SS18" i="7"/>
  <c r="AJ18" i="7"/>
  <c r="AK18" i="7" s="1"/>
  <c r="AY18" i="7"/>
  <c r="AZ18" i="7" s="1"/>
  <c r="AI18" i="7"/>
  <c r="HT26" i="7"/>
  <c r="HU26" i="7" s="1"/>
  <c r="HH26" i="7"/>
  <c r="HI26" i="7" s="1"/>
  <c r="GV26" i="7"/>
  <c r="HR26" i="7"/>
  <c r="HS26" i="7" s="1"/>
  <c r="HF26" i="7"/>
  <c r="HG26" i="7" s="1"/>
  <c r="GT26" i="7"/>
  <c r="GW26" i="7"/>
  <c r="HJ26" i="7"/>
  <c r="HK26" i="7" s="1"/>
  <c r="GU26" i="7"/>
  <c r="GS26" i="7"/>
  <c r="HP26" i="7"/>
  <c r="HQ26" i="7" s="1"/>
  <c r="GX26" i="7"/>
  <c r="GR26" i="7"/>
  <c r="HN26" i="7"/>
  <c r="HO26" i="7" s="1"/>
  <c r="HB26" i="7"/>
  <c r="HC26" i="7" s="1"/>
  <c r="GZ26" i="7"/>
  <c r="HL26" i="7"/>
  <c r="HM26" i="7" s="1"/>
  <c r="HD26" i="7"/>
  <c r="HE26" i="7" s="1"/>
  <c r="HA26" i="7"/>
  <c r="GY26" i="7"/>
  <c r="FL17" i="7"/>
  <c r="TC20" i="7"/>
  <c r="TD20" i="7" s="1"/>
  <c r="SP20" i="7"/>
  <c r="AU20" i="7"/>
  <c r="AI20" i="7"/>
  <c r="TI20" i="7"/>
  <c r="TJ20" i="7" s="1"/>
  <c r="ST20" i="7"/>
  <c r="SU20" i="7" s="1"/>
  <c r="AP20" i="7"/>
  <c r="AQ20" i="7" s="1"/>
  <c r="AC20" i="7"/>
  <c r="SS20" i="7"/>
  <c r="AX20" i="7"/>
  <c r="AJ20" i="7"/>
  <c r="AK20" i="7" s="1"/>
  <c r="TH20" i="7"/>
  <c r="TF20" i="7"/>
  <c r="TG20" i="7" s="1"/>
  <c r="SQ20" i="7"/>
  <c r="SR20" i="7" s="1"/>
  <c r="AV20" i="7"/>
  <c r="AW20" i="7" s="1"/>
  <c r="AG20" i="7"/>
  <c r="AH20" i="7" s="1"/>
  <c r="TB20" i="7"/>
  <c r="AR20" i="7"/>
  <c r="AD20" i="7"/>
  <c r="AE20" i="7" s="1"/>
  <c r="AS20" i="7"/>
  <c r="AT20" i="7" s="1"/>
  <c r="TE20" i="7"/>
  <c r="AO20" i="7"/>
  <c r="AM20" i="7"/>
  <c r="AN20" i="7" s="1"/>
  <c r="SZ20" i="7"/>
  <c r="TA20" i="7" s="1"/>
  <c r="BE20" i="7"/>
  <c r="BF20" i="7" s="1"/>
  <c r="AL20" i="7"/>
  <c r="SY20" i="7"/>
  <c r="BD20" i="7"/>
  <c r="BB20" i="7"/>
  <c r="BC20" i="7" s="1"/>
  <c r="AF20" i="7"/>
  <c r="SW20" i="7"/>
  <c r="SX20" i="7" s="1"/>
  <c r="BA20" i="7"/>
  <c r="SV20" i="7"/>
  <c r="AY20" i="7"/>
  <c r="AZ20" i="7" s="1"/>
  <c r="FR20" i="7" l="1"/>
  <c r="GI20" i="7"/>
  <c r="GJ20" i="7" s="1"/>
  <c r="FV20" i="7"/>
  <c r="GM20" i="7"/>
  <c r="GN20" i="7" s="1"/>
  <c r="GK20" i="7"/>
  <c r="GL20" i="7" s="1"/>
  <c r="FW20" i="7"/>
  <c r="FX20" i="7" s="1"/>
  <c r="GG20" i="7"/>
  <c r="GH20" i="7" s="1"/>
  <c r="FS20" i="7"/>
  <c r="GA20" i="7"/>
  <c r="GB20" i="7" s="1"/>
  <c r="FU20" i="7"/>
  <c r="FT20" i="7"/>
  <c r="GO20" i="7"/>
  <c r="GP20" i="7" s="1"/>
  <c r="FQ20" i="7"/>
  <c r="FP20" i="7"/>
  <c r="FO20" i="7"/>
  <c r="FN20" i="7"/>
  <c r="FM20" i="7"/>
  <c r="GE20" i="7"/>
  <c r="GF20" i="7" s="1"/>
  <c r="GC20" i="7"/>
  <c r="GD20" i="7" s="1"/>
  <c r="GE23" i="7"/>
  <c r="GF23" i="7" s="1"/>
  <c r="FS23" i="7"/>
  <c r="FQ23" i="7"/>
  <c r="GI23" i="7"/>
  <c r="GJ23" i="7" s="1"/>
  <c r="FU23" i="7"/>
  <c r="GG23" i="7"/>
  <c r="GH23" i="7" s="1"/>
  <c r="FR23" i="7"/>
  <c r="FN23" i="7"/>
  <c r="GO23" i="7"/>
  <c r="GP23" i="7" s="1"/>
  <c r="GM23" i="7"/>
  <c r="GN23" i="7" s="1"/>
  <c r="FV23" i="7"/>
  <c r="FT23" i="7"/>
  <c r="GK23" i="7"/>
  <c r="GL23" i="7" s="1"/>
  <c r="FP23" i="7"/>
  <c r="FW23" i="7"/>
  <c r="FX23" i="7" s="1"/>
  <c r="FO23" i="7"/>
  <c r="FM23" i="7"/>
  <c r="GA23" i="7"/>
  <c r="GB23" i="7" s="1"/>
  <c r="FY23" i="7"/>
  <c r="FZ23" i="7" s="1"/>
  <c r="FV22" i="7"/>
  <c r="GE22" i="7"/>
  <c r="GF22" i="7" s="1"/>
  <c r="FR22" i="7"/>
  <c r="FU22" i="7"/>
  <c r="FQ22" i="7"/>
  <c r="FY22" i="7"/>
  <c r="FZ22" i="7" s="1"/>
  <c r="GO22" i="7"/>
  <c r="GP22" i="7" s="1"/>
  <c r="FW22" i="7"/>
  <c r="FX22" i="7" s="1"/>
  <c r="GK22" i="7"/>
  <c r="GL22" i="7" s="1"/>
  <c r="FP22" i="7"/>
  <c r="GI22" i="7"/>
  <c r="GJ22" i="7" s="1"/>
  <c r="FO22" i="7"/>
  <c r="GM22" i="7"/>
  <c r="GN22" i="7" s="1"/>
  <c r="GG22" i="7"/>
  <c r="GH22" i="7" s="1"/>
  <c r="GC22" i="7"/>
  <c r="GD22" i="7" s="1"/>
  <c r="FT22" i="7"/>
  <c r="FS22" i="7"/>
  <c r="FN22" i="7"/>
  <c r="FM22" i="7"/>
  <c r="HV24" i="7"/>
  <c r="IS25" i="7"/>
  <c r="IT25" i="7" s="1"/>
  <c r="IG25" i="7"/>
  <c r="IH25" i="7" s="1"/>
  <c r="IF25" i="7"/>
  <c r="IE25" i="7"/>
  <c r="IQ25" i="7"/>
  <c r="IR25" i="7" s="1"/>
  <c r="ID25" i="7"/>
  <c r="IO25" i="7"/>
  <c r="IP25" i="7" s="1"/>
  <c r="IB25" i="7"/>
  <c r="IW25" i="7"/>
  <c r="IX25" i="7" s="1"/>
  <c r="IA25" i="7"/>
  <c r="HZ25" i="7"/>
  <c r="IU25" i="7"/>
  <c r="IV25" i="7" s="1"/>
  <c r="HY25" i="7"/>
  <c r="IM25" i="7"/>
  <c r="IN25" i="7" s="1"/>
  <c r="IK25" i="7"/>
  <c r="IL25" i="7" s="1"/>
  <c r="II25" i="7"/>
  <c r="IJ25" i="7" s="1"/>
  <c r="HX25" i="7"/>
  <c r="HW25" i="7"/>
  <c r="IY25" i="7"/>
  <c r="IZ25" i="7" s="1"/>
  <c r="IC25" i="7"/>
  <c r="FT17" i="7"/>
  <c r="GE17" i="7"/>
  <c r="GF17" i="7" s="1"/>
  <c r="FS17" i="7"/>
  <c r="FR17" i="7"/>
  <c r="GM17" i="7"/>
  <c r="GN17" i="7" s="1"/>
  <c r="GA17" i="7"/>
  <c r="GB17" i="7" s="1"/>
  <c r="FO17" i="7"/>
  <c r="FY17" i="7"/>
  <c r="FZ17" i="7" s="1"/>
  <c r="GO17" i="7"/>
  <c r="GP17" i="7" s="1"/>
  <c r="FW17" i="7"/>
  <c r="FX17" i="7" s="1"/>
  <c r="FV17" i="7"/>
  <c r="GK17" i="7"/>
  <c r="GL17" i="7" s="1"/>
  <c r="FU17" i="7"/>
  <c r="FQ17" i="7"/>
  <c r="FP17" i="7"/>
  <c r="FN17" i="7"/>
  <c r="GG17" i="7"/>
  <c r="GH17" i="7" s="1"/>
  <c r="FM17" i="7"/>
  <c r="GC17" i="7"/>
  <c r="GD17" i="7" s="1"/>
  <c r="GK21" i="7"/>
  <c r="GL21" i="7" s="1"/>
  <c r="FY21" i="7"/>
  <c r="FZ21" i="7" s="1"/>
  <c r="FM21" i="7"/>
  <c r="GI21" i="7"/>
  <c r="GJ21" i="7" s="1"/>
  <c r="FV21" i="7"/>
  <c r="GO21" i="7"/>
  <c r="GP21" i="7" s="1"/>
  <c r="GA21" i="7"/>
  <c r="GB21" i="7" s="1"/>
  <c r="GM21" i="7"/>
  <c r="GN21" i="7" s="1"/>
  <c r="FU21" i="7"/>
  <c r="FT21" i="7"/>
  <c r="FQ21" i="7"/>
  <c r="GC21" i="7"/>
  <c r="GD21" i="7" s="1"/>
  <c r="FS21" i="7"/>
  <c r="FR21" i="7"/>
  <c r="FP21" i="7"/>
  <c r="FO21" i="7"/>
  <c r="FN21" i="7"/>
  <c r="GG21" i="7"/>
  <c r="GH21" i="7" s="1"/>
  <c r="GE21" i="7"/>
  <c r="GF21" i="7" s="1"/>
  <c r="HV26" i="7"/>
  <c r="GG19" i="7"/>
  <c r="GH19" i="7" s="1"/>
  <c r="FU19" i="7"/>
  <c r="FS19" i="7"/>
  <c r="FR19" i="7"/>
  <c r="FQ19" i="7"/>
  <c r="GA19" i="7"/>
  <c r="GB19" i="7" s="1"/>
  <c r="FN19" i="7"/>
  <c r="FT19" i="7"/>
  <c r="GK19" i="7"/>
  <c r="GL19" i="7" s="1"/>
  <c r="FP19" i="7"/>
  <c r="FO19" i="7"/>
  <c r="GI19" i="7"/>
  <c r="GJ19" i="7" s="1"/>
  <c r="FM19" i="7"/>
  <c r="GC19" i="7"/>
  <c r="GD19" i="7" s="1"/>
  <c r="FY19" i="7"/>
  <c r="FZ19" i="7" s="1"/>
  <c r="GO19" i="7"/>
  <c r="GP19" i="7" s="1"/>
  <c r="FW19" i="7"/>
  <c r="FX19" i="7" s="1"/>
  <c r="GM19" i="7"/>
  <c r="GN19" i="7" s="1"/>
  <c r="FV19" i="7"/>
  <c r="GO18" i="7"/>
  <c r="GP18" i="7" s="1"/>
  <c r="GC18" i="7"/>
  <c r="GD18" i="7" s="1"/>
  <c r="FQ18" i="7"/>
  <c r="FP18" i="7"/>
  <c r="GM18" i="7"/>
  <c r="GN18" i="7" s="1"/>
  <c r="GA18" i="7"/>
  <c r="GB18" i="7" s="1"/>
  <c r="FO18" i="7"/>
  <c r="GK18" i="7"/>
  <c r="GL18" i="7" s="1"/>
  <c r="FT18" i="7"/>
  <c r="GI18" i="7"/>
  <c r="GJ18" i="7" s="1"/>
  <c r="FS18" i="7"/>
  <c r="FR18" i="7"/>
  <c r="FN18" i="7"/>
  <c r="FM18" i="7"/>
  <c r="GE18" i="7"/>
  <c r="GF18" i="7" s="1"/>
  <c r="FY18" i="7"/>
  <c r="FZ18" i="7" s="1"/>
  <c r="FW18" i="7"/>
  <c r="FX18" i="7" s="1"/>
  <c r="FV18" i="7"/>
  <c r="FU18" i="7"/>
  <c r="GI17" i="7" l="1"/>
  <c r="GJ17" i="7" s="1"/>
  <c r="GC23" i="7"/>
  <c r="GD23" i="7" s="1"/>
  <c r="GQ23" i="7" s="1"/>
  <c r="GA22" i="7"/>
  <c r="GB22" i="7" s="1"/>
  <c r="GQ22" i="7" s="1"/>
  <c r="GG18" i="7"/>
  <c r="GH18" i="7" s="1"/>
  <c r="FY20" i="7"/>
  <c r="FZ20" i="7" s="1"/>
  <c r="GQ20" i="7" s="1"/>
  <c r="FW21" i="7"/>
  <c r="FX21" i="7" s="1"/>
  <c r="GQ21" i="7" s="1"/>
  <c r="HL21" i="7" s="1"/>
  <c r="HM21" i="7" s="1"/>
  <c r="GE19" i="7"/>
  <c r="GF19" i="7" s="1"/>
  <c r="GQ19" i="7" s="1"/>
  <c r="GQ17" i="7"/>
  <c r="GQ18" i="7"/>
  <c r="JA25" i="7"/>
  <c r="IF26" i="7"/>
  <c r="ID26" i="7"/>
  <c r="IM26" i="7"/>
  <c r="IN26" i="7" s="1"/>
  <c r="HY26" i="7"/>
  <c r="HX26" i="7"/>
  <c r="IY26" i="7"/>
  <c r="IZ26" i="7" s="1"/>
  <c r="IK26" i="7"/>
  <c r="IL26" i="7" s="1"/>
  <c r="HW26" i="7"/>
  <c r="IW26" i="7"/>
  <c r="IX26" i="7" s="1"/>
  <c r="II26" i="7"/>
  <c r="IJ26" i="7" s="1"/>
  <c r="IC26" i="7"/>
  <c r="IG26" i="7"/>
  <c r="IH26" i="7" s="1"/>
  <c r="IB26" i="7"/>
  <c r="HZ26" i="7"/>
  <c r="IU26" i="7"/>
  <c r="IV26" i="7" s="1"/>
  <c r="IS26" i="7"/>
  <c r="IT26" i="7" s="1"/>
  <c r="IQ26" i="7"/>
  <c r="IR26" i="7" s="1"/>
  <c r="IO26" i="7"/>
  <c r="IP26" i="7" s="1"/>
  <c r="IE26" i="7"/>
  <c r="IA26" i="7"/>
  <c r="HX24" i="7"/>
  <c r="IG24" i="7"/>
  <c r="IH24" i="7" s="1"/>
  <c r="IS24" i="7"/>
  <c r="IT24" i="7" s="1"/>
  <c r="IF24" i="7"/>
  <c r="IE24" i="7"/>
  <c r="IK24" i="7"/>
  <c r="IL24" i="7" s="1"/>
  <c r="IY24" i="7"/>
  <c r="IZ24" i="7" s="1"/>
  <c r="IU24" i="7"/>
  <c r="IV24" i="7" s="1"/>
  <c r="IB24" i="7"/>
  <c r="IA24" i="7"/>
  <c r="IW24" i="7"/>
  <c r="IX24" i="7" s="1"/>
  <c r="HY24" i="7"/>
  <c r="IO24" i="7"/>
  <c r="IP24" i="7" s="1"/>
  <c r="II24" i="7"/>
  <c r="IJ24" i="7" s="1"/>
  <c r="ID24" i="7"/>
  <c r="IQ24" i="7"/>
  <c r="IR24" i="7" s="1"/>
  <c r="IM24" i="7"/>
  <c r="IN24" i="7" s="1"/>
  <c r="IC24" i="7"/>
  <c r="HZ24" i="7"/>
  <c r="HW24" i="7"/>
  <c r="HR21" i="7" l="1"/>
  <c r="HS21" i="7" s="1"/>
  <c r="GV21" i="7"/>
  <c r="HJ21" i="7"/>
  <c r="HK21" i="7" s="1"/>
  <c r="GW21" i="7"/>
  <c r="HN21" i="7"/>
  <c r="HO21" i="7" s="1"/>
  <c r="GR21" i="7"/>
  <c r="GS21" i="7"/>
  <c r="HF21" i="7"/>
  <c r="HG21" i="7" s="1"/>
  <c r="HH21" i="7"/>
  <c r="HI21" i="7" s="1"/>
  <c r="HT21" i="7"/>
  <c r="HU21" i="7" s="1"/>
  <c r="HP21" i="7"/>
  <c r="HQ21" i="7" s="1"/>
  <c r="GX21" i="7"/>
  <c r="GY21" i="7"/>
  <c r="GZ21" i="7"/>
  <c r="HD21" i="7"/>
  <c r="HE21" i="7" s="1"/>
  <c r="HA21" i="7"/>
  <c r="GT21" i="7"/>
  <c r="GU21" i="7"/>
  <c r="HR22" i="7"/>
  <c r="HS22" i="7" s="1"/>
  <c r="GT22" i="7"/>
  <c r="GR22" i="7"/>
  <c r="HN22" i="7"/>
  <c r="HO22" i="7" s="1"/>
  <c r="GZ22" i="7"/>
  <c r="HL22" i="7"/>
  <c r="HM22" i="7" s="1"/>
  <c r="GX22" i="7"/>
  <c r="GU22" i="7"/>
  <c r="GV22" i="7"/>
  <c r="HJ22" i="7"/>
  <c r="HK22" i="7" s="1"/>
  <c r="HH22" i="7"/>
  <c r="HI22" i="7" s="1"/>
  <c r="HB22" i="7"/>
  <c r="HC22" i="7" s="1"/>
  <c r="HT22" i="7"/>
  <c r="HU22" i="7" s="1"/>
  <c r="HP22" i="7"/>
  <c r="HQ22" i="7" s="1"/>
  <c r="HD22" i="7"/>
  <c r="HE22" i="7" s="1"/>
  <c r="HA22" i="7"/>
  <c r="GY22" i="7"/>
  <c r="GW22" i="7"/>
  <c r="GS22" i="7"/>
  <c r="HN20" i="7"/>
  <c r="HO20" i="7" s="1"/>
  <c r="HB20" i="7"/>
  <c r="HC20" i="7" s="1"/>
  <c r="GV20" i="7"/>
  <c r="HP20" i="7"/>
  <c r="HQ20" i="7" s="1"/>
  <c r="HA20" i="7"/>
  <c r="GZ20" i="7"/>
  <c r="GY20" i="7"/>
  <c r="HJ20" i="7"/>
  <c r="HK20" i="7" s="1"/>
  <c r="GU20" i="7"/>
  <c r="GW20" i="7"/>
  <c r="HR20" i="7"/>
  <c r="HS20" i="7" s="1"/>
  <c r="GT20" i="7"/>
  <c r="GS20" i="7"/>
  <c r="HL20" i="7"/>
  <c r="HM20" i="7" s="1"/>
  <c r="GR20" i="7"/>
  <c r="HH20" i="7"/>
  <c r="HI20" i="7" s="1"/>
  <c r="HF20" i="7"/>
  <c r="HG20" i="7" s="1"/>
  <c r="GX20" i="7"/>
  <c r="HT20" i="7"/>
  <c r="HU20" i="7" s="1"/>
  <c r="HR23" i="7"/>
  <c r="HS23" i="7" s="1"/>
  <c r="GR23" i="7"/>
  <c r="GW23" i="7"/>
  <c r="GU23" i="7"/>
  <c r="HT23" i="7"/>
  <c r="HU23" i="7" s="1"/>
  <c r="HF23" i="7"/>
  <c r="HG23" i="7" s="1"/>
  <c r="HJ23" i="7"/>
  <c r="HK23" i="7" s="1"/>
  <c r="HD23" i="7"/>
  <c r="HE23" i="7" s="1"/>
  <c r="HB23" i="7"/>
  <c r="HC23" i="7" s="1"/>
  <c r="GY23" i="7"/>
  <c r="HP23" i="7"/>
  <c r="HQ23" i="7" s="1"/>
  <c r="GX23" i="7"/>
  <c r="HA23" i="7"/>
  <c r="GZ23" i="7"/>
  <c r="GV23" i="7"/>
  <c r="GT23" i="7"/>
  <c r="GS23" i="7"/>
  <c r="HN23" i="7"/>
  <c r="HO23" i="7" s="1"/>
  <c r="HL23" i="7"/>
  <c r="HM23" i="7" s="1"/>
  <c r="HP17" i="7"/>
  <c r="HQ17" i="7" s="1"/>
  <c r="HD17" i="7"/>
  <c r="HE17" i="7" s="1"/>
  <c r="GR17" i="7"/>
  <c r="HB17" i="7"/>
  <c r="HC17" i="7" s="1"/>
  <c r="GY17" i="7"/>
  <c r="GS17" i="7"/>
  <c r="HH17" i="7"/>
  <c r="HI17" i="7" s="1"/>
  <c r="HF17" i="7"/>
  <c r="HG17" i="7" s="1"/>
  <c r="HT17" i="7"/>
  <c r="HU17" i="7" s="1"/>
  <c r="HA17" i="7"/>
  <c r="GZ17" i="7"/>
  <c r="HR17" i="7"/>
  <c r="HS17" i="7" s="1"/>
  <c r="GX17" i="7"/>
  <c r="GW17" i="7"/>
  <c r="GV17" i="7"/>
  <c r="HL17" i="7"/>
  <c r="HM17" i="7" s="1"/>
  <c r="GU17" i="7"/>
  <c r="HJ17" i="7"/>
  <c r="HK17" i="7" s="1"/>
  <c r="GT17" i="7"/>
  <c r="JE25" i="7"/>
  <c r="JT25" i="7"/>
  <c r="JU25" i="7" s="1"/>
  <c r="JG25" i="7"/>
  <c r="JF25" i="7"/>
  <c r="JR25" i="7"/>
  <c r="JS25" i="7" s="1"/>
  <c r="JD25" i="7"/>
  <c r="KB25" i="7"/>
  <c r="KC25" i="7" s="1"/>
  <c r="JB25" i="7"/>
  <c r="JN25" i="7"/>
  <c r="JO25" i="7" s="1"/>
  <c r="JL25" i="7"/>
  <c r="JM25" i="7" s="1"/>
  <c r="JZ25" i="7"/>
  <c r="KA25" i="7" s="1"/>
  <c r="JI25" i="7"/>
  <c r="JX25" i="7"/>
  <c r="JY25" i="7" s="1"/>
  <c r="JV25" i="7"/>
  <c r="JW25" i="7" s="1"/>
  <c r="JP25" i="7"/>
  <c r="JQ25" i="7" s="1"/>
  <c r="JK25" i="7"/>
  <c r="JJ25" i="7"/>
  <c r="KD25" i="7"/>
  <c r="KE25" i="7" s="1"/>
  <c r="JH25" i="7"/>
  <c r="JC25" i="7"/>
  <c r="JA26" i="7"/>
  <c r="HA18" i="7"/>
  <c r="GZ18" i="7"/>
  <c r="GY18" i="7"/>
  <c r="HT18" i="7"/>
  <c r="HU18" i="7" s="1"/>
  <c r="HH18" i="7"/>
  <c r="HI18" i="7" s="1"/>
  <c r="GV18" i="7"/>
  <c r="HD18" i="7"/>
  <c r="HE18" i="7" s="1"/>
  <c r="HR18" i="7"/>
  <c r="HS18" i="7" s="1"/>
  <c r="HB18" i="7"/>
  <c r="HC18" i="7" s="1"/>
  <c r="GX18" i="7"/>
  <c r="HP18" i="7"/>
  <c r="HQ18" i="7" s="1"/>
  <c r="GW18" i="7"/>
  <c r="GU18" i="7"/>
  <c r="HN18" i="7"/>
  <c r="HO18" i="7" s="1"/>
  <c r="GT18" i="7"/>
  <c r="HJ18" i="7"/>
  <c r="HK18" i="7" s="1"/>
  <c r="GS18" i="7"/>
  <c r="GR18" i="7"/>
  <c r="HF18" i="7"/>
  <c r="HG18" i="7" s="1"/>
  <c r="JA24" i="7"/>
  <c r="GS19" i="7"/>
  <c r="HT19" i="7"/>
  <c r="HU19" i="7" s="1"/>
  <c r="GT19" i="7"/>
  <c r="HF19" i="7"/>
  <c r="HG19" i="7" s="1"/>
  <c r="GR19" i="7"/>
  <c r="HR19" i="7"/>
  <c r="HS19" i="7" s="1"/>
  <c r="HD19" i="7"/>
  <c r="HE19" i="7" s="1"/>
  <c r="HN19" i="7"/>
  <c r="HO19" i="7" s="1"/>
  <c r="HA19" i="7"/>
  <c r="HH19" i="7"/>
  <c r="HI19" i="7" s="1"/>
  <c r="HB19" i="7"/>
  <c r="HC19" i="7" s="1"/>
  <c r="GZ19" i="7"/>
  <c r="GY19" i="7"/>
  <c r="HP19" i="7"/>
  <c r="HQ19" i="7" s="1"/>
  <c r="GX19" i="7"/>
  <c r="GW19" i="7"/>
  <c r="GV19" i="7"/>
  <c r="HL19" i="7"/>
  <c r="HM19" i="7" s="1"/>
  <c r="GU19" i="7"/>
  <c r="HL18" i="7" l="1"/>
  <c r="HM18" i="7" s="1"/>
  <c r="HN17" i="7"/>
  <c r="HO17" i="7" s="1"/>
  <c r="HJ19" i="7"/>
  <c r="HK19" i="7" s="1"/>
  <c r="HH23" i="7"/>
  <c r="HI23" i="7" s="1"/>
  <c r="HV23" i="7" s="1"/>
  <c r="HD20" i="7"/>
  <c r="HE20" i="7" s="1"/>
  <c r="HV20" i="7" s="1"/>
  <c r="HF22" i="7"/>
  <c r="HG22" i="7" s="1"/>
  <c r="HV22" i="7" s="1"/>
  <c r="HB21" i="7"/>
  <c r="HC21" i="7" s="1"/>
  <c r="HV21" i="7" s="1"/>
  <c r="HZ21" i="7" s="1"/>
  <c r="KB26" i="7"/>
  <c r="KC26" i="7" s="1"/>
  <c r="JP26" i="7"/>
  <c r="JQ26" i="7" s="1"/>
  <c r="JD26" i="7"/>
  <c r="JZ26" i="7"/>
  <c r="KA26" i="7" s="1"/>
  <c r="JN26" i="7"/>
  <c r="JO26" i="7" s="1"/>
  <c r="JB26" i="7"/>
  <c r="KD26" i="7"/>
  <c r="KE26" i="7" s="1"/>
  <c r="JK26" i="7"/>
  <c r="JH26" i="7"/>
  <c r="JG26" i="7"/>
  <c r="JX26" i="7"/>
  <c r="JY26" i="7" s="1"/>
  <c r="JF26" i="7"/>
  <c r="JR26" i="7"/>
  <c r="JS26" i="7" s="1"/>
  <c r="JJ26" i="7"/>
  <c r="JE26" i="7"/>
  <c r="JC26" i="7"/>
  <c r="JV26" i="7"/>
  <c r="JW26" i="7" s="1"/>
  <c r="JT26" i="7"/>
  <c r="JU26" i="7" s="1"/>
  <c r="JL26" i="7"/>
  <c r="JM26" i="7" s="1"/>
  <c r="JI26" i="7"/>
  <c r="KF25" i="7"/>
  <c r="HV17" i="7"/>
  <c r="HV18" i="7"/>
  <c r="JT24" i="7"/>
  <c r="JU24" i="7" s="1"/>
  <c r="JH24" i="7"/>
  <c r="JG24" i="7"/>
  <c r="JF24" i="7"/>
  <c r="JR24" i="7"/>
  <c r="JS24" i="7" s="1"/>
  <c r="JE24" i="7"/>
  <c r="KB24" i="7"/>
  <c r="KC24" i="7" s="1"/>
  <c r="JL24" i="7"/>
  <c r="JM24" i="7" s="1"/>
  <c r="JX24" i="7"/>
  <c r="JY24" i="7" s="1"/>
  <c r="JV24" i="7"/>
  <c r="JW24" i="7" s="1"/>
  <c r="JN24" i="7"/>
  <c r="JO24" i="7" s="1"/>
  <c r="JK24" i="7"/>
  <c r="JD24" i="7"/>
  <c r="JZ24" i="7"/>
  <c r="KA24" i="7" s="1"/>
  <c r="JC24" i="7"/>
  <c r="JJ24" i="7"/>
  <c r="JI24" i="7"/>
  <c r="JB24" i="7"/>
  <c r="KD24" i="7"/>
  <c r="KE24" i="7" s="1"/>
  <c r="JP24" i="7"/>
  <c r="JQ24" i="7" s="1"/>
  <c r="HV19" i="7"/>
  <c r="IK21" i="7" l="1"/>
  <c r="IL21" i="7" s="1"/>
  <c r="IA21" i="7"/>
  <c r="IM21" i="7"/>
  <c r="IN21" i="7" s="1"/>
  <c r="IO21" i="7"/>
  <c r="IP21" i="7" s="1"/>
  <c r="IU21" i="7"/>
  <c r="IV21" i="7" s="1"/>
  <c r="ID21" i="7"/>
  <c r="II21" i="7"/>
  <c r="IJ21" i="7" s="1"/>
  <c r="IF21" i="7"/>
  <c r="IQ21" i="7"/>
  <c r="IR21" i="7" s="1"/>
  <c r="IY21" i="7"/>
  <c r="IZ21" i="7" s="1"/>
  <c r="HW21" i="7"/>
  <c r="IE21" i="7"/>
  <c r="HX21" i="7"/>
  <c r="IW21" i="7"/>
  <c r="IX21" i="7" s="1"/>
  <c r="HY21" i="7"/>
  <c r="IS21" i="7"/>
  <c r="IT21" i="7" s="1"/>
  <c r="IB21" i="7"/>
  <c r="IC21" i="7"/>
  <c r="IW18" i="7"/>
  <c r="IX18" i="7" s="1"/>
  <c r="IK18" i="7"/>
  <c r="IL18" i="7" s="1"/>
  <c r="HY18" i="7"/>
  <c r="HX18" i="7"/>
  <c r="IU18" i="7"/>
  <c r="IV18" i="7" s="1"/>
  <c r="II18" i="7"/>
  <c r="IJ18" i="7" s="1"/>
  <c r="HW18" i="7"/>
  <c r="IF18" i="7"/>
  <c r="IM18" i="7"/>
  <c r="IN18" i="7" s="1"/>
  <c r="IG18" i="7"/>
  <c r="IH18" i="7" s="1"/>
  <c r="IY18" i="7"/>
  <c r="IZ18" i="7" s="1"/>
  <c r="IE18" i="7"/>
  <c r="ID18" i="7"/>
  <c r="IC18" i="7"/>
  <c r="IS18" i="7"/>
  <c r="IT18" i="7" s="1"/>
  <c r="IB18" i="7"/>
  <c r="IA18" i="7"/>
  <c r="HZ18" i="7"/>
  <c r="IO18" i="7"/>
  <c r="IP18" i="7" s="1"/>
  <c r="IB17" i="7"/>
  <c r="IY17" i="7"/>
  <c r="IZ17" i="7" s="1"/>
  <c r="IM17" i="7"/>
  <c r="IN17" i="7" s="1"/>
  <c r="IA17" i="7"/>
  <c r="HZ17" i="7"/>
  <c r="IU17" i="7"/>
  <c r="IV17" i="7" s="1"/>
  <c r="II17" i="7"/>
  <c r="IJ17" i="7" s="1"/>
  <c r="HW17" i="7"/>
  <c r="IC17" i="7"/>
  <c r="HY17" i="7"/>
  <c r="IQ17" i="7"/>
  <c r="IR17" i="7" s="1"/>
  <c r="HX17" i="7"/>
  <c r="IO17" i="7"/>
  <c r="IP17" i="7" s="1"/>
  <c r="IK17" i="7"/>
  <c r="IL17" i="7" s="1"/>
  <c r="IG17" i="7"/>
  <c r="IH17" i="7" s="1"/>
  <c r="IW17" i="7"/>
  <c r="IX17" i="7" s="1"/>
  <c r="IF17" i="7"/>
  <c r="IE17" i="7"/>
  <c r="ID17" i="7"/>
  <c r="HZ20" i="7"/>
  <c r="ID20" i="7"/>
  <c r="IQ20" i="7"/>
  <c r="IR20" i="7" s="1"/>
  <c r="IC20" i="7"/>
  <c r="IB20" i="7"/>
  <c r="IM20" i="7"/>
  <c r="IN20" i="7" s="1"/>
  <c r="HX20" i="7"/>
  <c r="IK20" i="7"/>
  <c r="IL20" i="7" s="1"/>
  <c r="IG20" i="7"/>
  <c r="IH20" i="7" s="1"/>
  <c r="IF20" i="7"/>
  <c r="IY20" i="7"/>
  <c r="IZ20" i="7" s="1"/>
  <c r="IE20" i="7"/>
  <c r="IW20" i="7"/>
  <c r="IX20" i="7" s="1"/>
  <c r="IA20" i="7"/>
  <c r="IU20" i="7"/>
  <c r="IV20" i="7" s="1"/>
  <c r="HY20" i="7"/>
  <c r="HW20" i="7"/>
  <c r="IS20" i="7"/>
  <c r="IT20" i="7" s="1"/>
  <c r="IO20" i="7"/>
  <c r="IP20" i="7" s="1"/>
  <c r="IC19" i="7"/>
  <c r="IG19" i="7"/>
  <c r="IH19" i="7" s="1"/>
  <c r="IS19" i="7"/>
  <c r="IT19" i="7" s="1"/>
  <c r="IF19" i="7"/>
  <c r="IE19" i="7"/>
  <c r="IA19" i="7"/>
  <c r="IU19" i="7"/>
  <c r="IV19" i="7" s="1"/>
  <c r="HY19" i="7"/>
  <c r="IQ19" i="7"/>
  <c r="IR19" i="7" s="1"/>
  <c r="HX19" i="7"/>
  <c r="HW19" i="7"/>
  <c r="IM19" i="7"/>
  <c r="IN19" i="7" s="1"/>
  <c r="IK19" i="7"/>
  <c r="IL19" i="7" s="1"/>
  <c r="II19" i="7"/>
  <c r="IJ19" i="7" s="1"/>
  <c r="IY19" i="7"/>
  <c r="IZ19" i="7" s="1"/>
  <c r="ID19" i="7"/>
  <c r="IW19" i="7"/>
  <c r="IX19" i="7" s="1"/>
  <c r="IB19" i="7"/>
  <c r="HZ19" i="7"/>
  <c r="ID22" i="7"/>
  <c r="IS22" i="7"/>
  <c r="IT22" i="7" s="1"/>
  <c r="IF22" i="7"/>
  <c r="IQ22" i="7"/>
  <c r="IR22" i="7" s="1"/>
  <c r="IB22" i="7"/>
  <c r="HZ22" i="7"/>
  <c r="IY22" i="7"/>
  <c r="IZ22" i="7" s="1"/>
  <c r="HW22" i="7"/>
  <c r="IW22" i="7"/>
  <c r="IX22" i="7" s="1"/>
  <c r="IE22" i="7"/>
  <c r="IC22" i="7"/>
  <c r="IU22" i="7"/>
  <c r="IV22" i="7" s="1"/>
  <c r="IA22" i="7"/>
  <c r="IO22" i="7"/>
  <c r="IP22" i="7" s="1"/>
  <c r="IM22" i="7"/>
  <c r="IN22" i="7" s="1"/>
  <c r="HY22" i="7"/>
  <c r="HX22" i="7"/>
  <c r="II22" i="7"/>
  <c r="IJ22" i="7" s="1"/>
  <c r="IG22" i="7"/>
  <c r="IH22" i="7" s="1"/>
  <c r="IY23" i="7"/>
  <c r="IZ23" i="7" s="1"/>
  <c r="IA23" i="7"/>
  <c r="IE23" i="7"/>
  <c r="HY23" i="7"/>
  <c r="IK23" i="7"/>
  <c r="IL23" i="7" s="1"/>
  <c r="HW23" i="7"/>
  <c r="IU23" i="7"/>
  <c r="IV23" i="7" s="1"/>
  <c r="IC23" i="7"/>
  <c r="IS23" i="7"/>
  <c r="IT23" i="7" s="1"/>
  <c r="HZ23" i="7"/>
  <c r="IQ23" i="7"/>
  <c r="IR23" i="7" s="1"/>
  <c r="HX23" i="7"/>
  <c r="II23" i="7"/>
  <c r="IJ23" i="7" s="1"/>
  <c r="IO23" i="7"/>
  <c r="IP23" i="7" s="1"/>
  <c r="IG23" i="7"/>
  <c r="IH23" i="7" s="1"/>
  <c r="IF23" i="7"/>
  <c r="ID23" i="7"/>
  <c r="IB23" i="7"/>
  <c r="IW23" i="7"/>
  <c r="IX23" i="7" s="1"/>
  <c r="LA25" i="7"/>
  <c r="LB25" i="7" s="1"/>
  <c r="KO25" i="7"/>
  <c r="LG25" i="7"/>
  <c r="LH25" i="7" s="1"/>
  <c r="KG25" i="7"/>
  <c r="KS25" i="7"/>
  <c r="KT25" i="7" s="1"/>
  <c r="LE25" i="7"/>
  <c r="LF25" i="7" s="1"/>
  <c r="LC25" i="7"/>
  <c r="LD25" i="7" s="1"/>
  <c r="KP25" i="7"/>
  <c r="KJ25" i="7"/>
  <c r="KI25" i="7"/>
  <c r="KY25" i="7"/>
  <c r="KZ25" i="7" s="1"/>
  <c r="KH25" i="7"/>
  <c r="KW25" i="7"/>
  <c r="KX25" i="7" s="1"/>
  <c r="KQ25" i="7"/>
  <c r="KR25" i="7" s="1"/>
  <c r="KN25" i="7"/>
  <c r="KM25" i="7"/>
  <c r="LI25" i="7"/>
  <c r="LJ25" i="7" s="1"/>
  <c r="KK25" i="7"/>
  <c r="KU25" i="7"/>
  <c r="KV25" i="7" s="1"/>
  <c r="KL25" i="7"/>
  <c r="KF26" i="7"/>
  <c r="KF24" i="7"/>
  <c r="II20" i="7" l="1"/>
  <c r="IJ20" i="7" s="1"/>
  <c r="JA20" i="7" s="1"/>
  <c r="IQ18" i="7"/>
  <c r="IR18" i="7" s="1"/>
  <c r="IM23" i="7"/>
  <c r="IN23" i="7" s="1"/>
  <c r="IS17" i="7"/>
  <c r="IT17" i="7" s="1"/>
  <c r="JA17" i="7" s="1"/>
  <c r="IK22" i="7"/>
  <c r="IL22" i="7" s="1"/>
  <c r="JA22" i="7" s="1"/>
  <c r="IO19" i="7"/>
  <c r="IP19" i="7" s="1"/>
  <c r="JA19" i="7" s="1"/>
  <c r="IG21" i="7"/>
  <c r="IH21" i="7" s="1"/>
  <c r="JA21" i="7" s="1"/>
  <c r="KB21" i="7" s="1"/>
  <c r="KC21" i="7" s="1"/>
  <c r="JA18" i="7"/>
  <c r="KN26" i="7"/>
  <c r="KL26" i="7"/>
  <c r="LG26" i="7"/>
  <c r="LH26" i="7" s="1"/>
  <c r="KS26" i="7"/>
  <c r="KT26" i="7" s="1"/>
  <c r="LE26" i="7"/>
  <c r="LF26" i="7" s="1"/>
  <c r="KQ26" i="7"/>
  <c r="KR26" i="7" s="1"/>
  <c r="LC26" i="7"/>
  <c r="LD26" i="7" s="1"/>
  <c r="KO26" i="7"/>
  <c r="KY26" i="7"/>
  <c r="KZ26" i="7" s="1"/>
  <c r="KW26" i="7"/>
  <c r="KX26" i="7" s="1"/>
  <c r="KP26" i="7"/>
  <c r="KU26" i="7"/>
  <c r="KV26" i="7" s="1"/>
  <c r="KM26" i="7"/>
  <c r="KJ26" i="7"/>
  <c r="KI26" i="7"/>
  <c r="KH26" i="7"/>
  <c r="LI26" i="7"/>
  <c r="LJ26" i="7" s="1"/>
  <c r="KG26" i="7"/>
  <c r="LA26" i="7"/>
  <c r="LB26" i="7" s="1"/>
  <c r="KK26" i="7"/>
  <c r="JA23" i="7"/>
  <c r="LK25" i="7"/>
  <c r="KU24" i="7"/>
  <c r="KV24" i="7" s="1"/>
  <c r="KH24" i="7"/>
  <c r="LG24" i="7"/>
  <c r="LH24" i="7" s="1"/>
  <c r="KG24" i="7"/>
  <c r="KS24" i="7"/>
  <c r="KT24" i="7" s="1"/>
  <c r="LA24" i="7"/>
  <c r="LB24" i="7" s="1"/>
  <c r="KK24" i="7"/>
  <c r="KY24" i="7"/>
  <c r="KZ24" i="7" s="1"/>
  <c r="KI24" i="7"/>
  <c r="KQ24" i="7"/>
  <c r="KR24" i="7" s="1"/>
  <c r="KO24" i="7"/>
  <c r="KM24" i="7"/>
  <c r="LI24" i="7"/>
  <c r="LJ24" i="7" s="1"/>
  <c r="KL24" i="7"/>
  <c r="LE24" i="7"/>
  <c r="LF24" i="7" s="1"/>
  <c r="KJ24" i="7"/>
  <c r="LC24" i="7"/>
  <c r="LD24" i="7" s="1"/>
  <c r="KW24" i="7"/>
  <c r="KX24" i="7" s="1"/>
  <c r="KP24" i="7"/>
  <c r="KN24" i="7"/>
  <c r="JR21" i="7" l="1"/>
  <c r="JS21" i="7" s="1"/>
  <c r="JN21" i="7"/>
  <c r="JO21" i="7" s="1"/>
  <c r="KD21" i="7"/>
  <c r="KE21" i="7" s="1"/>
  <c r="JV21" i="7"/>
  <c r="JW21" i="7" s="1"/>
  <c r="JP21" i="7"/>
  <c r="JQ21" i="7" s="1"/>
  <c r="JH21" i="7"/>
  <c r="JX21" i="7"/>
  <c r="JY21" i="7" s="1"/>
  <c r="JJ21" i="7"/>
  <c r="JZ21" i="7"/>
  <c r="KA21" i="7" s="1"/>
  <c r="JE21" i="7"/>
  <c r="JB21" i="7"/>
  <c r="JC21" i="7"/>
  <c r="JT21" i="7"/>
  <c r="JU21" i="7" s="1"/>
  <c r="JD21" i="7"/>
  <c r="JF21" i="7"/>
  <c r="JG21" i="7"/>
  <c r="JK21" i="7"/>
  <c r="JI21" i="7"/>
  <c r="JT20" i="7"/>
  <c r="JU20" i="7" s="1"/>
  <c r="JH20" i="7"/>
  <c r="JX20" i="7"/>
  <c r="JY20" i="7" s="1"/>
  <c r="JK20" i="7"/>
  <c r="JJ20" i="7"/>
  <c r="JV20" i="7"/>
  <c r="JW20" i="7" s="1"/>
  <c r="JF20" i="7"/>
  <c r="JE20" i="7"/>
  <c r="JD20" i="7"/>
  <c r="JP20" i="7"/>
  <c r="JQ20" i="7" s="1"/>
  <c r="JL20" i="7"/>
  <c r="JM20" i="7" s="1"/>
  <c r="KD20" i="7"/>
  <c r="KE20" i="7" s="1"/>
  <c r="JI20" i="7"/>
  <c r="JG20" i="7"/>
  <c r="KB20" i="7"/>
  <c r="KC20" i="7" s="1"/>
  <c r="JC20" i="7"/>
  <c r="JB20" i="7"/>
  <c r="JZ20" i="7"/>
  <c r="KA20" i="7" s="1"/>
  <c r="JR20" i="7"/>
  <c r="JS20" i="7" s="1"/>
  <c r="LM25" i="7"/>
  <c r="LT25" i="7"/>
  <c r="MF25" i="7"/>
  <c r="MG25" i="7" s="1"/>
  <c r="LS25" i="7"/>
  <c r="LR25" i="7"/>
  <c r="LP25" i="7"/>
  <c r="MN25" i="7"/>
  <c r="MO25" i="7" s="1"/>
  <c r="LV25" i="7"/>
  <c r="LW25" i="7" s="1"/>
  <c r="LU25" i="7"/>
  <c r="LN25" i="7"/>
  <c r="MD25" i="7"/>
  <c r="ME25" i="7" s="1"/>
  <c r="LX25" i="7"/>
  <c r="LY25" i="7" s="1"/>
  <c r="LQ25" i="7"/>
  <c r="LO25" i="7"/>
  <c r="ML25" i="7"/>
  <c r="MM25" i="7" s="1"/>
  <c r="MJ25" i="7"/>
  <c r="MK25" i="7" s="1"/>
  <c r="MH25" i="7"/>
  <c r="MI25" i="7" s="1"/>
  <c r="MB25" i="7"/>
  <c r="MC25" i="7" s="1"/>
  <c r="LZ25" i="7"/>
  <c r="MA25" i="7" s="1"/>
  <c r="LL25" i="7"/>
  <c r="LK24" i="7"/>
  <c r="JK23" i="7"/>
  <c r="JE23" i="7"/>
  <c r="KD23" i="7"/>
  <c r="KE23" i="7" s="1"/>
  <c r="JP23" i="7"/>
  <c r="JQ23" i="7" s="1"/>
  <c r="JB23" i="7"/>
  <c r="KB23" i="7"/>
  <c r="KC23" i="7" s="1"/>
  <c r="JN23" i="7"/>
  <c r="JO23" i="7" s="1"/>
  <c r="JJ23" i="7"/>
  <c r="JL23" i="7"/>
  <c r="JM23" i="7" s="1"/>
  <c r="JI23" i="7"/>
  <c r="JH23" i="7"/>
  <c r="JV23" i="7"/>
  <c r="JW23" i="7" s="1"/>
  <c r="JD23" i="7"/>
  <c r="JC23" i="7"/>
  <c r="JZ23" i="7"/>
  <c r="KA23" i="7" s="1"/>
  <c r="JX23" i="7"/>
  <c r="JY23" i="7" s="1"/>
  <c r="JT23" i="7"/>
  <c r="JU23" i="7" s="1"/>
  <c r="JG23" i="7"/>
  <c r="JF23" i="7"/>
  <c r="JL17" i="7"/>
  <c r="JM17" i="7" s="1"/>
  <c r="JK17" i="7"/>
  <c r="JV17" i="7"/>
  <c r="JW17" i="7" s="1"/>
  <c r="JJ17" i="7"/>
  <c r="JG17" i="7"/>
  <c r="KB17" i="7"/>
  <c r="KC17" i="7" s="1"/>
  <c r="JI17" i="7"/>
  <c r="JH17" i="7"/>
  <c r="JZ17" i="7"/>
  <c r="KA17" i="7" s="1"/>
  <c r="JF17" i="7"/>
  <c r="JE17" i="7"/>
  <c r="JD17" i="7"/>
  <c r="JT17" i="7"/>
  <c r="JU17" i="7" s="1"/>
  <c r="JC17" i="7"/>
  <c r="JR17" i="7"/>
  <c r="JS17" i="7" s="1"/>
  <c r="JB17" i="7"/>
  <c r="JP17" i="7"/>
  <c r="JQ17" i="7" s="1"/>
  <c r="KD17" i="7"/>
  <c r="KE17" i="7" s="1"/>
  <c r="JN17" i="7"/>
  <c r="JO17" i="7" s="1"/>
  <c r="JG19" i="7"/>
  <c r="JF19" i="7"/>
  <c r="JR19" i="7"/>
  <c r="JS19" i="7" s="1"/>
  <c r="JE19" i="7"/>
  <c r="KB19" i="7"/>
  <c r="KC19" i="7" s="1"/>
  <c r="JB19" i="7"/>
  <c r="JL19" i="7"/>
  <c r="JM19" i="7" s="1"/>
  <c r="KD19" i="7"/>
  <c r="KE19" i="7" s="1"/>
  <c r="JK19" i="7"/>
  <c r="JJ19" i="7"/>
  <c r="JI19" i="7"/>
  <c r="JZ19" i="7"/>
  <c r="KA19" i="7" s="1"/>
  <c r="JH19" i="7"/>
  <c r="JX19" i="7"/>
  <c r="JY19" i="7" s="1"/>
  <c r="JD19" i="7"/>
  <c r="JC19" i="7"/>
  <c r="JV19" i="7"/>
  <c r="JW19" i="7" s="1"/>
  <c r="JP19" i="7"/>
  <c r="JQ19" i="7" s="1"/>
  <c r="JN19" i="7"/>
  <c r="JO19" i="7" s="1"/>
  <c r="JZ22" i="7"/>
  <c r="KA22" i="7" s="1"/>
  <c r="JN22" i="7"/>
  <c r="JO22" i="7" s="1"/>
  <c r="JB22" i="7"/>
  <c r="JF22" i="7"/>
  <c r="JT22" i="7"/>
  <c r="JU22" i="7" s="1"/>
  <c r="JE22" i="7"/>
  <c r="JC22" i="7"/>
  <c r="KB22" i="7"/>
  <c r="KC22" i="7" s="1"/>
  <c r="JL22" i="7"/>
  <c r="JM22" i="7" s="1"/>
  <c r="JI22" i="7"/>
  <c r="JH22" i="7"/>
  <c r="JK22" i="7"/>
  <c r="JJ22" i="7"/>
  <c r="JG22" i="7"/>
  <c r="JD22" i="7"/>
  <c r="KD22" i="7"/>
  <c r="KE22" i="7" s="1"/>
  <c r="JX22" i="7"/>
  <c r="JY22" i="7" s="1"/>
  <c r="JV22" i="7"/>
  <c r="JW22" i="7" s="1"/>
  <c r="JR22" i="7"/>
  <c r="JS22" i="7" s="1"/>
  <c r="JI18" i="7"/>
  <c r="JT18" i="7"/>
  <c r="JU18" i="7" s="1"/>
  <c r="JH18" i="7"/>
  <c r="JG18" i="7"/>
  <c r="KB18" i="7"/>
  <c r="KC18" i="7" s="1"/>
  <c r="JP18" i="7"/>
  <c r="JQ18" i="7" s="1"/>
  <c r="JD18" i="7"/>
  <c r="JX18" i="7"/>
  <c r="JY18" i="7" s="1"/>
  <c r="JE18" i="7"/>
  <c r="JC18" i="7"/>
  <c r="JB18" i="7"/>
  <c r="JR18" i="7"/>
  <c r="JS18" i="7" s="1"/>
  <c r="JN18" i="7"/>
  <c r="JO18" i="7" s="1"/>
  <c r="KD18" i="7"/>
  <c r="KE18" i="7" s="1"/>
  <c r="JL18" i="7"/>
  <c r="JM18" i="7" s="1"/>
  <c r="JK18" i="7"/>
  <c r="JZ18" i="7"/>
  <c r="KA18" i="7" s="1"/>
  <c r="JJ18" i="7"/>
  <c r="JF18" i="7"/>
  <c r="LK26" i="7"/>
  <c r="JT19" i="7" l="1"/>
  <c r="JU19" i="7" s="1"/>
  <c r="JX17" i="7"/>
  <c r="JY17" i="7" s="1"/>
  <c r="JV18" i="7"/>
  <c r="JW18" i="7" s="1"/>
  <c r="KF18" i="7" s="1"/>
  <c r="JN20" i="7"/>
  <c r="JO20" i="7" s="1"/>
  <c r="KF20" i="7" s="1"/>
  <c r="JR23" i="7"/>
  <c r="JS23" i="7" s="1"/>
  <c r="KF23" i="7" s="1"/>
  <c r="JP22" i="7"/>
  <c r="JQ22" i="7" s="1"/>
  <c r="KF22" i="7" s="1"/>
  <c r="JL21" i="7"/>
  <c r="JM21" i="7" s="1"/>
  <c r="KF21" i="7" s="1"/>
  <c r="KS21" i="7" s="1"/>
  <c r="KT21" i="7" s="1"/>
  <c r="MN24" i="7"/>
  <c r="MO24" i="7" s="1"/>
  <c r="MB24" i="7"/>
  <c r="MC24" i="7" s="1"/>
  <c r="LP24" i="7"/>
  <c r="MH24" i="7"/>
  <c r="MI24" i="7" s="1"/>
  <c r="LU24" i="7"/>
  <c r="LT24" i="7"/>
  <c r="MF24" i="7"/>
  <c r="MG24" i="7" s="1"/>
  <c r="LS24" i="7"/>
  <c r="MD24" i="7"/>
  <c r="ME24" i="7" s="1"/>
  <c r="ML24" i="7"/>
  <c r="MM24" i="7" s="1"/>
  <c r="LR24" i="7"/>
  <c r="MJ24" i="7"/>
  <c r="MK24" i="7" s="1"/>
  <c r="LO24" i="7"/>
  <c r="LL24" i="7"/>
  <c r="LQ24" i="7"/>
  <c r="LM24" i="7"/>
  <c r="LX24" i="7"/>
  <c r="LY24" i="7" s="1"/>
  <c r="LN24" i="7"/>
  <c r="LZ24" i="7"/>
  <c r="MA24" i="7" s="1"/>
  <c r="LV24" i="7"/>
  <c r="LW24" i="7" s="1"/>
  <c r="KF19" i="7"/>
  <c r="MP25" i="7"/>
  <c r="MJ26" i="7"/>
  <c r="MK26" i="7" s="1"/>
  <c r="LX26" i="7"/>
  <c r="LY26" i="7" s="1"/>
  <c r="LL26" i="7"/>
  <c r="MH26" i="7"/>
  <c r="MI26" i="7" s="1"/>
  <c r="LV26" i="7"/>
  <c r="LW26" i="7" s="1"/>
  <c r="LU26" i="7"/>
  <c r="LT26" i="7"/>
  <c r="LS26" i="7"/>
  <c r="LQ26" i="7"/>
  <c r="LR26" i="7"/>
  <c r="MN26" i="7"/>
  <c r="MO26" i="7" s="1"/>
  <c r="LP26" i="7"/>
  <c r="MF26" i="7"/>
  <c r="MG26" i="7" s="1"/>
  <c r="LM26" i="7"/>
  <c r="MB26" i="7"/>
  <c r="MC26" i="7" s="1"/>
  <c r="LZ26" i="7"/>
  <c r="MA26" i="7" s="1"/>
  <c r="LO26" i="7"/>
  <c r="LN26" i="7"/>
  <c r="ML26" i="7"/>
  <c r="MM26" i="7" s="1"/>
  <c r="MD26" i="7"/>
  <c r="ME26" i="7" s="1"/>
  <c r="KF17" i="7"/>
  <c r="KY21" i="7" l="1"/>
  <c r="KZ21" i="7" s="1"/>
  <c r="KM21" i="7"/>
  <c r="KJ21" i="7"/>
  <c r="KW21" i="7"/>
  <c r="KX21" i="7" s="1"/>
  <c r="KO21" i="7"/>
  <c r="KH21" i="7"/>
  <c r="KI21" i="7"/>
  <c r="KU21" i="7"/>
  <c r="KV21" i="7" s="1"/>
  <c r="KP21" i="7"/>
  <c r="KK21" i="7"/>
  <c r="LG21" i="7"/>
  <c r="LH21" i="7" s="1"/>
  <c r="KG21" i="7"/>
  <c r="LA21" i="7"/>
  <c r="LB21" i="7" s="1"/>
  <c r="LC21" i="7"/>
  <c r="LD21" i="7" s="1"/>
  <c r="KL21" i="7"/>
  <c r="LI21" i="7"/>
  <c r="LJ21" i="7" s="1"/>
  <c r="KN21" i="7"/>
  <c r="LE21" i="7"/>
  <c r="LF21" i="7" s="1"/>
  <c r="LI19" i="7"/>
  <c r="LJ19" i="7" s="1"/>
  <c r="KW19" i="7"/>
  <c r="KX19" i="7" s="1"/>
  <c r="KK19" i="7"/>
  <c r="LG19" i="7"/>
  <c r="LH19" i="7" s="1"/>
  <c r="KG19" i="7"/>
  <c r="KS19" i="7"/>
  <c r="KT19" i="7" s="1"/>
  <c r="LE19" i="7"/>
  <c r="LF19" i="7" s="1"/>
  <c r="KO19" i="7"/>
  <c r="KH19" i="7"/>
  <c r="KU19" i="7"/>
  <c r="KV19" i="7" s="1"/>
  <c r="KQ19" i="7"/>
  <c r="KR19" i="7" s="1"/>
  <c r="KP19" i="7"/>
  <c r="KN19" i="7"/>
  <c r="KM19" i="7"/>
  <c r="KL19" i="7"/>
  <c r="LC19" i="7"/>
  <c r="LD19" i="7" s="1"/>
  <c r="KJ19" i="7"/>
  <c r="LA19" i="7"/>
  <c r="LB19" i="7" s="1"/>
  <c r="KI19" i="7"/>
  <c r="KL22" i="7"/>
  <c r="KS22" i="7"/>
  <c r="KT22" i="7" s="1"/>
  <c r="KH22" i="7"/>
  <c r="KP22" i="7"/>
  <c r="LE22" i="7"/>
  <c r="LF22" i="7" s="1"/>
  <c r="KM22" i="7"/>
  <c r="KJ22" i="7"/>
  <c r="LA22" i="7"/>
  <c r="LB22" i="7" s="1"/>
  <c r="KI22" i="7"/>
  <c r="KG22" i="7"/>
  <c r="KY22" i="7"/>
  <c r="KZ22" i="7" s="1"/>
  <c r="KW22" i="7"/>
  <c r="KX22" i="7" s="1"/>
  <c r="KQ22" i="7"/>
  <c r="KR22" i="7" s="1"/>
  <c r="KO22" i="7"/>
  <c r="KN22" i="7"/>
  <c r="KK22" i="7"/>
  <c r="LI22" i="7"/>
  <c r="LJ22" i="7" s="1"/>
  <c r="LG22" i="7"/>
  <c r="LH22" i="7" s="1"/>
  <c r="LC22" i="7"/>
  <c r="LD22" i="7" s="1"/>
  <c r="KK20" i="7"/>
  <c r="LA20" i="7"/>
  <c r="LB20" i="7" s="1"/>
  <c r="KM20" i="7"/>
  <c r="KL20" i="7"/>
  <c r="KJ20" i="7"/>
  <c r="KY20" i="7"/>
  <c r="KZ20" i="7" s="1"/>
  <c r="KI20" i="7"/>
  <c r="KU20" i="7"/>
  <c r="KV20" i="7" s="1"/>
  <c r="KG20" i="7"/>
  <c r="LE20" i="7"/>
  <c r="LF20" i="7" s="1"/>
  <c r="LC20" i="7"/>
  <c r="LD20" i="7" s="1"/>
  <c r="KW20" i="7"/>
  <c r="KX20" i="7" s="1"/>
  <c r="KQ20" i="7"/>
  <c r="KR20" i="7" s="1"/>
  <c r="KP20" i="7"/>
  <c r="LI20" i="7"/>
  <c r="LJ20" i="7" s="1"/>
  <c r="KO20" i="7"/>
  <c r="KN20" i="7"/>
  <c r="KH20" i="7"/>
  <c r="LG20" i="7"/>
  <c r="LH20" i="7" s="1"/>
  <c r="KJ17" i="7"/>
  <c r="LG17" i="7"/>
  <c r="LH17" i="7" s="1"/>
  <c r="KU17" i="7"/>
  <c r="KV17" i="7" s="1"/>
  <c r="KI17" i="7"/>
  <c r="KH17" i="7"/>
  <c r="KQ17" i="7"/>
  <c r="KR17" i="7" s="1"/>
  <c r="KW17" i="7"/>
  <c r="KX17" i="7" s="1"/>
  <c r="KS17" i="7"/>
  <c r="KT17" i="7" s="1"/>
  <c r="KP17" i="7"/>
  <c r="LI17" i="7"/>
  <c r="LJ17" i="7" s="1"/>
  <c r="KO17" i="7"/>
  <c r="LE17" i="7"/>
  <c r="LF17" i="7" s="1"/>
  <c r="KN17" i="7"/>
  <c r="KM17" i="7"/>
  <c r="KL17" i="7"/>
  <c r="LA17" i="7"/>
  <c r="LB17" i="7" s="1"/>
  <c r="KK17" i="7"/>
  <c r="KG17" i="7"/>
  <c r="KY17" i="7"/>
  <c r="KZ17" i="7" s="1"/>
  <c r="KN18" i="7"/>
  <c r="LG18" i="7"/>
  <c r="LH18" i="7" s="1"/>
  <c r="KG18" i="7"/>
  <c r="KS18" i="7"/>
  <c r="KT18" i="7" s="1"/>
  <c r="LE18" i="7"/>
  <c r="LF18" i="7" s="1"/>
  <c r="KO18" i="7"/>
  <c r="KP18" i="7"/>
  <c r="LI18" i="7"/>
  <c r="LJ18" i="7" s="1"/>
  <c r="KM18" i="7"/>
  <c r="KL18" i="7"/>
  <c r="KK18" i="7"/>
  <c r="LC18" i="7"/>
  <c r="LD18" i="7" s="1"/>
  <c r="KJ18" i="7"/>
  <c r="KI18" i="7"/>
  <c r="KY18" i="7"/>
  <c r="KZ18" i="7" s="1"/>
  <c r="KH18" i="7"/>
  <c r="KW18" i="7"/>
  <c r="KX18" i="7" s="1"/>
  <c r="KU18" i="7"/>
  <c r="KV18" i="7" s="1"/>
  <c r="KQ18" i="7"/>
  <c r="KR18" i="7" s="1"/>
  <c r="LG23" i="7"/>
  <c r="LH23" i="7" s="1"/>
  <c r="KU23" i="7"/>
  <c r="KV23" i="7" s="1"/>
  <c r="KI23" i="7"/>
  <c r="LE23" i="7"/>
  <c r="LF23" i="7" s="1"/>
  <c r="KS23" i="7"/>
  <c r="KT23" i="7" s="1"/>
  <c r="KP23" i="7"/>
  <c r="LA23" i="7"/>
  <c r="LB23" i="7" s="1"/>
  <c r="KM23" i="7"/>
  <c r="KH23" i="7"/>
  <c r="KO23" i="7"/>
  <c r="LI23" i="7"/>
  <c r="LJ23" i="7" s="1"/>
  <c r="KN23" i="7"/>
  <c r="KG23" i="7"/>
  <c r="LC23" i="7"/>
  <c r="LD23" i="7" s="1"/>
  <c r="KY23" i="7"/>
  <c r="KZ23" i="7" s="1"/>
  <c r="KQ23" i="7"/>
  <c r="KR23" i="7" s="1"/>
  <c r="KL23" i="7"/>
  <c r="KK23" i="7"/>
  <c r="KJ23" i="7"/>
  <c r="MP24" i="7"/>
  <c r="NI25" i="7"/>
  <c r="NJ25" i="7" s="1"/>
  <c r="MW25" i="7"/>
  <c r="NG25" i="7"/>
  <c r="NH25" i="7" s="1"/>
  <c r="MT25" i="7"/>
  <c r="NS25" i="7"/>
  <c r="NT25" i="7" s="1"/>
  <c r="MS25" i="7"/>
  <c r="NE25" i="7"/>
  <c r="NF25" i="7" s="1"/>
  <c r="MR25" i="7"/>
  <c r="NC25" i="7"/>
  <c r="ND25" i="7" s="1"/>
  <c r="NK25" i="7"/>
  <c r="NL25" i="7" s="1"/>
  <c r="NA25" i="7"/>
  <c r="NB25" i="7" s="1"/>
  <c r="MY25" i="7"/>
  <c r="MX25" i="7"/>
  <c r="MV25" i="7"/>
  <c r="NO25" i="7"/>
  <c r="NP25" i="7" s="1"/>
  <c r="MZ25" i="7"/>
  <c r="MU25" i="7"/>
  <c r="MQ25" i="7"/>
  <c r="NQ25" i="7"/>
  <c r="NR25" i="7" s="1"/>
  <c r="NM25" i="7"/>
  <c r="NN25" i="7" s="1"/>
  <c r="MP26" i="7"/>
  <c r="KY19" i="7" l="1"/>
  <c r="KZ19" i="7" s="1"/>
  <c r="NU25" i="7"/>
  <c r="OE25" i="7" s="1"/>
  <c r="LA18" i="7"/>
  <c r="LB18" i="7" s="1"/>
  <c r="KS20" i="7"/>
  <c r="KT20" i="7" s="1"/>
  <c r="LK20" i="7" s="1"/>
  <c r="KU22" i="7"/>
  <c r="KV22" i="7" s="1"/>
  <c r="LK22" i="7" s="1"/>
  <c r="LK19" i="7"/>
  <c r="LP19" i="7" s="1"/>
  <c r="KW23" i="7"/>
  <c r="KX23" i="7" s="1"/>
  <c r="LK23" i="7" s="1"/>
  <c r="LC17" i="7"/>
  <c r="LD17" i="7" s="1"/>
  <c r="LK17" i="7" s="1"/>
  <c r="OH25" i="7"/>
  <c r="OI25" i="7" s="1"/>
  <c r="OT25" i="7"/>
  <c r="OU25" i="7" s="1"/>
  <c r="OF25" i="7"/>
  <c r="OG25" i="7" s="1"/>
  <c r="OR25" i="7"/>
  <c r="OS25" i="7" s="1"/>
  <c r="OL25" i="7"/>
  <c r="OM25" i="7" s="1"/>
  <c r="OJ25" i="7"/>
  <c r="OK25" i="7" s="1"/>
  <c r="NX25" i="7"/>
  <c r="NV25" i="7"/>
  <c r="KQ21" i="7"/>
  <c r="KR21" i="7" s="1"/>
  <c r="LK21" i="7" s="1"/>
  <c r="LK18" i="7"/>
  <c r="MV26" i="7"/>
  <c r="MT26" i="7"/>
  <c r="NM26" i="7"/>
  <c r="NN26" i="7" s="1"/>
  <c r="MY26" i="7"/>
  <c r="MX26" i="7"/>
  <c r="NK26" i="7"/>
  <c r="NL26" i="7" s="1"/>
  <c r="MW26" i="7"/>
  <c r="NI26" i="7"/>
  <c r="NJ26" i="7" s="1"/>
  <c r="MS26" i="7"/>
  <c r="NG26" i="7"/>
  <c r="NH26" i="7" s="1"/>
  <c r="NC26" i="7"/>
  <c r="ND26" i="7" s="1"/>
  <c r="NE26" i="7"/>
  <c r="NF26" i="7" s="1"/>
  <c r="MZ26" i="7"/>
  <c r="MU26" i="7"/>
  <c r="MR26" i="7"/>
  <c r="MQ26" i="7"/>
  <c r="NS26" i="7"/>
  <c r="NT26" i="7" s="1"/>
  <c r="NQ26" i="7"/>
  <c r="NR26" i="7" s="1"/>
  <c r="NO26" i="7"/>
  <c r="NP26" i="7" s="1"/>
  <c r="NA26" i="7"/>
  <c r="NB26" i="7" s="1"/>
  <c r="MZ24" i="7"/>
  <c r="MU24" i="7"/>
  <c r="NG24" i="7"/>
  <c r="NH24" i="7" s="1"/>
  <c r="MT24" i="7"/>
  <c r="NS24" i="7"/>
  <c r="NT24" i="7" s="1"/>
  <c r="MS24" i="7"/>
  <c r="NQ24" i="7"/>
  <c r="NR24" i="7" s="1"/>
  <c r="MQ24" i="7"/>
  <c r="NE24" i="7"/>
  <c r="NF24" i="7" s="1"/>
  <c r="MX24" i="7"/>
  <c r="NO24" i="7"/>
  <c r="NP24" i="7" s="1"/>
  <c r="NM24" i="7"/>
  <c r="NN24" i="7" s="1"/>
  <c r="NI24" i="7"/>
  <c r="NJ24" i="7" s="1"/>
  <c r="NC24" i="7"/>
  <c r="ND24" i="7" s="1"/>
  <c r="MW24" i="7"/>
  <c r="MV24" i="7"/>
  <c r="NK24" i="7"/>
  <c r="NL24" i="7" s="1"/>
  <c r="NA24" i="7"/>
  <c r="NB24" i="7" s="1"/>
  <c r="MY24" i="7"/>
  <c r="MR24" i="7"/>
  <c r="NW25" i="7" l="1"/>
  <c r="ON25" i="7"/>
  <c r="OO25" i="7" s="1"/>
  <c r="NZ25" i="7"/>
  <c r="OV25" i="7"/>
  <c r="OW25" i="7" s="1"/>
  <c r="OA25" i="7"/>
  <c r="OB25" i="7"/>
  <c r="OX25" i="7"/>
  <c r="OY25" i="7" s="1"/>
  <c r="OC25" i="7"/>
  <c r="NY25" i="7"/>
  <c r="OP25" i="7"/>
  <c r="OQ25" i="7" s="1"/>
  <c r="OZ25" i="7" s="1"/>
  <c r="OD25" i="7"/>
  <c r="LV19" i="7"/>
  <c r="LW19" i="7" s="1"/>
  <c r="LQ19" i="7"/>
  <c r="ML19" i="7"/>
  <c r="MM19" i="7" s="1"/>
  <c r="LO19" i="7"/>
  <c r="MN19" i="7"/>
  <c r="MO19" i="7" s="1"/>
  <c r="MB19" i="7"/>
  <c r="MC19" i="7" s="1"/>
  <c r="LX19" i="7"/>
  <c r="LY19" i="7" s="1"/>
  <c r="LR19" i="7"/>
  <c r="LZ19" i="7"/>
  <c r="MA19" i="7" s="1"/>
  <c r="LS19" i="7"/>
  <c r="LL19" i="7"/>
  <c r="MF19" i="7"/>
  <c r="MG19" i="7" s="1"/>
  <c r="NU24" i="7"/>
  <c r="OV24" i="7" s="1"/>
  <c r="OW24" i="7" s="1"/>
  <c r="LM19" i="7"/>
  <c r="LT19" i="7"/>
  <c r="LN19" i="7"/>
  <c r="MH19" i="7"/>
  <c r="MI19" i="7" s="1"/>
  <c r="MJ19" i="7"/>
  <c r="MK19" i="7" s="1"/>
  <c r="LU19" i="7"/>
  <c r="MJ18" i="7"/>
  <c r="MK18" i="7" s="1"/>
  <c r="LX18" i="7"/>
  <c r="LY18" i="7" s="1"/>
  <c r="LL18" i="7"/>
  <c r="LT18" i="7"/>
  <c r="LS18" i="7"/>
  <c r="LR18" i="7"/>
  <c r="MB18" i="7"/>
  <c r="MC18" i="7" s="1"/>
  <c r="LO18" i="7"/>
  <c r="LZ18" i="7"/>
  <c r="MA18" i="7" s="1"/>
  <c r="MN18" i="7"/>
  <c r="MO18" i="7" s="1"/>
  <c r="LV18" i="7"/>
  <c r="LW18" i="7" s="1"/>
  <c r="LU18" i="7"/>
  <c r="ML18" i="7"/>
  <c r="MM18" i="7" s="1"/>
  <c r="LQ18" i="7"/>
  <c r="LP18" i="7"/>
  <c r="LN18" i="7"/>
  <c r="MH18" i="7"/>
  <c r="MI18" i="7" s="1"/>
  <c r="LM18" i="7"/>
  <c r="MD18" i="7"/>
  <c r="ME18" i="7" s="1"/>
  <c r="MH22" i="7"/>
  <c r="MI22" i="7" s="1"/>
  <c r="LV22" i="7"/>
  <c r="LW22" i="7" s="1"/>
  <c r="MF22" i="7"/>
  <c r="MG22" i="7" s="1"/>
  <c r="LS22" i="7"/>
  <c r="LR22" i="7"/>
  <c r="LU22" i="7"/>
  <c r="MN22" i="7"/>
  <c r="MO22" i="7" s="1"/>
  <c r="LT22" i="7"/>
  <c r="ML22" i="7"/>
  <c r="MM22" i="7" s="1"/>
  <c r="LQ22" i="7"/>
  <c r="LN22" i="7"/>
  <c r="MD22" i="7"/>
  <c r="ME22" i="7" s="1"/>
  <c r="LM22" i="7"/>
  <c r="MJ22" i="7"/>
  <c r="MK22" i="7" s="1"/>
  <c r="MB22" i="7"/>
  <c r="MC22" i="7" s="1"/>
  <c r="LX22" i="7"/>
  <c r="LY22" i="7" s="1"/>
  <c r="LP22" i="7"/>
  <c r="LO22" i="7"/>
  <c r="LL22" i="7"/>
  <c r="LS23" i="7"/>
  <c r="MF23" i="7"/>
  <c r="MG23" i="7" s="1"/>
  <c r="LR23" i="7"/>
  <c r="LV23" i="7"/>
  <c r="LW23" i="7" s="1"/>
  <c r="LT23" i="7"/>
  <c r="LO23" i="7"/>
  <c r="MN23" i="7"/>
  <c r="MO23" i="7" s="1"/>
  <c r="LU23" i="7"/>
  <c r="ML23" i="7"/>
  <c r="MM23" i="7" s="1"/>
  <c r="LP23" i="7"/>
  <c r="MJ23" i="7"/>
  <c r="MK23" i="7" s="1"/>
  <c r="LN23" i="7"/>
  <c r="MH23" i="7"/>
  <c r="MI23" i="7" s="1"/>
  <c r="LM23" i="7"/>
  <c r="LZ23" i="7"/>
  <c r="MA23" i="7" s="1"/>
  <c r="LQ23" i="7"/>
  <c r="LL23" i="7"/>
  <c r="MD23" i="7"/>
  <c r="ME23" i="7" s="1"/>
  <c r="LX23" i="7"/>
  <c r="LY23" i="7" s="1"/>
  <c r="NU26" i="7"/>
  <c r="MN20" i="7"/>
  <c r="MO20" i="7" s="1"/>
  <c r="MB20" i="7"/>
  <c r="MC20" i="7" s="1"/>
  <c r="LP20" i="7"/>
  <c r="MD20" i="7"/>
  <c r="ME20" i="7" s="1"/>
  <c r="LO20" i="7"/>
  <c r="LR20" i="7"/>
  <c r="MF20" i="7"/>
  <c r="MG20" i="7" s="1"/>
  <c r="LQ20" i="7"/>
  <c r="LN20" i="7"/>
  <c r="LZ20" i="7"/>
  <c r="MA20" i="7" s="1"/>
  <c r="LV20" i="7"/>
  <c r="LW20" i="7" s="1"/>
  <c r="LU20" i="7"/>
  <c r="LT20" i="7"/>
  <c r="LS20" i="7"/>
  <c r="ML20" i="7"/>
  <c r="MM20" i="7" s="1"/>
  <c r="LM20" i="7"/>
  <c r="MJ20" i="7"/>
  <c r="MK20" i="7" s="1"/>
  <c r="LL20" i="7"/>
  <c r="MH20" i="7"/>
  <c r="MI20" i="7" s="1"/>
  <c r="LM21" i="7"/>
  <c r="MJ21" i="7"/>
  <c r="MK21" i="7" s="1"/>
  <c r="MD21" i="7"/>
  <c r="ME21" i="7" s="1"/>
  <c r="LP21" i="7"/>
  <c r="MB21" i="7"/>
  <c r="MC21" i="7" s="1"/>
  <c r="LN21" i="7"/>
  <c r="LZ21" i="7"/>
  <c r="MA21" i="7" s="1"/>
  <c r="LU21" i="7"/>
  <c r="ML21" i="7"/>
  <c r="MM21" i="7" s="1"/>
  <c r="LT21" i="7"/>
  <c r="MN21" i="7"/>
  <c r="MO21" i="7" s="1"/>
  <c r="LL21" i="7"/>
  <c r="MH21" i="7"/>
  <c r="MI21" i="7" s="1"/>
  <c r="MF21" i="7"/>
  <c r="MG21" i="7" s="1"/>
  <c r="LX21" i="7"/>
  <c r="LY21" i="7" s="1"/>
  <c r="LS21" i="7"/>
  <c r="LR21" i="7"/>
  <c r="LQ21" i="7"/>
  <c r="LO21" i="7"/>
  <c r="MF17" i="7"/>
  <c r="MG17" i="7" s="1"/>
  <c r="LT17" i="7"/>
  <c r="LS17" i="7"/>
  <c r="MD17" i="7"/>
  <c r="ME17" i="7" s="1"/>
  <c r="LR17" i="7"/>
  <c r="LO17" i="7"/>
  <c r="LM17" i="7"/>
  <c r="LL17" i="7"/>
  <c r="MB17" i="7"/>
  <c r="MC17" i="7" s="1"/>
  <c r="LZ17" i="7"/>
  <c r="MA17" i="7" s="1"/>
  <c r="LX17" i="7"/>
  <c r="LY17" i="7" s="1"/>
  <c r="MN17" i="7"/>
  <c r="MO17" i="7" s="1"/>
  <c r="ML17" i="7"/>
  <c r="MM17" i="7" s="1"/>
  <c r="LV17" i="7"/>
  <c r="LW17" i="7" s="1"/>
  <c r="LU17" i="7"/>
  <c r="MJ17" i="7"/>
  <c r="MK17" i="7" s="1"/>
  <c r="LQ17" i="7"/>
  <c r="LP17" i="7"/>
  <c r="LN17" i="7"/>
  <c r="NV24" i="7" l="1"/>
  <c r="OP24" i="7"/>
  <c r="OQ24" i="7" s="1"/>
  <c r="OL24" i="7"/>
  <c r="OM24" i="7" s="1"/>
  <c r="NZ24" i="7"/>
  <c r="OF24" i="7"/>
  <c r="OG24" i="7" s="1"/>
  <c r="LV21" i="7"/>
  <c r="LW21" i="7" s="1"/>
  <c r="MP21" i="7" s="1"/>
  <c r="NI21" i="7" s="1"/>
  <c r="NJ21" i="7" s="1"/>
  <c r="OD24" i="7"/>
  <c r="NW24" i="7"/>
  <c r="OR24" i="7"/>
  <c r="OS24" i="7" s="1"/>
  <c r="OB24" i="7"/>
  <c r="ON24" i="7"/>
  <c r="OO24" i="7" s="1"/>
  <c r="OA24" i="7"/>
  <c r="OT24" i="7"/>
  <c r="OU24" i="7" s="1"/>
  <c r="OH24" i="7"/>
  <c r="OI24" i="7" s="1"/>
  <c r="NX24" i="7"/>
  <c r="OX24" i="7"/>
  <c r="OY24" i="7" s="1"/>
  <c r="OJ24" i="7"/>
  <c r="OK24" i="7" s="1"/>
  <c r="NY24" i="7"/>
  <c r="OC24" i="7"/>
  <c r="OE24" i="7"/>
  <c r="MF18" i="7"/>
  <c r="MG18" i="7" s="1"/>
  <c r="MB23" i="7"/>
  <c r="MC23" i="7" s="1"/>
  <c r="MP23" i="7" s="1"/>
  <c r="LX20" i="7"/>
  <c r="LY20" i="7" s="1"/>
  <c r="MP20" i="7" s="1"/>
  <c r="MH17" i="7"/>
  <c r="MI17" i="7" s="1"/>
  <c r="MP17" i="7" s="1"/>
  <c r="LZ22" i="7"/>
  <c r="MA22" i="7" s="1"/>
  <c r="MP22" i="7" s="1"/>
  <c r="PS25" i="7"/>
  <c r="PT25" i="7" s="1"/>
  <c r="QC25" i="7"/>
  <c r="QD25" i="7" s="1"/>
  <c r="PQ25" i="7"/>
  <c r="PR25" i="7" s="1"/>
  <c r="PE25" i="7"/>
  <c r="PH25" i="7"/>
  <c r="PU25" i="7"/>
  <c r="PV25" i="7" s="1"/>
  <c r="PG25" i="7"/>
  <c r="PF25" i="7"/>
  <c r="PC25" i="7"/>
  <c r="PO25" i="7"/>
  <c r="PP25" i="7" s="1"/>
  <c r="PM25" i="7"/>
  <c r="PN25" i="7" s="1"/>
  <c r="PJ25" i="7"/>
  <c r="PK25" i="7"/>
  <c r="PL25" i="7" s="1"/>
  <c r="PD25" i="7"/>
  <c r="PB25" i="7"/>
  <c r="PA25" i="7"/>
  <c r="QA25" i="7"/>
  <c r="QB25" i="7" s="1"/>
  <c r="PY25" i="7"/>
  <c r="PZ25" i="7" s="1"/>
  <c r="PW25" i="7"/>
  <c r="PX25" i="7" s="1"/>
  <c r="PI25" i="7"/>
  <c r="MP18" i="7"/>
  <c r="MD19" i="7"/>
  <c r="ME19" i="7" s="1"/>
  <c r="MP19" i="7" s="1"/>
  <c r="OZ24" i="7"/>
  <c r="OR26" i="7"/>
  <c r="OS26" i="7" s="1"/>
  <c r="OF26" i="7"/>
  <c r="OG26" i="7" s="1"/>
  <c r="OP26" i="7"/>
  <c r="OQ26" i="7" s="1"/>
  <c r="OD26" i="7"/>
  <c r="OA26" i="7"/>
  <c r="ON26" i="7"/>
  <c r="OO26" i="7" s="1"/>
  <c r="NZ26" i="7"/>
  <c r="NY26" i="7"/>
  <c r="NW26" i="7"/>
  <c r="OH26" i="7"/>
  <c r="OI26" i="7" s="1"/>
  <c r="OX26" i="7"/>
  <c r="OY26" i="7" s="1"/>
  <c r="OE26" i="7"/>
  <c r="NX26" i="7"/>
  <c r="OJ26" i="7"/>
  <c r="OK26" i="7" s="1"/>
  <c r="OC26" i="7"/>
  <c r="OB26" i="7"/>
  <c r="NV26" i="7"/>
  <c r="OV26" i="7"/>
  <c r="OW26" i="7" s="1"/>
  <c r="OT26" i="7"/>
  <c r="OU26" i="7" s="1"/>
  <c r="OL26" i="7"/>
  <c r="OM26" i="7" s="1"/>
  <c r="NE21" i="7" l="1"/>
  <c r="NF21" i="7" s="1"/>
  <c r="MQ21" i="7"/>
  <c r="NC21" i="7"/>
  <c r="ND21" i="7" s="1"/>
  <c r="MS21" i="7"/>
  <c r="MT21" i="7"/>
  <c r="MZ21" i="7"/>
  <c r="MU21" i="7"/>
  <c r="NO21" i="7"/>
  <c r="NP21" i="7" s="1"/>
  <c r="MY21" i="7"/>
  <c r="NG21" i="7"/>
  <c r="NH21" i="7" s="1"/>
  <c r="NM21" i="7"/>
  <c r="NN21" i="7" s="1"/>
  <c r="MV21" i="7"/>
  <c r="MR21" i="7"/>
  <c r="MX21" i="7"/>
  <c r="NK21" i="7"/>
  <c r="NL21" i="7" s="1"/>
  <c r="NQ21" i="7"/>
  <c r="NR21" i="7" s="1"/>
  <c r="MW21" i="7"/>
  <c r="NS21" i="7"/>
  <c r="NT21" i="7" s="1"/>
  <c r="MZ20" i="7"/>
  <c r="NK20" i="7"/>
  <c r="NL20" i="7" s="1"/>
  <c r="MX20" i="7"/>
  <c r="MR20" i="7"/>
  <c r="NM20" i="7"/>
  <c r="NN20" i="7" s="1"/>
  <c r="MV20" i="7"/>
  <c r="MU20" i="7"/>
  <c r="NI20" i="7"/>
  <c r="NJ20" i="7" s="1"/>
  <c r="MT20" i="7"/>
  <c r="NE20" i="7"/>
  <c r="NF20" i="7" s="1"/>
  <c r="NA20" i="7"/>
  <c r="NB20" i="7" s="1"/>
  <c r="NS20" i="7"/>
  <c r="NT20" i="7" s="1"/>
  <c r="MY20" i="7"/>
  <c r="MW20" i="7"/>
  <c r="NQ20" i="7"/>
  <c r="NR20" i="7" s="1"/>
  <c r="MS20" i="7"/>
  <c r="MQ20" i="7"/>
  <c r="NO20" i="7"/>
  <c r="NP20" i="7" s="1"/>
  <c r="NG20" i="7"/>
  <c r="NH20" i="7" s="1"/>
  <c r="NQ19" i="7"/>
  <c r="NR19" i="7" s="1"/>
  <c r="NE19" i="7"/>
  <c r="NF19" i="7" s="1"/>
  <c r="MS19" i="7"/>
  <c r="MU19" i="7"/>
  <c r="NG19" i="7"/>
  <c r="NH19" i="7" s="1"/>
  <c r="MT19" i="7"/>
  <c r="NS19" i="7"/>
  <c r="NT19" i="7" s="1"/>
  <c r="MR19" i="7"/>
  <c r="NO19" i="7"/>
  <c r="NP19" i="7" s="1"/>
  <c r="NC19" i="7"/>
  <c r="ND19" i="7" s="1"/>
  <c r="NA19" i="7"/>
  <c r="NB19" i="7" s="1"/>
  <c r="MZ19" i="7"/>
  <c r="MY19" i="7"/>
  <c r="MX19" i="7"/>
  <c r="MW19" i="7"/>
  <c r="NM19" i="7"/>
  <c r="NN19" i="7" s="1"/>
  <c r="MV19" i="7"/>
  <c r="MQ19" i="7"/>
  <c r="NK19" i="7"/>
  <c r="NL19" i="7" s="1"/>
  <c r="MT22" i="7"/>
  <c r="NG22" i="7"/>
  <c r="NH22" i="7" s="1"/>
  <c r="MS22" i="7"/>
  <c r="NO22" i="7"/>
  <c r="NP22" i="7" s="1"/>
  <c r="NA22" i="7"/>
  <c r="NB22" i="7" s="1"/>
  <c r="NM22" i="7"/>
  <c r="NN22" i="7" s="1"/>
  <c r="MY22" i="7"/>
  <c r="MV22" i="7"/>
  <c r="NK22" i="7"/>
  <c r="NL22" i="7" s="1"/>
  <c r="MQ22" i="7"/>
  <c r="NS22" i="7"/>
  <c r="NT22" i="7" s="1"/>
  <c r="MZ22" i="7"/>
  <c r="NQ22" i="7"/>
  <c r="NR22" i="7" s="1"/>
  <c r="MX22" i="7"/>
  <c r="NI22" i="7"/>
  <c r="NJ22" i="7" s="1"/>
  <c r="NC22" i="7"/>
  <c r="ND22" i="7" s="1"/>
  <c r="MW22" i="7"/>
  <c r="MU22" i="7"/>
  <c r="MR22" i="7"/>
  <c r="MV18" i="7"/>
  <c r="NG18" i="7"/>
  <c r="NH18" i="7" s="1"/>
  <c r="MT18" i="7"/>
  <c r="NS18" i="7"/>
  <c r="NT18" i="7" s="1"/>
  <c r="MS18" i="7"/>
  <c r="NE18" i="7"/>
  <c r="NF18" i="7" s="1"/>
  <c r="MR18" i="7"/>
  <c r="NO18" i="7"/>
  <c r="NP18" i="7" s="1"/>
  <c r="MX18" i="7"/>
  <c r="MW18" i="7"/>
  <c r="NM18" i="7"/>
  <c r="NN18" i="7" s="1"/>
  <c r="MU18" i="7"/>
  <c r="MQ18" i="7"/>
  <c r="NI18" i="7"/>
  <c r="NJ18" i="7" s="1"/>
  <c r="NC18" i="7"/>
  <c r="ND18" i="7" s="1"/>
  <c r="NA18" i="7"/>
  <c r="NB18" i="7" s="1"/>
  <c r="MZ18" i="7"/>
  <c r="NQ18" i="7"/>
  <c r="NR18" i="7" s="1"/>
  <c r="MY18" i="7"/>
  <c r="NO23" i="7"/>
  <c r="NP23" i="7" s="1"/>
  <c r="NC23" i="7"/>
  <c r="ND23" i="7" s="1"/>
  <c r="MQ23" i="7"/>
  <c r="MT23" i="7"/>
  <c r="NS23" i="7"/>
  <c r="NT23" i="7" s="1"/>
  <c r="MS23" i="7"/>
  <c r="MZ23" i="7"/>
  <c r="NM23" i="7"/>
  <c r="NN23" i="7" s="1"/>
  <c r="MX23" i="7"/>
  <c r="MU23" i="7"/>
  <c r="NI23" i="7"/>
  <c r="NJ23" i="7" s="1"/>
  <c r="NE23" i="7"/>
  <c r="NF23" i="7" s="1"/>
  <c r="MW23" i="7"/>
  <c r="NQ23" i="7"/>
  <c r="NR23" i="7" s="1"/>
  <c r="MV23" i="7"/>
  <c r="NA23" i="7"/>
  <c r="NB23" i="7" s="1"/>
  <c r="MY23" i="7"/>
  <c r="MR23" i="7"/>
  <c r="NK23" i="7"/>
  <c r="NL23" i="7" s="1"/>
  <c r="MR17" i="7"/>
  <c r="NO17" i="7"/>
  <c r="NP17" i="7" s="1"/>
  <c r="NC17" i="7"/>
  <c r="ND17" i="7" s="1"/>
  <c r="MQ17" i="7"/>
  <c r="NK17" i="7"/>
  <c r="NL17" i="7" s="1"/>
  <c r="MY17" i="7"/>
  <c r="NQ17" i="7"/>
  <c r="NR17" i="7" s="1"/>
  <c r="MW17" i="7"/>
  <c r="MV17" i="7"/>
  <c r="MU17" i="7"/>
  <c r="MT17" i="7"/>
  <c r="NI17" i="7"/>
  <c r="NJ17" i="7" s="1"/>
  <c r="MS17" i="7"/>
  <c r="NG17" i="7"/>
  <c r="NH17" i="7" s="1"/>
  <c r="NE17" i="7"/>
  <c r="NF17" i="7" s="1"/>
  <c r="NA17" i="7"/>
  <c r="NB17" i="7" s="1"/>
  <c r="NS17" i="7"/>
  <c r="NT17" i="7" s="1"/>
  <c r="MZ17" i="7"/>
  <c r="MX17" i="7"/>
  <c r="OZ26" i="7"/>
  <c r="PH24" i="7"/>
  <c r="PI24" i="7"/>
  <c r="PU24" i="7"/>
  <c r="PV24" i="7" s="1"/>
  <c r="PG24" i="7"/>
  <c r="PS24" i="7"/>
  <c r="PT24" i="7" s="1"/>
  <c r="PF24" i="7"/>
  <c r="PQ24" i="7"/>
  <c r="PR24" i="7" s="1"/>
  <c r="PD24" i="7"/>
  <c r="PM24" i="7"/>
  <c r="PN24" i="7" s="1"/>
  <c r="QC24" i="7"/>
  <c r="QD24" i="7" s="1"/>
  <c r="PK24" i="7"/>
  <c r="PL24" i="7" s="1"/>
  <c r="PY24" i="7"/>
  <c r="PZ24" i="7" s="1"/>
  <c r="PC24" i="7"/>
  <c r="PJ24" i="7"/>
  <c r="PE24" i="7"/>
  <c r="PB24" i="7"/>
  <c r="PW24" i="7"/>
  <c r="PX24" i="7" s="1"/>
  <c r="QA24" i="7"/>
  <c r="QB24" i="7" s="1"/>
  <c r="PO24" i="7"/>
  <c r="PP24" i="7" s="1"/>
  <c r="PA24" i="7"/>
  <c r="QE25" i="7"/>
  <c r="QF25" i="7" s="1"/>
  <c r="CG25" i="7" s="1"/>
  <c r="NI19" i="7" l="1"/>
  <c r="NJ19" i="7" s="1"/>
  <c r="NG23" i="7"/>
  <c r="NH23" i="7" s="1"/>
  <c r="NE22" i="7"/>
  <c r="NF22" i="7" s="1"/>
  <c r="NC20" i="7"/>
  <c r="ND20" i="7" s="1"/>
  <c r="NK18" i="7"/>
  <c r="NL18" i="7" s="1"/>
  <c r="QE24" i="7"/>
  <c r="QF24" i="7" s="1"/>
  <c r="CG24" i="7" s="1"/>
  <c r="NM17" i="7"/>
  <c r="NN17" i="7" s="1"/>
  <c r="NU22" i="7"/>
  <c r="NU20" i="7"/>
  <c r="NA21" i="7"/>
  <c r="NB21" i="7" s="1"/>
  <c r="NU21" i="7" s="1"/>
  <c r="NU17" i="7"/>
  <c r="NU18" i="7"/>
  <c r="NU19" i="7"/>
  <c r="PD26" i="7"/>
  <c r="PB26" i="7"/>
  <c r="PS26" i="7"/>
  <c r="PT26" i="7" s="1"/>
  <c r="PE26" i="7"/>
  <c r="PC26" i="7"/>
  <c r="PQ26" i="7"/>
  <c r="PR26" i="7" s="1"/>
  <c r="PA26" i="7"/>
  <c r="QC26" i="7"/>
  <c r="QD26" i="7" s="1"/>
  <c r="PM26" i="7"/>
  <c r="PN26" i="7" s="1"/>
  <c r="PF26" i="7"/>
  <c r="PW26" i="7"/>
  <c r="PX26" i="7" s="1"/>
  <c r="PO26" i="7"/>
  <c r="PP26" i="7" s="1"/>
  <c r="PU26" i="7"/>
  <c r="PV26" i="7" s="1"/>
  <c r="PJ26" i="7"/>
  <c r="PI26" i="7"/>
  <c r="PH26" i="7"/>
  <c r="PG26" i="7"/>
  <c r="QA26" i="7"/>
  <c r="QB26" i="7" s="1"/>
  <c r="PY26" i="7"/>
  <c r="PZ26" i="7" s="1"/>
  <c r="PK26" i="7"/>
  <c r="PL26" i="7" s="1"/>
  <c r="NU23" i="7"/>
  <c r="OC19" i="7" l="1"/>
  <c r="OL19" i="7"/>
  <c r="OM19" i="7" s="1"/>
  <c r="OV19" i="7"/>
  <c r="OW19" i="7" s="1"/>
  <c r="OH19" i="7"/>
  <c r="OI19" i="7" s="1"/>
  <c r="OT19" i="7"/>
  <c r="OU19" i="7" s="1"/>
  <c r="OF19" i="7"/>
  <c r="OG19" i="7" s="1"/>
  <c r="OB19" i="7"/>
  <c r="NZ19" i="7"/>
  <c r="NY19" i="7"/>
  <c r="OR19" i="7"/>
  <c r="OS19" i="7" s="1"/>
  <c r="NX19" i="7"/>
  <c r="OP19" i="7"/>
  <c r="OQ19" i="7" s="1"/>
  <c r="NW19" i="7"/>
  <c r="NV19" i="7"/>
  <c r="OJ19" i="7"/>
  <c r="OK19" i="7" s="1"/>
  <c r="OE19" i="7"/>
  <c r="OD19" i="7"/>
  <c r="OA19" i="7"/>
  <c r="OX19" i="7"/>
  <c r="OY19" i="7" s="1"/>
  <c r="OR18" i="7"/>
  <c r="OS18" i="7" s="1"/>
  <c r="OF18" i="7"/>
  <c r="OG18" i="7" s="1"/>
  <c r="OH18" i="7"/>
  <c r="OI18" i="7" s="1"/>
  <c r="OT18" i="7"/>
  <c r="OU18" i="7" s="1"/>
  <c r="OE18" i="7"/>
  <c r="OB18" i="7"/>
  <c r="OJ18" i="7"/>
  <c r="OK18" i="7" s="1"/>
  <c r="OD18" i="7"/>
  <c r="OX18" i="7"/>
  <c r="OY18" i="7" s="1"/>
  <c r="OC18" i="7"/>
  <c r="OA18" i="7"/>
  <c r="OV18" i="7"/>
  <c r="OW18" i="7" s="1"/>
  <c r="NZ18" i="7"/>
  <c r="NY18" i="7"/>
  <c r="NX18" i="7"/>
  <c r="ON18" i="7"/>
  <c r="OO18" i="7" s="1"/>
  <c r="NW18" i="7"/>
  <c r="NV18" i="7"/>
  <c r="OL18" i="7"/>
  <c r="OM18" i="7" s="1"/>
  <c r="ON17" i="7"/>
  <c r="OO17" i="7" s="1"/>
  <c r="OB17" i="7"/>
  <c r="OA17" i="7"/>
  <c r="OX17" i="7"/>
  <c r="OY17" i="7" s="1"/>
  <c r="OL17" i="7"/>
  <c r="OM17" i="7" s="1"/>
  <c r="NZ17" i="7"/>
  <c r="NW17" i="7"/>
  <c r="OF17" i="7"/>
  <c r="OG17" i="7" s="1"/>
  <c r="OV17" i="7"/>
  <c r="OW17" i="7" s="1"/>
  <c r="OE17" i="7"/>
  <c r="OT17" i="7"/>
  <c r="OU17" i="7" s="1"/>
  <c r="OD17" i="7"/>
  <c r="OC17" i="7"/>
  <c r="NY17" i="7"/>
  <c r="NX17" i="7"/>
  <c r="OP17" i="7"/>
  <c r="OQ17" i="7" s="1"/>
  <c r="NV17" i="7"/>
  <c r="OJ17" i="7"/>
  <c r="OK17" i="7" s="1"/>
  <c r="OH17" i="7"/>
  <c r="OI17" i="7" s="1"/>
  <c r="OA23" i="7"/>
  <c r="OT23" i="7"/>
  <c r="OU23" i="7" s="1"/>
  <c r="OF23" i="7"/>
  <c r="OG23" i="7" s="1"/>
  <c r="OV23" i="7"/>
  <c r="OW23" i="7" s="1"/>
  <c r="OE23" i="7"/>
  <c r="OR23" i="7"/>
  <c r="OS23" i="7" s="1"/>
  <c r="OC23" i="7"/>
  <c r="NY23" i="7"/>
  <c r="OD23" i="7"/>
  <c r="NZ23" i="7"/>
  <c r="NX23" i="7"/>
  <c r="NW23" i="7"/>
  <c r="OX23" i="7"/>
  <c r="OY23" i="7" s="1"/>
  <c r="OP23" i="7"/>
  <c r="OQ23" i="7" s="1"/>
  <c r="ON23" i="7"/>
  <c r="OO23" i="7" s="1"/>
  <c r="OJ23" i="7"/>
  <c r="OK23" i="7" s="1"/>
  <c r="OH23" i="7"/>
  <c r="OI23" i="7" s="1"/>
  <c r="OB23" i="7"/>
  <c r="NV23" i="7"/>
  <c r="OX21" i="7"/>
  <c r="OY21" i="7" s="1"/>
  <c r="NX21" i="7"/>
  <c r="OC21" i="7"/>
  <c r="OE21" i="7"/>
  <c r="OD21" i="7"/>
  <c r="OV21" i="7"/>
  <c r="OW21" i="7" s="1"/>
  <c r="OB21" i="7"/>
  <c r="OP21" i="7"/>
  <c r="OQ21" i="7" s="1"/>
  <c r="NY21" i="7"/>
  <c r="NW21" i="7"/>
  <c r="OT21" i="7"/>
  <c r="OU21" i="7" s="1"/>
  <c r="OR21" i="7"/>
  <c r="OS21" i="7" s="1"/>
  <c r="ON21" i="7"/>
  <c r="OO21" i="7" s="1"/>
  <c r="OL21" i="7"/>
  <c r="OM21" i="7" s="1"/>
  <c r="OJ21" i="7"/>
  <c r="OK21" i="7" s="1"/>
  <c r="OH21" i="7"/>
  <c r="OI21" i="7" s="1"/>
  <c r="OA21" i="7"/>
  <c r="NZ21" i="7"/>
  <c r="NV21" i="7"/>
  <c r="QE26" i="7"/>
  <c r="QF26" i="7" s="1"/>
  <c r="CG26" i="7" s="1"/>
  <c r="OV20" i="7"/>
  <c r="OW20" i="7" s="1"/>
  <c r="OJ20" i="7"/>
  <c r="OK20" i="7" s="1"/>
  <c r="NX20" i="7"/>
  <c r="OL20" i="7"/>
  <c r="OM20" i="7" s="1"/>
  <c r="NY20" i="7"/>
  <c r="OB20" i="7"/>
  <c r="OP20" i="7"/>
  <c r="OQ20" i="7" s="1"/>
  <c r="OA20" i="7"/>
  <c r="NZ20" i="7"/>
  <c r="OT20" i="7"/>
  <c r="OU20" i="7" s="1"/>
  <c r="NV20" i="7"/>
  <c r="OR20" i="7"/>
  <c r="OS20" i="7" s="1"/>
  <c r="ON20" i="7"/>
  <c r="OO20" i="7" s="1"/>
  <c r="OF20" i="7"/>
  <c r="OG20" i="7" s="1"/>
  <c r="OE20" i="7"/>
  <c r="OD20" i="7"/>
  <c r="OX20" i="7"/>
  <c r="OY20" i="7" s="1"/>
  <c r="OC20" i="7"/>
  <c r="NW20" i="7"/>
  <c r="OP22" i="7"/>
  <c r="OQ22" i="7" s="1"/>
  <c r="OD22" i="7"/>
  <c r="OT22" i="7"/>
  <c r="OU22" i="7" s="1"/>
  <c r="OR22" i="7"/>
  <c r="OS22" i="7" s="1"/>
  <c r="OC22" i="7"/>
  <c r="OA22" i="7"/>
  <c r="OL22" i="7"/>
  <c r="OM22" i="7" s="1"/>
  <c r="NX22" i="7"/>
  <c r="OE22" i="7"/>
  <c r="NZ22" i="7"/>
  <c r="NY22" i="7"/>
  <c r="NW22" i="7"/>
  <c r="NV22" i="7"/>
  <c r="OX22" i="7"/>
  <c r="OY22" i="7" s="1"/>
  <c r="OV22" i="7"/>
  <c r="OW22" i="7" s="1"/>
  <c r="ON22" i="7"/>
  <c r="OO22" i="7" s="1"/>
  <c r="OH22" i="7"/>
  <c r="OI22" i="7" s="1"/>
  <c r="OF22" i="7"/>
  <c r="OG22" i="7" s="1"/>
  <c r="OB22" i="7"/>
  <c r="OH20" i="7" l="1"/>
  <c r="OI20" i="7" s="1"/>
  <c r="OF21" i="7"/>
  <c r="OG21" i="7" s="1"/>
  <c r="OZ21" i="7" s="1"/>
  <c r="PF21" i="7" s="1"/>
  <c r="OP18" i="7"/>
  <c r="OQ18" i="7" s="1"/>
  <c r="OR17" i="7"/>
  <c r="OS17" i="7" s="1"/>
  <c r="ON19" i="7"/>
  <c r="OO19" i="7" s="1"/>
  <c r="OZ19" i="7" s="1"/>
  <c r="OL23" i="7"/>
  <c r="OM23" i="7" s="1"/>
  <c r="OZ23" i="7" s="1"/>
  <c r="OJ22" i="7"/>
  <c r="OK22" i="7" s="1"/>
  <c r="OZ22" i="7" s="1"/>
  <c r="QC21" i="7"/>
  <c r="QD21" i="7" s="1"/>
  <c r="PQ21" i="7"/>
  <c r="PR21" i="7" s="1"/>
  <c r="PE21" i="7"/>
  <c r="PW21" i="7"/>
  <c r="PX21" i="7" s="1"/>
  <c r="PI21" i="7"/>
  <c r="PO21" i="7"/>
  <c r="PP21" i="7" s="1"/>
  <c r="PJ21" i="7"/>
  <c r="PH21" i="7"/>
  <c r="PB21" i="7"/>
  <c r="PA21" i="7"/>
  <c r="QA21" i="7"/>
  <c r="QB21" i="7" s="1"/>
  <c r="PY21" i="7"/>
  <c r="PZ21" i="7" s="1"/>
  <c r="PU21" i="7"/>
  <c r="PV21" i="7" s="1"/>
  <c r="PS21" i="7"/>
  <c r="PT21" i="7" s="1"/>
  <c r="PM21" i="7"/>
  <c r="PN21" i="7" s="1"/>
  <c r="PG21" i="7"/>
  <c r="PC21" i="7"/>
  <c r="OZ20" i="7"/>
  <c r="OZ18" i="7"/>
  <c r="OZ17" i="7"/>
  <c r="PD21" i="7" l="1"/>
  <c r="PY19" i="7"/>
  <c r="PZ19" i="7" s="1"/>
  <c r="PM19" i="7"/>
  <c r="PN19" i="7" s="1"/>
  <c r="PA19" i="7"/>
  <c r="PJ19" i="7"/>
  <c r="PW19" i="7"/>
  <c r="PX19" i="7" s="1"/>
  <c r="PI19" i="7"/>
  <c r="PH19" i="7"/>
  <c r="PE19" i="7"/>
  <c r="PQ19" i="7"/>
  <c r="PR19" i="7" s="1"/>
  <c r="PO19" i="7"/>
  <c r="PP19" i="7" s="1"/>
  <c r="PK19" i="7"/>
  <c r="PL19" i="7" s="1"/>
  <c r="PG19" i="7"/>
  <c r="QC19" i="7"/>
  <c r="QD19" i="7" s="1"/>
  <c r="PF19" i="7"/>
  <c r="PD19" i="7"/>
  <c r="QA19" i="7"/>
  <c r="QB19" i="7" s="1"/>
  <c r="PC19" i="7"/>
  <c r="PU19" i="7"/>
  <c r="PV19" i="7" s="1"/>
  <c r="PB19" i="7"/>
  <c r="PD18" i="7"/>
  <c r="PH18" i="7"/>
  <c r="PG18" i="7"/>
  <c r="PS18" i="7"/>
  <c r="PT18" i="7" s="1"/>
  <c r="PF18" i="7"/>
  <c r="QC18" i="7"/>
  <c r="QD18" i="7" s="1"/>
  <c r="PO18" i="7"/>
  <c r="PP18" i="7" s="1"/>
  <c r="PB18" i="7"/>
  <c r="PC18" i="7"/>
  <c r="PW18" i="7"/>
  <c r="PX18" i="7" s="1"/>
  <c r="PA18" i="7"/>
  <c r="PQ18" i="7"/>
  <c r="PR18" i="7" s="1"/>
  <c r="PM18" i="7"/>
  <c r="PN18" i="7" s="1"/>
  <c r="PK18" i="7"/>
  <c r="PL18" i="7" s="1"/>
  <c r="QA18" i="7"/>
  <c r="QB18" i="7" s="1"/>
  <c r="PJ18" i="7"/>
  <c r="PI18" i="7"/>
  <c r="PE18" i="7"/>
  <c r="PY18" i="7"/>
  <c r="PZ18" i="7" s="1"/>
  <c r="PB22" i="7"/>
  <c r="PG22" i="7"/>
  <c r="PU22" i="7"/>
  <c r="PV22" i="7" s="1"/>
  <c r="PF22" i="7"/>
  <c r="PD22" i="7"/>
  <c r="QC22" i="7"/>
  <c r="QD22" i="7" s="1"/>
  <c r="PK22" i="7"/>
  <c r="PL22" i="7" s="1"/>
  <c r="PJ22" i="7"/>
  <c r="PE22" i="7"/>
  <c r="PW22" i="7"/>
  <c r="PX22" i="7" s="1"/>
  <c r="PC22" i="7"/>
  <c r="PI22" i="7"/>
  <c r="PH22" i="7"/>
  <c r="PA22" i="7"/>
  <c r="QA22" i="7"/>
  <c r="QB22" i="7" s="1"/>
  <c r="PY22" i="7"/>
  <c r="PZ22" i="7" s="1"/>
  <c r="PS22" i="7"/>
  <c r="PT22" i="7" s="1"/>
  <c r="PQ22" i="7"/>
  <c r="PR22" i="7" s="1"/>
  <c r="PM22" i="7"/>
  <c r="PN22" i="7" s="1"/>
  <c r="PH20" i="7"/>
  <c r="PY20" i="7"/>
  <c r="PZ20" i="7" s="1"/>
  <c r="PK20" i="7"/>
  <c r="PL20" i="7" s="1"/>
  <c r="PF20" i="7"/>
  <c r="PU20" i="7"/>
  <c r="PV20" i="7" s="1"/>
  <c r="PE20" i="7"/>
  <c r="PS20" i="7"/>
  <c r="PT20" i="7" s="1"/>
  <c r="PD20" i="7"/>
  <c r="PA20" i="7"/>
  <c r="PQ20" i="7"/>
  <c r="PR20" i="7" s="1"/>
  <c r="PO20" i="7"/>
  <c r="PP20" i="7" s="1"/>
  <c r="PJ20" i="7"/>
  <c r="PI20" i="7"/>
  <c r="QC20" i="7"/>
  <c r="QD20" i="7" s="1"/>
  <c r="PG20" i="7"/>
  <c r="PC20" i="7"/>
  <c r="QA20" i="7"/>
  <c r="QB20" i="7" s="1"/>
  <c r="PB20" i="7"/>
  <c r="PW20" i="7"/>
  <c r="PX20" i="7" s="1"/>
  <c r="PK17" i="7"/>
  <c r="PL17" i="7" s="1"/>
  <c r="PJ17" i="7"/>
  <c r="PS17" i="7"/>
  <c r="PT17" i="7" s="1"/>
  <c r="PG17" i="7"/>
  <c r="PQ17" i="7"/>
  <c r="PR17" i="7" s="1"/>
  <c r="PA17" i="7"/>
  <c r="PK21" i="7" s="1"/>
  <c r="PL21" i="7" s="1"/>
  <c r="QE21" i="7" s="1"/>
  <c r="QF21" i="7" s="1"/>
  <c r="CG21" i="7" s="1"/>
  <c r="PO17" i="7"/>
  <c r="PP17" i="7" s="1"/>
  <c r="QC17" i="7"/>
  <c r="QD17" i="7" s="1"/>
  <c r="PM17" i="7"/>
  <c r="PN17" i="7" s="1"/>
  <c r="PI17" i="7"/>
  <c r="QA17" i="7"/>
  <c r="QB17" i="7" s="1"/>
  <c r="PH17" i="7"/>
  <c r="PF17" i="7"/>
  <c r="PY17" i="7"/>
  <c r="PZ17" i="7" s="1"/>
  <c r="PE17" i="7"/>
  <c r="PU17" i="7"/>
  <c r="PV17" i="7" s="1"/>
  <c r="PD17" i="7"/>
  <c r="PC17" i="7"/>
  <c r="PO22" i="7" s="1"/>
  <c r="PP22" i="7" s="1"/>
  <c r="PB17" i="7"/>
  <c r="PW23" i="7"/>
  <c r="PX23" i="7" s="1"/>
  <c r="PK23" i="7"/>
  <c r="PL23" i="7" s="1"/>
  <c r="PU23" i="7"/>
  <c r="PV23" i="7" s="1"/>
  <c r="PG23" i="7"/>
  <c r="PS23" i="7"/>
  <c r="PT23" i="7" s="1"/>
  <c r="PF23" i="7"/>
  <c r="PI23" i="7"/>
  <c r="PD23" i="7"/>
  <c r="PO23" i="7"/>
  <c r="PP23" i="7" s="1"/>
  <c r="PH23" i="7"/>
  <c r="QC23" i="7"/>
  <c r="QD23" i="7" s="1"/>
  <c r="PE23" i="7"/>
  <c r="QA23" i="7"/>
  <c r="QB23" i="7" s="1"/>
  <c r="PY23" i="7"/>
  <c r="PZ23" i="7" s="1"/>
  <c r="PM23" i="7"/>
  <c r="PN23" i="7" s="1"/>
  <c r="PJ23" i="7"/>
  <c r="PC23" i="7"/>
  <c r="PB23" i="7"/>
  <c r="PA23" i="7"/>
  <c r="PW17" i="7" l="1"/>
  <c r="PX17" i="7" s="1"/>
  <c r="QE17" i="7"/>
  <c r="QF17" i="7" s="1"/>
  <c r="CG17" i="7" s="1"/>
  <c r="G23" i="7" s="1"/>
  <c r="PU18" i="7"/>
  <c r="PV18" i="7" s="1"/>
  <c r="PS19" i="7"/>
  <c r="PT19" i="7" s="1"/>
  <c r="PQ23" i="7"/>
  <c r="PR23" i="7" s="1"/>
  <c r="PM20" i="7"/>
  <c r="PN20" i="7" s="1"/>
  <c r="QE20" i="7" s="1"/>
  <c r="QF20" i="7" s="1"/>
  <c r="CG20" i="7" s="1"/>
  <c r="QE23" i="7"/>
  <c r="QF23" i="7" s="1"/>
  <c r="CG23" i="7" s="1"/>
  <c r="QE18" i="7"/>
  <c r="QF18" i="7" s="1"/>
  <c r="CG18" i="7" s="1"/>
  <c r="QE22" i="7"/>
  <c r="QF22" i="7" s="1"/>
  <c r="CG22" i="7" s="1"/>
  <c r="QE19" i="7"/>
  <c r="QF19" i="7" s="1"/>
  <c r="CG19" i="7" s="1"/>
  <c r="BZ23" i="7" l="1"/>
  <c r="BZ26" i="7"/>
  <c r="I23" i="7"/>
  <c r="J23" i="7" s="1"/>
  <c r="K23" i="7" s="1"/>
  <c r="M23" i="7"/>
  <c r="SB23" i="7" s="1"/>
  <c r="CA23" i="7"/>
  <c r="CB23" i="7"/>
  <c r="CB21" i="7"/>
  <c r="BZ25" i="7"/>
  <c r="CA18" i="7"/>
  <c r="RS23" i="7"/>
  <c r="V23" i="7"/>
  <c r="P23" i="4"/>
  <c r="E9" i="21" s="1"/>
  <c r="M20" i="7"/>
  <c r="M18" i="7"/>
  <c r="CB19" i="7"/>
  <c r="CB24" i="7"/>
  <c r="G19" i="7"/>
  <c r="CA19" i="7"/>
  <c r="BZ19" i="7"/>
  <c r="CB17" i="7"/>
  <c r="CB18" i="7"/>
  <c r="CB25" i="7"/>
  <c r="G20" i="7"/>
  <c r="CA22" i="7"/>
  <c r="G25" i="7"/>
  <c r="I26" i="7"/>
  <c r="J26" i="7" s="1"/>
  <c r="G22" i="7"/>
  <c r="RY23" i="7"/>
  <c r="G18" i="7"/>
  <c r="CB26" i="7"/>
  <c r="BZ22" i="7"/>
  <c r="G21" i="7"/>
  <c r="I25" i="7"/>
  <c r="J25" i="7" s="1"/>
  <c r="BZ18" i="7"/>
  <c r="BZ24" i="7"/>
  <c r="M21" i="7"/>
  <c r="M17" i="7"/>
  <c r="M22" i="7"/>
  <c r="CA24" i="7"/>
  <c r="M19" i="7"/>
  <c r="I18" i="7"/>
  <c r="J18" i="7" s="1"/>
  <c r="BZ17" i="7"/>
  <c r="I17" i="7"/>
  <c r="J17" i="7" s="1"/>
  <c r="M26" i="7"/>
  <c r="M25" i="7"/>
  <c r="CA21" i="7"/>
  <c r="CA17" i="7"/>
  <c r="I21" i="7"/>
  <c r="J21" i="7" s="1"/>
  <c r="I19" i="7"/>
  <c r="J19" i="7" s="1"/>
  <c r="I20" i="7"/>
  <c r="J20" i="7" s="1"/>
  <c r="CB20" i="7"/>
  <c r="CA25" i="7"/>
  <c r="M24" i="7"/>
  <c r="R23" i="4"/>
  <c r="D9" i="21" s="1"/>
  <c r="BZ21" i="7"/>
  <c r="I22" i="7"/>
  <c r="J22" i="7" s="1"/>
  <c r="G26" i="7"/>
  <c r="BZ20" i="7"/>
  <c r="CA20" i="7"/>
  <c r="I24" i="7"/>
  <c r="J24" i="7" s="1"/>
  <c r="G17" i="7"/>
  <c r="CA26" i="7"/>
  <c r="CB22" i="7"/>
  <c r="G24" i="7"/>
  <c r="RS18" i="7" l="1"/>
  <c r="V18" i="7"/>
  <c r="P18" i="4"/>
  <c r="SB24" i="7"/>
  <c r="R24" i="4"/>
  <c r="D10" i="21" s="1"/>
  <c r="K18" i="7"/>
  <c r="RY18" i="7"/>
  <c r="SB19" i="7"/>
  <c r="R19" i="4"/>
  <c r="RS19" i="7"/>
  <c r="V19" i="7"/>
  <c r="P19" i="4"/>
  <c r="RS22" i="7"/>
  <c r="V22" i="7"/>
  <c r="P22" i="4"/>
  <c r="K26" i="7"/>
  <c r="RY26" i="7"/>
  <c r="SB21" i="7"/>
  <c r="R21" i="4"/>
  <c r="RS26" i="7"/>
  <c r="V26" i="7"/>
  <c r="RS20" i="7"/>
  <c r="V20" i="7"/>
  <c r="P20" i="4"/>
  <c r="SB17" i="7"/>
  <c r="R5" i="4"/>
  <c r="K21" i="7"/>
  <c r="RY21" i="7"/>
  <c r="RY25" i="7"/>
  <c r="K25" i="7"/>
  <c r="RS24" i="7"/>
  <c r="V24" i="7"/>
  <c r="RS17" i="7"/>
  <c r="V17" i="7"/>
  <c r="P5" i="4"/>
  <c r="SB22" i="7"/>
  <c r="R22" i="4"/>
  <c r="K19" i="7"/>
  <c r="RY19" i="7"/>
  <c r="SB18" i="7"/>
  <c r="R18" i="4"/>
  <c r="SB20" i="7"/>
  <c r="R20" i="4"/>
  <c r="K22" i="7"/>
  <c r="RY22" i="7"/>
  <c r="SB26" i="7"/>
  <c r="R26" i="4"/>
  <c r="RS21" i="7"/>
  <c r="V21" i="7"/>
  <c r="P21" i="4"/>
  <c r="K20" i="7"/>
  <c r="RY20" i="7"/>
  <c r="K24" i="7"/>
  <c r="RY24" i="7"/>
  <c r="RS25" i="7"/>
  <c r="V25" i="7"/>
  <c r="SB25" i="7"/>
  <c r="R25" i="4"/>
  <c r="RY17" i="7"/>
  <c r="K17" i="7"/>
  <c r="E5" i="21" l="1"/>
  <c r="E8" i="20"/>
  <c r="D6" i="21"/>
  <c r="D9" i="20"/>
  <c r="D7" i="21"/>
  <c r="D10" i="20"/>
  <c r="E6" i="21"/>
  <c r="E9" i="20"/>
  <c r="E3" i="21"/>
  <c r="E6" i="20"/>
  <c r="D5" i="21"/>
  <c r="D8" i="20"/>
  <c r="D4" i="21"/>
  <c r="D7" i="20"/>
  <c r="E8" i="21"/>
  <c r="E11" i="20"/>
  <c r="E4" i="21"/>
  <c r="E7" i="20"/>
  <c r="E7" i="21"/>
  <c r="E10" i="20"/>
  <c r="D3" i="21"/>
  <c r="D6" i="20"/>
  <c r="D8" i="21"/>
  <c r="D11" i="20"/>
</calcChain>
</file>

<file path=xl/sharedStrings.xml><?xml version="1.0" encoding="utf-8"?>
<sst xmlns="http://schemas.openxmlformats.org/spreadsheetml/2006/main" count="15357" uniqueCount="5142">
  <si>
    <t>100M</t>
  </si>
  <si>
    <t>200m</t>
  </si>
  <si>
    <t>Note to all those using this programme
DO NOT USE "CUT &amp; PASTE" or "DRAG &amp; DROP" 
in any Arena documents</t>
  </si>
  <si>
    <t>National Arena Swimming League</t>
  </si>
  <si>
    <r>
      <rPr>
        <b/>
        <sz val="10"/>
        <rFont val="Arial"/>
        <family val="2"/>
        <charset val="1"/>
      </rPr>
      <t xml:space="preserve">Import or Edit Teams 
</t>
    </r>
    <r>
      <rPr>
        <sz val="10"/>
        <rFont val="Calibri"/>
        <family val="2"/>
        <charset val="1"/>
      </rPr>
      <t>↓</t>
    </r>
  </si>
  <si>
    <r>
      <rPr>
        <b/>
        <sz val="7"/>
        <rFont val="Arial"/>
        <family val="2"/>
        <charset val="1"/>
      </rPr>
      <t xml:space="preserve">Enter Lane Numbers ALWAYS
Starting with the lowest number
</t>
    </r>
    <r>
      <rPr>
        <sz val="7"/>
        <color rgb="FFFF0101"/>
        <rFont val="Calibri"/>
        <family val="2"/>
        <charset val="1"/>
      </rPr>
      <t>↓</t>
    </r>
    <r>
      <rPr>
        <sz val="7"/>
        <rFont val="Arial"/>
        <family val="2"/>
        <charset val="1"/>
      </rPr>
      <t xml:space="preserve">  </t>
    </r>
  </si>
  <si>
    <t>Team names will show here when the team sheet is imported</t>
  </si>
  <si>
    <r>
      <rPr>
        <b/>
        <sz val="9"/>
        <rFont val="Arial"/>
        <family val="2"/>
        <charset val="1"/>
      </rPr>
      <t xml:space="preserve">Enter 4 digit club code
</t>
    </r>
    <r>
      <rPr>
        <sz val="10"/>
        <color rgb="FFFF0101"/>
        <rFont val="Arial"/>
        <family val="2"/>
        <charset val="1"/>
      </rPr>
      <t xml:space="preserve">HERE
</t>
    </r>
    <r>
      <rPr>
        <sz val="10"/>
        <color rgb="FFFF0101"/>
        <rFont val="Calibri"/>
        <family val="2"/>
        <charset val="1"/>
      </rPr>
      <t>↓</t>
    </r>
    <r>
      <rPr>
        <sz val="10"/>
        <rFont val="Arial"/>
        <family val="2"/>
        <charset val="1"/>
      </rPr>
      <t xml:space="preserve">  </t>
    </r>
  </si>
  <si>
    <t>LANE</t>
  </si>
  <si>
    <t>These are the names that have 
been entered on the team sheet</t>
  </si>
  <si>
    <t>Gala recorders:- Please fill in all red boxes.</t>
  </si>
  <si>
    <t>League</t>
  </si>
  <si>
    <t>LONDON</t>
  </si>
  <si>
    <t>Division</t>
  </si>
  <si>
    <t>ONE</t>
  </si>
  <si>
    <t>TEAM 1</t>
  </si>
  <si>
    <t>HABL</t>
  </si>
  <si>
    <t>NASL.2023 V6</t>
  </si>
  <si>
    <t>DIVISION</t>
  </si>
  <si>
    <t>LANE 
1</t>
  </si>
  <si>
    <t>6 LANES</t>
  </si>
  <si>
    <t>8 LANES</t>
  </si>
  <si>
    <t>10 LANES</t>
  </si>
  <si>
    <t xml:space="preserve">Round </t>
  </si>
  <si>
    <t>THREE</t>
  </si>
  <si>
    <t>Gala 
Number</t>
  </si>
  <si>
    <t>TWO</t>
  </si>
  <si>
    <t>TEAM 2</t>
  </si>
  <si>
    <t>STET</t>
  </si>
  <si>
    <t>LANE 
2</t>
  </si>
  <si>
    <t xml:space="preserve">Gala venue </t>
  </si>
  <si>
    <t>AQUA VALE S &amp; F CENTRE AYLESBURY</t>
  </si>
  <si>
    <t>TEAM 3</t>
  </si>
  <si>
    <t>BBST</t>
  </si>
  <si>
    <t>Gala venue</t>
  </si>
  <si>
    <t>LANE 
3</t>
  </si>
  <si>
    <t>Gala Date</t>
  </si>
  <si>
    <t>License Number
(If applicable)</t>
  </si>
  <si>
    <t>3ER231478</t>
  </si>
  <si>
    <t>TEAM 4</t>
  </si>
  <si>
    <t>AYBS</t>
  </si>
  <si>
    <t>LANE 
4</t>
  </si>
  <si>
    <t>Pool Length for all Arena galas is</t>
  </si>
  <si>
    <t>TEAM 5</t>
  </si>
  <si>
    <t>BTRT</t>
  </si>
  <si>
    <t>Pool Length</t>
  </si>
  <si>
    <t>LANE 
5</t>
  </si>
  <si>
    <t>IM distance for all galas is</t>
  </si>
  <si>
    <t>200M</t>
  </si>
  <si>
    <t>TEAM 6</t>
  </si>
  <si>
    <t>HAWL</t>
  </si>
  <si>
    <t xml:space="preserve">Swimmer 
Eligibilty </t>
  </si>
  <si>
    <t>Check a Result</t>
  </si>
  <si>
    <t>Metre</t>
  </si>
  <si>
    <t>LANE  
6</t>
  </si>
  <si>
    <t>Notes for Gala recorders.</t>
  </si>
  <si>
    <t>TEAM 7</t>
  </si>
  <si>
    <t>HISL</t>
  </si>
  <si>
    <t xml:space="preserve">Results Printout 6 Lane </t>
  </si>
  <si>
    <t>LANE 7</t>
  </si>
  <si>
    <r>
      <rPr>
        <sz val="9"/>
        <color theme="1"/>
        <rFont val="Arial"/>
        <family val="2"/>
        <charset val="1"/>
      </rPr>
      <t xml:space="preserve">1/  Please ensure that all gala details are correctly entered. Team names automatically appear as shown on the team sheets. 
The 4 digit club codes </t>
    </r>
    <r>
      <rPr>
        <b/>
        <sz val="9"/>
        <color theme="1"/>
        <rFont val="Arial"/>
        <family val="2"/>
        <charset val="1"/>
      </rPr>
      <t>MUST</t>
    </r>
    <r>
      <rPr>
        <sz val="9"/>
        <color theme="1"/>
        <rFont val="Arial"/>
        <family val="2"/>
        <charset val="1"/>
      </rPr>
      <t xml:space="preserve"> then be entered on this page. 
2/  Lane order is as supplied by your league secretary &amp; lanes should be numbered on this sheet, to coincide with the pool setup. </t>
    </r>
  </si>
  <si>
    <t>TEAM 8</t>
  </si>
  <si>
    <t xml:space="preserve">Results Printout 8 Lane </t>
  </si>
  <si>
    <t>Medley distance</t>
  </si>
  <si>
    <t>LANE 8</t>
  </si>
  <si>
    <t>TEAM 9</t>
  </si>
  <si>
    <t>Results Printout 10 Lane</t>
  </si>
  <si>
    <t>LANE 
9</t>
  </si>
  <si>
    <r>
      <rPr>
        <sz val="10"/>
        <color rgb="FFFF0000"/>
        <rFont val="Arial"/>
        <family val="2"/>
        <charset val="1"/>
      </rPr>
      <t>3/</t>
    </r>
    <r>
      <rPr>
        <sz val="10"/>
        <rFont val="Arial"/>
        <family val="2"/>
        <charset val="1"/>
      </rPr>
      <t xml:space="preserve"> Team &amp; lane data must always be entered starting with "Team 1" no matter how many teams are swimming or which number lanes are used.</t>
    </r>
  </si>
  <si>
    <t>TEAM 10</t>
  </si>
  <si>
    <t>Rankings 
HDR file</t>
  </si>
  <si>
    <t>Rankings 
MRF file</t>
  </si>
  <si>
    <t>LANE 
0</t>
  </si>
  <si>
    <t xml:space="preserve">4/  If an individual gala result is tied, places are automatically calculated on countback using all events. All placings are taken into account when necessary. </t>
  </si>
  <si>
    <t>→</t>
  </si>
  <si>
    <t>Print Lane timer sheets</t>
  </si>
  <si>
    <t>←</t>
  </si>
  <si>
    <r>
      <rPr>
        <sz val="10"/>
        <color rgb="FFFF0000"/>
        <rFont val="Arial"/>
        <family val="2"/>
        <charset val="1"/>
      </rPr>
      <t xml:space="preserve">5/ </t>
    </r>
    <r>
      <rPr>
        <sz val="10"/>
        <rFont val="Arial"/>
        <family val="2"/>
        <charset val="1"/>
      </rPr>
      <t>Navigation between the different parts of the programme can be either by selecting the links located within each page, or by using the sheet tabs at the bottom of the page.</t>
    </r>
  </si>
  <si>
    <t>Run the Gala</t>
  </si>
  <si>
    <r>
      <rPr>
        <sz val="10"/>
        <color rgb="FFFF0000"/>
        <rFont val="Arial"/>
        <family val="2"/>
        <charset val="1"/>
      </rPr>
      <t xml:space="preserve">6/ </t>
    </r>
    <r>
      <rPr>
        <sz val="10"/>
        <rFont val="Arial"/>
        <family val="2"/>
        <charset val="1"/>
      </rPr>
      <t xml:space="preserve"> If a club name is made up entirely with numbers eg 1066 or 1930 then letters must be added for points to score correctly.   </t>
    </r>
    <r>
      <rPr>
        <sz val="10"/>
        <color rgb="FFFF0000"/>
        <rFont val="Arial"/>
        <family val="2"/>
        <charset val="1"/>
      </rPr>
      <t>SC is acceptable.</t>
    </r>
  </si>
  <si>
    <t>↗</t>
  </si>
  <si>
    <t>↖</t>
  </si>
  <si>
    <t>Email this complete excel file to your league secretary as soon as possible &amp; at the latest by Midday of the next day.</t>
  </si>
  <si>
    <t xml:space="preserve"> CLUB CODE LIST</t>
  </si>
  <si>
    <t>Gala 
set up</t>
  </si>
  <si>
    <t>Gala 
Recording</t>
  </si>
  <si>
    <t>COMPLETE ASA CLUB CODE DATABASE 2017</t>
  </si>
  <si>
    <t xml:space="preserve">CLUB </t>
  </si>
  <si>
    <t>CODE</t>
  </si>
  <si>
    <t>Rankings 
Name</t>
  </si>
  <si>
    <t>Club Name</t>
  </si>
  <si>
    <t>Code</t>
  </si>
  <si>
    <t>Region</t>
  </si>
  <si>
    <t>County</t>
  </si>
  <si>
    <t>1066 Swimmers</t>
  </si>
  <si>
    <t>TENS</t>
  </si>
  <si>
    <t>1066swimmers</t>
  </si>
  <si>
    <t>District</t>
  </si>
  <si>
    <t>1930 ASC</t>
  </si>
  <si>
    <t>ENTX</t>
  </si>
  <si>
    <t>S</t>
  </si>
  <si>
    <t>SSXS</t>
  </si>
  <si>
    <t>4 Shires Swimming Club</t>
  </si>
  <si>
    <t>FRSS</t>
  </si>
  <si>
    <t>4 Shires</t>
  </si>
  <si>
    <t>X</t>
  </si>
  <si>
    <t>SEDX</t>
  </si>
  <si>
    <t>A.N.T. Swimming Club Of Somerset</t>
  </si>
  <si>
    <t>ANTW</t>
  </si>
  <si>
    <t>A.N.T. SC</t>
  </si>
  <si>
    <t>ONBS</t>
  </si>
  <si>
    <t>Aberavon</t>
  </si>
  <si>
    <t>ABVY</t>
  </si>
  <si>
    <t>Aberaeron SC</t>
  </si>
  <si>
    <t>ABEY</t>
  </si>
  <si>
    <t>Y</t>
  </si>
  <si>
    <t>WWAY</t>
  </si>
  <si>
    <t>Aberdare Comets Diving Club</t>
  </si>
  <si>
    <t>ACDY</t>
  </si>
  <si>
    <t>Aberdare Com</t>
  </si>
  <si>
    <t>Aberdeen ASC</t>
  </si>
  <si>
    <t>NANX</t>
  </si>
  <si>
    <t>Aberdeen</t>
  </si>
  <si>
    <t>EWAY</t>
  </si>
  <si>
    <t>Aberdeen Diving Club</t>
  </si>
  <si>
    <t>NAVX</t>
  </si>
  <si>
    <t>Aberdeen DC</t>
  </si>
  <si>
    <t>SNDX</t>
  </si>
  <si>
    <t>Aberdeen Dolphins ASC</t>
  </si>
  <si>
    <t>NADX</t>
  </si>
  <si>
    <t>Aberdeen Dol</t>
  </si>
  <si>
    <t>Aberdeen University Diving Club</t>
  </si>
  <si>
    <t>NABX</t>
  </si>
  <si>
    <t>Adeen Uni DC</t>
  </si>
  <si>
    <t>Aberdeen University Swimming and WPC</t>
  </si>
  <si>
    <t>NAUX</t>
  </si>
  <si>
    <t>Aberdeen Uni</t>
  </si>
  <si>
    <t>Abergavenny Swimming Club</t>
  </si>
  <si>
    <t>ABAY</t>
  </si>
  <si>
    <t>Abergavenny</t>
  </si>
  <si>
    <t>Aberdeen University Swimming and Water Polo Club</t>
  </si>
  <si>
    <t>Abertillery Piranhas SC</t>
  </si>
  <si>
    <t>ABTY</t>
  </si>
  <si>
    <t>Abertillery</t>
  </si>
  <si>
    <t>Aberystwyth</t>
  </si>
  <si>
    <t>ABRY</t>
  </si>
  <si>
    <t>Abingdon Vale SC</t>
  </si>
  <si>
    <t>ABIS</t>
  </si>
  <si>
    <t>AbingdonVale</t>
  </si>
  <si>
    <t>Academy Swim Team Burnham</t>
  </si>
  <si>
    <t>ASBW</t>
  </si>
  <si>
    <t>AST Burnham</t>
  </si>
  <si>
    <t>Abingdon SC</t>
  </si>
  <si>
    <t>ABDS</t>
  </si>
  <si>
    <t>Accrington SC</t>
  </si>
  <si>
    <t>ACCN</t>
  </si>
  <si>
    <t>Accrington</t>
  </si>
  <si>
    <t>Adwick (Doncaster) SC</t>
  </si>
  <si>
    <t>ADWE</t>
  </si>
  <si>
    <t>Adwick</t>
  </si>
  <si>
    <t>W</t>
  </si>
  <si>
    <t>SMSW</t>
  </si>
  <si>
    <t>Airdrie and Monkland ASC</t>
  </si>
  <si>
    <t>WAMX</t>
  </si>
  <si>
    <t>Airdrie&amp;monk</t>
  </si>
  <si>
    <t>N</t>
  </si>
  <si>
    <t>LNCN</t>
  </si>
  <si>
    <t>Aireborough SC</t>
  </si>
  <si>
    <t>AIRE</t>
  </si>
  <si>
    <t>Aireborough</t>
  </si>
  <si>
    <t>E</t>
  </si>
  <si>
    <t>YRKE</t>
  </si>
  <si>
    <t>Albatross DC</t>
  </si>
  <si>
    <t>ALBS</t>
  </si>
  <si>
    <t>SCWX</t>
  </si>
  <si>
    <t>Alford Otters ASC</t>
  </si>
  <si>
    <t>NAOX</t>
  </si>
  <si>
    <t>Alford Otter</t>
  </si>
  <si>
    <t>Alfreton Swimming Club</t>
  </si>
  <si>
    <t>ALFA</t>
  </si>
  <si>
    <t>Alfreton</t>
  </si>
  <si>
    <t>BSBS</t>
  </si>
  <si>
    <t>Alloa ASC</t>
  </si>
  <si>
    <t>WAAX</t>
  </si>
  <si>
    <t>Alloa</t>
  </si>
  <si>
    <t>Aldershot Adult SC</t>
  </si>
  <si>
    <t>ADUS</t>
  </si>
  <si>
    <t>HNTS</t>
  </si>
  <si>
    <t>Alnwick Dolphin SC</t>
  </si>
  <si>
    <t>ALNE</t>
  </si>
  <si>
    <t>Alnwick Dol</t>
  </si>
  <si>
    <t>Alsager SC</t>
  </si>
  <si>
    <t>ALSN</t>
  </si>
  <si>
    <t>Alsager</t>
  </si>
  <si>
    <t>A</t>
  </si>
  <si>
    <t>DRBA</t>
  </si>
  <si>
    <t>Alton &amp; District Swimming Club</t>
  </si>
  <si>
    <t>ALTS</t>
  </si>
  <si>
    <t>Alton &amp; Dist</t>
  </si>
  <si>
    <t>Altrincham SC</t>
  </si>
  <si>
    <t>ALTN</t>
  </si>
  <si>
    <t>Altrincham</t>
  </si>
  <si>
    <t>NDRE</t>
  </si>
  <si>
    <t>Amersham SC</t>
  </si>
  <si>
    <t>AMES</t>
  </si>
  <si>
    <t>Amersham</t>
  </si>
  <si>
    <t>CHRN</t>
  </si>
  <si>
    <t>Amman Valley</t>
  </si>
  <si>
    <t>AMMY</t>
  </si>
  <si>
    <t>Anaconda SC</t>
  </si>
  <si>
    <t>ANCL</t>
  </si>
  <si>
    <t>Anaconda</t>
  </si>
  <si>
    <t>Andover Swimming &amp; WP Club</t>
  </si>
  <si>
    <t>ANDS</t>
  </si>
  <si>
    <t>Andover</t>
  </si>
  <si>
    <t>Annan ASC</t>
  </si>
  <si>
    <t>WANX</t>
  </si>
  <si>
    <t>Applemore and Waterside SC</t>
  </si>
  <si>
    <t>APWS</t>
  </si>
  <si>
    <t>Applemore</t>
  </si>
  <si>
    <t>L</t>
  </si>
  <si>
    <t>MDXL</t>
  </si>
  <si>
    <t>Aqua Force Swimming Academy Hartlepool</t>
  </si>
  <si>
    <t>AFHE</t>
  </si>
  <si>
    <t>AFSHartlepol</t>
  </si>
  <si>
    <t>Aquabears Of Rochdale SC</t>
  </si>
  <si>
    <t>ROCN</t>
  </si>
  <si>
    <t>Aquabears</t>
  </si>
  <si>
    <t>AquaJets Newcastle SC</t>
  </si>
  <si>
    <t>AJNE</t>
  </si>
  <si>
    <t>AJ Newcastle</t>
  </si>
  <si>
    <t>Appleby</t>
  </si>
  <si>
    <t>APPN</t>
  </si>
  <si>
    <t>CUMN</t>
  </si>
  <si>
    <t>Aqualina (Stevenage) Artistic Swimming Club</t>
  </si>
  <si>
    <t>AQUT</t>
  </si>
  <si>
    <t>Aqualina</t>
  </si>
  <si>
    <t>Appleby Frodingham SC</t>
  </si>
  <si>
    <t>APPE</t>
  </si>
  <si>
    <t>Aquanauts Livingston ASC</t>
  </si>
  <si>
    <t>EANX</t>
  </si>
  <si>
    <t>Aquanauts Li</t>
  </si>
  <si>
    <t>Aquaoaks Artistic Swimming Club (Sevenoaks)</t>
  </si>
  <si>
    <t>AASS</t>
  </si>
  <si>
    <t>Aquaoaks Art</t>
  </si>
  <si>
    <t>Aquavision North London Swim Club</t>
  </si>
  <si>
    <t>AQNL</t>
  </si>
  <si>
    <t>Aquavision</t>
  </si>
  <si>
    <t>Aqua Swimming Club (Sevenoaks)</t>
  </si>
  <si>
    <t>AQSS</t>
  </si>
  <si>
    <t>KNTQ</t>
  </si>
  <si>
    <t>Arfon</t>
  </si>
  <si>
    <t>ARFY</t>
  </si>
  <si>
    <t>Argyll &amp; Clyde Swim Team</t>
  </si>
  <si>
    <t>UACX</t>
  </si>
  <si>
    <t>Argyll&amp;Clyde</t>
  </si>
  <si>
    <t>Armadale Barracudas ASC</t>
  </si>
  <si>
    <t>EABX</t>
  </si>
  <si>
    <t>Armadale</t>
  </si>
  <si>
    <t>Aqualina Synchro Club</t>
  </si>
  <si>
    <t>T</t>
  </si>
  <si>
    <t>HRTT</t>
  </si>
  <si>
    <t>Armthorpe &amp; District SC</t>
  </si>
  <si>
    <t>ARME</t>
  </si>
  <si>
    <t>Armthorpe</t>
  </si>
  <si>
    <t>Arnold SC</t>
  </si>
  <si>
    <t>ARNA</t>
  </si>
  <si>
    <t>Arnold</t>
  </si>
  <si>
    <t>Arun Tridents SC</t>
  </si>
  <si>
    <t>ARTS</t>
  </si>
  <si>
    <t>ArunTridents</t>
  </si>
  <si>
    <t>Ardingly SC</t>
  </si>
  <si>
    <t>ARDS</t>
  </si>
  <si>
    <t>ASA Live Test Club</t>
  </si>
  <si>
    <t>TESQ</t>
  </si>
  <si>
    <t>ASA Test</t>
  </si>
  <si>
    <t>NWAY</t>
  </si>
  <si>
    <t>Asa Temporary cat 2 club</t>
  </si>
  <si>
    <t>ATEA</t>
  </si>
  <si>
    <t>Asa Temp 2</t>
  </si>
  <si>
    <t>SCCX</t>
  </si>
  <si>
    <t>Ascot Royals Swim Club</t>
  </si>
  <si>
    <t>ASRS</t>
  </si>
  <si>
    <t>Ascot Royals</t>
  </si>
  <si>
    <t>Ashbourne &amp; District SC</t>
  </si>
  <si>
    <t>ASHA</t>
  </si>
  <si>
    <t>Ashbourne</t>
  </si>
  <si>
    <t>Ashford School</t>
  </si>
  <si>
    <t>ASFS</t>
  </si>
  <si>
    <t>Ashford Sch</t>
  </si>
  <si>
    <t>NTMA</t>
  </si>
  <si>
    <t>Ashford Town SC</t>
  </si>
  <si>
    <t>ASHS</t>
  </si>
  <si>
    <t>Ashford Town</t>
  </si>
  <si>
    <t>Q</t>
  </si>
  <si>
    <t>WWKM</t>
  </si>
  <si>
    <t>Ashington SC</t>
  </si>
  <si>
    <t>ASHE</t>
  </si>
  <si>
    <t>Ashington</t>
  </si>
  <si>
    <t>LECA</t>
  </si>
  <si>
    <t>Ashton Central SC</t>
  </si>
  <si>
    <t>ASHN</t>
  </si>
  <si>
    <t>Ashton Cent</t>
  </si>
  <si>
    <t>Ashton-Under-Lyne SC</t>
  </si>
  <si>
    <t>AULN</t>
  </si>
  <si>
    <t>Ashton u Lyn</t>
  </si>
  <si>
    <t>Askern Spa ASC</t>
  </si>
  <si>
    <t>SPAE</t>
  </si>
  <si>
    <t>Askern Spa</t>
  </si>
  <si>
    <t>Aston (Birmingham) SC</t>
  </si>
  <si>
    <t>ASTM</t>
  </si>
  <si>
    <t>Aston</t>
  </si>
  <si>
    <t>Atherton and Leigh ASC</t>
  </si>
  <si>
    <t>ATHN</t>
  </si>
  <si>
    <t>Ather &amp; Leig</t>
  </si>
  <si>
    <t>Atlantis Swimming Club</t>
  </si>
  <si>
    <t>ATLS</t>
  </si>
  <si>
    <t>Atlantis</t>
  </si>
  <si>
    <t>Avondale SC</t>
  </si>
  <si>
    <t>AVOL</t>
  </si>
  <si>
    <t>Avondale</t>
  </si>
  <si>
    <t>ASKA (Chester) Swimming Club</t>
  </si>
  <si>
    <t>ASKN</t>
  </si>
  <si>
    <t>Aylesbury &amp; District SC</t>
  </si>
  <si>
    <t>Aylesbury</t>
  </si>
  <si>
    <t>Ayr Diving Club</t>
  </si>
  <si>
    <t>WARX</t>
  </si>
  <si>
    <t>Ayr DC</t>
  </si>
  <si>
    <t>M</t>
  </si>
  <si>
    <t>Backwell SC</t>
  </si>
  <si>
    <t>BACW</t>
  </si>
  <si>
    <t>Backwell</t>
  </si>
  <si>
    <t>Bakewell Swimming Club</t>
  </si>
  <si>
    <t>BACA</t>
  </si>
  <si>
    <t>Bakewell SC</t>
  </si>
  <si>
    <t>Atlantis Amateur SC</t>
  </si>
  <si>
    <t>Balfron Barracudas</t>
  </si>
  <si>
    <t>WBBX</t>
  </si>
  <si>
    <t>Balfron Barr</t>
  </si>
  <si>
    <t>SRYQ</t>
  </si>
  <si>
    <t>Banbury SC</t>
  </si>
  <si>
    <t>BANS</t>
  </si>
  <si>
    <t>Banbury</t>
  </si>
  <si>
    <t>Banchory Beavers ASC</t>
  </si>
  <si>
    <t>NBBX</t>
  </si>
  <si>
    <t>Banchory</t>
  </si>
  <si>
    <t>Banff and Buchan Masters</t>
  </si>
  <si>
    <t>NBMX</t>
  </si>
  <si>
    <t>Banff&amp;Buchan</t>
  </si>
  <si>
    <t>Bangor Diving Club</t>
  </si>
  <si>
    <t>BBDY</t>
  </si>
  <si>
    <t>Bangor DC</t>
  </si>
  <si>
    <t>Barking &amp; Dagenham Aquatics Club</t>
  </si>
  <si>
    <t>BACL</t>
  </si>
  <si>
    <t>Bark &amp; Dagen</t>
  </si>
  <si>
    <t>Barnes SC</t>
  </si>
  <si>
    <t>SPAL</t>
  </si>
  <si>
    <t>Barnet Copthall SC</t>
  </si>
  <si>
    <t>BANL</t>
  </si>
  <si>
    <t>Barnet Copt</t>
  </si>
  <si>
    <t>Barnet Water Polo Club</t>
  </si>
  <si>
    <t>BWCL</t>
  </si>
  <si>
    <t>Barnet WPC</t>
  </si>
  <si>
    <t>Bangor Bilidowcars Diving Club</t>
  </si>
  <si>
    <t>Barnsley SC</t>
  </si>
  <si>
    <t>BARE</t>
  </si>
  <si>
    <t>Barnsley</t>
  </si>
  <si>
    <t>ESXQ</t>
  </si>
  <si>
    <t>Barnstaple SC</t>
  </si>
  <si>
    <t>BARW</t>
  </si>
  <si>
    <t>Barnstaple</t>
  </si>
  <si>
    <t>Barrow ASC</t>
  </si>
  <si>
    <t>BARN</t>
  </si>
  <si>
    <t>Barrow</t>
  </si>
  <si>
    <t>Barrow Long Distance SC</t>
  </si>
  <si>
    <t>BLON</t>
  </si>
  <si>
    <t>Barrow LD</t>
  </si>
  <si>
    <t>Barnet SC</t>
  </si>
  <si>
    <t>BNTL</t>
  </si>
  <si>
    <t>Barry</t>
  </si>
  <si>
    <t>BARY</t>
  </si>
  <si>
    <t>Basildon and Phoenix SC</t>
  </si>
  <si>
    <t>BAST</t>
  </si>
  <si>
    <t>Basildon Ph</t>
  </si>
  <si>
    <t>Basingstoke Bluefins SC</t>
  </si>
  <si>
    <t>BBFS</t>
  </si>
  <si>
    <t>Basingstoke</t>
  </si>
  <si>
    <t>DVNW</t>
  </si>
  <si>
    <t>Bassetlaw Swim Squad</t>
  </si>
  <si>
    <t>BSSA</t>
  </si>
  <si>
    <t>Bassetlaw SS</t>
  </si>
  <si>
    <t>Bassett J.S.F. Swimming Club</t>
  </si>
  <si>
    <t>BJSS</t>
  </si>
  <si>
    <t>Bassett JSF</t>
  </si>
  <si>
    <t>Bath Dolphin SC</t>
  </si>
  <si>
    <t>BADW</t>
  </si>
  <si>
    <t>Bath Dolphin</t>
  </si>
  <si>
    <t>Bath Performance Centre</t>
  </si>
  <si>
    <t>BATI</t>
  </si>
  <si>
    <t>Bath PC</t>
  </si>
  <si>
    <t>Bathgate ASC</t>
  </si>
  <si>
    <t>EBEX</t>
  </si>
  <si>
    <t>Bathgate</t>
  </si>
  <si>
    <t>Beachfield Swimming Squad</t>
  </si>
  <si>
    <t>BFDS</t>
  </si>
  <si>
    <t>Beachfield</t>
  </si>
  <si>
    <t>Beacon SC</t>
  </si>
  <si>
    <t>BCNS</t>
  </si>
  <si>
    <t>Beacon</t>
  </si>
  <si>
    <t>Beau Sejour Barracuda SC</t>
  </si>
  <si>
    <t>BEAS</t>
  </si>
  <si>
    <t>Beau Sejour</t>
  </si>
  <si>
    <t>Beaumont Diving Academy</t>
  </si>
  <si>
    <t>BDAT</t>
  </si>
  <si>
    <t>Beaumont Dac</t>
  </si>
  <si>
    <t>Beavers Masters Bedford SC</t>
  </si>
  <si>
    <t>BEVT</t>
  </si>
  <si>
    <t>Beaver Mast</t>
  </si>
  <si>
    <t>Bebington SC</t>
  </si>
  <si>
    <t>BEBN</t>
  </si>
  <si>
    <t>Bebington</t>
  </si>
  <si>
    <t>Beckenham SC</t>
  </si>
  <si>
    <t>BEKL</t>
  </si>
  <si>
    <t>Beckenham</t>
  </si>
  <si>
    <t>Bedford Synchro SC</t>
  </si>
  <si>
    <t>BEST</t>
  </si>
  <si>
    <t>Bedford Syn</t>
  </si>
  <si>
    <t>Beaver Swimming Club</t>
  </si>
  <si>
    <t>BEVS</t>
  </si>
  <si>
    <t>Bedford Water Polo Club</t>
  </si>
  <si>
    <t>BEPT</t>
  </si>
  <si>
    <t>Bedford WP</t>
  </si>
  <si>
    <t>BDFT</t>
  </si>
  <si>
    <t>Bedfordshire ASA</t>
  </si>
  <si>
    <t>Bedfordshire</t>
  </si>
  <si>
    <t>Bellshill Sharks ASC</t>
  </si>
  <si>
    <t>WBLX</t>
  </si>
  <si>
    <t>Bellshill</t>
  </si>
  <si>
    <t>Beccles Town SC</t>
  </si>
  <si>
    <t>BECT</t>
  </si>
  <si>
    <t>SFKT</t>
  </si>
  <si>
    <t>Belper Marlin Swimming Club</t>
  </si>
  <si>
    <t>BEMA</t>
  </si>
  <si>
    <t>BelperMarlin</t>
  </si>
  <si>
    <t>Bere Regis &amp; District SC</t>
  </si>
  <si>
    <t>BERW</t>
  </si>
  <si>
    <t>Bere Regis</t>
  </si>
  <si>
    <t>Bedale Sharks ASC</t>
  </si>
  <si>
    <t>BEDE</t>
  </si>
  <si>
    <t>Berkhamsted SC</t>
  </si>
  <si>
    <t>BKHT</t>
  </si>
  <si>
    <t>Berkhamsted</t>
  </si>
  <si>
    <t>Bedford Eagles DC</t>
  </si>
  <si>
    <t>BEAT</t>
  </si>
  <si>
    <t>Berkshire &amp; S Bucks</t>
  </si>
  <si>
    <t>Berks&amp;SBucks</t>
  </si>
  <si>
    <t>Bedford Modern Sch SC</t>
  </si>
  <si>
    <t>BMST</t>
  </si>
  <si>
    <t>Bethnal Green SC</t>
  </si>
  <si>
    <t>BEGL</t>
  </si>
  <si>
    <t>BethnalGreen</t>
  </si>
  <si>
    <t>Beverley Barracudas SC</t>
  </si>
  <si>
    <t>BEBE</t>
  </si>
  <si>
    <t>Bev Barracud</t>
  </si>
  <si>
    <t>Bexhill SC</t>
  </si>
  <si>
    <t>BXHS</t>
  </si>
  <si>
    <t>Bexhill</t>
  </si>
  <si>
    <t>Bexley Masters SC</t>
  </si>
  <si>
    <t>BEML</t>
  </si>
  <si>
    <t>Bexley Mast</t>
  </si>
  <si>
    <t>Bedfordshire Lions WPC</t>
  </si>
  <si>
    <t>BLWT</t>
  </si>
  <si>
    <t>Bexley SC</t>
  </si>
  <si>
    <t>BEXL</t>
  </si>
  <si>
    <t>Bexley</t>
  </si>
  <si>
    <t>Bedworth Masters</t>
  </si>
  <si>
    <t>BEMM</t>
  </si>
  <si>
    <t>Bexley Water Polo Club (Swanley)</t>
  </si>
  <si>
    <t>BXPS</t>
  </si>
  <si>
    <t>Bexley WP</t>
  </si>
  <si>
    <t>Bicester Blue Fins SC</t>
  </si>
  <si>
    <t>BCCS</t>
  </si>
  <si>
    <t>Bicester</t>
  </si>
  <si>
    <t>Biddulph SC</t>
  </si>
  <si>
    <t>BIDM</t>
  </si>
  <si>
    <t>Biddulph</t>
  </si>
  <si>
    <t>Bere Regis Swimming Club</t>
  </si>
  <si>
    <t>DRSW</t>
  </si>
  <si>
    <t>Biggleswade SC</t>
  </si>
  <si>
    <t>BWPT</t>
  </si>
  <si>
    <t>Biggleswade</t>
  </si>
  <si>
    <t>Billingham Forum SC</t>
  </si>
  <si>
    <t>BILE</t>
  </si>
  <si>
    <t>Billingham</t>
  </si>
  <si>
    <t>Bilston SC</t>
  </si>
  <si>
    <t>BILM</t>
  </si>
  <si>
    <t>Bilston</t>
  </si>
  <si>
    <t>Bingham Penguins SC</t>
  </si>
  <si>
    <t>SNPA</t>
  </si>
  <si>
    <t>Bingham Peng</t>
  </si>
  <si>
    <t>Bingley SC</t>
  </si>
  <si>
    <t>BIGE</t>
  </si>
  <si>
    <t>Bingley</t>
  </si>
  <si>
    <t>Beverley Swimming Club</t>
  </si>
  <si>
    <t>BEVE</t>
  </si>
  <si>
    <t>Bircotes SC</t>
  </si>
  <si>
    <t>BICA</t>
  </si>
  <si>
    <t>Birkenhead SC</t>
  </si>
  <si>
    <t>BKDN</t>
  </si>
  <si>
    <t>Birkenhead</t>
  </si>
  <si>
    <t>Birmingham Marlins Swimming Club</t>
  </si>
  <si>
    <t>BMSM</t>
  </si>
  <si>
    <t>B'hamMarlins</t>
  </si>
  <si>
    <t>Birmingham Masters</t>
  </si>
  <si>
    <t>BIRM</t>
  </si>
  <si>
    <t>Birmingham M</t>
  </si>
  <si>
    <t>Birtley SC</t>
  </si>
  <si>
    <t>BIRE</t>
  </si>
  <si>
    <t>Birtley</t>
  </si>
  <si>
    <t>Bishops Stortford SC</t>
  </si>
  <si>
    <t>BIST</t>
  </si>
  <si>
    <t>Bishop Stort</t>
  </si>
  <si>
    <t>STFM</t>
  </si>
  <si>
    <t>Bishops Waltham Mitres SwimClub</t>
  </si>
  <si>
    <t>BSAS</t>
  </si>
  <si>
    <t>Bishops Wal</t>
  </si>
  <si>
    <t>BJSC Tooting</t>
  </si>
  <si>
    <t>BATL</t>
  </si>
  <si>
    <t>Billericay Friday Swimmers</t>
  </si>
  <si>
    <t>BILT</t>
  </si>
  <si>
    <t>Black Country n Potteries Masters SC</t>
  </si>
  <si>
    <t>BCPM</t>
  </si>
  <si>
    <t>B C &amp; P Mast</t>
  </si>
  <si>
    <t>Black Lion SC</t>
  </si>
  <si>
    <t>BLAS</t>
  </si>
  <si>
    <t>Black Lion</t>
  </si>
  <si>
    <t>Blackburn Centurion SC</t>
  </si>
  <si>
    <t>BLCN</t>
  </si>
  <si>
    <t>Blackburn</t>
  </si>
  <si>
    <t>Blackpool Aquatics ASC</t>
  </si>
  <si>
    <t>BAQN</t>
  </si>
  <si>
    <t>Blackpool Aq</t>
  </si>
  <si>
    <t>Blairgowrie ASC</t>
  </si>
  <si>
    <t>MBEX</t>
  </si>
  <si>
    <t>Blairgowrie</t>
  </si>
  <si>
    <t>Blandford SC</t>
  </si>
  <si>
    <t>BLFW</t>
  </si>
  <si>
    <t>Blandford</t>
  </si>
  <si>
    <t>Birkenhead CWS SC</t>
  </si>
  <si>
    <t>BCWN</t>
  </si>
  <si>
    <t>Blantyre ASC</t>
  </si>
  <si>
    <t>WBEX</t>
  </si>
  <si>
    <t>Blantyre</t>
  </si>
  <si>
    <t>Blaydon &amp; District SC</t>
  </si>
  <si>
    <t>BLAE</t>
  </si>
  <si>
    <t>Blaydon</t>
  </si>
  <si>
    <t>Bletchley and District SC</t>
  </si>
  <si>
    <t>BAES</t>
  </si>
  <si>
    <t>Bletchley</t>
  </si>
  <si>
    <t>Blue Marlins Water Polo Club</t>
  </si>
  <si>
    <t>BMAS</t>
  </si>
  <si>
    <t>Blue Marlins</t>
  </si>
  <si>
    <t>Blyth Lifeguard &amp; Swimming Club</t>
  </si>
  <si>
    <t>BLYE</t>
  </si>
  <si>
    <t>Blyth</t>
  </si>
  <si>
    <t>Blythe Barracudas SC</t>
  </si>
  <si>
    <t>BBSM</t>
  </si>
  <si>
    <t>Blythe Barra</t>
  </si>
  <si>
    <t>Bo'ness ASC</t>
  </si>
  <si>
    <t>WBSX</t>
  </si>
  <si>
    <t>Bo'ness</t>
  </si>
  <si>
    <t>Bognor Regis SC</t>
  </si>
  <si>
    <t>BOGS</t>
  </si>
  <si>
    <t>Bognor Regis</t>
  </si>
  <si>
    <t>Boldmere Swimming and Water Polo Club</t>
  </si>
  <si>
    <t>BLDM</t>
  </si>
  <si>
    <t>Boldmere</t>
  </si>
  <si>
    <t>Boldon C.A. Swim Club</t>
  </si>
  <si>
    <t>BOLE</t>
  </si>
  <si>
    <t>Boldon</t>
  </si>
  <si>
    <t>SMDX</t>
  </si>
  <si>
    <t>Bolton Metro Swimming Squad</t>
  </si>
  <si>
    <t>BTMN</t>
  </si>
  <si>
    <t>Bolton Metro</t>
  </si>
  <si>
    <t>Bolton SC</t>
  </si>
  <si>
    <t>BLNN</t>
  </si>
  <si>
    <t>Bolton</t>
  </si>
  <si>
    <t>Bon Accord Thistle ASC</t>
  </si>
  <si>
    <t>NBAX</t>
  </si>
  <si>
    <t>Bonn Accord</t>
  </si>
  <si>
    <t>Blaydon &amp; Dist S&amp;LSC</t>
  </si>
  <si>
    <t>Bootle &amp; North Liverpool SC</t>
  </si>
  <si>
    <t>BNLN</t>
  </si>
  <si>
    <t>Bootle</t>
  </si>
  <si>
    <t>Bor of Waltham Forest (Gators)</t>
  </si>
  <si>
    <t>BWFL</t>
  </si>
  <si>
    <t>Bo Waltham F</t>
  </si>
  <si>
    <t>Blue Marlins SC</t>
  </si>
  <si>
    <t>Borders Elite Swim Team</t>
  </si>
  <si>
    <t>UBEX</t>
  </si>
  <si>
    <t>B.E.S.T.</t>
  </si>
  <si>
    <t>Borehamwood SC</t>
  </si>
  <si>
    <t>BORT</t>
  </si>
  <si>
    <t>Borehamwood</t>
  </si>
  <si>
    <t>Borocuda Teesside ASC</t>
  </si>
  <si>
    <t>BORE</t>
  </si>
  <si>
    <t>Borocuda T</t>
  </si>
  <si>
    <t>Borough of Barnsley SC</t>
  </si>
  <si>
    <t>BAME</t>
  </si>
  <si>
    <t>Bo Barnsley</t>
  </si>
  <si>
    <t>Borough of Broxbourne Swim Squad</t>
  </si>
  <si>
    <t>Bor of Brox</t>
  </si>
  <si>
    <t>Boldmere SC</t>
  </si>
  <si>
    <t>Borough of Harrow S C</t>
  </si>
  <si>
    <t>Bo Of Harrow</t>
  </si>
  <si>
    <t>Borough of Kirklees SC</t>
  </si>
  <si>
    <t>BOKE</t>
  </si>
  <si>
    <t>Bo Kirklees</t>
  </si>
  <si>
    <t>Bolton Dolphins SC</t>
  </si>
  <si>
    <t>BDON</t>
  </si>
  <si>
    <t>Borough of Southend Swimming and Training Club</t>
  </si>
  <si>
    <t>BOST</t>
  </si>
  <si>
    <t>Bo Southend</t>
  </si>
  <si>
    <t>Borough Of Stockton Swim Scheme</t>
  </si>
  <si>
    <t>BOSE</t>
  </si>
  <si>
    <t>Bo Stockton</t>
  </si>
  <si>
    <t>Boston Amateur SC</t>
  </si>
  <si>
    <t>BOSA</t>
  </si>
  <si>
    <t>Boston</t>
  </si>
  <si>
    <t>Bottisham SC</t>
  </si>
  <si>
    <t>BOTT</t>
  </si>
  <si>
    <t>Bottisham</t>
  </si>
  <si>
    <t>Bourne End SC</t>
  </si>
  <si>
    <t>BORS</t>
  </si>
  <si>
    <t>Bourne End</t>
  </si>
  <si>
    <t>Bournemouth Collegiate School SC</t>
  </si>
  <si>
    <t>BCSW</t>
  </si>
  <si>
    <t>Bourmth Coll</t>
  </si>
  <si>
    <t>Bournemouth SC</t>
  </si>
  <si>
    <t>BTHW</t>
  </si>
  <si>
    <t>Bournemouth</t>
  </si>
  <si>
    <t>Box Hill SC</t>
  </si>
  <si>
    <t>BOXS</t>
  </si>
  <si>
    <t>Box Hill</t>
  </si>
  <si>
    <t>Brackley Swimming Club</t>
  </si>
  <si>
    <t>BSCA</t>
  </si>
  <si>
    <t>Brackley SC</t>
  </si>
  <si>
    <t>Bracknell &amp; Wokingham SC</t>
  </si>
  <si>
    <t>BRKS</t>
  </si>
  <si>
    <t>Bracknell</t>
  </si>
  <si>
    <t>Bradford Dolphin SC</t>
  </si>
  <si>
    <t>BDSE</t>
  </si>
  <si>
    <t>Bradford Dol</t>
  </si>
  <si>
    <t>Bradford Grammar School Swimming Club</t>
  </si>
  <si>
    <t>BGSE</t>
  </si>
  <si>
    <t>Bford G Sch</t>
  </si>
  <si>
    <t>Bradford SC</t>
  </si>
  <si>
    <t>BRAE</t>
  </si>
  <si>
    <t>Bradford</t>
  </si>
  <si>
    <t>Bradford-On-Avon ASC</t>
  </si>
  <si>
    <t>BOAW</t>
  </si>
  <si>
    <t>BradfordAvon</t>
  </si>
  <si>
    <t>Borough of Wandsworth SA</t>
  </si>
  <si>
    <t>WBOL</t>
  </si>
  <si>
    <t>Braintree &amp; Bocking SC</t>
  </si>
  <si>
    <t>Braintree</t>
  </si>
  <si>
    <t>LNCA</t>
  </si>
  <si>
    <t>Bramcote Swimming Club</t>
  </si>
  <si>
    <t>BRMA</t>
  </si>
  <si>
    <t>Bramcote</t>
  </si>
  <si>
    <t>CMBT</t>
  </si>
  <si>
    <t>Braunstone SC</t>
  </si>
  <si>
    <t>BSTA</t>
  </si>
  <si>
    <t>Braunstone</t>
  </si>
  <si>
    <t>Brechin Beavers ASC</t>
  </si>
  <si>
    <t>MBBX</t>
  </si>
  <si>
    <t>Brechin</t>
  </si>
  <si>
    <t>Bourne SC</t>
  </si>
  <si>
    <t>BOUS</t>
  </si>
  <si>
    <t>Brecon</t>
  </si>
  <si>
    <t>BREY</t>
  </si>
  <si>
    <t>Brent Dolphins SC</t>
  </si>
  <si>
    <t>BOBL</t>
  </si>
  <si>
    <t>Brent Dolph</t>
  </si>
  <si>
    <t>Brentwood Artistic Swimming Club</t>
  </si>
  <si>
    <t>BART</t>
  </si>
  <si>
    <t>BrentwoodArt</t>
  </si>
  <si>
    <t>Brentwood SC</t>
  </si>
  <si>
    <t>BRET</t>
  </si>
  <si>
    <t>Brentwood</t>
  </si>
  <si>
    <t>Bridge of Don ASC</t>
  </si>
  <si>
    <t>NBDX</t>
  </si>
  <si>
    <t>Bridge O Don</t>
  </si>
  <si>
    <t>Bracknell Synchro SC</t>
  </si>
  <si>
    <t>BRSS</t>
  </si>
  <si>
    <t>Bridgefield SC</t>
  </si>
  <si>
    <t>BRIN</t>
  </si>
  <si>
    <t>Bridgefield</t>
  </si>
  <si>
    <t>Bridgefield Water Polo Club</t>
  </si>
  <si>
    <t>BFWN</t>
  </si>
  <si>
    <t>B'field WPC</t>
  </si>
  <si>
    <t>Bridgend County Swim Squad</t>
  </si>
  <si>
    <t>BRCY</t>
  </si>
  <si>
    <t>Bridgend Cty</t>
  </si>
  <si>
    <t>WLTW</t>
  </si>
  <si>
    <t>Bridgend Swim Club</t>
  </si>
  <si>
    <t>BSCY</t>
  </si>
  <si>
    <t>Bridgend SC</t>
  </si>
  <si>
    <t>Bridgwater Amateur Swimming Club</t>
  </si>
  <si>
    <t>BRIW</t>
  </si>
  <si>
    <t>Bridgwater</t>
  </si>
  <si>
    <t>Bridlington SC</t>
  </si>
  <si>
    <t>BRDE</t>
  </si>
  <si>
    <t>Bridlington</t>
  </si>
  <si>
    <t>Bridport Barracuda</t>
  </si>
  <si>
    <t>BBAW</t>
  </si>
  <si>
    <t>Bridport Bar</t>
  </si>
  <si>
    <t>Brighouse SC</t>
  </si>
  <si>
    <t>BRGE</t>
  </si>
  <si>
    <t>Brighouse</t>
  </si>
  <si>
    <t>Brighton Dolphin SC</t>
  </si>
  <si>
    <t>BRDS</t>
  </si>
  <si>
    <t>Brighton Dol</t>
  </si>
  <si>
    <t>Brighton SC</t>
  </si>
  <si>
    <t>BRIS</t>
  </si>
  <si>
    <t>Brighton</t>
  </si>
  <si>
    <t>Bristol Henleaze SC</t>
  </si>
  <si>
    <t>BRHW</t>
  </si>
  <si>
    <t>Bristol Hen</t>
  </si>
  <si>
    <t>Bristol North SC</t>
  </si>
  <si>
    <t>BRNW</t>
  </si>
  <si>
    <t>Bristol Nor</t>
  </si>
  <si>
    <t>Bristol Penguin Olympic SC</t>
  </si>
  <si>
    <t>BPOW</t>
  </si>
  <si>
    <t>Bristol Pen</t>
  </si>
  <si>
    <t>British Army</t>
  </si>
  <si>
    <t>BRAS</t>
  </si>
  <si>
    <t>Brixham SC</t>
  </si>
  <si>
    <t>BRXW</t>
  </si>
  <si>
    <t>Brixham</t>
  </si>
  <si>
    <t>Broadstairs Lifeguard &amp; SC</t>
  </si>
  <si>
    <t>BSLS</t>
  </si>
  <si>
    <t>Broadstairs</t>
  </si>
  <si>
    <t>Broadway (Walsall)</t>
  </si>
  <si>
    <t>BRDM</t>
  </si>
  <si>
    <t>Broadway M</t>
  </si>
  <si>
    <t>Broadway SC (North)</t>
  </si>
  <si>
    <t>BRON</t>
  </si>
  <si>
    <t>Broadway N</t>
  </si>
  <si>
    <t>Broch SC</t>
  </si>
  <si>
    <t>NBHX</t>
  </si>
  <si>
    <t>Broch</t>
  </si>
  <si>
    <t>Brockworth Swimming Club</t>
  </si>
  <si>
    <t>BROW</t>
  </si>
  <si>
    <t>Brockworth</t>
  </si>
  <si>
    <t>GLUW</t>
  </si>
  <si>
    <t>Bromley SC</t>
  </si>
  <si>
    <t>BRYL</t>
  </si>
  <si>
    <t>Bromley</t>
  </si>
  <si>
    <t>Bristol Masters SC</t>
  </si>
  <si>
    <t>BRMW</t>
  </si>
  <si>
    <t>Brompton SC</t>
  </si>
  <si>
    <t>BRBL</t>
  </si>
  <si>
    <t>Brompton</t>
  </si>
  <si>
    <t>Bromsgrove SC</t>
  </si>
  <si>
    <t>BROM</t>
  </si>
  <si>
    <t>Bromsgrove</t>
  </si>
  <si>
    <t>Broomfield Park SC</t>
  </si>
  <si>
    <t>BROL</t>
  </si>
  <si>
    <t>Broomfield</t>
  </si>
  <si>
    <t>Bristol South Swim Club</t>
  </si>
  <si>
    <t>BHEW</t>
  </si>
  <si>
    <t>Broxbourne SC</t>
  </si>
  <si>
    <t>BRBT</t>
  </si>
  <si>
    <t>Broxbourne</t>
  </si>
  <si>
    <t>Broxburn &amp; District ASC</t>
  </si>
  <si>
    <t>EBNX</t>
  </si>
  <si>
    <t>Broxburn</t>
  </si>
  <si>
    <t>Buckie ASC</t>
  </si>
  <si>
    <t>NBKX</t>
  </si>
  <si>
    <t>Buckie</t>
  </si>
  <si>
    <t>Buckingham Swans</t>
  </si>
  <si>
    <t>BUCS</t>
  </si>
  <si>
    <t>Buckingham S</t>
  </si>
  <si>
    <t>Buckley</t>
  </si>
  <si>
    <t>BUCY</t>
  </si>
  <si>
    <t>Bucksburn ASC</t>
  </si>
  <si>
    <t>NBNX</t>
  </si>
  <si>
    <t>Bucksburn</t>
  </si>
  <si>
    <t>BUCL</t>
  </si>
  <si>
    <t>Bude Sharks</t>
  </si>
  <si>
    <t>BUDW</t>
  </si>
  <si>
    <t>Bude</t>
  </si>
  <si>
    <t>Buntingford SC</t>
  </si>
  <si>
    <t>BUNT</t>
  </si>
  <si>
    <t>Buntingford</t>
  </si>
  <si>
    <t>WRCM</t>
  </si>
  <si>
    <t>Burnham-on-Sea SC</t>
  </si>
  <si>
    <t>BOSW</t>
  </si>
  <si>
    <t>Burnham On S</t>
  </si>
  <si>
    <t>Brookmans Park Swimming Club</t>
  </si>
  <si>
    <t>BRPT</t>
  </si>
  <si>
    <t>Burnley BOBCATS ADM SC</t>
  </si>
  <si>
    <t>BUBN</t>
  </si>
  <si>
    <t>Burnley BOBC</t>
  </si>
  <si>
    <t>Burntisland ASC</t>
  </si>
  <si>
    <t>EBDX</t>
  </si>
  <si>
    <t>Burntisland</t>
  </si>
  <si>
    <t>Burntwood Swimming Club</t>
  </si>
  <si>
    <t>BRWM</t>
  </si>
  <si>
    <t>Burntwood</t>
  </si>
  <si>
    <t>Burscough Diving Club</t>
  </si>
  <si>
    <t>BDCN</t>
  </si>
  <si>
    <t>Burscough DC</t>
  </si>
  <si>
    <t>Burton Amateur SC</t>
  </si>
  <si>
    <t>BURM</t>
  </si>
  <si>
    <t>Burton</t>
  </si>
  <si>
    <t>Bury and Elton SC</t>
  </si>
  <si>
    <t>BRYN</t>
  </si>
  <si>
    <t>Bury &amp; Elton</t>
  </si>
  <si>
    <t>Bury Water Polo Club</t>
  </si>
  <si>
    <t>BWPN</t>
  </si>
  <si>
    <t>Bury WPC</t>
  </si>
  <si>
    <t>Bushey Amateur Swimming Club</t>
  </si>
  <si>
    <t>BUST</t>
  </si>
  <si>
    <t>Bushey</t>
  </si>
  <si>
    <t>Buxton &amp; District SC</t>
  </si>
  <si>
    <t>BUXA</t>
  </si>
  <si>
    <t>Buxton</t>
  </si>
  <si>
    <t>CWLW</t>
  </si>
  <si>
    <t>Caernarfon</t>
  </si>
  <si>
    <t>CANY</t>
  </si>
  <si>
    <t>Caerphilly County Swim Squad</t>
  </si>
  <si>
    <t>CAPY</t>
  </si>
  <si>
    <t>Caerphilly</t>
  </si>
  <si>
    <t>Caldicot</t>
  </si>
  <si>
    <t>CALY</t>
  </si>
  <si>
    <t>Caledonia</t>
  </si>
  <si>
    <t>UCDX</t>
  </si>
  <si>
    <t>Caledonia Synchro</t>
  </si>
  <si>
    <t>USCX</t>
  </si>
  <si>
    <t>Caledonia Sy</t>
  </si>
  <si>
    <t>Cally Masters Islington</t>
  </si>
  <si>
    <t>CMIL</t>
  </si>
  <si>
    <t>Cally Mast</t>
  </si>
  <si>
    <t>Calne Alpha Four ASC</t>
  </si>
  <si>
    <t>CAFW</t>
  </si>
  <si>
    <t>Calne Alpha</t>
  </si>
  <si>
    <t>Calverton and Bingham SC</t>
  </si>
  <si>
    <t>CALA</t>
  </si>
  <si>
    <t>Calv Bing</t>
  </si>
  <si>
    <t>Cambridge Dive Team</t>
  </si>
  <si>
    <t>CDTT</t>
  </si>
  <si>
    <t>Cambridge DT</t>
  </si>
  <si>
    <t>Bury Dragons Diving Club</t>
  </si>
  <si>
    <t>BDDN</t>
  </si>
  <si>
    <t>Cambridge University Swimming &amp; Water Polo Club</t>
  </si>
  <si>
    <t>CAUT</t>
  </si>
  <si>
    <t>Cambridge Un</t>
  </si>
  <si>
    <t>Camden Swiss Cottage SC</t>
  </si>
  <si>
    <t>CSCL</t>
  </si>
  <si>
    <t>Camden Swiss</t>
  </si>
  <si>
    <t>Camelford Stingers</t>
  </si>
  <si>
    <t>CAMW</t>
  </si>
  <si>
    <t>Camelford</t>
  </si>
  <si>
    <t>Camp Hill Edwardians SC</t>
  </si>
  <si>
    <t>CHEM</t>
  </si>
  <si>
    <t>Camphill Ed</t>
  </si>
  <si>
    <t>C.O.A.S.T.</t>
  </si>
  <si>
    <t>UCAX</t>
  </si>
  <si>
    <t>Camp Hill SC</t>
  </si>
  <si>
    <t>CAHM</t>
  </si>
  <si>
    <t>Cannock Phoenix Swimming Club</t>
  </si>
  <si>
    <t>PHYM</t>
  </si>
  <si>
    <t>Cannock Phnx</t>
  </si>
  <si>
    <t>Canvey Island SC</t>
  </si>
  <si>
    <t>CNVT</t>
  </si>
  <si>
    <t>Canvey Isl</t>
  </si>
  <si>
    <t>Caradon SC</t>
  </si>
  <si>
    <t>CRNW</t>
  </si>
  <si>
    <t>Caradon</t>
  </si>
  <si>
    <t>Cardenden ASC</t>
  </si>
  <si>
    <t>ECNX</t>
  </si>
  <si>
    <t>Cardenden</t>
  </si>
  <si>
    <t>Cardiff Masters</t>
  </si>
  <si>
    <t>CDMY</t>
  </si>
  <si>
    <t>Cardiff Mast</t>
  </si>
  <si>
    <t>Cardiff Metropolitan University</t>
  </si>
  <si>
    <t>CMUY</t>
  </si>
  <si>
    <t>Cardiff Met</t>
  </si>
  <si>
    <t>Carlisle Aquatics</t>
  </si>
  <si>
    <t>CAQN</t>
  </si>
  <si>
    <t>Carlisle Aq</t>
  </si>
  <si>
    <t>Carlton Forum SC</t>
  </si>
  <si>
    <t>CARA</t>
  </si>
  <si>
    <t>CarltonForum</t>
  </si>
  <si>
    <t>Carmarthen</t>
  </si>
  <si>
    <t>CAMY</t>
  </si>
  <si>
    <t>Cambridge University SC</t>
  </si>
  <si>
    <t>Carmarthen Masters SC</t>
  </si>
  <si>
    <t>CMMY</t>
  </si>
  <si>
    <t>Carm Masters</t>
  </si>
  <si>
    <t>Cambridgeshire ASA</t>
  </si>
  <si>
    <t>Carmarthen Water Polo Club</t>
  </si>
  <si>
    <t>CWPY</t>
  </si>
  <si>
    <t>CarmarthenWP</t>
  </si>
  <si>
    <t>Carn Brea and Helston SC</t>
  </si>
  <si>
    <t>CARW</t>
  </si>
  <si>
    <t>Carn Brea</t>
  </si>
  <si>
    <t>Carnegie ASC</t>
  </si>
  <si>
    <t>ECEX</t>
  </si>
  <si>
    <t>Carnegie</t>
  </si>
  <si>
    <t>Carnforth &amp; Dist Otters</t>
  </si>
  <si>
    <t>CDON</t>
  </si>
  <si>
    <t>Carnforth</t>
  </si>
  <si>
    <t>Carnoustie Claymores</t>
  </si>
  <si>
    <t>MCCX</t>
  </si>
  <si>
    <t>Carnoustie</t>
  </si>
  <si>
    <t>Carrick Masters</t>
  </si>
  <si>
    <t>CMAW</t>
  </si>
  <si>
    <t>Carrick Mas</t>
  </si>
  <si>
    <t>Castleford WPC</t>
  </si>
  <si>
    <t>CWPE</t>
  </si>
  <si>
    <t>CastlefordWP</t>
  </si>
  <si>
    <t>Cawpra SC</t>
  </si>
  <si>
    <t>CAWS</t>
  </si>
  <si>
    <t>Cawpra</t>
  </si>
  <si>
    <t>Celtic Dolphins</t>
  </si>
  <si>
    <t>CEDY</t>
  </si>
  <si>
    <t>C Dolphins</t>
  </si>
  <si>
    <t>Chadderton SC</t>
  </si>
  <si>
    <t>CHAN</t>
  </si>
  <si>
    <t>Chadderton</t>
  </si>
  <si>
    <t>Cardigan</t>
  </si>
  <si>
    <t>CARY</t>
  </si>
  <si>
    <t>Chalfont Otters SC</t>
  </si>
  <si>
    <t>CHAS</t>
  </si>
  <si>
    <t>Chalfont</t>
  </si>
  <si>
    <t>Chapeltown SC</t>
  </si>
  <si>
    <t>CHPE</t>
  </si>
  <si>
    <t>Chapeltown</t>
  </si>
  <si>
    <t>Chase SC</t>
  </si>
  <si>
    <t>CHSM</t>
  </si>
  <si>
    <t>Chase</t>
  </si>
  <si>
    <t>Chatteris Kingfishers SC</t>
  </si>
  <si>
    <t>CHKT</t>
  </si>
  <si>
    <t>Chatteris</t>
  </si>
  <si>
    <t>Cheadle (Staffs) &amp; District</t>
  </si>
  <si>
    <t>CSDM</t>
  </si>
  <si>
    <t>Cheadle</t>
  </si>
  <si>
    <t>Cheam Marcuda SC</t>
  </si>
  <si>
    <t>CHLL</t>
  </si>
  <si>
    <t>CheamMarcuda</t>
  </si>
  <si>
    <t>Cheddar Kingfishers SC</t>
  </si>
  <si>
    <t>CHDW</t>
  </si>
  <si>
    <t>Cheddar</t>
  </si>
  <si>
    <t>Chelmsford City SC</t>
  </si>
  <si>
    <t>CHET</t>
  </si>
  <si>
    <t>Chelmsford</t>
  </si>
  <si>
    <t>Chelsea &amp; Westminster SC</t>
  </si>
  <si>
    <t>CWSL</t>
  </si>
  <si>
    <t>Chelsea&amp;West</t>
  </si>
  <si>
    <t>Cheltenham Phoenix Aquatics Club</t>
  </si>
  <si>
    <t>CPAW</t>
  </si>
  <si>
    <t>Cheltenham P</t>
  </si>
  <si>
    <t>Cheltenham S &amp; W P Club</t>
  </si>
  <si>
    <t>CHEW</t>
  </si>
  <si>
    <t>Cheltenham</t>
  </si>
  <si>
    <t>Chepstow &amp; District SC</t>
  </si>
  <si>
    <t>CHEY</t>
  </si>
  <si>
    <t>Chepstow</t>
  </si>
  <si>
    <t>Chesham SC</t>
  </si>
  <si>
    <t>CHMS</t>
  </si>
  <si>
    <t>Chesham</t>
  </si>
  <si>
    <t>Central Bedfordshire Swim Squad</t>
  </si>
  <si>
    <t>MBST</t>
  </si>
  <si>
    <t>Cheshire County WPSA</t>
  </si>
  <si>
    <t>Cheshire</t>
  </si>
  <si>
    <t>Cheshunt Swimming Club</t>
  </si>
  <si>
    <t>CHST</t>
  </si>
  <si>
    <t>Cheshunt</t>
  </si>
  <si>
    <t>Chester-Le-Street SC</t>
  </si>
  <si>
    <t>CLSE</t>
  </si>
  <si>
    <t>Chester Le S</t>
  </si>
  <si>
    <t>Chesterfield Swimming Club</t>
  </si>
  <si>
    <t>CFDA</t>
  </si>
  <si>
    <t>Chesterfield</t>
  </si>
  <si>
    <t>Chard &amp; District</t>
  </si>
  <si>
    <t>CHAW</t>
  </si>
  <si>
    <t>Chichester (Cormorant) SC</t>
  </si>
  <si>
    <t>CHIS</t>
  </si>
  <si>
    <t>Chichester</t>
  </si>
  <si>
    <t>Chippenham ASC</t>
  </si>
  <si>
    <t>CHIW</t>
  </si>
  <si>
    <t>Chippenham</t>
  </si>
  <si>
    <t>Chatteris Kingfisher SC</t>
  </si>
  <si>
    <t>Chirk</t>
  </si>
  <si>
    <t>CHIY</t>
  </si>
  <si>
    <t>Chislehurst Millennium Swim Squad</t>
  </si>
  <si>
    <t>CMSL</t>
  </si>
  <si>
    <t>Chislehurst</t>
  </si>
  <si>
    <t>Chiswick Masters</t>
  </si>
  <si>
    <t>CHML</t>
  </si>
  <si>
    <t>Chiswick Mas</t>
  </si>
  <si>
    <t>Chorley Marlins SC</t>
  </si>
  <si>
    <t>CMAN</t>
  </si>
  <si>
    <t>Chorley Marl</t>
  </si>
  <si>
    <t>Cinderford &amp; District SC</t>
  </si>
  <si>
    <t>CINW</t>
  </si>
  <si>
    <t>Cinderford</t>
  </si>
  <si>
    <t>Chelmsford Diving Club</t>
  </si>
  <si>
    <t>BDCT</t>
  </si>
  <si>
    <t>Cirencester SC</t>
  </si>
  <si>
    <t>CIRW</t>
  </si>
  <si>
    <t>Cirencester</t>
  </si>
  <si>
    <t>Citizens Water Polo Club</t>
  </si>
  <si>
    <t>CWPL</t>
  </si>
  <si>
    <t>Citizens WP</t>
  </si>
  <si>
    <t>City of Birmingham SC</t>
  </si>
  <si>
    <t>BHMM</t>
  </si>
  <si>
    <t>Co Birm'ham</t>
  </si>
  <si>
    <t>City of Bradford Esprit Diving</t>
  </si>
  <si>
    <t>CBEE</t>
  </si>
  <si>
    <t>Co Brad Div</t>
  </si>
  <si>
    <t>City of Bradford SC</t>
  </si>
  <si>
    <t>COBE</t>
  </si>
  <si>
    <t>Co Bradford</t>
  </si>
  <si>
    <t>City of Bristol SC</t>
  </si>
  <si>
    <t>COBW</t>
  </si>
  <si>
    <t>Co Bristol</t>
  </si>
  <si>
    <t>City of Cambridge SC</t>
  </si>
  <si>
    <t>CAMT</t>
  </si>
  <si>
    <t>Co Cambridge</t>
  </si>
  <si>
    <t>City of Canterbury SC</t>
  </si>
  <si>
    <t>CANS</t>
  </si>
  <si>
    <t>Co Cant'bury</t>
  </si>
  <si>
    <t>City of Cardiff</t>
  </si>
  <si>
    <t>COCY</t>
  </si>
  <si>
    <t>Co Cardiff</t>
  </si>
  <si>
    <t>City of Chester Swimming Club</t>
  </si>
  <si>
    <t>COCN</t>
  </si>
  <si>
    <t>Co Chester</t>
  </si>
  <si>
    <t>Chiltern Metropolitan Diving School</t>
  </si>
  <si>
    <t>CMDS</t>
  </si>
  <si>
    <t>City of Coventry SC</t>
  </si>
  <si>
    <t>COVM</t>
  </si>
  <si>
    <t>Co Coventry</t>
  </si>
  <si>
    <t>City of Derby Swimming Club</t>
  </si>
  <si>
    <t>DERA</t>
  </si>
  <si>
    <t>Co Derby</t>
  </si>
  <si>
    <t>Chipping Campden SC</t>
  </si>
  <si>
    <t>CHCW</t>
  </si>
  <si>
    <t>City of Doncaster Masters Swim Squad</t>
  </si>
  <si>
    <t>DMRE</t>
  </si>
  <si>
    <t>Donc Masters</t>
  </si>
  <si>
    <t>City Of Ely Amateur Swimming Club</t>
  </si>
  <si>
    <t>ELYT</t>
  </si>
  <si>
    <t>Co Ely</t>
  </si>
  <si>
    <t>City Of Glasgow Swim Team</t>
  </si>
  <si>
    <t>WCGX</t>
  </si>
  <si>
    <t>Co Glasgow</t>
  </si>
  <si>
    <t>City of Hereford SC</t>
  </si>
  <si>
    <t>HERM</t>
  </si>
  <si>
    <t>Co Hereford</t>
  </si>
  <si>
    <t>City of Leeds Diving Club</t>
  </si>
  <si>
    <t>LDCE</t>
  </si>
  <si>
    <t>Co Leeds DC</t>
  </si>
  <si>
    <t>City of Leeds SC</t>
  </si>
  <si>
    <t>LDSE</t>
  </si>
  <si>
    <t>Co Leeds</t>
  </si>
  <si>
    <t>City Of Leeds Synchronised SC</t>
  </si>
  <si>
    <t>LSYE</t>
  </si>
  <si>
    <t>Co Leeds Syn</t>
  </si>
  <si>
    <t>City of Leeds Water Polo Club</t>
  </si>
  <si>
    <t>CLWE</t>
  </si>
  <si>
    <t>Co Leeds WP</t>
  </si>
  <si>
    <t>City of Leicester SC</t>
  </si>
  <si>
    <t>COLA</t>
  </si>
  <si>
    <t>Co Leicester</t>
  </si>
  <si>
    <t>City of Linc Pentaqua SC</t>
  </si>
  <si>
    <t>CLPA</t>
  </si>
  <si>
    <t>Co Lincoln P</t>
  </si>
  <si>
    <t>City of Liverpool SC</t>
  </si>
  <si>
    <t>LPLN</t>
  </si>
  <si>
    <t>Co Liverpool</t>
  </si>
  <si>
    <t>City of Manchester Aquatics</t>
  </si>
  <si>
    <t>MANN</t>
  </si>
  <si>
    <t>Co Manch Aq</t>
  </si>
  <si>
    <t>City of Manchester WPC</t>
  </si>
  <si>
    <t>CMWN</t>
  </si>
  <si>
    <t>Co Manch WP</t>
  </si>
  <si>
    <t>City Of Milton Keynes</t>
  </si>
  <si>
    <t>CMKS</t>
  </si>
  <si>
    <t>Co Milton K</t>
  </si>
  <si>
    <t>City Of Newport Swimming Club</t>
  </si>
  <si>
    <t>NWMY</t>
  </si>
  <si>
    <t>Co Newport</t>
  </si>
  <si>
    <t>City of Norwich SC</t>
  </si>
  <si>
    <t>NORT</t>
  </si>
  <si>
    <t>Co Norwich</t>
  </si>
  <si>
    <t>City Of Oxford SC</t>
  </si>
  <si>
    <t>OXFS</t>
  </si>
  <si>
    <t>Co Oxford</t>
  </si>
  <si>
    <t>City Of Ely SC</t>
  </si>
  <si>
    <t>City Of Oxford Water Polo Club</t>
  </si>
  <si>
    <t>COWS</t>
  </si>
  <si>
    <t>CO Oxford WP</t>
  </si>
  <si>
    <t>City Of Peterborough SC</t>
  </si>
  <si>
    <t>PETT</t>
  </si>
  <si>
    <t>Co Peterboro</t>
  </si>
  <si>
    <t>City of Preston Aquatics SC</t>
  </si>
  <si>
    <t>CPAN</t>
  </si>
  <si>
    <t>Co Prestonaq</t>
  </si>
  <si>
    <t>City of Salford SC</t>
  </si>
  <si>
    <t>SAFN</t>
  </si>
  <si>
    <t>Co Salford</t>
  </si>
  <si>
    <t>City of Salford Synchronised Swimming Club</t>
  </si>
  <si>
    <t>CSAN</t>
  </si>
  <si>
    <t>Salford SSC</t>
  </si>
  <si>
    <t>City of Sheffield Diving Club</t>
  </si>
  <si>
    <t>SHDE</t>
  </si>
  <si>
    <t>Co Shef Dive</t>
  </si>
  <si>
    <t>City of Sheffield Swim Squad Ltd</t>
  </si>
  <si>
    <t>COSE</t>
  </si>
  <si>
    <t>Co Sheffield</t>
  </si>
  <si>
    <t>City of Sheffield WPC</t>
  </si>
  <si>
    <t>SWPE</t>
  </si>
  <si>
    <t>Co Sheff WP</t>
  </si>
  <si>
    <t>City of Southampton SC</t>
  </si>
  <si>
    <t>COSS</t>
  </si>
  <si>
    <t>Co South'ton</t>
  </si>
  <si>
    <t>City of Southend on Sea SC</t>
  </si>
  <si>
    <t>SOST</t>
  </si>
  <si>
    <t>Southend</t>
  </si>
  <si>
    <t>City of St Albans SC</t>
  </si>
  <si>
    <t>SAST</t>
  </si>
  <si>
    <t>Co St Albans</t>
  </si>
  <si>
    <t>City of Stoke SC (Cosacss)</t>
  </si>
  <si>
    <t>CITM</t>
  </si>
  <si>
    <t>Cosacss</t>
  </si>
  <si>
    <t>City of Sunderland ASC</t>
  </si>
  <si>
    <t>SUNE</t>
  </si>
  <si>
    <t>Co Sund'land</t>
  </si>
  <si>
    <t>City of Swansea Aquatics Club</t>
  </si>
  <si>
    <t>SWAY</t>
  </si>
  <si>
    <t>Swansea Aq</t>
  </si>
  <si>
    <t>NRFT</t>
  </si>
  <si>
    <t>City of Wakefield SC</t>
  </si>
  <si>
    <t>WAKE</t>
  </si>
  <si>
    <t>Co Wakefield</t>
  </si>
  <si>
    <t>Clacton Swimming Club</t>
  </si>
  <si>
    <t>CLAT</t>
  </si>
  <si>
    <t>Clacton SC</t>
  </si>
  <si>
    <t>Cleethorpes &amp; Dist SC</t>
  </si>
  <si>
    <t>CLDE</t>
  </si>
  <si>
    <t>Cleethorpes</t>
  </si>
  <si>
    <t>Clevedon SC</t>
  </si>
  <si>
    <t>CLEW</t>
  </si>
  <si>
    <t>Clevedon</t>
  </si>
  <si>
    <t>City Of Rochester S&amp;LGC</t>
  </si>
  <si>
    <t>CORS</t>
  </si>
  <si>
    <t>Clitheroe &amp; District SC</t>
  </si>
  <si>
    <t>CLIN</t>
  </si>
  <si>
    <t>Clitheroe</t>
  </si>
  <si>
    <t>Clwb Nofio Bangor Swim Club</t>
  </si>
  <si>
    <t>BANY</t>
  </si>
  <si>
    <t>Nofio Bangor</t>
  </si>
  <si>
    <t>Clwb Nofio P.B.P.</t>
  </si>
  <si>
    <t>PBPY</t>
  </si>
  <si>
    <t>Nofio P.B.P</t>
  </si>
  <si>
    <t>Clydebank ASC</t>
  </si>
  <si>
    <t>WCKX</t>
  </si>
  <si>
    <t>Clydebank</t>
  </si>
  <si>
    <t>Coalville SC</t>
  </si>
  <si>
    <t>COAA</t>
  </si>
  <si>
    <t>Coalville</t>
  </si>
  <si>
    <t>Cockermouth SC</t>
  </si>
  <si>
    <t>COKN</t>
  </si>
  <si>
    <t>Cockermouth</t>
  </si>
  <si>
    <t>Colchester Phoenix ASC</t>
  </si>
  <si>
    <t>COPT</t>
  </si>
  <si>
    <t>Colchester P</t>
  </si>
  <si>
    <t>Colchester SC</t>
  </si>
  <si>
    <t>COLT</t>
  </si>
  <si>
    <t>Colchester</t>
  </si>
  <si>
    <t>Colne SC</t>
  </si>
  <si>
    <t>COLN</t>
  </si>
  <si>
    <t>Colne</t>
  </si>
  <si>
    <t>Colne Valley SC</t>
  </si>
  <si>
    <t>COLE</t>
  </si>
  <si>
    <t>Colne Valley</t>
  </si>
  <si>
    <t>Colwyn Bay</t>
  </si>
  <si>
    <t>COLY</t>
  </si>
  <si>
    <t>Connahs Quay Swimming Club</t>
  </si>
  <si>
    <t>CONY</t>
  </si>
  <si>
    <t>Connahs Quay</t>
  </si>
  <si>
    <t>Consett SC</t>
  </si>
  <si>
    <t>CONE</t>
  </si>
  <si>
    <t>Consett</t>
  </si>
  <si>
    <t>Clayesmore Swimming Club</t>
  </si>
  <si>
    <t>CCOW</t>
  </si>
  <si>
    <t>Copeland ASC</t>
  </si>
  <si>
    <t>COPN</t>
  </si>
  <si>
    <t>Copeland</t>
  </si>
  <si>
    <t>Corby ASC</t>
  </si>
  <si>
    <t>CORA</t>
  </si>
  <si>
    <t>Corby</t>
  </si>
  <si>
    <t>Corby Steel Diving</t>
  </si>
  <si>
    <t>CSDA</t>
  </si>
  <si>
    <t>Corby DC</t>
  </si>
  <si>
    <t>Cornwall ASA</t>
  </si>
  <si>
    <t>Cornwall</t>
  </si>
  <si>
    <t>Corsham A.S.C.</t>
  </si>
  <si>
    <t>CORW</t>
  </si>
  <si>
    <t>Corsham</t>
  </si>
  <si>
    <t>Corwen Sharks</t>
  </si>
  <si>
    <t>CSHY</t>
  </si>
  <si>
    <t>CorwenSharks</t>
  </si>
  <si>
    <t>Cranleigh SC</t>
  </si>
  <si>
    <t>CRAS</t>
  </si>
  <si>
    <t>Cranleigh</t>
  </si>
  <si>
    <t>Crawley Flamingoes SGPD</t>
  </si>
  <si>
    <t>CFSS</t>
  </si>
  <si>
    <t>Crawley Flam</t>
  </si>
  <si>
    <t>Crawley SC</t>
  </si>
  <si>
    <t>CRWS</t>
  </si>
  <si>
    <t>Crawley</t>
  </si>
  <si>
    <t>Colchester Oysters</t>
  </si>
  <si>
    <t>COYT</t>
  </si>
  <si>
    <t>Crediton &amp; District SC</t>
  </si>
  <si>
    <t>CREW</t>
  </si>
  <si>
    <t>Crediton</t>
  </si>
  <si>
    <t>Crewe Flyers SC</t>
  </si>
  <si>
    <t>CREN</t>
  </si>
  <si>
    <t>Crewe Flyers</t>
  </si>
  <si>
    <t>Crosby SC</t>
  </si>
  <si>
    <t>CRON</t>
  </si>
  <si>
    <t>Crosby</t>
  </si>
  <si>
    <t>Croydon Amphibians SC</t>
  </si>
  <si>
    <t>CROL</t>
  </si>
  <si>
    <t>Croydon Amph</t>
  </si>
  <si>
    <t>Crystal Palace Diving Club</t>
  </si>
  <si>
    <t>CRYL</t>
  </si>
  <si>
    <t>Crystal P DC</t>
  </si>
  <si>
    <t>Cults Otters ASC</t>
  </si>
  <si>
    <t>NCOX</t>
  </si>
  <si>
    <t>Cults Otters</t>
  </si>
  <si>
    <t>Cumbernauld ASC</t>
  </si>
  <si>
    <t>WCDX</t>
  </si>
  <si>
    <t>Cumbernauld</t>
  </si>
  <si>
    <t>Cumbria ASA</t>
  </si>
  <si>
    <t>Cumbria</t>
  </si>
  <si>
    <t>Conwy County Aquatics</t>
  </si>
  <si>
    <t>SCPY</t>
  </si>
  <si>
    <t>Cupar and District Swimming Club</t>
  </si>
  <si>
    <t>ECRX</t>
  </si>
  <si>
    <t>Cupar</t>
  </si>
  <si>
    <t>Coombes Wood SC</t>
  </si>
  <si>
    <t>CMWM</t>
  </si>
  <si>
    <t>Cwm Draig Water Polo Club</t>
  </si>
  <si>
    <t>CDWY</t>
  </si>
  <si>
    <t>Cwm Draig WP</t>
  </si>
  <si>
    <t>Cwmbran</t>
  </si>
  <si>
    <t>CWMY</t>
  </si>
  <si>
    <t>NHPA</t>
  </si>
  <si>
    <t>Dacorum Diving Club</t>
  </si>
  <si>
    <t>SADT</t>
  </si>
  <si>
    <t>Dacorum DC</t>
  </si>
  <si>
    <t>Dacorum Synchro SC</t>
  </si>
  <si>
    <t>DAST</t>
  </si>
  <si>
    <t>Dacorum Sync</t>
  </si>
  <si>
    <t>Darlington Dolphin Masters SC</t>
  </si>
  <si>
    <t>DDME</t>
  </si>
  <si>
    <t>Darlington M</t>
  </si>
  <si>
    <t>Darlington SC</t>
  </si>
  <si>
    <t>DARE</t>
  </si>
  <si>
    <t>Darlington</t>
  </si>
  <si>
    <t>Dartford District SC</t>
  </si>
  <si>
    <t>DARS</t>
  </si>
  <si>
    <t>Dartford</t>
  </si>
  <si>
    <t>Dartmoor Darts Aquatic</t>
  </si>
  <si>
    <t>DDAW</t>
  </si>
  <si>
    <t>Dartmoor DA</t>
  </si>
  <si>
    <t>Crawley Diving Club</t>
  </si>
  <si>
    <t>CRDS</t>
  </si>
  <si>
    <t>Dartmouth Swimming Club</t>
  </si>
  <si>
    <t>DSCW</t>
  </si>
  <si>
    <t>Dartmouth SC</t>
  </si>
  <si>
    <t>Darwen Masters Swimming Club</t>
  </si>
  <si>
    <t>DMAN</t>
  </si>
  <si>
    <t>Darwen Mast</t>
  </si>
  <si>
    <t>Daventry Dolphins SC</t>
  </si>
  <si>
    <t>DAVA</t>
  </si>
  <si>
    <t>Daventry</t>
  </si>
  <si>
    <t>Dawlish SC</t>
  </si>
  <si>
    <t>DAWW</t>
  </si>
  <si>
    <t>Dawlish</t>
  </si>
  <si>
    <t>Deal Tri Masters Swim Club</t>
  </si>
  <si>
    <t>DTRS</t>
  </si>
  <si>
    <t>Deal Triath</t>
  </si>
  <si>
    <t>Dearne Valley SC</t>
  </si>
  <si>
    <t>DCME</t>
  </si>
  <si>
    <t>Dearne Vall</t>
  </si>
  <si>
    <t>Deben SC</t>
  </si>
  <si>
    <t>DEBT</t>
  </si>
  <si>
    <t>Deben</t>
  </si>
  <si>
    <t>Croydon SC</t>
  </si>
  <si>
    <t>CYDL</t>
  </si>
  <si>
    <t>Deepings SC</t>
  </si>
  <si>
    <t>DEEA</t>
  </si>
  <si>
    <t>Deepings</t>
  </si>
  <si>
    <t>Delting Dolphins ASC</t>
  </si>
  <si>
    <t>NDDX</t>
  </si>
  <si>
    <t>Delting</t>
  </si>
  <si>
    <t>Denbigh Dragons Swim Club</t>
  </si>
  <si>
    <t>DENY</t>
  </si>
  <si>
    <t>Denbigh D</t>
  </si>
  <si>
    <t>Denbighshire Development Team</t>
  </si>
  <si>
    <t>DDTY</t>
  </si>
  <si>
    <t>Denbig DT</t>
  </si>
  <si>
    <t>Denton Artistic Swimming Club</t>
  </si>
  <si>
    <t>DSSN</t>
  </si>
  <si>
    <t>Denton ASC</t>
  </si>
  <si>
    <t>Derby Phoenix SC</t>
  </si>
  <si>
    <t>DEPA</t>
  </si>
  <si>
    <t>DerbyPhoenix</t>
  </si>
  <si>
    <t>Derbyshire ASA</t>
  </si>
  <si>
    <t>Derbyshire</t>
  </si>
  <si>
    <t>Dereham &amp; District SC</t>
  </si>
  <si>
    <t>DADT</t>
  </si>
  <si>
    <t>Dereham</t>
  </si>
  <si>
    <t>Derventio Excel Swim Squad</t>
  </si>
  <si>
    <t>DEXA</t>
  </si>
  <si>
    <t>Derventio</t>
  </si>
  <si>
    <t>Derwent Valley SC</t>
  </si>
  <si>
    <t>DEVE</t>
  </si>
  <si>
    <t>Derwent Vall</t>
  </si>
  <si>
    <t>Dane Valley SC</t>
  </si>
  <si>
    <t>DANN</t>
  </si>
  <si>
    <t>Derwentside SC</t>
  </si>
  <si>
    <t>DERE</t>
  </si>
  <si>
    <t>Derwentside</t>
  </si>
  <si>
    <t>Deveron ASC</t>
  </si>
  <si>
    <t>NDNX</t>
  </si>
  <si>
    <t>Deveron</t>
  </si>
  <si>
    <t>Devizes ASC</t>
  </si>
  <si>
    <t>DEVW</t>
  </si>
  <si>
    <t>Devizes</t>
  </si>
  <si>
    <t>Devon County ASA</t>
  </si>
  <si>
    <t>Devon</t>
  </si>
  <si>
    <t>Devonport RSA</t>
  </si>
  <si>
    <t>DERW</t>
  </si>
  <si>
    <t>Devonport</t>
  </si>
  <si>
    <t>Darwen SC</t>
  </si>
  <si>
    <t>DARN</t>
  </si>
  <si>
    <t>Dewsbury SC</t>
  </si>
  <si>
    <t>DBYE</t>
  </si>
  <si>
    <t>Dewsbury</t>
  </si>
  <si>
    <t>Davenport &amp; District SC</t>
  </si>
  <si>
    <t>DAVN</t>
  </si>
  <si>
    <t>Didcot &amp; Barramundi SC</t>
  </si>
  <si>
    <t>DABS</t>
  </si>
  <si>
    <t>Didcot &amp; Bar</t>
  </si>
  <si>
    <t>Dingwall ASC</t>
  </si>
  <si>
    <t>NDIX</t>
  </si>
  <si>
    <t>Dingwall</t>
  </si>
  <si>
    <t>Dinnaton SC</t>
  </si>
  <si>
    <t>DINW</t>
  </si>
  <si>
    <t>Dinnaton</t>
  </si>
  <si>
    <t>Diss Otters SC</t>
  </si>
  <si>
    <t>DOTT</t>
  </si>
  <si>
    <t>Diss Otters</t>
  </si>
  <si>
    <t>Dive London Aquatics Club</t>
  </si>
  <si>
    <t>DLAL</t>
  </si>
  <si>
    <t>Dive London</t>
  </si>
  <si>
    <t>Dolphins of Spinkhill Swim Club</t>
  </si>
  <si>
    <t>DSSA</t>
  </si>
  <si>
    <t>Spinkhill</t>
  </si>
  <si>
    <t>Doncaster Dartes SC</t>
  </si>
  <si>
    <t>DODE</t>
  </si>
  <si>
    <t>Donc Dartes</t>
  </si>
  <si>
    <t>Dorking Swimming Club</t>
  </si>
  <si>
    <t>DORS</t>
  </si>
  <si>
    <t>Dorking</t>
  </si>
  <si>
    <t>Dorset County ASA</t>
  </si>
  <si>
    <t>Dorset</t>
  </si>
  <si>
    <t>Dorset Synchronised Swimming Club</t>
  </si>
  <si>
    <t>DSYW</t>
  </si>
  <si>
    <t>Dorset Syn</t>
  </si>
  <si>
    <t>Douglas SC</t>
  </si>
  <si>
    <t>DOUN</t>
  </si>
  <si>
    <t>Douglas</t>
  </si>
  <si>
    <t>Dove Valley SC</t>
  </si>
  <si>
    <t>DOVM</t>
  </si>
  <si>
    <t>Dove Valley</t>
  </si>
  <si>
    <t>Dover Lifeguard Swimming Club</t>
  </si>
  <si>
    <t>DLCS</t>
  </si>
  <si>
    <t>Dover Life</t>
  </si>
  <si>
    <t>Driffield SC</t>
  </si>
  <si>
    <t>DFDE</t>
  </si>
  <si>
    <t>Driffield</t>
  </si>
  <si>
    <t>Droitwich Dolphins SC</t>
  </si>
  <si>
    <t>DTDM</t>
  </si>
  <si>
    <t>Droitwich</t>
  </si>
  <si>
    <t>Dronfield Dolphins SC</t>
  </si>
  <si>
    <t>DRDA</t>
  </si>
  <si>
    <t>Dronfield</t>
  </si>
  <si>
    <t>DTs</t>
  </si>
  <si>
    <t>DTSW</t>
  </si>
  <si>
    <t>D.T.S</t>
  </si>
  <si>
    <t>Dukinfield Marlins ASC</t>
  </si>
  <si>
    <t>DUKN</t>
  </si>
  <si>
    <t>Dukinfield</t>
  </si>
  <si>
    <t>Dulwich Dolphins</t>
  </si>
  <si>
    <t>DUDL</t>
  </si>
  <si>
    <t>Dulwich Dolp</t>
  </si>
  <si>
    <t>Dumfries ASC</t>
  </si>
  <si>
    <t>WDSX</t>
  </si>
  <si>
    <t>Dumfries</t>
  </si>
  <si>
    <t>Dundee City Aquatics SC</t>
  </si>
  <si>
    <t>MDCX</t>
  </si>
  <si>
    <t>Dun City Aqu</t>
  </si>
  <si>
    <t>Dundee University Swim Club</t>
  </si>
  <si>
    <t>MDUX</t>
  </si>
  <si>
    <t>Dundee Uni</t>
  </si>
  <si>
    <t>Didcot SC</t>
  </si>
  <si>
    <t>DIDS</t>
  </si>
  <si>
    <t>Dunedin Swim Team</t>
  </si>
  <si>
    <t>EDDX</t>
  </si>
  <si>
    <t>Dunedin ST</t>
  </si>
  <si>
    <t>Dunfermline ASC</t>
  </si>
  <si>
    <t>EDEX</t>
  </si>
  <si>
    <t>Dunfermline</t>
  </si>
  <si>
    <t>Dunfermline Water Polo Club</t>
  </si>
  <si>
    <t>EDUX</t>
  </si>
  <si>
    <t>Dunfermli Wp</t>
  </si>
  <si>
    <t>Dunmow Atlantis SC</t>
  </si>
  <si>
    <t>DUAT</t>
  </si>
  <si>
    <t>DunmowAtlant</t>
  </si>
  <si>
    <t>Dolphin Swimming Club (Widnes)</t>
  </si>
  <si>
    <t>DOLN</t>
  </si>
  <si>
    <t>Dunoon ASC</t>
  </si>
  <si>
    <t>WDNX</t>
  </si>
  <si>
    <t>Dunoon</t>
  </si>
  <si>
    <t>Don Valley Dolphins SC</t>
  </si>
  <si>
    <t>DNVE</t>
  </si>
  <si>
    <t>Duns ASC</t>
  </si>
  <si>
    <t>EDSX</t>
  </si>
  <si>
    <t>Duns</t>
  </si>
  <si>
    <t>Dunstable SC</t>
  </si>
  <si>
    <t>DUBT</t>
  </si>
  <si>
    <t>Dunstable</t>
  </si>
  <si>
    <t>Dunstable Water Polo Club</t>
  </si>
  <si>
    <t>DUWT</t>
  </si>
  <si>
    <t>Dunstable WP</t>
  </si>
  <si>
    <t>Durham City ASC</t>
  </si>
  <si>
    <t>DURE</t>
  </si>
  <si>
    <t>Durham City</t>
  </si>
  <si>
    <t>Durham University SC</t>
  </si>
  <si>
    <t>DUNE</t>
  </si>
  <si>
    <t>Durham Uni</t>
  </si>
  <si>
    <t>Durrington Otters</t>
  </si>
  <si>
    <t>DURW</t>
  </si>
  <si>
    <t>Durrington</t>
  </si>
  <si>
    <t>Dursley Dolphins</t>
  </si>
  <si>
    <t>DDOW</t>
  </si>
  <si>
    <t>Dursley</t>
  </si>
  <si>
    <t>Dyce (Aberdeen) ASC</t>
  </si>
  <si>
    <t>NDAX</t>
  </si>
  <si>
    <t>Dyce</t>
  </si>
  <si>
    <t>Ealing SC</t>
  </si>
  <si>
    <t>EALL</t>
  </si>
  <si>
    <t>Ealing</t>
  </si>
  <si>
    <t>East Anglian Swallow Tails</t>
  </si>
  <si>
    <t>EANT</t>
  </si>
  <si>
    <t>East Anglian</t>
  </si>
  <si>
    <t>East Grinstead Swimming Club</t>
  </si>
  <si>
    <t>EAGS</t>
  </si>
  <si>
    <t>East Grins'd</t>
  </si>
  <si>
    <t>Dronfield SC</t>
  </si>
  <si>
    <t>DRFA</t>
  </si>
  <si>
    <t>East Invicta eXcel</t>
  </si>
  <si>
    <t>EIES</t>
  </si>
  <si>
    <t>E I eXcel</t>
  </si>
  <si>
    <t>Droylsden SC</t>
  </si>
  <si>
    <t>DRYN</t>
  </si>
  <si>
    <t>East Kilbride ASC</t>
  </si>
  <si>
    <t>WEKX</t>
  </si>
  <si>
    <t>Eastkilbride</t>
  </si>
  <si>
    <t>East Leeds SC</t>
  </si>
  <si>
    <t>ELEE</t>
  </si>
  <si>
    <t>East Leeds</t>
  </si>
  <si>
    <t>East Lothian Swim Team</t>
  </si>
  <si>
    <t>UELX</t>
  </si>
  <si>
    <t>East Lothian</t>
  </si>
  <si>
    <t>East Midland Region</t>
  </si>
  <si>
    <t>MLDA</t>
  </si>
  <si>
    <t>E M Region</t>
  </si>
  <si>
    <t>Dumfries Dolphins ASC</t>
  </si>
  <si>
    <t>East Region</t>
  </si>
  <si>
    <t>EAST</t>
  </si>
  <si>
    <t>East Sutherland Swimming Club</t>
  </si>
  <si>
    <t>NESX</t>
  </si>
  <si>
    <t>E Sutherland</t>
  </si>
  <si>
    <t>Eastbourne SC</t>
  </si>
  <si>
    <t>EASS</t>
  </si>
  <si>
    <t>Eastbourne</t>
  </si>
  <si>
    <t>Eastern Otters Water Polo Club</t>
  </si>
  <si>
    <t>EOTL</t>
  </si>
  <si>
    <t>Eastern Otte</t>
  </si>
  <si>
    <t>Eastleigh SC</t>
  </si>
  <si>
    <t>EATS</t>
  </si>
  <si>
    <t>Eastleigh</t>
  </si>
  <si>
    <t>Eaton Square SC</t>
  </si>
  <si>
    <t>EASL</t>
  </si>
  <si>
    <t>Eaton Squ</t>
  </si>
  <si>
    <t>Eckington SC</t>
  </si>
  <si>
    <t>ECKA</t>
  </si>
  <si>
    <t>Eckington</t>
  </si>
  <si>
    <t>Edenbridge Piranhas SC</t>
  </si>
  <si>
    <t>EDPS</t>
  </si>
  <si>
    <t>Edenbridge</t>
  </si>
  <si>
    <t>Edinburgh Diving Club</t>
  </si>
  <si>
    <t>EEDX</t>
  </si>
  <si>
    <t>Edinburgh Di</t>
  </si>
  <si>
    <t>Edinburgh Synchro ASC</t>
  </si>
  <si>
    <t>EESX</t>
  </si>
  <si>
    <t>Edinburgh Sy</t>
  </si>
  <si>
    <t>Edinburgh University</t>
  </si>
  <si>
    <t>EEUX</t>
  </si>
  <si>
    <t>Edinburgh Un</t>
  </si>
  <si>
    <t>Edlington SC</t>
  </si>
  <si>
    <t>EDLE</t>
  </si>
  <si>
    <t>Edlington</t>
  </si>
  <si>
    <t>Electric Eels of Windsor SC</t>
  </si>
  <si>
    <t>EEWS</t>
  </si>
  <si>
    <t>Electric Els</t>
  </si>
  <si>
    <t>Elgin SC</t>
  </si>
  <si>
    <t>NENX</t>
  </si>
  <si>
    <t>Elgin</t>
  </si>
  <si>
    <t>Ellesmere Port SC</t>
  </si>
  <si>
    <t>ELLN</t>
  </si>
  <si>
    <t>Ellesmere Pt</t>
  </si>
  <si>
    <t>Elmbridge Phoenix SC</t>
  </si>
  <si>
    <t>ELMS</t>
  </si>
  <si>
    <t>Elmbridge</t>
  </si>
  <si>
    <t>Eltham Stingrays</t>
  </si>
  <si>
    <t>EMSL</t>
  </si>
  <si>
    <t>Eltham Sting</t>
  </si>
  <si>
    <t>East Dorset Open Water SC</t>
  </si>
  <si>
    <t>EDOW</t>
  </si>
  <si>
    <t>Enable Arion SC</t>
  </si>
  <si>
    <t>WEAX</t>
  </si>
  <si>
    <t>Enable Arion</t>
  </si>
  <si>
    <t>Enfield Swim Squad</t>
  </si>
  <si>
    <t>ENSL</t>
  </si>
  <si>
    <t>Enfield Sq</t>
  </si>
  <si>
    <t>English Roses Masters WPC</t>
  </si>
  <si>
    <t>ERME</t>
  </si>
  <si>
    <t>EnglishRoses</t>
  </si>
  <si>
    <t>Epping Forest Dist SC</t>
  </si>
  <si>
    <t>EPPT</t>
  </si>
  <si>
    <t>Epping For't</t>
  </si>
  <si>
    <t>Epsom District SC</t>
  </si>
  <si>
    <t>EPSS</t>
  </si>
  <si>
    <t>Epsom Dist</t>
  </si>
  <si>
    <t>Erith &amp; District SC</t>
  </si>
  <si>
    <t>ERIL</t>
  </si>
  <si>
    <t>Erith &amp; Dist</t>
  </si>
  <si>
    <t>EASA</t>
  </si>
  <si>
    <t>Eston SC</t>
  </si>
  <si>
    <t>ESTE</t>
  </si>
  <si>
    <t>Eston</t>
  </si>
  <si>
    <t>Etwall Eagles SC</t>
  </si>
  <si>
    <t>ETEA</t>
  </si>
  <si>
    <t>Etwall</t>
  </si>
  <si>
    <t>Everton Swimming Assoc</t>
  </si>
  <si>
    <t>EVEN</t>
  </si>
  <si>
    <t>Everton</t>
  </si>
  <si>
    <t>Evesham SC</t>
  </si>
  <si>
    <t>EVEM</t>
  </si>
  <si>
    <t>Evesham</t>
  </si>
  <si>
    <t>Exe Masters Swimming Club</t>
  </si>
  <si>
    <t>EMAW</t>
  </si>
  <si>
    <t>Exe Masters</t>
  </si>
  <si>
    <t>Eccles SC</t>
  </si>
  <si>
    <t>ECCN</t>
  </si>
  <si>
    <t>Exeter City Swimming Club</t>
  </si>
  <si>
    <t>EXCW</t>
  </si>
  <si>
    <t>Exeter City</t>
  </si>
  <si>
    <t>Exeter University Alumni Swimming Club</t>
  </si>
  <si>
    <t>EUAW</t>
  </si>
  <si>
    <t>Exeter Uni A</t>
  </si>
  <si>
    <t>Exeter University Water Polo Club</t>
  </si>
  <si>
    <t>ECWW</t>
  </si>
  <si>
    <t>Exeter Un WP</t>
  </si>
  <si>
    <t>Exeter Waterpolo &amp; Swimming Club</t>
  </si>
  <si>
    <t>EXEW</t>
  </si>
  <si>
    <t>Exeter WP&amp;SC</t>
  </si>
  <si>
    <t>Exmouth Swimming &amp; Lifesaving Society</t>
  </si>
  <si>
    <t>EXMW</t>
  </si>
  <si>
    <t>Exmouth</t>
  </si>
  <si>
    <t>Eyemouth &amp; District ASC</t>
  </si>
  <si>
    <t>EEHX</t>
  </si>
  <si>
    <t>Eyemouth</t>
  </si>
  <si>
    <t>Falcon (Hucknall) Swimming Club</t>
  </si>
  <si>
    <t>FALA</t>
  </si>
  <si>
    <t>Falcon Nttm</t>
  </si>
  <si>
    <t>Falkirk Inter-Region Swim Team</t>
  </si>
  <si>
    <t>UFTX</t>
  </si>
  <si>
    <t>F.I.R.S.T.</t>
  </si>
  <si>
    <t>Falkirk Otters ASC</t>
  </si>
  <si>
    <t>WFOX</t>
  </si>
  <si>
    <t>Falkirk</t>
  </si>
  <si>
    <t>Ellesmere College Titans SC</t>
  </si>
  <si>
    <t>ECTM</t>
  </si>
  <si>
    <t>SHPM</t>
  </si>
  <si>
    <t>Fareham Nomads SC</t>
  </si>
  <si>
    <t>FANS</t>
  </si>
  <si>
    <t>Fareham N'ds</t>
  </si>
  <si>
    <t>Farnham SC</t>
  </si>
  <si>
    <t>FARS</t>
  </si>
  <si>
    <t>Farnham</t>
  </si>
  <si>
    <t>Fauldhouse Penguins SC</t>
  </si>
  <si>
    <t>EFPX</t>
  </si>
  <si>
    <t>Fauldhouse</t>
  </si>
  <si>
    <t>Faversham SC</t>
  </si>
  <si>
    <t>FAVS</t>
  </si>
  <si>
    <t>Faversham</t>
  </si>
  <si>
    <t>Eltham Training and SC</t>
  </si>
  <si>
    <t>ELTL</t>
  </si>
  <si>
    <t>Felixstowe SC</t>
  </si>
  <si>
    <t>FLXT</t>
  </si>
  <si>
    <t>Felixstowe</t>
  </si>
  <si>
    <t>Feltham SC</t>
  </si>
  <si>
    <t>FELL</t>
  </si>
  <si>
    <t>Feltham</t>
  </si>
  <si>
    <t>Ferry Amateur Swim Team</t>
  </si>
  <si>
    <t>EFAX</t>
  </si>
  <si>
    <t>FerryAmateur</t>
  </si>
  <si>
    <t>Fife North East Swim Team</t>
  </si>
  <si>
    <t>UFNX</t>
  </si>
  <si>
    <t>FiNSEST</t>
  </si>
  <si>
    <t>Fife Synchronised Swimming Club</t>
  </si>
  <si>
    <t>EFEX</t>
  </si>
  <si>
    <t>Fife Synchro</t>
  </si>
  <si>
    <t>Epsom &amp; Ewell SC</t>
  </si>
  <si>
    <t>EPES</t>
  </si>
  <si>
    <t>Fins CSC</t>
  </si>
  <si>
    <t>EFSX</t>
  </si>
  <si>
    <t>Fins</t>
  </si>
  <si>
    <t>Fishguard Flyers</t>
  </si>
  <si>
    <t>FISY</t>
  </si>
  <si>
    <t>Fishguard</t>
  </si>
  <si>
    <t>Erewash Valley SC</t>
  </si>
  <si>
    <t>ERVA</t>
  </si>
  <si>
    <t>Fleetwood &amp; District SC</t>
  </si>
  <si>
    <t>FLEN</t>
  </si>
  <si>
    <t>Fleetwood</t>
  </si>
  <si>
    <t>Flint Swimming Club</t>
  </si>
  <si>
    <t>FLIY</t>
  </si>
  <si>
    <t>Flint</t>
  </si>
  <si>
    <t>Essex County ASA</t>
  </si>
  <si>
    <t>Flitwick Dolphins SC</t>
  </si>
  <si>
    <t>MBDT</t>
  </si>
  <si>
    <t>Flitwick</t>
  </si>
  <si>
    <t>Flixton SC</t>
  </si>
  <si>
    <t>FSTN</t>
  </si>
  <si>
    <t>Flixton</t>
  </si>
  <si>
    <t>Eton College SC</t>
  </si>
  <si>
    <t>ETOS</t>
  </si>
  <si>
    <t>Folkestone SC</t>
  </si>
  <si>
    <t>FOLS</t>
  </si>
  <si>
    <t>Folkestone</t>
  </si>
  <si>
    <t>Forfar ASC</t>
  </si>
  <si>
    <t>MFRX</t>
  </si>
  <si>
    <t>Forfar</t>
  </si>
  <si>
    <t>Formby Swimming Club</t>
  </si>
  <si>
    <t>FSCN</t>
  </si>
  <si>
    <t>Formby SC</t>
  </si>
  <si>
    <t>Forres Blu Fins ASC</t>
  </si>
  <si>
    <t>NFBX</t>
  </si>
  <si>
    <t>Forres</t>
  </si>
  <si>
    <t>Forth Valley WPC</t>
  </si>
  <si>
    <t>WFVX</t>
  </si>
  <si>
    <t>Forth Valley</t>
  </si>
  <si>
    <t>Forward Hillingdon Squad</t>
  </si>
  <si>
    <t>FORL</t>
  </si>
  <si>
    <t>Forward Hill</t>
  </si>
  <si>
    <t>Free Style SC</t>
  </si>
  <si>
    <t>NFSX</t>
  </si>
  <si>
    <t>Free Style</t>
  </si>
  <si>
    <t>Frognal Masters Swimming Club</t>
  </si>
  <si>
    <t>FMSL</t>
  </si>
  <si>
    <t>Frognal Mast</t>
  </si>
  <si>
    <t>Frome SC</t>
  </si>
  <si>
    <t>FROW</t>
  </si>
  <si>
    <t>Frome</t>
  </si>
  <si>
    <t>Gainsborough Dolphins SC</t>
  </si>
  <si>
    <t>GRDA</t>
  </si>
  <si>
    <t>Gainsborough</t>
  </si>
  <si>
    <t>Galashiels ASC</t>
  </si>
  <si>
    <t>EGAX</t>
  </si>
  <si>
    <t>Galashiels</t>
  </si>
  <si>
    <t>Garioch ASC</t>
  </si>
  <si>
    <t>NGHX</t>
  </si>
  <si>
    <t>Garioch</t>
  </si>
  <si>
    <t>Garstang SC</t>
  </si>
  <si>
    <t>GTGN</t>
  </si>
  <si>
    <t>Garstang</t>
  </si>
  <si>
    <t>Garston SC</t>
  </si>
  <si>
    <t>GARN</t>
  </si>
  <si>
    <t>Garston</t>
  </si>
  <si>
    <t>Gateshead &amp; Whickham SC</t>
  </si>
  <si>
    <t>GAWE</t>
  </si>
  <si>
    <t>Gates &amp;Whick</t>
  </si>
  <si>
    <t>Gateshead Synchronised SC</t>
  </si>
  <si>
    <t>GHSE</t>
  </si>
  <si>
    <t>Gates Synch</t>
  </si>
  <si>
    <t>Gele Gators</t>
  </si>
  <si>
    <t>GGEY</t>
  </si>
  <si>
    <t>Glasgow Nomads SC</t>
  </si>
  <si>
    <t>WNSX</t>
  </si>
  <si>
    <t>Glasgow Nmds</t>
  </si>
  <si>
    <t>Fenland Flyers Swimming Club</t>
  </si>
  <si>
    <t>FEFT</t>
  </si>
  <si>
    <t>Glasgow University Swim Team</t>
  </si>
  <si>
    <t>WGUX</t>
  </si>
  <si>
    <t>Glasgow Uni</t>
  </si>
  <si>
    <t>Glasgow Western Masters ASC</t>
  </si>
  <si>
    <t>WWMX</t>
  </si>
  <si>
    <t>Glasgow Wm</t>
  </si>
  <si>
    <t>Glenrothes ASC</t>
  </si>
  <si>
    <t>EGSX</t>
  </si>
  <si>
    <t>Glenrothes</t>
  </si>
  <si>
    <t>Glossop ASC</t>
  </si>
  <si>
    <t>GLOA</t>
  </si>
  <si>
    <t>Glossop</t>
  </si>
  <si>
    <t>Gloucester ASA</t>
  </si>
  <si>
    <t>Gloucs</t>
  </si>
  <si>
    <t>First Strokes Godmanchester SC</t>
  </si>
  <si>
    <t>FSGT</t>
  </si>
  <si>
    <t>Gloucester City SC</t>
  </si>
  <si>
    <t>GLOW</t>
  </si>
  <si>
    <t>Gloucester</t>
  </si>
  <si>
    <t>Gloucester Masters SC</t>
  </si>
  <si>
    <t>GLMW</t>
  </si>
  <si>
    <t>Gloucester M</t>
  </si>
  <si>
    <t>Godalming ASC</t>
  </si>
  <si>
    <t>GODS</t>
  </si>
  <si>
    <t>Godalming</t>
  </si>
  <si>
    <t>Gosport Dolphins SC</t>
  </si>
  <si>
    <t>GOSS</t>
  </si>
  <si>
    <t>Gosport</t>
  </si>
  <si>
    <t>Grangemouth ASC</t>
  </si>
  <si>
    <t>WGHX</t>
  </si>
  <si>
    <t>Grangemouth</t>
  </si>
  <si>
    <t>Grantham SC</t>
  </si>
  <si>
    <t>GRNA</t>
  </si>
  <si>
    <t>Grantham</t>
  </si>
  <si>
    <t>Folkestone Sports Centre SC</t>
  </si>
  <si>
    <t>Grantham Water Polo Club</t>
  </si>
  <si>
    <t>KWPA</t>
  </si>
  <si>
    <t>Grantham WP</t>
  </si>
  <si>
    <t>Grantown-on-Spey SC</t>
  </si>
  <si>
    <t>NGRX</t>
  </si>
  <si>
    <t>Grantown</t>
  </si>
  <si>
    <t>Gravesend &amp; Northfleet SC</t>
  </si>
  <si>
    <t>GRAS</t>
  </si>
  <si>
    <t>Gravesend</t>
  </si>
  <si>
    <t>Great Britain Deaf Swimming Club</t>
  </si>
  <si>
    <t>BODS</t>
  </si>
  <si>
    <t>British Deaf</t>
  </si>
  <si>
    <t>Great Britain Police</t>
  </si>
  <si>
    <t>GBPE</t>
  </si>
  <si>
    <t>G B Police</t>
  </si>
  <si>
    <t>Great Harwood Otters SC</t>
  </si>
  <si>
    <t>GHON</t>
  </si>
  <si>
    <t>Gt Harwood</t>
  </si>
  <si>
    <t>Fox Hollies</t>
  </si>
  <si>
    <t>FOXM</t>
  </si>
  <si>
    <t>Great Yarmouth SC</t>
  </si>
  <si>
    <t>GYAT</t>
  </si>
  <si>
    <t>Gt Yarmouth</t>
  </si>
  <si>
    <t>Green Arrows SSC</t>
  </si>
  <si>
    <t>GASA</t>
  </si>
  <si>
    <t>Green Arrows</t>
  </si>
  <si>
    <t>Greenwich Royals SC</t>
  </si>
  <si>
    <t>GWRL</t>
  </si>
  <si>
    <t>Gwich Royals</t>
  </si>
  <si>
    <t>G29 Wild Swimmers DLL Eastbourne</t>
  </si>
  <si>
    <t>DLES</t>
  </si>
  <si>
    <t>Grove ASC</t>
  </si>
  <si>
    <t>EGEX</t>
  </si>
  <si>
    <t>Grove</t>
  </si>
  <si>
    <t>Guernsey Marlins Special Swimmers Club LBG</t>
  </si>
  <si>
    <t>GMSS</t>
  </si>
  <si>
    <t>Guernsey Mar</t>
  </si>
  <si>
    <t>Guernsey Swimming Club</t>
  </si>
  <si>
    <t>GUES</t>
  </si>
  <si>
    <t>Guernsey</t>
  </si>
  <si>
    <t>Guernsey Water Polo LBG</t>
  </si>
  <si>
    <t>GWPS</t>
  </si>
  <si>
    <t>Guernsey WP</t>
  </si>
  <si>
    <t>Guildford City Swimming Club</t>
  </si>
  <si>
    <t>GUIS</t>
  </si>
  <si>
    <t>Guildford Ct</t>
  </si>
  <si>
    <t>Guildford Water Polo Club</t>
  </si>
  <si>
    <t>CRNS</t>
  </si>
  <si>
    <t>Guildford WP</t>
  </si>
  <si>
    <t>Guisborough SC</t>
  </si>
  <si>
    <t>GUIE</t>
  </si>
  <si>
    <t>Guisborough</t>
  </si>
  <si>
    <t>Hackney Aquatics Club</t>
  </si>
  <si>
    <t>HAGL</t>
  </si>
  <si>
    <t>Hackney</t>
  </si>
  <si>
    <t>Haddington &amp; District ASC</t>
  </si>
  <si>
    <t>EHNX</t>
  </si>
  <si>
    <t>Haddington</t>
  </si>
  <si>
    <t>Gerrards Cross Taper Tigers SC</t>
  </si>
  <si>
    <t>GCTS</t>
  </si>
  <si>
    <t>Haden Hill SC</t>
  </si>
  <si>
    <t>HAHM</t>
  </si>
  <si>
    <t>Haden Hill</t>
  </si>
  <si>
    <t>Hadleigh Swimming Club</t>
  </si>
  <si>
    <t>HADT</t>
  </si>
  <si>
    <t>Hadleigh</t>
  </si>
  <si>
    <t>Hailes ASC</t>
  </si>
  <si>
    <t>EHAX</t>
  </si>
  <si>
    <t>Hailes</t>
  </si>
  <si>
    <t>Hailsham SC</t>
  </si>
  <si>
    <t>HAIS</t>
  </si>
  <si>
    <t>Hailsham</t>
  </si>
  <si>
    <t>Halesowen SC</t>
  </si>
  <si>
    <t>HALM</t>
  </si>
  <si>
    <t>Halesowen</t>
  </si>
  <si>
    <t>Glossop SC</t>
  </si>
  <si>
    <t>Halesworth &amp; District SC</t>
  </si>
  <si>
    <t>HSWT</t>
  </si>
  <si>
    <t>Halesworth</t>
  </si>
  <si>
    <t>Halifax SC</t>
  </si>
  <si>
    <t>HALE</t>
  </si>
  <si>
    <t>Halifax</t>
  </si>
  <si>
    <t>Halstead Swimming Club</t>
  </si>
  <si>
    <t>HAST</t>
  </si>
  <si>
    <t>Halstead</t>
  </si>
  <si>
    <t>Halton SC</t>
  </si>
  <si>
    <t>WIDN</t>
  </si>
  <si>
    <t>Halton</t>
  </si>
  <si>
    <t>Hamble Aquatics Swim Team</t>
  </si>
  <si>
    <t>HAQS</t>
  </si>
  <si>
    <t>Hamble Aq</t>
  </si>
  <si>
    <t>Hambleton Swim Squad</t>
  </si>
  <si>
    <t>HASE</t>
  </si>
  <si>
    <t>Hambleton SS</t>
  </si>
  <si>
    <t>Hamilton Baths ASC</t>
  </si>
  <si>
    <t>WHBX</t>
  </si>
  <si>
    <t>Hamilton</t>
  </si>
  <si>
    <t>Hamilton Dolphins</t>
  </si>
  <si>
    <t>WHNX</t>
  </si>
  <si>
    <t>Hamilton Dol</t>
  </si>
  <si>
    <t>Hamilton Water Polo Club</t>
  </si>
  <si>
    <t>WHWX</t>
  </si>
  <si>
    <t>Hamilton WPC</t>
  </si>
  <si>
    <t>Hampshire County ASA</t>
  </si>
  <si>
    <t>Hampshire</t>
  </si>
  <si>
    <t>Hampstead Heath Winter SC</t>
  </si>
  <si>
    <t>HHWL</t>
  </si>
  <si>
    <t>HampsteadHea</t>
  </si>
  <si>
    <t>Handsworth Grammar Sch Old Boys</t>
  </si>
  <si>
    <t>HGSM</t>
  </si>
  <si>
    <t>Hands Gsob</t>
  </si>
  <si>
    <t>Haringey Aquatics</t>
  </si>
  <si>
    <t>Haringey</t>
  </si>
  <si>
    <t>Harlow Penguin SC</t>
  </si>
  <si>
    <t>HALT</t>
  </si>
  <si>
    <t>Harlow Pen</t>
  </si>
  <si>
    <t>Harpenden Swimming Club</t>
  </si>
  <si>
    <t>HRPT</t>
  </si>
  <si>
    <t>Harpenden</t>
  </si>
  <si>
    <t>Harpurhey SC</t>
  </si>
  <si>
    <t>HARN</t>
  </si>
  <si>
    <t>Harpurhey</t>
  </si>
  <si>
    <t>Harrogate District SC</t>
  </si>
  <si>
    <t>HARE</t>
  </si>
  <si>
    <t>Harrogate</t>
  </si>
  <si>
    <t>Grimsby Alexandra &amp; Dolphins SC</t>
  </si>
  <si>
    <t>GRDE</t>
  </si>
  <si>
    <t>Harrogate Diving Club</t>
  </si>
  <si>
    <t>HDCE</t>
  </si>
  <si>
    <t>Harrogate DC</t>
  </si>
  <si>
    <t>Grimsby Aquatics Swim Team</t>
  </si>
  <si>
    <t>GAQE</t>
  </si>
  <si>
    <t>Harrow Scout &amp; Guide SC</t>
  </si>
  <si>
    <t>HRWL</t>
  </si>
  <si>
    <t>Harrow S&amp;G</t>
  </si>
  <si>
    <t>Hart Swimming Club</t>
  </si>
  <si>
    <t>HARS</t>
  </si>
  <si>
    <t>Hart</t>
  </si>
  <si>
    <t>Hartlepool SC</t>
  </si>
  <si>
    <t>HATE</t>
  </si>
  <si>
    <t>Hartlepool</t>
  </si>
  <si>
    <t>Harwich Dovercourt/Parkeston SC</t>
  </si>
  <si>
    <t>HDPT</t>
  </si>
  <si>
    <t>Harwich DP</t>
  </si>
  <si>
    <t>Haslemere Swimming Club</t>
  </si>
  <si>
    <t>HSMS</t>
  </si>
  <si>
    <t>Haslemere</t>
  </si>
  <si>
    <t>Hastings Seagull SC</t>
  </si>
  <si>
    <t>HSGS</t>
  </si>
  <si>
    <t>Hastings</t>
  </si>
  <si>
    <t>Hatfield SC</t>
  </si>
  <si>
    <t>HATT</t>
  </si>
  <si>
    <t>Hatfield</t>
  </si>
  <si>
    <t>Havant &amp; Waterlooville SC</t>
  </si>
  <si>
    <t>HVWS</t>
  </si>
  <si>
    <t>Havant &amp; Wat</t>
  </si>
  <si>
    <t>Haverfordwest</t>
  </si>
  <si>
    <t>HAVY</t>
  </si>
  <si>
    <t>Haverfordwes</t>
  </si>
  <si>
    <t>Havering Cormorants Diving Club</t>
  </si>
  <si>
    <t>ECDL</t>
  </si>
  <si>
    <t>Havering DC</t>
  </si>
  <si>
    <t>Havering Dolphins</t>
  </si>
  <si>
    <t>HDOL</t>
  </si>
  <si>
    <t>Havering Dol</t>
  </si>
  <si>
    <t>Hawick &amp; Teviotdale ASC</t>
  </si>
  <si>
    <t>EHTX</t>
  </si>
  <si>
    <t>Hawick &amp; Td</t>
  </si>
  <si>
    <t>Hadrian Masters SC</t>
  </si>
  <si>
    <t>HDME</t>
  </si>
  <si>
    <t>Hazel Gr/Bramhall (Saracens) SC</t>
  </si>
  <si>
    <t>HAZN</t>
  </si>
  <si>
    <t>Hazel Grove</t>
  </si>
  <si>
    <t>Heads of the Valleys</t>
  </si>
  <si>
    <t>HOVY</t>
  </si>
  <si>
    <t>Heads Valley</t>
  </si>
  <si>
    <t>Heart Of Midlothian ASC</t>
  </si>
  <si>
    <t>EHMX</t>
  </si>
  <si>
    <t>Heart Of Mid</t>
  </si>
  <si>
    <t>Heath Town SC</t>
  </si>
  <si>
    <t>HTHM</t>
  </si>
  <si>
    <t>Heath Town</t>
  </si>
  <si>
    <t>Hebburn Metro SC</t>
  </si>
  <si>
    <t>HEBE</t>
  </si>
  <si>
    <t>Hebburn Met</t>
  </si>
  <si>
    <t>Helensburgh ASC</t>
  </si>
  <si>
    <t>WHHX</t>
  </si>
  <si>
    <t>Helensburgh</t>
  </si>
  <si>
    <t>Halliwick Penguin</t>
  </si>
  <si>
    <t>HPEL</t>
  </si>
  <si>
    <t>Hemel Hempstead SC</t>
  </si>
  <si>
    <t>HEMT</t>
  </si>
  <si>
    <t>Hemel Hemp</t>
  </si>
  <si>
    <t>Henley Leisure Swimming Club</t>
  </si>
  <si>
    <t>HLSS</t>
  </si>
  <si>
    <t>Henley Leis</t>
  </si>
  <si>
    <t>Henley SC</t>
  </si>
  <si>
    <t>HENS</t>
  </si>
  <si>
    <t>Henley</t>
  </si>
  <si>
    <t>Herne Bay L&amp;SC</t>
  </si>
  <si>
    <t>HNBS</t>
  </si>
  <si>
    <t>Herne Bay</t>
  </si>
  <si>
    <t>Heron Swim Team Somerset</t>
  </si>
  <si>
    <t>HCEW</t>
  </si>
  <si>
    <t>Heron</t>
  </si>
  <si>
    <t>Hertford SC</t>
  </si>
  <si>
    <t>HERT</t>
  </si>
  <si>
    <t>Hertford</t>
  </si>
  <si>
    <t>Hertfordshire Aquatics Club</t>
  </si>
  <si>
    <t>HACT</t>
  </si>
  <si>
    <t>Herts A C</t>
  </si>
  <si>
    <t>Hetton SC</t>
  </si>
  <si>
    <t>HETE</t>
  </si>
  <si>
    <t>Hetton</t>
  </si>
  <si>
    <t>Highgate DC (Kent)</t>
  </si>
  <si>
    <t>HDCS</t>
  </si>
  <si>
    <t>Highgate DC</t>
  </si>
  <si>
    <t>Highland Disability Swim Team</t>
  </si>
  <si>
    <t>NHDX</t>
  </si>
  <si>
    <t>Highland Dis</t>
  </si>
  <si>
    <t>Highland Swim Team</t>
  </si>
  <si>
    <t>UHIX</t>
  </si>
  <si>
    <t>Highland</t>
  </si>
  <si>
    <t>Harleston Stingrays</t>
  </si>
  <si>
    <t>HSRT</t>
  </si>
  <si>
    <t>Highworth Phoenix Diving Club</t>
  </si>
  <si>
    <t>TDCW</t>
  </si>
  <si>
    <t>Highw Pho DC</t>
  </si>
  <si>
    <t>Hillingdon Swimming Club</t>
  </si>
  <si>
    <t>Hillingdon</t>
  </si>
  <si>
    <t>Hinckley SC</t>
  </si>
  <si>
    <t>HINA</t>
  </si>
  <si>
    <t>Hinckley</t>
  </si>
  <si>
    <t>Hindley SC</t>
  </si>
  <si>
    <t>HINN</t>
  </si>
  <si>
    <t>Hindley</t>
  </si>
  <si>
    <t>Hitchin SC</t>
  </si>
  <si>
    <t>HITT</t>
  </si>
  <si>
    <t>Hitchin</t>
  </si>
  <si>
    <t>Hoddesdon SC</t>
  </si>
  <si>
    <t>HODT</t>
  </si>
  <si>
    <t>Hoddesdon</t>
  </si>
  <si>
    <t>Harrow Kingfisher SC for Disabled</t>
  </si>
  <si>
    <t>HKFL</t>
  </si>
  <si>
    <t>Holywell SC</t>
  </si>
  <si>
    <t>HOLY</t>
  </si>
  <si>
    <t>Holywell</t>
  </si>
  <si>
    <t>Honiton SC</t>
  </si>
  <si>
    <t>HONW</t>
  </si>
  <si>
    <t>Honiton</t>
  </si>
  <si>
    <t>Horncastle Otters SC</t>
  </si>
  <si>
    <t>HORA</t>
  </si>
  <si>
    <t>Horncastle</t>
  </si>
  <si>
    <t>Hartham Masters SC</t>
  </si>
  <si>
    <t>HMAT</t>
  </si>
  <si>
    <t>Hornchurch SC</t>
  </si>
  <si>
    <t>HORL</t>
  </si>
  <si>
    <t>Hornchurch</t>
  </si>
  <si>
    <t>Horton &amp; Broadway Swimming Club</t>
  </si>
  <si>
    <t>HORW</t>
  </si>
  <si>
    <t>Horton</t>
  </si>
  <si>
    <t>Horwich Leisure Centre SC</t>
  </si>
  <si>
    <t>HLCN</t>
  </si>
  <si>
    <t>Horwich</t>
  </si>
  <si>
    <t>Hounslow Jets</t>
  </si>
  <si>
    <t>HOJL</t>
  </si>
  <si>
    <t>HounslowJets</t>
  </si>
  <si>
    <t>Haslingden SC</t>
  </si>
  <si>
    <t>HASN</t>
  </si>
  <si>
    <t>Howe Bridge Aces SC</t>
  </si>
  <si>
    <t>HBAN</t>
  </si>
  <si>
    <t>Howe Bridge</t>
  </si>
  <si>
    <t>Hoylake SC</t>
  </si>
  <si>
    <t>HOYN</t>
  </si>
  <si>
    <t>Hoylake</t>
  </si>
  <si>
    <t>Hucknall SC</t>
  </si>
  <si>
    <t>HUKA</t>
  </si>
  <si>
    <t>Hucknall</t>
  </si>
  <si>
    <t>Hucknall WPC</t>
  </si>
  <si>
    <t>RRHA</t>
  </si>
  <si>
    <t>Hucknall WP</t>
  </si>
  <si>
    <t>Huddersfield Otters SC</t>
  </si>
  <si>
    <t>HUOE</t>
  </si>
  <si>
    <t>Hud Otters</t>
  </si>
  <si>
    <t>Hull Water Polo Club</t>
  </si>
  <si>
    <t>HWPE</t>
  </si>
  <si>
    <t>Hull WP</t>
  </si>
  <si>
    <t>Huntingdon SC</t>
  </si>
  <si>
    <t>HUNT</t>
  </si>
  <si>
    <t>Huntingdon</t>
  </si>
  <si>
    <t>Huntly ASC</t>
  </si>
  <si>
    <t>NHYX</t>
  </si>
  <si>
    <t>Huntly</t>
  </si>
  <si>
    <t>Hayes &amp; Harlington SC</t>
  </si>
  <si>
    <t>HAYL</t>
  </si>
  <si>
    <t>Hyde Seal Swimming Club</t>
  </si>
  <si>
    <t>HYDN</t>
  </si>
  <si>
    <t>Hyde Seal</t>
  </si>
  <si>
    <t>Hymers College</t>
  </si>
  <si>
    <t>HYCE</t>
  </si>
  <si>
    <t>Hymers Coll</t>
  </si>
  <si>
    <t>Hythe Aqua</t>
  </si>
  <si>
    <t>HYTS</t>
  </si>
  <si>
    <t>Hythe</t>
  </si>
  <si>
    <t>Ilfracombe SC</t>
  </si>
  <si>
    <t>ILFW</t>
  </si>
  <si>
    <t>Ilfracombe</t>
  </si>
  <si>
    <t>Ilkeston SC</t>
  </si>
  <si>
    <t>ILKA</t>
  </si>
  <si>
    <t>Ilkeston</t>
  </si>
  <si>
    <t>Ilkley SC</t>
  </si>
  <si>
    <t>ILKE</t>
  </si>
  <si>
    <t>Ilkley</t>
  </si>
  <si>
    <t>Ilminster Swimming Club</t>
  </si>
  <si>
    <t>ILMW</t>
  </si>
  <si>
    <t>Ilminster</t>
  </si>
  <si>
    <t>Imperial College Union Synchronised Swimming</t>
  </si>
  <si>
    <t>ICSL</t>
  </si>
  <si>
    <t>Imperial CU</t>
  </si>
  <si>
    <t>Impington SC</t>
  </si>
  <si>
    <t>IMPT</t>
  </si>
  <si>
    <t>Impington</t>
  </si>
  <si>
    <t>Incas</t>
  </si>
  <si>
    <t>EISX</t>
  </si>
  <si>
    <t>Henley Synchronized SC</t>
  </si>
  <si>
    <t>HSYS</t>
  </si>
  <si>
    <t>InSync - Milton Keynes Synchronised Swimming Club</t>
  </si>
  <si>
    <t>ISMS</t>
  </si>
  <si>
    <t>InSync - MK</t>
  </si>
  <si>
    <t>Inverclyde ASC</t>
  </si>
  <si>
    <t>WIEX</t>
  </si>
  <si>
    <t>Inverclyde</t>
  </si>
  <si>
    <t>Inverclyde Masters ASC</t>
  </si>
  <si>
    <t>WIMX</t>
  </si>
  <si>
    <t>Inverclyde M</t>
  </si>
  <si>
    <t>Inverleith</t>
  </si>
  <si>
    <t>EIHX</t>
  </si>
  <si>
    <t>Hertfordshire ASA</t>
  </si>
  <si>
    <t>Inverness ASC</t>
  </si>
  <si>
    <t>NISX</t>
  </si>
  <si>
    <t>Inverness</t>
  </si>
  <si>
    <t>Invicta WPC</t>
  </si>
  <si>
    <t>INVS</t>
  </si>
  <si>
    <t>Invicta WP</t>
  </si>
  <si>
    <t>Islay &amp; Jura Dolphins ASC</t>
  </si>
  <si>
    <t>WIJX</t>
  </si>
  <si>
    <t>Islay &amp; Jura</t>
  </si>
  <si>
    <t>Isle of Anglesey</t>
  </si>
  <si>
    <t>IOAY</t>
  </si>
  <si>
    <t>Io Anglesey</t>
  </si>
  <si>
    <t>Isle of Man Swimming Club</t>
  </si>
  <si>
    <t>IOMN</t>
  </si>
  <si>
    <t>Io Man</t>
  </si>
  <si>
    <t>Highworth ASC</t>
  </si>
  <si>
    <t>HIGW</t>
  </si>
  <si>
    <t>Isle Of Wight Marlins Swim Club</t>
  </si>
  <si>
    <t>IOMS</t>
  </si>
  <si>
    <t>Io Wight Ma</t>
  </si>
  <si>
    <t>Isleworth Penguin SC</t>
  </si>
  <si>
    <t>ISLL</t>
  </si>
  <si>
    <t>Isleworth</t>
  </si>
  <si>
    <t>Jersey Etaile Synchro Club</t>
  </si>
  <si>
    <t>JESS</t>
  </si>
  <si>
    <t>Jersey Etail</t>
  </si>
  <si>
    <t>Jersey Long Distance</t>
  </si>
  <si>
    <t>JLDS</t>
  </si>
  <si>
    <t>Jersey LDSC</t>
  </si>
  <si>
    <t>Jersey SC</t>
  </si>
  <si>
    <t>JERS</t>
  </si>
  <si>
    <t>Jersey</t>
  </si>
  <si>
    <t>Kelso ASC</t>
  </si>
  <si>
    <t>EKOX</t>
  </si>
  <si>
    <t>Kelso</t>
  </si>
  <si>
    <t>Kendal SC</t>
  </si>
  <si>
    <t>KENN</t>
  </si>
  <si>
    <t>Kendal</t>
  </si>
  <si>
    <t>Kenilworth Masters SC</t>
  </si>
  <si>
    <t>KEMM</t>
  </si>
  <si>
    <t>Kenilworth M</t>
  </si>
  <si>
    <t>Kent County ASA</t>
  </si>
  <si>
    <t>Kent</t>
  </si>
  <si>
    <t>Horley SC</t>
  </si>
  <si>
    <t>HLYS</t>
  </si>
  <si>
    <t>Kent Weald Swim Squad</t>
  </si>
  <si>
    <t>KWSS</t>
  </si>
  <si>
    <t>Kent Weald</t>
  </si>
  <si>
    <t>Kernow Artistic Swimming Club</t>
  </si>
  <si>
    <t>SAYW</t>
  </si>
  <si>
    <t>Kernow</t>
  </si>
  <si>
    <t>Kettering SC</t>
  </si>
  <si>
    <t>KETA</t>
  </si>
  <si>
    <t>Kettering</t>
  </si>
  <si>
    <t>Keynsham SC</t>
  </si>
  <si>
    <t>KEYW</t>
  </si>
  <si>
    <t>Keynsham</t>
  </si>
  <si>
    <t>Kidderminster and District Masters Swimming</t>
  </si>
  <si>
    <t>KDMM</t>
  </si>
  <si>
    <t>Kidd+Dist Ma</t>
  </si>
  <si>
    <t>Kidlington &amp; Gosford SC</t>
  </si>
  <si>
    <t>KAGS</t>
  </si>
  <si>
    <t>Kidlington</t>
  </si>
  <si>
    <t>Killerwhales SC (Havering)</t>
  </si>
  <si>
    <t>KILL</t>
  </si>
  <si>
    <t>Killerwhales</t>
  </si>
  <si>
    <t>Howe Bridge Marlins LDSC</t>
  </si>
  <si>
    <t>HBMN</t>
  </si>
  <si>
    <t>Kilmarnock ASC</t>
  </si>
  <si>
    <t>WKKX</t>
  </si>
  <si>
    <t>Kilmarnock</t>
  </si>
  <si>
    <t>Kimberley SC</t>
  </si>
  <si>
    <t>KIMA</t>
  </si>
  <si>
    <t>Kimberley</t>
  </si>
  <si>
    <t>Kingfishers Scarborough SC</t>
  </si>
  <si>
    <t>KINE</t>
  </si>
  <si>
    <t>King'f Scar</t>
  </si>
  <si>
    <t>Hucknall/Linby Dolphin SC</t>
  </si>
  <si>
    <t>Kings Cormorants SC</t>
  </si>
  <si>
    <t>KCSL</t>
  </si>
  <si>
    <t>Kings Corm</t>
  </si>
  <si>
    <t>Huddersfield Crusaders SC</t>
  </si>
  <si>
    <t>HCSE</t>
  </si>
  <si>
    <t>Kings Langley SC</t>
  </si>
  <si>
    <t>KINT</t>
  </si>
  <si>
    <t>KingsLangley</t>
  </si>
  <si>
    <t>Kingsbridge Kingfishers SC</t>
  </si>
  <si>
    <t>KKFW</t>
  </si>
  <si>
    <t>Kingsbridge</t>
  </si>
  <si>
    <t>Hull Masters SC</t>
  </si>
  <si>
    <t>HUME</t>
  </si>
  <si>
    <t>Kingsbury Aquarius SC</t>
  </si>
  <si>
    <t>KAQM</t>
  </si>
  <si>
    <t>Kingsbury</t>
  </si>
  <si>
    <t>Kingsnorth SC (Ashford)</t>
  </si>
  <si>
    <t>KIAS</t>
  </si>
  <si>
    <t>Kingsnorth</t>
  </si>
  <si>
    <t>Hunstanton Sea Eagles</t>
  </si>
  <si>
    <t>HSET</t>
  </si>
  <si>
    <t>Kingston ASC</t>
  </si>
  <si>
    <t>WKNX</t>
  </si>
  <si>
    <t>Kingston</t>
  </si>
  <si>
    <t>Kingston Royals SC</t>
  </si>
  <si>
    <t>KIRL</t>
  </si>
  <si>
    <t>Kingston Roy</t>
  </si>
  <si>
    <t>Kingston Synchronised SC</t>
  </si>
  <si>
    <t>KLDS</t>
  </si>
  <si>
    <t>Kingston Syn</t>
  </si>
  <si>
    <t>Huyton SC</t>
  </si>
  <si>
    <t>HUYN</t>
  </si>
  <si>
    <t>Kingston Upon Hull SC</t>
  </si>
  <si>
    <t>KUHE</t>
  </si>
  <si>
    <t>KingstonHull</t>
  </si>
  <si>
    <t>Kinross Otters ASC</t>
  </si>
  <si>
    <t>MKOX</t>
  </si>
  <si>
    <t>Kinross</t>
  </si>
  <si>
    <t>Kintyre ASC</t>
  </si>
  <si>
    <t>WKEX</t>
  </si>
  <si>
    <t>Kintyre</t>
  </si>
  <si>
    <t>Iceni Water Polo Club</t>
  </si>
  <si>
    <t>ICWT</t>
  </si>
  <si>
    <t>Kippax SC</t>
  </si>
  <si>
    <t>KIPE</t>
  </si>
  <si>
    <t>Kippax</t>
  </si>
  <si>
    <t>Ilford Diving Club</t>
  </si>
  <si>
    <t>IDCL</t>
  </si>
  <si>
    <t>Kirkcaldy ASC</t>
  </si>
  <si>
    <t>EKYX</t>
  </si>
  <si>
    <t>Kirkcaldy</t>
  </si>
  <si>
    <t>Kirkcudbright SC</t>
  </si>
  <si>
    <t>WKTX</t>
  </si>
  <si>
    <t>Kirkcudbrigt</t>
  </si>
  <si>
    <t>Kirkham &amp; Wesham SC</t>
  </si>
  <si>
    <t>KIRN</t>
  </si>
  <si>
    <t>Kirkham Wesh</t>
  </si>
  <si>
    <t>Kirkintilloch &amp; Kilsyth ASC</t>
  </si>
  <si>
    <t>WKHX</t>
  </si>
  <si>
    <t>Kirkintilloc</t>
  </si>
  <si>
    <t>Knottingley ASC</t>
  </si>
  <si>
    <t>KNTE</t>
  </si>
  <si>
    <t>Knottingley</t>
  </si>
  <si>
    <t>Knutsford Amateur Swimming Club</t>
  </si>
  <si>
    <t>KNUN</t>
  </si>
  <si>
    <t>Knutsford</t>
  </si>
  <si>
    <t>Lanark</t>
  </si>
  <si>
    <t>WLKX</t>
  </si>
  <si>
    <t>Lancashire County WPSA</t>
  </si>
  <si>
    <t>Lancashire</t>
  </si>
  <si>
    <t>Lancashire Tridents (Blackburn)</t>
  </si>
  <si>
    <t>LTBN</t>
  </si>
  <si>
    <t>L'shire Trid</t>
  </si>
  <si>
    <t>Lancaster City SC</t>
  </si>
  <si>
    <t>LANN</t>
  </si>
  <si>
    <t>Lancaster</t>
  </si>
  <si>
    <t>Lancing College Swimming Club</t>
  </si>
  <si>
    <t>LCSS</t>
  </si>
  <si>
    <t>Lancing Col</t>
  </si>
  <si>
    <t>Larkfield SC</t>
  </si>
  <si>
    <t>LARS</t>
  </si>
  <si>
    <t>Larkfield</t>
  </si>
  <si>
    <t>Larkhall Avondale ASC</t>
  </si>
  <si>
    <t>WLAX</t>
  </si>
  <si>
    <t>Larkhall</t>
  </si>
  <si>
    <t>Larkhall Water Polo Club</t>
  </si>
  <si>
    <t>WLWX</t>
  </si>
  <si>
    <t>Larkhall WPC</t>
  </si>
  <si>
    <t>Launceston SC</t>
  </si>
  <si>
    <t>LSCW</t>
  </si>
  <si>
    <t>Launceston</t>
  </si>
  <si>
    <t>Leamington Spa SC</t>
  </si>
  <si>
    <t>SPAM</t>
  </si>
  <si>
    <t>Leamington</t>
  </si>
  <si>
    <t>Isle of Wight Swim Team</t>
  </si>
  <si>
    <t>IOWS</t>
  </si>
  <si>
    <t>Leander SC</t>
  </si>
  <si>
    <t>LEAL</t>
  </si>
  <si>
    <t>Leander</t>
  </si>
  <si>
    <t>Leatherhead SC</t>
  </si>
  <si>
    <t>LETS</t>
  </si>
  <si>
    <t>Leatherhead</t>
  </si>
  <si>
    <t>Ledbury &amp; Malvern SC</t>
  </si>
  <si>
    <t>LADM</t>
  </si>
  <si>
    <t>Ledbury</t>
  </si>
  <si>
    <t>Leeds University Aquatics SC</t>
  </si>
  <si>
    <t>LUAE</t>
  </si>
  <si>
    <t>Leeds Uni</t>
  </si>
  <si>
    <t>Leek ASC</t>
  </si>
  <si>
    <t>LEEM</t>
  </si>
  <si>
    <t>Leek</t>
  </si>
  <si>
    <t>Jersey Water Polo Association</t>
  </si>
  <si>
    <t>JWPS</t>
  </si>
  <si>
    <t>Leicester Masters</t>
  </si>
  <si>
    <t>LEMA</t>
  </si>
  <si>
    <t>Leicester Ma</t>
  </si>
  <si>
    <t>Kelsey Paddlers</t>
  </si>
  <si>
    <t>KPAE</t>
  </si>
  <si>
    <t>Leicester Penguins SC</t>
  </si>
  <si>
    <t>PENA</t>
  </si>
  <si>
    <t>Leic Peng</t>
  </si>
  <si>
    <t>Leicester Sharks Swimming Club</t>
  </si>
  <si>
    <t>LSHA</t>
  </si>
  <si>
    <t>Leic Sharks</t>
  </si>
  <si>
    <t>Leicestershire ASA</t>
  </si>
  <si>
    <t>Leics</t>
  </si>
  <si>
    <t>Leighton Buzzard Otters Swimming Club for the Disabled</t>
  </si>
  <si>
    <t>LBOT</t>
  </si>
  <si>
    <t>Leighton B O</t>
  </si>
  <si>
    <t>Kenilworth SC</t>
  </si>
  <si>
    <t>KENM</t>
  </si>
  <si>
    <t>Leighton Buzzard SC</t>
  </si>
  <si>
    <t>LBZT</t>
  </si>
  <si>
    <t>Leighton Buz</t>
  </si>
  <si>
    <t>Leiston &amp; District Swimming Club</t>
  </si>
  <si>
    <t>LDST</t>
  </si>
  <si>
    <t>Leiston</t>
  </si>
  <si>
    <t>Leith ASC</t>
  </si>
  <si>
    <t>ELHX</t>
  </si>
  <si>
    <t>Leith</t>
  </si>
  <si>
    <t>Lerwick ASC</t>
  </si>
  <si>
    <t>NLKX</t>
  </si>
  <si>
    <t>Lerwick</t>
  </si>
  <si>
    <t>Letchworth ASC</t>
  </si>
  <si>
    <t>LCHT</t>
  </si>
  <si>
    <t>Letchworth</t>
  </si>
  <si>
    <t>Lewes SC</t>
  </si>
  <si>
    <t>LEWS</t>
  </si>
  <si>
    <t>Lewes</t>
  </si>
  <si>
    <t>Lewisham Water Polo Club</t>
  </si>
  <si>
    <t>LWPL</t>
  </si>
  <si>
    <t>Lewisham WPC</t>
  </si>
  <si>
    <t>Leyland Barracudas Swimming Club</t>
  </si>
  <si>
    <t>LEYN</t>
  </si>
  <si>
    <t>Leyland Barr</t>
  </si>
  <si>
    <t>Leyton SC</t>
  </si>
  <si>
    <t>KEYL</t>
  </si>
  <si>
    <t>Leyton</t>
  </si>
  <si>
    <t>Kingfisher Scarborough SC</t>
  </si>
  <si>
    <t>Lichfield SC</t>
  </si>
  <si>
    <t>LICM</t>
  </si>
  <si>
    <t>Lichfield</t>
  </si>
  <si>
    <t>Kingfishers Norwich</t>
  </si>
  <si>
    <t>KFNT</t>
  </si>
  <si>
    <t>Lincoln Trident Swimming Academy</t>
  </si>
  <si>
    <t>LTSA</t>
  </si>
  <si>
    <t>Lincoln TSA</t>
  </si>
  <si>
    <t>Kings Centre Adult SC (E.Grinstead)</t>
  </si>
  <si>
    <t>KCAS</t>
  </si>
  <si>
    <t>Lincoln Vulcans SC</t>
  </si>
  <si>
    <t>VULA</t>
  </si>
  <si>
    <t>Lincoln Vulc</t>
  </si>
  <si>
    <t>Lincolnshire ASA</t>
  </si>
  <si>
    <t>Lincolnshire</t>
  </si>
  <si>
    <t>Linslade Crusaders Swimming Club</t>
  </si>
  <si>
    <t>LCRT</t>
  </si>
  <si>
    <t>Linslade</t>
  </si>
  <si>
    <t>Kings School Canterbury</t>
  </si>
  <si>
    <t>KSCS</t>
  </si>
  <si>
    <t>Liverpool Penguins SC</t>
  </si>
  <si>
    <t>LIVN</t>
  </si>
  <si>
    <t>LiverpoolPen</t>
  </si>
  <si>
    <t>Livingston &amp; District Dolphins</t>
  </si>
  <si>
    <t>ELDX</t>
  </si>
  <si>
    <t>Livingston</t>
  </si>
  <si>
    <t>Llandudno</t>
  </si>
  <si>
    <t>LNDY</t>
  </si>
  <si>
    <t>Kingsteignton SC</t>
  </si>
  <si>
    <t>KTNW</t>
  </si>
  <si>
    <t>Llanelli</t>
  </si>
  <si>
    <t>LLLY</t>
  </si>
  <si>
    <t>Lochaber Leisure Centre Swim Team</t>
  </si>
  <si>
    <t>NLRX</t>
  </si>
  <si>
    <t>Lochaber Lei</t>
  </si>
  <si>
    <t>Locks Heath Swim Squad</t>
  </si>
  <si>
    <t>LSSS</t>
  </si>
  <si>
    <t>Locks Heath</t>
  </si>
  <si>
    <t>Loddon White Dolphin SC</t>
  </si>
  <si>
    <t>LWDT</t>
  </si>
  <si>
    <t>Loddon White</t>
  </si>
  <si>
    <t>Loftus Dolphins SC</t>
  </si>
  <si>
    <t>LOFE</t>
  </si>
  <si>
    <t>Loftus Dol</t>
  </si>
  <si>
    <t>Lomond SC</t>
  </si>
  <si>
    <t>WLDX</t>
  </si>
  <si>
    <t>London Bor of Enfield WPC</t>
  </si>
  <si>
    <t>EWPL</t>
  </si>
  <si>
    <t>Enfield WP</t>
  </si>
  <si>
    <t>London Borough of Hounslow</t>
  </si>
  <si>
    <t>LHOL</t>
  </si>
  <si>
    <t>L B Hounslow</t>
  </si>
  <si>
    <t>London Borough of Redbridge SC</t>
  </si>
  <si>
    <t>LBRL</t>
  </si>
  <si>
    <t>BorRedbridge</t>
  </si>
  <si>
    <t>London Disability SC</t>
  </si>
  <si>
    <t>LODL</t>
  </si>
  <si>
    <t>London Dis</t>
  </si>
  <si>
    <t>London Region</t>
  </si>
  <si>
    <t>LONL</t>
  </si>
  <si>
    <t>L Region</t>
  </si>
  <si>
    <t>Knighton Fields SC</t>
  </si>
  <si>
    <t>KNFA</t>
  </si>
  <si>
    <t>London Regional Synchronised SC</t>
  </si>
  <si>
    <t>LRSL</t>
  </si>
  <si>
    <t>Ldon Synchro</t>
  </si>
  <si>
    <t>Long Eaton SC</t>
  </si>
  <si>
    <t>LEDA</t>
  </si>
  <si>
    <t>Long Eaton</t>
  </si>
  <si>
    <t>Loughborough Perforamance Centre</t>
  </si>
  <si>
    <t>LOGI</t>
  </si>
  <si>
    <t>L'borogh PC</t>
  </si>
  <si>
    <t>Loughborough Town SC</t>
  </si>
  <si>
    <t>LOUA</t>
  </si>
  <si>
    <t>Loughborough</t>
  </si>
  <si>
    <t>Loughborough University Swimming</t>
  </si>
  <si>
    <t>LCLA</t>
  </si>
  <si>
    <t>Lboro Uni</t>
  </si>
  <si>
    <t>Loughton Masters Swimming Club</t>
  </si>
  <si>
    <t>LOMT</t>
  </si>
  <si>
    <t>Loughton Mas</t>
  </si>
  <si>
    <t>Louth Dolphins SC</t>
  </si>
  <si>
    <t>LODA</t>
  </si>
  <si>
    <t>Louth</t>
  </si>
  <si>
    <t>Lucton Typhoon SC</t>
  </si>
  <si>
    <t>LCMM</t>
  </si>
  <si>
    <t>L Typhoon</t>
  </si>
  <si>
    <t>Ludlow Swimming Club</t>
  </si>
  <si>
    <t>LUDM</t>
  </si>
  <si>
    <t>Ludlow</t>
  </si>
  <si>
    <t>Luton Diving Club</t>
  </si>
  <si>
    <t>LKDT</t>
  </si>
  <si>
    <t>Luton Diving</t>
  </si>
  <si>
    <t>Lydney SC</t>
  </si>
  <si>
    <t>LYDW</t>
  </si>
  <si>
    <t>Lydney</t>
  </si>
  <si>
    <t>Lymington SC</t>
  </si>
  <si>
    <t>LYMS</t>
  </si>
  <si>
    <t>Lymington</t>
  </si>
  <si>
    <t>Lytham St Annes SC</t>
  </si>
  <si>
    <t>YLSN</t>
  </si>
  <si>
    <t>Lytham St A</t>
  </si>
  <si>
    <t>Maidenhead ASC</t>
  </si>
  <si>
    <t>MADS</t>
  </si>
  <si>
    <t>Maidenhead</t>
  </si>
  <si>
    <t>Ledbury &amp; District SC</t>
  </si>
  <si>
    <t>Maidstone SC</t>
  </si>
  <si>
    <t>MAIS</t>
  </si>
  <si>
    <t>Making Waves ASC</t>
  </si>
  <si>
    <t>WMSX</t>
  </si>
  <si>
    <t>Making Waves</t>
  </si>
  <si>
    <t>Maldon Sharks Swimming Club</t>
  </si>
  <si>
    <t>WENT</t>
  </si>
  <si>
    <t>Maldon Shark</t>
  </si>
  <si>
    <t>Malmesbury Marlins ASC</t>
  </si>
  <si>
    <t>MALW</t>
  </si>
  <si>
    <t>Malmesbury</t>
  </si>
  <si>
    <t>Maltby Diving Club</t>
  </si>
  <si>
    <t>MDCE</t>
  </si>
  <si>
    <t>Maltby Div</t>
  </si>
  <si>
    <t>Leicester Synchro Club</t>
  </si>
  <si>
    <t>LESA</t>
  </si>
  <si>
    <t>Manchester &amp; North West Disability SC</t>
  </si>
  <si>
    <t>MNWN</t>
  </si>
  <si>
    <t>Man &amp; NW Dis</t>
  </si>
  <si>
    <t>Manchester Aquatics Centre DC</t>
  </si>
  <si>
    <t>MADN</t>
  </si>
  <si>
    <t>Mchester Div</t>
  </si>
  <si>
    <t>Leighton Buzzard Otters</t>
  </si>
  <si>
    <t>Manchester Sharks WPC</t>
  </si>
  <si>
    <t>MSWN</t>
  </si>
  <si>
    <t>Man Shark WP</t>
  </si>
  <si>
    <t>Manchester TC Swimming Club</t>
  </si>
  <si>
    <t>MTCN</t>
  </si>
  <si>
    <t>Manch Tri</t>
  </si>
  <si>
    <t>Mansfield SC</t>
  </si>
  <si>
    <t>MANA</t>
  </si>
  <si>
    <t>Mansfield</t>
  </si>
  <si>
    <t>Manx Masters</t>
  </si>
  <si>
    <t>MNXN</t>
  </si>
  <si>
    <t>March Marlins SC</t>
  </si>
  <si>
    <t>MART</t>
  </si>
  <si>
    <t>March</t>
  </si>
  <si>
    <t>Market Drayton SC</t>
  </si>
  <si>
    <t>NSHM</t>
  </si>
  <si>
    <t>Market Dray</t>
  </si>
  <si>
    <t>Market Harborough SC</t>
  </si>
  <si>
    <t>MKHA</t>
  </si>
  <si>
    <t>Market Har</t>
  </si>
  <si>
    <t>Marlborough College</t>
  </si>
  <si>
    <t>MBCW</t>
  </si>
  <si>
    <t>Marlboro Col</t>
  </si>
  <si>
    <t>Marlborough Penguins ASC</t>
  </si>
  <si>
    <t>MARW</t>
  </si>
  <si>
    <t>Marlborough</t>
  </si>
  <si>
    <t>Marple SC</t>
  </si>
  <si>
    <t>MPLN</t>
  </si>
  <si>
    <t>Marple</t>
  </si>
  <si>
    <t>Lincoln SC</t>
  </si>
  <si>
    <t>LINA</t>
  </si>
  <si>
    <t>Matlock &amp; District SC</t>
  </si>
  <si>
    <t>MATA</t>
  </si>
  <si>
    <t>Matlock</t>
  </si>
  <si>
    <t>Matlock Water Polo Club</t>
  </si>
  <si>
    <t>MWPA</t>
  </si>
  <si>
    <t>Matlock WP</t>
  </si>
  <si>
    <t>Maxwell SC</t>
  </si>
  <si>
    <t>MAXS</t>
  </si>
  <si>
    <t>Maxwell</t>
  </si>
  <si>
    <t>Medway Artistic Swimming Club</t>
  </si>
  <si>
    <t>MMSS</t>
  </si>
  <si>
    <t>Medway Art</t>
  </si>
  <si>
    <t>Lindum Mink SC</t>
  </si>
  <si>
    <t>LDMA</t>
  </si>
  <si>
    <t>Medway Maritime Swimming Club</t>
  </si>
  <si>
    <t>MEMS</t>
  </si>
  <si>
    <t>MwayMaritime</t>
  </si>
  <si>
    <t>Melksham ASC</t>
  </si>
  <si>
    <t>MELW</t>
  </si>
  <si>
    <t>Melksham</t>
  </si>
  <si>
    <t>Littledown Masters</t>
  </si>
  <si>
    <t>LDMW</t>
  </si>
  <si>
    <t>Melton Mowbray SC</t>
  </si>
  <si>
    <t>MEMA</t>
  </si>
  <si>
    <t>Melton M'bry</t>
  </si>
  <si>
    <t>Littlehampton SC</t>
  </si>
  <si>
    <t>LITS</t>
  </si>
  <si>
    <t>Menzieshill &amp; Whitehall Swimming &amp; WPC</t>
  </si>
  <si>
    <t>MMLX</t>
  </si>
  <si>
    <t>Menzieshill</t>
  </si>
  <si>
    <t>Liverpool Diving Club</t>
  </si>
  <si>
    <t>LDCN</t>
  </si>
  <si>
    <t>Merrick Mavericks SC</t>
  </si>
  <si>
    <t>WMMX</t>
  </si>
  <si>
    <t>Merrick Mav</t>
  </si>
  <si>
    <t>Merthyr Tydfil</t>
  </si>
  <si>
    <t>MERY</t>
  </si>
  <si>
    <t>Merthyr Tydf</t>
  </si>
  <si>
    <t>Liverpool WPC</t>
  </si>
  <si>
    <t>LWPN</t>
  </si>
  <si>
    <t>Merton Pisces</t>
  </si>
  <si>
    <t>MPIL</t>
  </si>
  <si>
    <t>Merton Pisce</t>
  </si>
  <si>
    <t>Merton Sch of Diving &amp; T</t>
  </si>
  <si>
    <t>MSDL</t>
  </si>
  <si>
    <t>Merton Div</t>
  </si>
  <si>
    <t>Merton Swordfish SC</t>
  </si>
  <si>
    <t>MERL</t>
  </si>
  <si>
    <t>Merton Sword</t>
  </si>
  <si>
    <t>Metropolitan Police SC</t>
  </si>
  <si>
    <t>MTPL</t>
  </si>
  <si>
    <t>Metro Pol</t>
  </si>
  <si>
    <t>NLAX</t>
  </si>
  <si>
    <t>Mid Sussex Marlins</t>
  </si>
  <si>
    <t>MSMS</t>
  </si>
  <si>
    <t>Mid Sussex</t>
  </si>
  <si>
    <t>Middlesbrough SC</t>
  </si>
  <si>
    <t>MIDE</t>
  </si>
  <si>
    <t>Middlesboro</t>
  </si>
  <si>
    <t>Middlesex County ASA</t>
  </si>
  <si>
    <t>Middlesex</t>
  </si>
  <si>
    <t>Midlothian SC</t>
  </si>
  <si>
    <t>EMNX</t>
  </si>
  <si>
    <t>Midlothian</t>
  </si>
  <si>
    <t>London Aquatics Centre Performance SC</t>
  </si>
  <si>
    <t>LACL</t>
  </si>
  <si>
    <t>Mildenhall &amp; District SC</t>
  </si>
  <si>
    <t>MADT</t>
  </si>
  <si>
    <t>Mildenhall</t>
  </si>
  <si>
    <t>Milford Haven</t>
  </si>
  <si>
    <t>MILY</t>
  </si>
  <si>
    <t>Milford Havn</t>
  </si>
  <si>
    <t>Millfield School</t>
  </si>
  <si>
    <t>MILW</t>
  </si>
  <si>
    <t>Millfield</t>
  </si>
  <si>
    <t>Milngavie &amp; Bearsden</t>
  </si>
  <si>
    <t>WMBX</t>
  </si>
  <si>
    <t>Milngavie &amp;B</t>
  </si>
  <si>
    <t>Minehead &amp; West Somerset SC</t>
  </si>
  <si>
    <t>MINW</t>
  </si>
  <si>
    <t>Minehead</t>
  </si>
  <si>
    <t>Mitcham Marlins Swimming Club</t>
  </si>
  <si>
    <t>MMSL</t>
  </si>
  <si>
    <t>Mitcham M</t>
  </si>
  <si>
    <t>Modernian SC</t>
  </si>
  <si>
    <t>MODT</t>
  </si>
  <si>
    <t>Modernian</t>
  </si>
  <si>
    <t>Mold</t>
  </si>
  <si>
    <t>MOLY</t>
  </si>
  <si>
    <t>Monifieth ASC</t>
  </si>
  <si>
    <t>MMHX</t>
  </si>
  <si>
    <t>Monifieth</t>
  </si>
  <si>
    <t>Loughborough University S &amp; WPC</t>
  </si>
  <si>
    <t>Monnow</t>
  </si>
  <si>
    <t>MONY</t>
  </si>
  <si>
    <t>Montrose &amp; District Seals ASC</t>
  </si>
  <si>
    <t>MMSX</t>
  </si>
  <si>
    <t>Montrose</t>
  </si>
  <si>
    <t>Lowestoft &amp; Oulton Broad SC</t>
  </si>
  <si>
    <t>LOBT</t>
  </si>
  <si>
    <t>Moors Swim Squad</t>
  </si>
  <si>
    <t>MOOE</t>
  </si>
  <si>
    <t>Moors</t>
  </si>
  <si>
    <t>Morden Park DC</t>
  </si>
  <si>
    <t>MPDL</t>
  </si>
  <si>
    <t>Morden Park</t>
  </si>
  <si>
    <t>Morley Swimming &amp; WP Club</t>
  </si>
  <si>
    <t>MORE</t>
  </si>
  <si>
    <t>Morley</t>
  </si>
  <si>
    <t>Morpeth SC</t>
  </si>
  <si>
    <t>MOPE</t>
  </si>
  <si>
    <t>Morpeth</t>
  </si>
  <si>
    <t>Motherwell &amp; Wishaw ASC</t>
  </si>
  <si>
    <t>WMWX</t>
  </si>
  <si>
    <t>Motherwell W</t>
  </si>
  <si>
    <t>Macclesfield Masters SC</t>
  </si>
  <si>
    <t>MAMN</t>
  </si>
  <si>
    <t>Mount Kelly Swimming</t>
  </si>
  <si>
    <t>KELW</t>
  </si>
  <si>
    <t>Mt Kelly</t>
  </si>
  <si>
    <t>Musselburgh ASC</t>
  </si>
  <si>
    <t>EMHX</t>
  </si>
  <si>
    <t>Musselburgh</t>
  </si>
  <si>
    <t>Nairn ASC</t>
  </si>
  <si>
    <t>NNNX</t>
  </si>
  <si>
    <t>Nairn</t>
  </si>
  <si>
    <t>WWWX</t>
  </si>
  <si>
    <t>Nairn Synchro SC</t>
  </si>
  <si>
    <t>NNSX</t>
  </si>
  <si>
    <t>Nairn Synchr</t>
  </si>
  <si>
    <t>Nantwich Seals Swimming Club</t>
  </si>
  <si>
    <t>NANN</t>
  </si>
  <si>
    <t>N'wich Seals</t>
  </si>
  <si>
    <t>Neath SC</t>
  </si>
  <si>
    <t>NEAY</t>
  </si>
  <si>
    <t>Neath</t>
  </si>
  <si>
    <t>Nene Valley SC</t>
  </si>
  <si>
    <t>NEVA</t>
  </si>
  <si>
    <t>Nene Valley</t>
  </si>
  <si>
    <t>Neptune (Leicester) SC</t>
  </si>
  <si>
    <t>NEPA</t>
  </si>
  <si>
    <t>Leicester Ne</t>
  </si>
  <si>
    <t>Neston SC</t>
  </si>
  <si>
    <t>NESN</t>
  </si>
  <si>
    <t>Neston</t>
  </si>
  <si>
    <t>New Earswick SC</t>
  </si>
  <si>
    <t>NEAE</t>
  </si>
  <si>
    <t>New Earswick</t>
  </si>
  <si>
    <t>Manchester Triathlon Club</t>
  </si>
  <si>
    <t>New Hall School Swim Academy</t>
  </si>
  <si>
    <t>NHST</t>
  </si>
  <si>
    <t>New Hall</t>
  </si>
  <si>
    <t>Newark SC</t>
  </si>
  <si>
    <t>NEWA</t>
  </si>
  <si>
    <t>Newark</t>
  </si>
  <si>
    <t>Newbury Swimming Club</t>
  </si>
  <si>
    <t>NEWS</t>
  </si>
  <si>
    <t>Newbury</t>
  </si>
  <si>
    <t>Newcastle (Staffs) ASC</t>
  </si>
  <si>
    <t>NEWM</t>
  </si>
  <si>
    <t>Newcastle St</t>
  </si>
  <si>
    <t>Newcastle SwimTeam</t>
  </si>
  <si>
    <t>NEWE</t>
  </si>
  <si>
    <t>Newcastle</t>
  </si>
  <si>
    <t>Newham &amp; University of East London (UEL) Swimming Club</t>
  </si>
  <si>
    <t>NUEL</t>
  </si>
  <si>
    <t>Bo Newham</t>
  </si>
  <si>
    <t>Market Harborough SC for the Disabled</t>
  </si>
  <si>
    <t>MHSA</t>
  </si>
  <si>
    <t>Newmarket &amp; Dist SC</t>
  </si>
  <si>
    <t>NWMT</t>
  </si>
  <si>
    <t>Newmarket</t>
  </si>
  <si>
    <t>Newport &amp; District SC</t>
  </si>
  <si>
    <t>NADM</t>
  </si>
  <si>
    <t>Newport</t>
  </si>
  <si>
    <t>Newport Pagnell SC</t>
  </si>
  <si>
    <t>NPGS</t>
  </si>
  <si>
    <t>Newport Pag</t>
  </si>
  <si>
    <t>Newquay Cormorants SC</t>
  </si>
  <si>
    <t>NEQW</t>
  </si>
  <si>
    <t>Newquay</t>
  </si>
  <si>
    <t>Maryport</t>
  </si>
  <si>
    <t>MRYN</t>
  </si>
  <si>
    <t>Newquay Water Polo Club</t>
  </si>
  <si>
    <t>NQWW</t>
  </si>
  <si>
    <t>Newquay WPC</t>
  </si>
  <si>
    <t>Newton Abbot Swimming and Water Polo Club</t>
  </si>
  <si>
    <t>NEWW</t>
  </si>
  <si>
    <t>Newton Abbot</t>
  </si>
  <si>
    <t>Newton Le Willows SC</t>
  </si>
  <si>
    <t>NLWN</t>
  </si>
  <si>
    <t>NewtonWillow</t>
  </si>
  <si>
    <t>Newtown SC</t>
  </si>
  <si>
    <t>NWTY</t>
  </si>
  <si>
    <t>Newtown</t>
  </si>
  <si>
    <t>Medway Mermaids Synchro Club</t>
  </si>
  <si>
    <t>Nexus Valleys Swimming Club</t>
  </si>
  <si>
    <t>NTVY</t>
  </si>
  <si>
    <t>NexusValleys</t>
  </si>
  <si>
    <t>Nofio Clwyd</t>
  </si>
  <si>
    <t>NCPY</t>
  </si>
  <si>
    <t>Nofio Sir Gar</t>
  </si>
  <si>
    <t>SCCY</t>
  </si>
  <si>
    <t>Nofio S Gar</t>
  </si>
  <si>
    <t>MMWX</t>
  </si>
  <si>
    <t>Norfolk County ASA</t>
  </si>
  <si>
    <t>Norfolk</t>
  </si>
  <si>
    <t>North Ayrshire ASC</t>
  </si>
  <si>
    <t>WNAX</t>
  </si>
  <si>
    <t>N Ayrshire</t>
  </si>
  <si>
    <t>North Berwick SC</t>
  </si>
  <si>
    <t>ENBX</t>
  </si>
  <si>
    <t>N Berwick SC</t>
  </si>
  <si>
    <t>North Birmingham Swim and Lifesaving Club</t>
  </si>
  <si>
    <t>NBMM</t>
  </si>
  <si>
    <t>N Birmingham</t>
  </si>
  <si>
    <t>North Cornwall Dragons SC</t>
  </si>
  <si>
    <t>NCDW</t>
  </si>
  <si>
    <t>N Cornwall</t>
  </si>
  <si>
    <t>North Dorset Turbos SC</t>
  </si>
  <si>
    <t>NDTW</t>
  </si>
  <si>
    <t>N Dorset SC</t>
  </si>
  <si>
    <t>North East Disability Swim Club</t>
  </si>
  <si>
    <t>NEDE</t>
  </si>
  <si>
    <t>NE Dis SC</t>
  </si>
  <si>
    <t>North Lanarkshire Swim Team</t>
  </si>
  <si>
    <t>UNLX</t>
  </si>
  <si>
    <t>North Lan ST</t>
  </si>
  <si>
    <t>North London Water Polo</t>
  </si>
  <si>
    <t>NLWL</t>
  </si>
  <si>
    <t>N London WP</t>
  </si>
  <si>
    <t>North Norfolk Vikings SC</t>
  </si>
  <si>
    <t>NNVT</t>
  </si>
  <si>
    <t>Norfolk Vikg</t>
  </si>
  <si>
    <t>Midhurst &amp; District SC</t>
  </si>
  <si>
    <t>MDDS</t>
  </si>
  <si>
    <t>North Tyneside SC</t>
  </si>
  <si>
    <t>NTYE</t>
  </si>
  <si>
    <t>North Tyne</t>
  </si>
  <si>
    <t>North Wales Region</t>
  </si>
  <si>
    <t>North Wales</t>
  </si>
  <si>
    <t>North West Region</t>
  </si>
  <si>
    <t>NTHN</t>
  </si>
  <si>
    <t>N W Region</t>
  </si>
  <si>
    <t>Northallerton SC</t>
  </si>
  <si>
    <t>NORE</t>
  </si>
  <si>
    <t>Northall'ton</t>
  </si>
  <si>
    <t>Northampton Swimming Club</t>
  </si>
  <si>
    <t>NHNA</t>
  </si>
  <si>
    <t>Northampton</t>
  </si>
  <si>
    <t>Northampton Water Polo Club</t>
  </si>
  <si>
    <t>NWPA</t>
  </si>
  <si>
    <t>N'hampton WP</t>
  </si>
  <si>
    <t>Northamptonshire ASA</t>
  </si>
  <si>
    <t>Northants</t>
  </si>
  <si>
    <t>Minsthorpe Marlins SC</t>
  </si>
  <si>
    <t>MINE</t>
  </si>
  <si>
    <t>Northern Celts</t>
  </si>
  <si>
    <t>NCEY</t>
  </si>
  <si>
    <t>N'thernCelts</t>
  </si>
  <si>
    <t>Northern Wave (Manchester) SC</t>
  </si>
  <si>
    <t>NWMN</t>
  </si>
  <si>
    <t>NorthernWave</t>
  </si>
  <si>
    <t>Northgate Bridgnorth SC</t>
  </si>
  <si>
    <t>NRHM</t>
  </si>
  <si>
    <t>Northgate</t>
  </si>
  <si>
    <t>Northumberland &amp; Durham Performance Programme SC</t>
  </si>
  <si>
    <t>NDPE</t>
  </si>
  <si>
    <t>N &amp; D PP SC</t>
  </si>
  <si>
    <t>Northumberland and Durham</t>
  </si>
  <si>
    <t>N &amp; Durham</t>
  </si>
  <si>
    <t>Northwich Centurions SC</t>
  </si>
  <si>
    <t>NTWN</t>
  </si>
  <si>
    <t>Northwich</t>
  </si>
  <si>
    <t>Norton-Radstock SC</t>
  </si>
  <si>
    <t>NORW</t>
  </si>
  <si>
    <t>Norton Rads</t>
  </si>
  <si>
    <t>Norwich Swan SC</t>
  </si>
  <si>
    <t>NOST</t>
  </si>
  <si>
    <t>Norwich Swan</t>
  </si>
  <si>
    <t>Norwich Synchro Club</t>
  </si>
  <si>
    <t>NSST</t>
  </si>
  <si>
    <t>Norwich Syn</t>
  </si>
  <si>
    <t>Norwich WPC</t>
  </si>
  <si>
    <t>BRKT</t>
  </si>
  <si>
    <t>Norwich WP</t>
  </si>
  <si>
    <t>Nottingham Leander SC</t>
  </si>
  <si>
    <t>LEAA</t>
  </si>
  <si>
    <t>NottmLeander</t>
  </si>
  <si>
    <t>Nottingham Northern SC</t>
  </si>
  <si>
    <t>NORA</t>
  </si>
  <si>
    <t>NottNorthern</t>
  </si>
  <si>
    <t>Nottingham Portland SC</t>
  </si>
  <si>
    <t>NPOA</t>
  </si>
  <si>
    <t>Nottportland</t>
  </si>
  <si>
    <t>Nottinghamshire ASA</t>
  </si>
  <si>
    <t>Notts</t>
  </si>
  <si>
    <t>Nova Centurion SC</t>
  </si>
  <si>
    <t>NOVA</t>
  </si>
  <si>
    <t>Nova Cent'n</t>
  </si>
  <si>
    <t>Nuneaton &amp; Bedworth SC</t>
  </si>
  <si>
    <t>NUNM</t>
  </si>
  <si>
    <t>Nuneaton</t>
  </si>
  <si>
    <t>Natare West London Swimming Club</t>
  </si>
  <si>
    <t>NWLL</t>
  </si>
  <si>
    <t>Oadby &amp; Wigston SC</t>
  </si>
  <si>
    <t>OAWA</t>
  </si>
  <si>
    <t>OadbyWigston</t>
  </si>
  <si>
    <t>Oban Otters SC</t>
  </si>
  <si>
    <t>WOOX</t>
  </si>
  <si>
    <t>Oban</t>
  </si>
  <si>
    <t>Okehampton Otters SC</t>
  </si>
  <si>
    <t>OKEW</t>
  </si>
  <si>
    <t>Okehampton</t>
  </si>
  <si>
    <t>Old Whitgiftians SC</t>
  </si>
  <si>
    <t>OWTL</t>
  </si>
  <si>
    <t>Old Whitgift</t>
  </si>
  <si>
    <t>Oldham Aquatics SC</t>
  </si>
  <si>
    <t>OLMN</t>
  </si>
  <si>
    <t>Oldham Aqua</t>
  </si>
  <si>
    <t>Oldham SC</t>
  </si>
  <si>
    <t>OLDN</t>
  </si>
  <si>
    <t>Oldham</t>
  </si>
  <si>
    <t>New Hemsted Benenden SC</t>
  </si>
  <si>
    <t>NHBS</t>
  </si>
  <si>
    <t>Onward Dolphin SC</t>
  </si>
  <si>
    <t>ONWN</t>
  </si>
  <si>
    <t>Onward</t>
  </si>
  <si>
    <t>ORCA (Royton)</t>
  </si>
  <si>
    <t>ORCN</t>
  </si>
  <si>
    <t>ORCA SWPC</t>
  </si>
  <si>
    <t>Orion SC</t>
  </si>
  <si>
    <t>ORIM</t>
  </si>
  <si>
    <t>Orion</t>
  </si>
  <si>
    <t>Orkney ASC</t>
  </si>
  <si>
    <t>NOYX</t>
  </si>
  <si>
    <t>Orkney</t>
  </si>
  <si>
    <t>Ormskirk &amp; District SC</t>
  </si>
  <si>
    <t>ORMN</t>
  </si>
  <si>
    <t>Ormskirk</t>
  </si>
  <si>
    <t>Orpington Ojays</t>
  </si>
  <si>
    <t>OOJL</t>
  </si>
  <si>
    <t>Orpington OJ</t>
  </si>
  <si>
    <t>Newham Young Britons ASC</t>
  </si>
  <si>
    <t>NYBL</t>
  </si>
  <si>
    <t>Oswestry Otters SC</t>
  </si>
  <si>
    <t>OSWM</t>
  </si>
  <si>
    <t>Oswestry Ott</t>
  </si>
  <si>
    <t>Otter SC</t>
  </si>
  <si>
    <t>OTTL</t>
  </si>
  <si>
    <t>Otter</t>
  </si>
  <si>
    <t>Out To Swim</t>
  </si>
  <si>
    <t>OUTL</t>
  </si>
  <si>
    <t>Oxford and Witney Artistic Swimming Club</t>
  </si>
  <si>
    <t>WDSS</t>
  </si>
  <si>
    <t>Ox &amp; Wit ASC</t>
  </si>
  <si>
    <t>Oxford Brookes University Swimming Club</t>
  </si>
  <si>
    <t>OBSS</t>
  </si>
  <si>
    <t>Brookes Uni</t>
  </si>
  <si>
    <t>Oxford University SC</t>
  </si>
  <si>
    <t>OUSS</t>
  </si>
  <si>
    <t>Oxford Uni</t>
  </si>
  <si>
    <t>Newton Abbot SC</t>
  </si>
  <si>
    <t>Oxford University WPC</t>
  </si>
  <si>
    <t>OXUS</t>
  </si>
  <si>
    <t>Oxford UniWP</t>
  </si>
  <si>
    <t>Oxfordshire &amp; North Bucks ASA</t>
  </si>
  <si>
    <t>Ox &amp; N Bucks</t>
  </si>
  <si>
    <t>Paignton SC</t>
  </si>
  <si>
    <t>PAIW</t>
  </si>
  <si>
    <t>Paignton</t>
  </si>
  <si>
    <t>Panama SC of Whitley Bay</t>
  </si>
  <si>
    <t>PWBE</t>
  </si>
  <si>
    <t>Panama</t>
  </si>
  <si>
    <t>Peebles ASC</t>
  </si>
  <si>
    <t>EPSX</t>
  </si>
  <si>
    <t>Peebles</t>
  </si>
  <si>
    <t>Nofio Cymru</t>
  </si>
  <si>
    <t>NCYY</t>
  </si>
  <si>
    <t>WASA</t>
  </si>
  <si>
    <t>Peel Swimming Club (IOM)</t>
  </si>
  <si>
    <t>PEEN</t>
  </si>
  <si>
    <t>Peel SC IOM</t>
  </si>
  <si>
    <t>Pembroke &amp; District ASC</t>
  </si>
  <si>
    <t>PEMY</t>
  </si>
  <si>
    <t>PembrokeDist</t>
  </si>
  <si>
    <t>Pembrokeshire County Swimming</t>
  </si>
  <si>
    <t>PCPY</t>
  </si>
  <si>
    <t>Pembs Cty</t>
  </si>
  <si>
    <t>Pembrokeshire Puffins Disability SC</t>
  </si>
  <si>
    <t>PUFY</t>
  </si>
  <si>
    <t>PembrokePuff</t>
  </si>
  <si>
    <t>North Bedford Diving Club</t>
  </si>
  <si>
    <t>NBDT</t>
  </si>
  <si>
    <t>Penarth</t>
  </si>
  <si>
    <t>PENY</t>
  </si>
  <si>
    <t>Penrith SC</t>
  </si>
  <si>
    <t>PTHN</t>
  </si>
  <si>
    <t>Penrith</t>
  </si>
  <si>
    <t>Penyrheol</t>
  </si>
  <si>
    <t>PEHY</t>
  </si>
  <si>
    <t>North Devon Marlins Swim Academy</t>
  </si>
  <si>
    <t>NDMW</t>
  </si>
  <si>
    <t>Penzance SA and WPC</t>
  </si>
  <si>
    <t>PENW</t>
  </si>
  <si>
    <t>Penzance</t>
  </si>
  <si>
    <t>Perry Beeches Triple SSC</t>
  </si>
  <si>
    <t>PBEM</t>
  </si>
  <si>
    <t>Perry B &amp; TS</t>
  </si>
  <si>
    <t>Pershore SC</t>
  </si>
  <si>
    <t>PESM</t>
  </si>
  <si>
    <t>Pershore</t>
  </si>
  <si>
    <t>North East Region</t>
  </si>
  <si>
    <t>NECE</t>
  </si>
  <si>
    <t>Perth City Swim Club</t>
  </si>
  <si>
    <t>MPCX</t>
  </si>
  <si>
    <t>Perth City</t>
  </si>
  <si>
    <t>Perth Masters</t>
  </si>
  <si>
    <t>MPMX</t>
  </si>
  <si>
    <t>Perth Mas</t>
  </si>
  <si>
    <t>Peterborough Special Olympic Swimming Group</t>
  </si>
  <si>
    <t>PSOT</t>
  </si>
  <si>
    <t>Peterbo SPG</t>
  </si>
  <si>
    <t>Peterhead ASC</t>
  </si>
  <si>
    <t>NPDX</t>
  </si>
  <si>
    <t>Peterhead</t>
  </si>
  <si>
    <t>Peterlee ASC</t>
  </si>
  <si>
    <t>PLCE</t>
  </si>
  <si>
    <t>Peterlee</t>
  </si>
  <si>
    <t>Petworth SC</t>
  </si>
  <si>
    <t>PWTS</t>
  </si>
  <si>
    <t>Petworth</t>
  </si>
  <si>
    <t>Phoenix Aquatics Club</t>
  </si>
  <si>
    <t>WPXX</t>
  </si>
  <si>
    <t>Phoenix Aqua</t>
  </si>
  <si>
    <t>Pioneer 79 Swimming Club</t>
  </si>
  <si>
    <t>PION</t>
  </si>
  <si>
    <t>Pioneer 79</t>
  </si>
  <si>
    <t>Plymouth Diving Club</t>
  </si>
  <si>
    <t>PCDW</t>
  </si>
  <si>
    <t>Plymouth DC</t>
  </si>
  <si>
    <t>Plymouth Leander SC</t>
  </si>
  <si>
    <t>PLYW</t>
  </si>
  <si>
    <t>Plymouth Lea</t>
  </si>
  <si>
    <t>Plymouth Rn/Rm</t>
  </si>
  <si>
    <t>PRNW</t>
  </si>
  <si>
    <t>Plymouth Rn</t>
  </si>
  <si>
    <t>Pocklington Dolphin SC</t>
  </si>
  <si>
    <t>PODE</t>
  </si>
  <si>
    <t>Pocklington</t>
  </si>
  <si>
    <t>Northumberland &amp; Durham ASA</t>
  </si>
  <si>
    <t>Polytechnic S&amp;WP Club</t>
  </si>
  <si>
    <t>POLL</t>
  </si>
  <si>
    <t>Polytechnic</t>
  </si>
  <si>
    <t>Pontefract Marlins SC</t>
  </si>
  <si>
    <t>PONE</t>
  </si>
  <si>
    <t>Pontefract</t>
  </si>
  <si>
    <t>Pontypridd</t>
  </si>
  <si>
    <t>POPY</t>
  </si>
  <si>
    <t>Norwich &amp; Thetford WPC</t>
  </si>
  <si>
    <t>Poole SC</t>
  </si>
  <si>
    <t>POOW</t>
  </si>
  <si>
    <t>Poole</t>
  </si>
  <si>
    <t>Port Sunlight WPC</t>
  </si>
  <si>
    <t>PSWN</t>
  </si>
  <si>
    <t>Port Sun Wp</t>
  </si>
  <si>
    <t>Port Talbot SC</t>
  </si>
  <si>
    <t>PTSY</t>
  </si>
  <si>
    <t>Port Talbot</t>
  </si>
  <si>
    <t>Portishead SC</t>
  </si>
  <si>
    <t>PSHW</t>
  </si>
  <si>
    <t>Portishead</t>
  </si>
  <si>
    <t>Portobello ASC</t>
  </si>
  <si>
    <t>EPOX</t>
  </si>
  <si>
    <t>Portobello</t>
  </si>
  <si>
    <t>Portsmouth &amp; District Artistic Swimming Club</t>
  </si>
  <si>
    <t>PDSS</t>
  </si>
  <si>
    <t>Pmouth &amp; Dis</t>
  </si>
  <si>
    <t>Portsmouth City Waterpolo Club</t>
  </si>
  <si>
    <t>PCWS</t>
  </si>
  <si>
    <t>Portsmouth W</t>
  </si>
  <si>
    <t>Portsmouth Northsea SC</t>
  </si>
  <si>
    <t>PORS</t>
  </si>
  <si>
    <t>Portsmouth N</t>
  </si>
  <si>
    <t>Portsmouth Victoria SC</t>
  </si>
  <si>
    <t>POVS</t>
  </si>
  <si>
    <t>Portsmouth V</t>
  </si>
  <si>
    <t>Potters Bar Artistic Swimming Club</t>
  </si>
  <si>
    <t>PBST</t>
  </si>
  <si>
    <t>Ptrs Bar Art</t>
  </si>
  <si>
    <t>Potters Bar SC</t>
  </si>
  <si>
    <t>POTT</t>
  </si>
  <si>
    <t>Potters Bar</t>
  </si>
  <si>
    <t>Oddicombe SC</t>
  </si>
  <si>
    <t>ODDW</t>
  </si>
  <si>
    <t>Poynton Dippers SC</t>
  </si>
  <si>
    <t>POYN</t>
  </si>
  <si>
    <t>Poynton</t>
  </si>
  <si>
    <t>Prescot Swimming Club</t>
  </si>
  <si>
    <t>PREN</t>
  </si>
  <si>
    <t>Prescot</t>
  </si>
  <si>
    <t>Okehampton Water Polo</t>
  </si>
  <si>
    <t>OKWW</t>
  </si>
  <si>
    <t>Preston Swimming Club</t>
  </si>
  <si>
    <t>PRNN</t>
  </si>
  <si>
    <t>Preston</t>
  </si>
  <si>
    <t>Old Mid Whitgiftian SC</t>
  </si>
  <si>
    <t>OMWL</t>
  </si>
  <si>
    <t>Putteridge Swimming Club</t>
  </si>
  <si>
    <t>PRCT</t>
  </si>
  <si>
    <t>Putteridge</t>
  </si>
  <si>
    <t>Old Royton &amp; Crompton Amateur Swimming and WP Club</t>
  </si>
  <si>
    <t>Queen Ethelburga's SC</t>
  </si>
  <si>
    <t>QESE</t>
  </si>
  <si>
    <t>Q Ethelburga</t>
  </si>
  <si>
    <t>Radcliffe S&amp;WPC</t>
  </si>
  <si>
    <t>RADN</t>
  </si>
  <si>
    <t>Radcliffe</t>
  </si>
  <si>
    <t>Oldbury SC</t>
  </si>
  <si>
    <t>OLDM</t>
  </si>
  <si>
    <t>Radford SC</t>
  </si>
  <si>
    <t>RADA</t>
  </si>
  <si>
    <t>Radford</t>
  </si>
  <si>
    <t>Ramsbottom SC</t>
  </si>
  <si>
    <t>RAMN</t>
  </si>
  <si>
    <t>Ramsbottom</t>
  </si>
  <si>
    <t>Ramseian SC</t>
  </si>
  <si>
    <t>RSNN</t>
  </si>
  <si>
    <t>Ramseian</t>
  </si>
  <si>
    <t>Ramsgate SC</t>
  </si>
  <si>
    <t>RAMS</t>
  </si>
  <si>
    <t>Ramsgate</t>
  </si>
  <si>
    <t>Reading Cygnets SC</t>
  </si>
  <si>
    <t>RCYS</t>
  </si>
  <si>
    <t>Reading Cygn</t>
  </si>
  <si>
    <t>Reading Royals Artistic SC</t>
  </si>
  <si>
    <t>RRSS</t>
  </si>
  <si>
    <t>Reading Ryls</t>
  </si>
  <si>
    <t>Reading SC</t>
  </si>
  <si>
    <t>REAS</t>
  </si>
  <si>
    <t>Reading</t>
  </si>
  <si>
    <t>Redditch SC</t>
  </si>
  <si>
    <t>REDM</t>
  </si>
  <si>
    <t>Redditch</t>
  </si>
  <si>
    <t>Redhill &amp; Reigate Marlins</t>
  </si>
  <si>
    <t>RMAS</t>
  </si>
  <si>
    <t>Redhill Marl</t>
  </si>
  <si>
    <t>Otley Swimming Club</t>
  </si>
  <si>
    <t>OTLE</t>
  </si>
  <si>
    <t>Redhill &amp; Reigate SC</t>
  </si>
  <si>
    <t>RERS</t>
  </si>
  <si>
    <t>Redhill &amp; R</t>
  </si>
  <si>
    <t>Reed's School Swimming Club</t>
  </si>
  <si>
    <t>RSCS</t>
  </si>
  <si>
    <t>Reed's Sch</t>
  </si>
  <si>
    <t>Ren 96</t>
  </si>
  <si>
    <t>WRXX</t>
  </si>
  <si>
    <t>Renfrew Baths ASC</t>
  </si>
  <si>
    <t>WRBX</t>
  </si>
  <si>
    <t>Renfrew Bath</t>
  </si>
  <si>
    <t>Repton Swimming</t>
  </si>
  <si>
    <t>RESA</t>
  </si>
  <si>
    <t>Repton</t>
  </si>
  <si>
    <t>Retford SC</t>
  </si>
  <si>
    <t>RETA</t>
  </si>
  <si>
    <t>Retford</t>
  </si>
  <si>
    <t>Paddock Piranhas (Bishops Stortford) WPC</t>
  </si>
  <si>
    <t>PPWT</t>
  </si>
  <si>
    <t>Rhondda</t>
  </si>
  <si>
    <t>RHOY</t>
  </si>
  <si>
    <t>Rhondda Cynon Taf Performance Swim Squad</t>
  </si>
  <si>
    <t>RCTY</t>
  </si>
  <si>
    <t>RCT Squad</t>
  </si>
  <si>
    <t>Parogon SC</t>
  </si>
  <si>
    <t>PARM</t>
  </si>
  <si>
    <t>Rhyl Dolphins SC</t>
  </si>
  <si>
    <t>RHYY</t>
  </si>
  <si>
    <t>Rhyl Dolphin</t>
  </si>
  <si>
    <t>Richmond Dales ASC</t>
  </si>
  <si>
    <t>RICE</t>
  </si>
  <si>
    <t>RichmondDale</t>
  </si>
  <si>
    <t>Richmond Swimming Club</t>
  </si>
  <si>
    <t>RSCL</t>
  </si>
  <si>
    <t>Richmond</t>
  </si>
  <si>
    <t>Ringwood Seals Swimming Club</t>
  </si>
  <si>
    <t>RINS</t>
  </si>
  <si>
    <t>Ringwood</t>
  </si>
  <si>
    <t>Ripley SC (rascals)</t>
  </si>
  <si>
    <t>RIPA</t>
  </si>
  <si>
    <t>Ripley</t>
  </si>
  <si>
    <t>Ripple Effect</t>
  </si>
  <si>
    <t>RIPQ</t>
  </si>
  <si>
    <t>Ripple E</t>
  </si>
  <si>
    <t>Pembrokeshire Water Polo Club</t>
  </si>
  <si>
    <t>PWPY</t>
  </si>
  <si>
    <t>Rochdale Swimming Club</t>
  </si>
  <si>
    <t>RCDN</t>
  </si>
  <si>
    <t>Rochdale</t>
  </si>
  <si>
    <t>Rochford &amp; District SC</t>
  </si>
  <si>
    <t>ROCT</t>
  </si>
  <si>
    <t>Rochford</t>
  </si>
  <si>
    <t>Rolls Royce SC</t>
  </si>
  <si>
    <t>RORN</t>
  </si>
  <si>
    <t>Rolls Royce</t>
  </si>
  <si>
    <t>Romford Town SC</t>
  </si>
  <si>
    <t>ROML</t>
  </si>
  <si>
    <t>Romford Town</t>
  </si>
  <si>
    <t>Romiley Marina Swimming Club</t>
  </si>
  <si>
    <t>MARN</t>
  </si>
  <si>
    <t>Romiley Mari</t>
  </si>
  <si>
    <t>Romsey &amp; Totton SC</t>
  </si>
  <si>
    <t>RMYS</t>
  </si>
  <si>
    <t>RomseyTotton</t>
  </si>
  <si>
    <t>Rotherham Metro SC</t>
  </si>
  <si>
    <t>ROME</t>
  </si>
  <si>
    <t>Rotherham Mo</t>
  </si>
  <si>
    <t>Rotherham Metro Water Polo Club</t>
  </si>
  <si>
    <t>RMWE</t>
  </si>
  <si>
    <t>R'ham Met WP</t>
  </si>
  <si>
    <t>Rothwell SC</t>
  </si>
  <si>
    <t>ROTA</t>
  </si>
  <si>
    <t>Rothwell</t>
  </si>
  <si>
    <t>Royal Air Force Swim Team</t>
  </si>
  <si>
    <t>RAFA</t>
  </si>
  <si>
    <t>RAF Swim</t>
  </si>
  <si>
    <t>Royal Navy SC</t>
  </si>
  <si>
    <t>RNVS</t>
  </si>
  <si>
    <t>Royal Navy</t>
  </si>
  <si>
    <t>Royal Tunbridge Wells Masters SC</t>
  </si>
  <si>
    <t>RTMS</t>
  </si>
  <si>
    <t>RTW Masters</t>
  </si>
  <si>
    <t>Pewsey &amp; Tidworth Swimming Club</t>
  </si>
  <si>
    <t>PEWW</t>
  </si>
  <si>
    <t>Royal Tunbridge Wells Monson SC</t>
  </si>
  <si>
    <t>RTWS</t>
  </si>
  <si>
    <t>RTW Monson</t>
  </si>
  <si>
    <t>Phoenix (Coventry)</t>
  </si>
  <si>
    <t>PHCM</t>
  </si>
  <si>
    <t>Royal Wootton Bassett ASC</t>
  </si>
  <si>
    <t>WOBW</t>
  </si>
  <si>
    <t>Wootton Bass</t>
  </si>
  <si>
    <t>Royston SC</t>
  </si>
  <si>
    <t>ROYT</t>
  </si>
  <si>
    <t>Royston</t>
  </si>
  <si>
    <t>Rugby SC</t>
  </si>
  <si>
    <t>RUGM</t>
  </si>
  <si>
    <t>Rugby</t>
  </si>
  <si>
    <t>Ruislip Northwood Masters SC</t>
  </si>
  <si>
    <t>RUIL</t>
  </si>
  <si>
    <t>Ruislip Nwd</t>
  </si>
  <si>
    <t>Runcorn Reps SC</t>
  </si>
  <si>
    <t>RREN</t>
  </si>
  <si>
    <t>Runcorn Reps</t>
  </si>
  <si>
    <t>Runnymede SC</t>
  </si>
  <si>
    <t>RUNT</t>
  </si>
  <si>
    <t>Runnymede</t>
  </si>
  <si>
    <t>Rushcliffe SC</t>
  </si>
  <si>
    <t>RSHA</t>
  </si>
  <si>
    <t>Rushcliffe</t>
  </si>
  <si>
    <t>Rushden ASC</t>
  </si>
  <si>
    <t>RUSA</t>
  </si>
  <si>
    <t>Rushden</t>
  </si>
  <si>
    <t>Rushmoor Artistic SC</t>
  </si>
  <si>
    <t>RUSS</t>
  </si>
  <si>
    <t>Rushmoor Art</t>
  </si>
  <si>
    <t>Rushmoor Royals SC</t>
  </si>
  <si>
    <t>RURS</t>
  </si>
  <si>
    <t>Rushmoor Ryl</t>
  </si>
  <si>
    <t>Rutherglen ASC</t>
  </si>
  <si>
    <t>WRNX</t>
  </si>
  <si>
    <t>Rutherglen</t>
  </si>
  <si>
    <t>Ruthin</t>
  </si>
  <si>
    <t>RUTY</t>
  </si>
  <si>
    <t>Ryde Swimming Club</t>
  </si>
  <si>
    <t>RYDS</t>
  </si>
  <si>
    <t>Ryde SC</t>
  </si>
  <si>
    <t>Ryedale SC</t>
  </si>
  <si>
    <t>RYEE</t>
  </si>
  <si>
    <t>Ryedale</t>
  </si>
  <si>
    <t>Portsmouth &amp; District Synchronised SC</t>
  </si>
  <si>
    <t>Rykneld SC</t>
  </si>
  <si>
    <t>RYKA</t>
  </si>
  <si>
    <t>Rykneld</t>
  </si>
  <si>
    <t>Saddleworth SC</t>
  </si>
  <si>
    <t>SADN</t>
  </si>
  <si>
    <t>Saddleworth</t>
  </si>
  <si>
    <t>Saffron Walden SC</t>
  </si>
  <si>
    <t>SAFT</t>
  </si>
  <si>
    <t>Saffron Wald</t>
  </si>
  <si>
    <t>Salford City SC</t>
  </si>
  <si>
    <t>SACN</t>
  </si>
  <si>
    <t>Salford City</t>
  </si>
  <si>
    <t>Portway SC</t>
  </si>
  <si>
    <t>POTW</t>
  </si>
  <si>
    <t>Salisbury Stingrays SC</t>
  </si>
  <si>
    <t>SASW</t>
  </si>
  <si>
    <t>Salisbury</t>
  </si>
  <si>
    <t>Saltburn &amp; Marske SC</t>
  </si>
  <si>
    <t>SALE</t>
  </si>
  <si>
    <t>Saltburn Mar</t>
  </si>
  <si>
    <t>Potters Bar Synchro SC</t>
  </si>
  <si>
    <t>Sandbach Sharks SC</t>
  </si>
  <si>
    <t>SSHN</t>
  </si>
  <si>
    <t>Sandbach</t>
  </si>
  <si>
    <t>Sandwell Aquatics Club</t>
  </si>
  <si>
    <t>SAQM</t>
  </si>
  <si>
    <t>Sandwell</t>
  </si>
  <si>
    <t>Sandwell Diving Club (Coming soon June 2023)</t>
  </si>
  <si>
    <t>SDCM</t>
  </si>
  <si>
    <t>Sandwell DC</t>
  </si>
  <si>
    <t>Preseli Panthers</t>
  </si>
  <si>
    <t>PPAY</t>
  </si>
  <si>
    <t>Satellite of Macclesfield SC</t>
  </si>
  <si>
    <t>SATN</t>
  </si>
  <si>
    <t>Satellite</t>
  </si>
  <si>
    <t>Preston SC</t>
  </si>
  <si>
    <t>Saxon Crown (Lewisham) SC</t>
  </si>
  <si>
    <t>SAXL</t>
  </si>
  <si>
    <t>Saxon Crown</t>
  </si>
  <si>
    <t>Pudsey SC</t>
  </si>
  <si>
    <t>PUDE</t>
  </si>
  <si>
    <t>Scarborough Swimming Club</t>
  </si>
  <si>
    <t>SCAE</t>
  </si>
  <si>
    <t>Scarborough</t>
  </si>
  <si>
    <t>Scorpion Swim Team</t>
  </si>
  <si>
    <t>ESNX</t>
  </si>
  <si>
    <t>Scorpion ST</t>
  </si>
  <si>
    <t>Scotia ASC</t>
  </si>
  <si>
    <t>WSAX</t>
  </si>
  <si>
    <t>Scotia</t>
  </si>
  <si>
    <t>Scotland Composite</t>
  </si>
  <si>
    <t>ScotlandComp</t>
  </si>
  <si>
    <t>Rainhill &amp; District SC</t>
  </si>
  <si>
    <t>RAIN</t>
  </si>
  <si>
    <t>Scotland East</t>
  </si>
  <si>
    <t>Scot East</t>
  </si>
  <si>
    <t>Scotland Midland</t>
  </si>
  <si>
    <t>Scot Midland</t>
  </si>
  <si>
    <t>Scotland North</t>
  </si>
  <si>
    <t>Scot North</t>
  </si>
  <si>
    <t>Scotland West</t>
  </si>
  <si>
    <t>Scot West</t>
  </si>
  <si>
    <t>Raven Moss SC</t>
  </si>
  <si>
    <t>RAVN</t>
  </si>
  <si>
    <t>Scottish ASA Life Member</t>
  </si>
  <si>
    <t>LFMX</t>
  </si>
  <si>
    <t>SASA LifeMem</t>
  </si>
  <si>
    <t>Scottish Non-Residential</t>
  </si>
  <si>
    <t>USNX</t>
  </si>
  <si>
    <t>Scot Non-Res</t>
  </si>
  <si>
    <t>Reading Royals SSC</t>
  </si>
  <si>
    <t>Scottish Schools Swimming Assoc</t>
  </si>
  <si>
    <t>USSX</t>
  </si>
  <si>
    <t>Scots Sch SA</t>
  </si>
  <si>
    <t>Scottish Swimming Staff</t>
  </si>
  <si>
    <t>USWX</t>
  </si>
  <si>
    <t>SASA Staff</t>
  </si>
  <si>
    <t>Redbridge Borough Masters</t>
  </si>
  <si>
    <t>RBML</t>
  </si>
  <si>
    <t>Scunthorpe Anchor SC</t>
  </si>
  <si>
    <t>SCNE</t>
  </si>
  <si>
    <t>Scunthorpe A</t>
  </si>
  <si>
    <t>Seaclose Swimming Club</t>
  </si>
  <si>
    <t>SEAS</t>
  </si>
  <si>
    <t>Seaclose</t>
  </si>
  <si>
    <t>Seagulls Swimming Club</t>
  </si>
  <si>
    <t>SEGW</t>
  </si>
  <si>
    <t>Seagulls SC</t>
  </si>
  <si>
    <t>Sedgefield &amp; District 75</t>
  </si>
  <si>
    <t>SDGE</t>
  </si>
  <si>
    <t>Sedgefield</t>
  </si>
  <si>
    <t>Sedgefield Water Polo Club</t>
  </si>
  <si>
    <t>SDWE</t>
  </si>
  <si>
    <t>SedgefieldWP</t>
  </si>
  <si>
    <t>Selby Tigersharks Swimming Squad</t>
  </si>
  <si>
    <t>SELE</t>
  </si>
  <si>
    <t>Selby</t>
  </si>
  <si>
    <t>Serpentine SC</t>
  </si>
  <si>
    <t>SERL</t>
  </si>
  <si>
    <t>Serpentine</t>
  </si>
  <si>
    <t>Settle Stingrays SC</t>
  </si>
  <si>
    <t>SETE</t>
  </si>
  <si>
    <t>Settle Srays</t>
  </si>
  <si>
    <t>Sevenoaks SC</t>
  </si>
  <si>
    <t>SEVS</t>
  </si>
  <si>
    <t>Sevenoaks</t>
  </si>
  <si>
    <t>Severnside Tritons Swimming Club</t>
  </si>
  <si>
    <t>SSTW</t>
  </si>
  <si>
    <t>Severnside</t>
  </si>
  <si>
    <t>Seymour Synchro Swim Sch</t>
  </si>
  <si>
    <t>SSSL</t>
  </si>
  <si>
    <t>Seymour Syn</t>
  </si>
  <si>
    <t>Sharks SC of Mottingham</t>
  </si>
  <si>
    <t>SHKL</t>
  </si>
  <si>
    <t>Sharks</t>
  </si>
  <si>
    <t>Sheerness SC &amp; Lifeguard Corp</t>
  </si>
  <si>
    <t>SHSS</t>
  </si>
  <si>
    <t>Sheerness</t>
  </si>
  <si>
    <t>Sheffield City SC</t>
  </si>
  <si>
    <t>SHEE</t>
  </si>
  <si>
    <t>Sheffield C</t>
  </si>
  <si>
    <t>Shepshed SC</t>
  </si>
  <si>
    <t>SHEA</t>
  </si>
  <si>
    <t>Shepshed</t>
  </si>
  <si>
    <t>Shepway Swimming Club</t>
  </si>
  <si>
    <t>SHES</t>
  </si>
  <si>
    <t>Shepway SC</t>
  </si>
  <si>
    <t>Sherwood Colliery SC</t>
  </si>
  <si>
    <t>SHRA</t>
  </si>
  <si>
    <t>Sherwood</t>
  </si>
  <si>
    <t>Sherwood Seals SC for the Disabled</t>
  </si>
  <si>
    <t>SSDA</t>
  </si>
  <si>
    <t>SherwoodSeal</t>
  </si>
  <si>
    <t>Shetland ASC</t>
  </si>
  <si>
    <t>NSHX</t>
  </si>
  <si>
    <t>Shetland</t>
  </si>
  <si>
    <t>Shetland Masters</t>
  </si>
  <si>
    <t>NSTX</t>
  </si>
  <si>
    <t>Shetland Mas</t>
  </si>
  <si>
    <t>Rossington SC</t>
  </si>
  <si>
    <t>ROSE</t>
  </si>
  <si>
    <t>Shiverers SC</t>
  </si>
  <si>
    <t>SHIS</t>
  </si>
  <si>
    <t>Shiverers</t>
  </si>
  <si>
    <t>Shrewsbury SC</t>
  </si>
  <si>
    <t>SHWM</t>
  </si>
  <si>
    <t>Shrewsbury</t>
  </si>
  <si>
    <t>Shropshire ASA</t>
  </si>
  <si>
    <t>Shropshire</t>
  </si>
  <si>
    <t>Sid Vale SC</t>
  </si>
  <si>
    <t>SIDW</t>
  </si>
  <si>
    <t>Sidvale</t>
  </si>
  <si>
    <t>Silver City Blues ASC</t>
  </si>
  <si>
    <t>NSCX</t>
  </si>
  <si>
    <t>Silver City</t>
  </si>
  <si>
    <t>Sittingbourne &amp; Milton SC</t>
  </si>
  <si>
    <t>SAMS</t>
  </si>
  <si>
    <t>Sittingbourn</t>
  </si>
  <si>
    <t>Skegness ASC</t>
  </si>
  <si>
    <t>SKEA</t>
  </si>
  <si>
    <t>Skegness</t>
  </si>
  <si>
    <t>Skipton Swimming Club</t>
  </si>
  <si>
    <t>SKIE</t>
  </si>
  <si>
    <t>Skipton</t>
  </si>
  <si>
    <t>Skye Dolphins ASC</t>
  </si>
  <si>
    <t>NSEX</t>
  </si>
  <si>
    <t>Skye Dolphin</t>
  </si>
  <si>
    <t>Slough Dolphin Swimming Club</t>
  </si>
  <si>
    <t>SLES</t>
  </si>
  <si>
    <t>Slough Dolp</t>
  </si>
  <si>
    <t>Ruislip Northwood SC</t>
  </si>
  <si>
    <t>Solent Cardinal Performance Swimming</t>
  </si>
  <si>
    <t>SCPS</t>
  </si>
  <si>
    <t>Solent C P S</t>
  </si>
  <si>
    <t>Solihull SC</t>
  </si>
  <si>
    <t>SOLM</t>
  </si>
  <si>
    <t>Solihull</t>
  </si>
  <si>
    <t>Somerset ASA</t>
  </si>
  <si>
    <t>Somerset</t>
  </si>
  <si>
    <t>Soundwell SC</t>
  </si>
  <si>
    <t>SOUW</t>
  </si>
  <si>
    <t>Soundwell</t>
  </si>
  <si>
    <t>South Aberdeenshire Swim Team</t>
  </si>
  <si>
    <t>USAX</t>
  </si>
  <si>
    <t>South Aberde</t>
  </si>
  <si>
    <t>South Axholme Sharks SC</t>
  </si>
  <si>
    <t>SASE</t>
  </si>
  <si>
    <t>South Axholm</t>
  </si>
  <si>
    <t>Rushmoor Synchro SC</t>
  </si>
  <si>
    <t>South Ayrshire ASC</t>
  </si>
  <si>
    <t>WSEX</t>
  </si>
  <si>
    <t>Sth Ayrshire</t>
  </si>
  <si>
    <t>South Beds Masters Swimming Club</t>
  </si>
  <si>
    <t>SBMT</t>
  </si>
  <si>
    <t>South Beds</t>
  </si>
  <si>
    <t>South Croydon SC</t>
  </si>
  <si>
    <t>SCRL</t>
  </si>
  <si>
    <t>SouthCroydon</t>
  </si>
  <si>
    <t>South Derbyshire Water Polo Club</t>
  </si>
  <si>
    <t>SDWA</t>
  </si>
  <si>
    <t>Sth DerbysWP</t>
  </si>
  <si>
    <t>South Downs Trojan Swimming Club</t>
  </si>
  <si>
    <t>SDTS</t>
  </si>
  <si>
    <t>S D Trojan</t>
  </si>
  <si>
    <t>South East Region</t>
  </si>
  <si>
    <t>SCTS</t>
  </si>
  <si>
    <t>S E Region</t>
  </si>
  <si>
    <t>South East Wales Region</t>
  </si>
  <si>
    <t>SE Wales</t>
  </si>
  <si>
    <t>South Holderness SC</t>
  </si>
  <si>
    <t>SHLE</t>
  </si>
  <si>
    <t>South Holder</t>
  </si>
  <si>
    <t>South Hunsley SC</t>
  </si>
  <si>
    <t>SOHE</t>
  </si>
  <si>
    <t>South Hunsle</t>
  </si>
  <si>
    <t>Salisbury Stingrays ASC</t>
  </si>
  <si>
    <t>South Lanarkshire Swimming</t>
  </si>
  <si>
    <t>USLX</t>
  </si>
  <si>
    <t>SLanarkshire</t>
  </si>
  <si>
    <t>South Lincs Competitive SC</t>
  </si>
  <si>
    <t>SLCA</t>
  </si>
  <si>
    <t>South Lincs</t>
  </si>
  <si>
    <t>South London Open Water SC</t>
  </si>
  <si>
    <t>SLSL</t>
  </si>
  <si>
    <t>South London</t>
  </si>
  <si>
    <t>Sandown I.O.W Saturday Night Club with Disabilities</t>
  </si>
  <si>
    <t>SIWS</t>
  </si>
  <si>
    <t>South Mainland ASC</t>
  </si>
  <si>
    <t>NSMX</t>
  </si>
  <si>
    <t>South Main</t>
  </si>
  <si>
    <t>Satellite SC</t>
  </si>
  <si>
    <t>South Tyneside SC</t>
  </si>
  <si>
    <t>STDE</t>
  </si>
  <si>
    <t>South Tyne</t>
  </si>
  <si>
    <t>South West London Diving Club</t>
  </si>
  <si>
    <t>SWDL</t>
  </si>
  <si>
    <t>SW London DC</t>
  </si>
  <si>
    <t>South West Region</t>
  </si>
  <si>
    <t>WSTW</t>
  </si>
  <si>
    <t>S W Region</t>
  </si>
  <si>
    <t>South West Wales Region</t>
  </si>
  <si>
    <t>SW Wales</t>
  </si>
  <si>
    <t>South Yorkshire Swans</t>
  </si>
  <si>
    <t>SYSE</t>
  </si>
  <si>
    <t>S York Swans</t>
  </si>
  <si>
    <t>SASA</t>
  </si>
  <si>
    <t>Southam SC</t>
  </si>
  <si>
    <t>SHMM</t>
  </si>
  <si>
    <t>Southam</t>
  </si>
  <si>
    <t>Southampton Diving Academy</t>
  </si>
  <si>
    <t>SDAS</t>
  </si>
  <si>
    <t>South Dive A</t>
  </si>
  <si>
    <t>Southampton Dolphins SC</t>
  </si>
  <si>
    <t>SDOS</t>
  </si>
  <si>
    <t>Soton Dolp</t>
  </si>
  <si>
    <t>Southampton University SC</t>
  </si>
  <si>
    <t>USSS</t>
  </si>
  <si>
    <t>Southamp Uni</t>
  </si>
  <si>
    <t>Southampton University WPC</t>
  </si>
  <si>
    <t>SOTS</t>
  </si>
  <si>
    <t>Soton Uni WP</t>
  </si>
  <si>
    <t>Southampton Water Polo Club</t>
  </si>
  <si>
    <t>SHWS</t>
  </si>
  <si>
    <t>Soton WPC</t>
  </si>
  <si>
    <t>Southend Diving</t>
  </si>
  <si>
    <t>SEDT</t>
  </si>
  <si>
    <t>Southend D</t>
  </si>
  <si>
    <t>Southern I-O-M SC</t>
  </si>
  <si>
    <t>SOUN</t>
  </si>
  <si>
    <t>Southern Iom</t>
  </si>
  <si>
    <t>Southport SC</t>
  </si>
  <si>
    <t>SPTN</t>
  </si>
  <si>
    <t>Southport</t>
  </si>
  <si>
    <t>Southwark Aquatics SC</t>
  </si>
  <si>
    <t>SAQL</t>
  </si>
  <si>
    <t>Southwark</t>
  </si>
  <si>
    <t>Seabyrd SC</t>
  </si>
  <si>
    <t>SBDL</t>
  </si>
  <si>
    <t>Southwell SC</t>
  </si>
  <si>
    <t>SOUA</t>
  </si>
  <si>
    <t>Southwell</t>
  </si>
  <si>
    <t>SouthWest LondonFin SC</t>
  </si>
  <si>
    <t>SWLL</t>
  </si>
  <si>
    <t>SW Lon Fin</t>
  </si>
  <si>
    <t>Southwold Swimming Club</t>
  </si>
  <si>
    <t>SOTW</t>
  </si>
  <si>
    <t>Southwold</t>
  </si>
  <si>
    <t>Seawolf Swimming Academy (Church Lowton)</t>
  </si>
  <si>
    <t>SSAN</t>
  </si>
  <si>
    <t>Sowerby Bridge SC</t>
  </si>
  <si>
    <t>SOBE</t>
  </si>
  <si>
    <t>Sowerbybridg</t>
  </si>
  <si>
    <t>Sowerby Bridge Stingrays SC</t>
  </si>
  <si>
    <t>SBLE</t>
  </si>
  <si>
    <t>S B Stingray</t>
  </si>
  <si>
    <t>Spalding SC</t>
  </si>
  <si>
    <t>SPDA</t>
  </si>
  <si>
    <t>Spalding</t>
  </si>
  <si>
    <t>Spenborough SC</t>
  </si>
  <si>
    <t>SPEE</t>
  </si>
  <si>
    <t>Spenborough</t>
  </si>
  <si>
    <t>Spencer Swim Team</t>
  </si>
  <si>
    <t>SPEL</t>
  </si>
  <si>
    <t>Spencer</t>
  </si>
  <si>
    <t>Spondon Masters SC</t>
  </si>
  <si>
    <t>SPOA</t>
  </si>
  <si>
    <t>Spondon Mast</t>
  </si>
  <si>
    <t>St Albans Masters SC</t>
  </si>
  <si>
    <t>SAMT</t>
  </si>
  <si>
    <t>St Albans Ma</t>
  </si>
  <si>
    <t>Sevenoaks Tri-Swim Club</t>
  </si>
  <si>
    <t>SETS</t>
  </si>
  <si>
    <t>St Andrews Masters ASC</t>
  </si>
  <si>
    <t>ESAX</t>
  </si>
  <si>
    <t>St Andrews M</t>
  </si>
  <si>
    <t>Severnside Tritons Club</t>
  </si>
  <si>
    <t>St Austell ASC</t>
  </si>
  <si>
    <t>STAW</t>
  </si>
  <si>
    <t>St Austell</t>
  </si>
  <si>
    <t>St Felix School SC (Southwold)</t>
  </si>
  <si>
    <t>SFST</t>
  </si>
  <si>
    <t>St Felix Sch</t>
  </si>
  <si>
    <t>St Helens Swimming Club</t>
  </si>
  <si>
    <t>STHN</t>
  </si>
  <si>
    <t>St Helens</t>
  </si>
  <si>
    <t>St Ives SC</t>
  </si>
  <si>
    <t>SIVT</t>
  </si>
  <si>
    <t>St Ives</t>
  </si>
  <si>
    <t>St James SC</t>
  </si>
  <si>
    <t>SJAL</t>
  </si>
  <si>
    <t>St James</t>
  </si>
  <si>
    <t>St Neots Swans Swimming Club</t>
  </si>
  <si>
    <t>SWNT</t>
  </si>
  <si>
    <t>St Neot Swan</t>
  </si>
  <si>
    <t>St Pauls School Aquatic Club</t>
  </si>
  <si>
    <t>SPSL</t>
  </si>
  <si>
    <t>StPauls Sch</t>
  </si>
  <si>
    <t>Sherborne Storm SC</t>
  </si>
  <si>
    <t>SHSW</t>
  </si>
  <si>
    <t>St Thomas ASC</t>
  </si>
  <si>
    <t>MASX</t>
  </si>
  <si>
    <t>St Thomas</t>
  </si>
  <si>
    <t>Stafford Apex SC</t>
  </si>
  <si>
    <t>APXM</t>
  </si>
  <si>
    <t>StaffordApex</t>
  </si>
  <si>
    <t>Staffordshire ASA</t>
  </si>
  <si>
    <t>Staffs</t>
  </si>
  <si>
    <t>Staines Swimming Club</t>
  </si>
  <si>
    <t>STAS</t>
  </si>
  <si>
    <t>Staines</t>
  </si>
  <si>
    <t>Stalybridge SC</t>
  </si>
  <si>
    <t>STAN</t>
  </si>
  <si>
    <t>Stalybridge</t>
  </si>
  <si>
    <t>Stanway SC</t>
  </si>
  <si>
    <t>FSST</t>
  </si>
  <si>
    <t>Stanway</t>
  </si>
  <si>
    <t>Shoreham Crocodiles SC</t>
  </si>
  <si>
    <t>SHCS</t>
  </si>
  <si>
    <t>Star Diving Club Guildford</t>
  </si>
  <si>
    <t>STCS</t>
  </si>
  <si>
    <t>Star Diving</t>
  </si>
  <si>
    <t>Step Rock ASC</t>
  </si>
  <si>
    <t>ESRX</t>
  </si>
  <si>
    <t>Step Rock</t>
  </si>
  <si>
    <t>Stevenage SC</t>
  </si>
  <si>
    <t>Stevenage</t>
  </si>
  <si>
    <t>Stirling Swimming</t>
  </si>
  <si>
    <t>WSWX</t>
  </si>
  <si>
    <t>StirlingSwim</t>
  </si>
  <si>
    <t>Sidcot Swim Club</t>
  </si>
  <si>
    <t>SSCW</t>
  </si>
  <si>
    <t>Stockport Metro SC</t>
  </si>
  <si>
    <t>STMN</t>
  </si>
  <si>
    <t>Stockport Mo</t>
  </si>
  <si>
    <t>Stockport SC</t>
  </si>
  <si>
    <t>STON</t>
  </si>
  <si>
    <t>Stockport</t>
  </si>
  <si>
    <t>Stocksbridge Pentaqua SC</t>
  </si>
  <si>
    <t>STOE</t>
  </si>
  <si>
    <t>Stocksbridge</t>
  </si>
  <si>
    <t>Stockton ASC</t>
  </si>
  <si>
    <t>STKE</t>
  </si>
  <si>
    <t>Stockton</t>
  </si>
  <si>
    <t>Stokesley SC</t>
  </si>
  <si>
    <t>STYE</t>
  </si>
  <si>
    <t>Stokesley</t>
  </si>
  <si>
    <t>Stone &amp; District SC</t>
  </si>
  <si>
    <t>SADM</t>
  </si>
  <si>
    <t>Stone</t>
  </si>
  <si>
    <t>Slough &amp; Eton Dolphin SC</t>
  </si>
  <si>
    <t>Stonehaven ASC</t>
  </si>
  <si>
    <t>NSNX</t>
  </si>
  <si>
    <t>Stonehaven</t>
  </si>
  <si>
    <t>Solent</t>
  </si>
  <si>
    <t>SOLS</t>
  </si>
  <si>
    <t>Stourbridge SC</t>
  </si>
  <si>
    <t>STRM</t>
  </si>
  <si>
    <t>Stourbridge</t>
  </si>
  <si>
    <t>Stowmarket SC</t>
  </si>
  <si>
    <t>STOT</t>
  </si>
  <si>
    <t>Stowmarket</t>
  </si>
  <si>
    <t>Stranraer Stingrays ASC</t>
  </si>
  <si>
    <t>WSRX</t>
  </si>
  <si>
    <t>Stranraer</t>
  </si>
  <si>
    <t>Stratford Sharks SC</t>
  </si>
  <si>
    <t>SSHM</t>
  </si>
  <si>
    <t>Strat Sharks</t>
  </si>
  <si>
    <t>Strathclyde University Swimming &amp; WPC</t>
  </si>
  <si>
    <t>WSYX</t>
  </si>
  <si>
    <t>S'clyde Uni</t>
  </si>
  <si>
    <t>Streatham SC</t>
  </si>
  <si>
    <t>STML</t>
  </si>
  <si>
    <t>Streatham</t>
  </si>
  <si>
    <t>Street &amp; District SC</t>
  </si>
  <si>
    <t>STEW</t>
  </si>
  <si>
    <t>Street</t>
  </si>
  <si>
    <t>Stretford SC</t>
  </si>
  <si>
    <t>STRN</t>
  </si>
  <si>
    <t>Stretford</t>
  </si>
  <si>
    <t>Stroud Masters SC</t>
  </si>
  <si>
    <t>STMW</t>
  </si>
  <si>
    <t>Stroud Mast</t>
  </si>
  <si>
    <t>Suffolk Coastal Torpedoes</t>
  </si>
  <si>
    <t>SCOT</t>
  </si>
  <si>
    <t>Suffolk C T</t>
  </si>
  <si>
    <t>Sunderland City Dive Team</t>
  </si>
  <si>
    <t>SCDE</t>
  </si>
  <si>
    <t>Sland CDT</t>
  </si>
  <si>
    <t>Sunflower Swimming Club - Oxford</t>
  </si>
  <si>
    <t>SUOS</t>
  </si>
  <si>
    <t>Sunflower SC</t>
  </si>
  <si>
    <t>South Gloucestershire Water Polo Club</t>
  </si>
  <si>
    <t>SGWW</t>
  </si>
  <si>
    <t>Surrey County ASA</t>
  </si>
  <si>
    <t>Surrey</t>
  </si>
  <si>
    <t>Survive And Save Club</t>
  </si>
  <si>
    <t>SSVL</t>
  </si>
  <si>
    <t>Survive&amp;Save</t>
  </si>
  <si>
    <t>Sussex County ASA</t>
  </si>
  <si>
    <t>Sussex</t>
  </si>
  <si>
    <t>Sutton &amp; Cheam SC</t>
  </si>
  <si>
    <t>SUTL</t>
  </si>
  <si>
    <t>Sutton Cheam</t>
  </si>
  <si>
    <t>Sutton In Ashfield SC</t>
  </si>
  <si>
    <t>SUTA</t>
  </si>
  <si>
    <t>Sutton</t>
  </si>
  <si>
    <t>Swadlincote SC</t>
  </si>
  <si>
    <t>SWAA</t>
  </si>
  <si>
    <t>Swadlincote</t>
  </si>
  <si>
    <t>Swansea Masters</t>
  </si>
  <si>
    <t>SSMY</t>
  </si>
  <si>
    <t>Swansea Mast</t>
  </si>
  <si>
    <t>Swansea Stingrays</t>
  </si>
  <si>
    <t>SWDY</t>
  </si>
  <si>
    <t>Swansea Stin</t>
  </si>
  <si>
    <t>South Wales Titans</t>
  </si>
  <si>
    <t>VDAY</t>
  </si>
  <si>
    <t>Swansea Synchro Club</t>
  </si>
  <si>
    <t>SSYY</t>
  </si>
  <si>
    <t>Swansea SSC</t>
  </si>
  <si>
    <t>Swansea University SC</t>
  </si>
  <si>
    <t>SUNY</t>
  </si>
  <si>
    <t>Swansea Uni</t>
  </si>
  <si>
    <t>Swansea Water Polo</t>
  </si>
  <si>
    <t>SWPY</t>
  </si>
  <si>
    <t>Swansea WP</t>
  </si>
  <si>
    <t>Swim Bournemouth</t>
  </si>
  <si>
    <t>SBOW</t>
  </si>
  <si>
    <t>S Bournem'th</t>
  </si>
  <si>
    <t>Swim Conwy</t>
  </si>
  <si>
    <t>Conwy</t>
  </si>
  <si>
    <t>Swim England Cambridgeshire</t>
  </si>
  <si>
    <t>Cambs</t>
  </si>
  <si>
    <t>Swim England County</t>
  </si>
  <si>
    <t>SECQ</t>
  </si>
  <si>
    <t>S E County</t>
  </si>
  <si>
    <t>Swim England Essex</t>
  </si>
  <si>
    <t>Essex</t>
  </si>
  <si>
    <t>Swim England Hertfordshire</t>
  </si>
  <si>
    <t>SE Herts</t>
  </si>
  <si>
    <t>Swim England North East Region</t>
  </si>
  <si>
    <t>NE Region</t>
  </si>
  <si>
    <t>Swim England Suffolk</t>
  </si>
  <si>
    <t>Suffolk</t>
  </si>
  <si>
    <t>Southend on Sea SC</t>
  </si>
  <si>
    <t>Swim England Talent Club</t>
  </si>
  <si>
    <t>SETQ</t>
  </si>
  <si>
    <t>SE Talent</t>
  </si>
  <si>
    <t>Swim Fore IT (Ipswich)</t>
  </si>
  <si>
    <t>SCCT</t>
  </si>
  <si>
    <t>Swim Ipswich</t>
  </si>
  <si>
    <t>Swim Gwynedd Performance Club</t>
  </si>
  <si>
    <t>SGPY</t>
  </si>
  <si>
    <t>Swim Gwynedd</t>
  </si>
  <si>
    <t>Swim West Lothian</t>
  </si>
  <si>
    <t>UWLX</t>
  </si>
  <si>
    <t>West Lothian</t>
  </si>
  <si>
    <t>Swim Western Isles</t>
  </si>
  <si>
    <t>NWIX</t>
  </si>
  <si>
    <t>Swim W Isles</t>
  </si>
  <si>
    <t>Swim-IT</t>
  </si>
  <si>
    <t>ESIX</t>
  </si>
  <si>
    <t>Swindon ASC</t>
  </si>
  <si>
    <t>SWAW</t>
  </si>
  <si>
    <t>Swindon</t>
  </si>
  <si>
    <t>Swindon Dolphin ASC</t>
  </si>
  <si>
    <t>SWDW</t>
  </si>
  <si>
    <t>Swindon Dolp</t>
  </si>
  <si>
    <t>Swinton SC</t>
  </si>
  <si>
    <t>SWIN</t>
  </si>
  <si>
    <t>Swinton</t>
  </si>
  <si>
    <t>Tadcaster York Sport Swim Squad</t>
  </si>
  <si>
    <t>TADE</t>
  </si>
  <si>
    <t>Tadcaster</t>
  </si>
  <si>
    <t>Tain ASC</t>
  </si>
  <si>
    <t>NTNX</t>
  </si>
  <si>
    <t>Tain</t>
  </si>
  <si>
    <t>Splash Club</t>
  </si>
  <si>
    <t>SPLS</t>
  </si>
  <si>
    <t>Tamworth SC</t>
  </si>
  <si>
    <t>TAMM</t>
  </si>
  <si>
    <t>Tamworth</t>
  </si>
  <si>
    <t>Tandridge Aquarius Swim Squad</t>
  </si>
  <si>
    <t>TASS</t>
  </si>
  <si>
    <t>Tandridge Aq</t>
  </si>
  <si>
    <t>Taunton Deane SC</t>
  </si>
  <si>
    <t>TDSW</t>
  </si>
  <si>
    <t>TauntonDeane</t>
  </si>
  <si>
    <t>Tavistock SC</t>
  </si>
  <si>
    <t>TAVW</t>
  </si>
  <si>
    <t>Tavistock</t>
  </si>
  <si>
    <t>Tay Masters</t>
  </si>
  <si>
    <t>MTMX</t>
  </si>
  <si>
    <t>Team Anglia Masters Swimming Club</t>
  </si>
  <si>
    <t>TANT</t>
  </si>
  <si>
    <t>Team Anglia</t>
  </si>
  <si>
    <t>St Ives Bay SC</t>
  </si>
  <si>
    <t>SIBW</t>
  </si>
  <si>
    <t>Team Bath AS</t>
  </si>
  <si>
    <t>ASPW</t>
  </si>
  <si>
    <t>Team Ipswich Swimming</t>
  </si>
  <si>
    <t>IPST</t>
  </si>
  <si>
    <t>teamipswich</t>
  </si>
  <si>
    <t>Team Jorvik</t>
  </si>
  <si>
    <t>TJOE</t>
  </si>
  <si>
    <t>Team Luton Swimming</t>
  </si>
  <si>
    <t>LUTT</t>
  </si>
  <si>
    <t>Team Luton</t>
  </si>
  <si>
    <t>Team Waveney Swimming Club</t>
  </si>
  <si>
    <t>TWST</t>
  </si>
  <si>
    <t>Team Waveney</t>
  </si>
  <si>
    <t>TeamBath Synchro Club</t>
  </si>
  <si>
    <t>TBSW</t>
  </si>
  <si>
    <t>TBathSynchro</t>
  </si>
  <si>
    <t>Teddington SC</t>
  </si>
  <si>
    <t>TEDL</t>
  </si>
  <si>
    <t>Teddington</t>
  </si>
  <si>
    <t>Teddington Torpedoes</t>
  </si>
  <si>
    <t>TTOL</t>
  </si>
  <si>
    <t>Teddington T</t>
  </si>
  <si>
    <t>Teesdale ASC</t>
  </si>
  <si>
    <t>TESE</t>
  </si>
  <si>
    <t>Teesdale</t>
  </si>
  <si>
    <t>Teesdale Tiger Sharks</t>
  </si>
  <si>
    <t>TTSE</t>
  </si>
  <si>
    <t>Teesdale TS</t>
  </si>
  <si>
    <t>Teignmouth Swimming Club</t>
  </si>
  <si>
    <t>TEIW</t>
  </si>
  <si>
    <t>Teignmouth</t>
  </si>
  <si>
    <t>Telford Aqua</t>
  </si>
  <si>
    <t>TEAM</t>
  </si>
  <si>
    <t>TelfordAqua</t>
  </si>
  <si>
    <t>Tenby</t>
  </si>
  <si>
    <t>TENY</t>
  </si>
  <si>
    <t>Tewkesbury SC</t>
  </si>
  <si>
    <t>TEWW</t>
  </si>
  <si>
    <t>Tewkesbury</t>
  </si>
  <si>
    <t>Thame Swimming Club</t>
  </si>
  <si>
    <t>TAMS</t>
  </si>
  <si>
    <t>Thame</t>
  </si>
  <si>
    <t>Stock Exchange SC</t>
  </si>
  <si>
    <t>STXL</t>
  </si>
  <si>
    <t>Thanet Swim Club</t>
  </si>
  <si>
    <t>THAS</t>
  </si>
  <si>
    <t>Thanet Swim</t>
  </si>
  <si>
    <t>The Royal Wolverhampton School SC</t>
  </si>
  <si>
    <t>RWSM</t>
  </si>
  <si>
    <t>Royal Wolv</t>
  </si>
  <si>
    <t>The Swim Easy Club</t>
  </si>
  <si>
    <t>ESYX</t>
  </si>
  <si>
    <t>Swim Easy</t>
  </si>
  <si>
    <t>The University Of Birmingham</t>
  </si>
  <si>
    <t>BIUM</t>
  </si>
  <si>
    <t>Birm'ham Uni</t>
  </si>
  <si>
    <t>Thetford Dolphins SC</t>
  </si>
  <si>
    <t>THDT</t>
  </si>
  <si>
    <t>Thetford</t>
  </si>
  <si>
    <t>Thirsk White Horse Swim Team</t>
  </si>
  <si>
    <t>TWHE</t>
  </si>
  <si>
    <t>Thirsk WH</t>
  </si>
  <si>
    <t>Thornaby SC</t>
  </si>
  <si>
    <t>THOE</t>
  </si>
  <si>
    <t>Thornaby</t>
  </si>
  <si>
    <t>Thurrock Swimming Club</t>
  </si>
  <si>
    <t>THUT</t>
  </si>
  <si>
    <t>Thurrock</t>
  </si>
  <si>
    <t>Thurso ASC</t>
  </si>
  <si>
    <t>NTOX</t>
  </si>
  <si>
    <t>Thurso</t>
  </si>
  <si>
    <t>Tidworth Congers ASC</t>
  </si>
  <si>
    <t>SWCW</t>
  </si>
  <si>
    <t>Tidworth C</t>
  </si>
  <si>
    <t>Tigers SC (Jersey) Ltd</t>
  </si>
  <si>
    <t>TIGS</t>
  </si>
  <si>
    <t>TigersJersey</t>
  </si>
  <si>
    <t>Tigersharks</t>
  </si>
  <si>
    <t>THAW</t>
  </si>
  <si>
    <t>TigersharksW</t>
  </si>
  <si>
    <t>Tilehurst SC</t>
  </si>
  <si>
    <t>TILS</t>
  </si>
  <si>
    <t>Tilehurst</t>
  </si>
  <si>
    <t>Tiverton SC</t>
  </si>
  <si>
    <t>TIVW</t>
  </si>
  <si>
    <t>Tiverton</t>
  </si>
  <si>
    <t>Tiverton Water Polo Club</t>
  </si>
  <si>
    <t>TIWW</t>
  </si>
  <si>
    <t>Tiverton WPC</t>
  </si>
  <si>
    <t>Tonbridge SC</t>
  </si>
  <si>
    <t>TONS</t>
  </si>
  <si>
    <t>Tonbridge</t>
  </si>
  <si>
    <t>Sub 160 Masters (Colne)</t>
  </si>
  <si>
    <t>SMCN</t>
  </si>
  <si>
    <t>Torfaen Dolphins Performance</t>
  </si>
  <si>
    <t>TDOY</t>
  </si>
  <si>
    <t>Torfaen D</t>
  </si>
  <si>
    <t>Sudbury &amp; District SC</t>
  </si>
  <si>
    <t>SUDT</t>
  </si>
  <si>
    <t>Torquay Leander SC</t>
  </si>
  <si>
    <t>TQLW</t>
  </si>
  <si>
    <t>Torquay</t>
  </si>
  <si>
    <t>Suffolk ASA</t>
  </si>
  <si>
    <t>Torridgeside SC</t>
  </si>
  <si>
    <t>TORW</t>
  </si>
  <si>
    <t>Torridgeside</t>
  </si>
  <si>
    <t>Totnes SC</t>
  </si>
  <si>
    <t>TOTW</t>
  </si>
  <si>
    <t>Totnes</t>
  </si>
  <si>
    <t>Tower Hamlets SC</t>
  </si>
  <si>
    <t>TOWL</t>
  </si>
  <si>
    <t>Tower Hamlet</t>
  </si>
  <si>
    <t>Sunderland Gateway</t>
  </si>
  <si>
    <t>SUGE</t>
  </si>
  <si>
    <t>Trafford Artistic Swimming Club</t>
  </si>
  <si>
    <t>TSSN</t>
  </si>
  <si>
    <t>Trafford Syn</t>
  </si>
  <si>
    <t>Trafford Metro Bor SC</t>
  </si>
  <si>
    <t>TMBN</t>
  </si>
  <si>
    <t>Trafford Met</t>
  </si>
  <si>
    <t>Tranent ASC</t>
  </si>
  <si>
    <t>ETTX</t>
  </si>
  <si>
    <t>Tranent</t>
  </si>
  <si>
    <t>Transplant Sport SC</t>
  </si>
  <si>
    <t>TPSE</t>
  </si>
  <si>
    <t>TransplantSC</t>
  </si>
  <si>
    <t>Sussex Seahawks Swim Team</t>
  </si>
  <si>
    <t>SHKS</t>
  </si>
  <si>
    <t>Tredegar Torpedoes</t>
  </si>
  <si>
    <t>TREY</t>
  </si>
  <si>
    <t>Tredegar</t>
  </si>
  <si>
    <t>Sussex Squids</t>
  </si>
  <si>
    <t>SUSS</t>
  </si>
  <si>
    <t>Trident Swimming Club of East Devon, West Dorset and South Somerset</t>
  </si>
  <si>
    <t>Trident</t>
  </si>
  <si>
    <t>Tring Swimming Club</t>
  </si>
  <si>
    <t>TRIT</t>
  </si>
  <si>
    <t>Tring</t>
  </si>
  <si>
    <t>Sutton Atlantis SC</t>
  </si>
  <si>
    <t>SATL</t>
  </si>
  <si>
    <t>TriSudbury</t>
  </si>
  <si>
    <t>TRST</t>
  </si>
  <si>
    <t>Trojan ASC</t>
  </si>
  <si>
    <t>ETNX</t>
  </si>
  <si>
    <t>Trojan</t>
  </si>
  <si>
    <t>Trowbridge ASC</t>
  </si>
  <si>
    <t>TROW</t>
  </si>
  <si>
    <t>Trowbridge</t>
  </si>
  <si>
    <t>Swansea BUCS</t>
  </si>
  <si>
    <t>SWBY</t>
  </si>
  <si>
    <t>WARY</t>
  </si>
  <si>
    <t>Truro City SC</t>
  </si>
  <si>
    <t>TRUW</t>
  </si>
  <si>
    <t>Truro City</t>
  </si>
  <si>
    <t>Tudor Grange Learn to Dive</t>
  </si>
  <si>
    <t>TGLM</t>
  </si>
  <si>
    <t>Tudor Grange</t>
  </si>
  <si>
    <t>Tunbridge Wells Diving Club</t>
  </si>
  <si>
    <t>TWDS</t>
  </si>
  <si>
    <t>Tbridge W DC</t>
  </si>
  <si>
    <t>Turtles Of South London SC</t>
  </si>
  <si>
    <t>TURL</t>
  </si>
  <si>
    <t>Turtles</t>
  </si>
  <si>
    <t>Swim Easy Jersey</t>
  </si>
  <si>
    <t>SEJS</t>
  </si>
  <si>
    <t>Tyldesley Swimming Club</t>
  </si>
  <si>
    <t>TYLN</t>
  </si>
  <si>
    <t>Tyldesley</t>
  </si>
  <si>
    <t>Tynedale SC</t>
  </si>
  <si>
    <t>TYNE</t>
  </si>
  <si>
    <t>Tynedale</t>
  </si>
  <si>
    <t>Tynemouth Diving Club</t>
  </si>
  <si>
    <t>TDCE</t>
  </si>
  <si>
    <t>Tynemouth DC</t>
  </si>
  <si>
    <t>Tynemouth SC</t>
  </si>
  <si>
    <t>TYME</t>
  </si>
  <si>
    <t>Tynemouth</t>
  </si>
  <si>
    <t>Ullapool Swimming Club</t>
  </si>
  <si>
    <t>NULX</t>
  </si>
  <si>
    <t>Ullapool SC</t>
  </si>
  <si>
    <t>Ulverston SC</t>
  </si>
  <si>
    <t>ULVN</t>
  </si>
  <si>
    <t>Ulverston</t>
  </si>
  <si>
    <t>Swimability SC</t>
  </si>
  <si>
    <t>SWDN</t>
  </si>
  <si>
    <t>Unattached</t>
  </si>
  <si>
    <t>UNAX</t>
  </si>
  <si>
    <t>SwimExcell Esher SC</t>
  </si>
  <si>
    <t>SEES</t>
  </si>
  <si>
    <t>University of Aberdeen Performance Swimming</t>
  </si>
  <si>
    <t>NUAX</t>
  </si>
  <si>
    <t>UoAPS</t>
  </si>
  <si>
    <t>Swindon Area Masters</t>
  </si>
  <si>
    <t>SAMW</t>
  </si>
  <si>
    <t>University of Bath SC</t>
  </si>
  <si>
    <t>BAUW</t>
  </si>
  <si>
    <t>Bath Univ</t>
  </si>
  <si>
    <t>University of Bath WPC</t>
  </si>
  <si>
    <t>UBWW</t>
  </si>
  <si>
    <t>Bath Uni WP</t>
  </si>
  <si>
    <t>University of Bristol SC</t>
  </si>
  <si>
    <t>BRUW</t>
  </si>
  <si>
    <t>Bristol Univ</t>
  </si>
  <si>
    <t>University of East Anglia Swimming &amp; Water Polo Club</t>
  </si>
  <si>
    <t>UEAT</t>
  </si>
  <si>
    <t>UEA S&amp;WPC</t>
  </si>
  <si>
    <t>SX3 Swindon Swim Squad</t>
  </si>
  <si>
    <t>SXSW</t>
  </si>
  <si>
    <t>University of Nottingham SC</t>
  </si>
  <si>
    <t>UONA</t>
  </si>
  <si>
    <t>Uni of Nott</t>
  </si>
  <si>
    <t>Tadcaster Swim Squad</t>
  </si>
  <si>
    <t>University Of Stirling</t>
  </si>
  <si>
    <t>WUSX</t>
  </si>
  <si>
    <t>UniOfStirl</t>
  </si>
  <si>
    <t>University of Stirling Water Polo Club</t>
  </si>
  <si>
    <t>WSUX</t>
  </si>
  <si>
    <t>Stirl Uni WP</t>
  </si>
  <si>
    <t>University of Surrey Swimming Club</t>
  </si>
  <si>
    <t>SUNS</t>
  </si>
  <si>
    <t>SurreyUni SC</t>
  </si>
  <si>
    <t>Upper Deeside ASC</t>
  </si>
  <si>
    <t>NUDX</t>
  </si>
  <si>
    <t>Upper Deesid</t>
  </si>
  <si>
    <t>Taunton Asthmatic SC</t>
  </si>
  <si>
    <t>TAAW</t>
  </si>
  <si>
    <t>Verulam ASC</t>
  </si>
  <si>
    <t>VERT</t>
  </si>
  <si>
    <t>Verulam</t>
  </si>
  <si>
    <t>Visions Swim Academy</t>
  </si>
  <si>
    <t>WVSX</t>
  </si>
  <si>
    <t>Visions SA</t>
  </si>
  <si>
    <t>Wales Region</t>
  </si>
  <si>
    <t>Wallasey SC</t>
  </si>
  <si>
    <t>WALN</t>
  </si>
  <si>
    <t>Wallasey</t>
  </si>
  <si>
    <t>Team Anglia Swimming Club</t>
  </si>
  <si>
    <t>Walsall Artistic Swimming Club</t>
  </si>
  <si>
    <t>WASM</t>
  </si>
  <si>
    <t>Walsall Art</t>
  </si>
  <si>
    <t>Walsall Learn to Dive</t>
  </si>
  <si>
    <t>WLTM</t>
  </si>
  <si>
    <t>Walsall L2D</t>
  </si>
  <si>
    <t>Walsall Swim and Water Polo Club</t>
  </si>
  <si>
    <t>WALM</t>
  </si>
  <si>
    <t>Walsall</t>
  </si>
  <si>
    <t>Waltham Forest Diving Club</t>
  </si>
  <si>
    <t>WFDL</t>
  </si>
  <si>
    <t>Waltham DC</t>
  </si>
  <si>
    <t>Wandsworth SC</t>
  </si>
  <si>
    <t>WANL</t>
  </si>
  <si>
    <t>Wandsworth</t>
  </si>
  <si>
    <t>Team Mercia</t>
  </si>
  <si>
    <t>TEMM</t>
  </si>
  <si>
    <t>Wantage White Horses</t>
  </si>
  <si>
    <t>WWWS</t>
  </si>
  <si>
    <t>Wantage</t>
  </si>
  <si>
    <t>Team Northumbria Water Polo Club</t>
  </si>
  <si>
    <t>NUWE</t>
  </si>
  <si>
    <t>Wantage Youth SC</t>
  </si>
  <si>
    <t>WAYS</t>
  </si>
  <si>
    <t>Wantage Yth</t>
  </si>
  <si>
    <t>Ware SC</t>
  </si>
  <si>
    <t>WART</t>
  </si>
  <si>
    <t>Ware</t>
  </si>
  <si>
    <t>Wareham &amp; District SC</t>
  </si>
  <si>
    <t>WARW</t>
  </si>
  <si>
    <t>Wareham</t>
  </si>
  <si>
    <t>Warley Wasps SC</t>
  </si>
  <si>
    <t>WAWM</t>
  </si>
  <si>
    <t>Warley Wasps</t>
  </si>
  <si>
    <t>Warminster &amp; District ASC</t>
  </si>
  <si>
    <t>WAMW</t>
  </si>
  <si>
    <t>Warminster</t>
  </si>
  <si>
    <t>Warrender Baths Club</t>
  </si>
  <si>
    <t>EWBX</t>
  </si>
  <si>
    <t>Warrender Ba</t>
  </si>
  <si>
    <t>Warrington Masters Swimming Club</t>
  </si>
  <si>
    <t>WMSN</t>
  </si>
  <si>
    <t>Warrington M</t>
  </si>
  <si>
    <t>Warrington Swimming Club</t>
  </si>
  <si>
    <t>WARN</t>
  </si>
  <si>
    <t>Warrington</t>
  </si>
  <si>
    <t>Warrington Warriors SC</t>
  </si>
  <si>
    <t>WOWN</t>
  </si>
  <si>
    <t>Warrington W</t>
  </si>
  <si>
    <t>Warwick University SC</t>
  </si>
  <si>
    <t>WAUM</t>
  </si>
  <si>
    <t>Warwick Uni</t>
  </si>
  <si>
    <t>Warwick Water Polo Club</t>
  </si>
  <si>
    <t>WARM</t>
  </si>
  <si>
    <t>Warwick WP</t>
  </si>
  <si>
    <t>Warwickshire ASA</t>
  </si>
  <si>
    <t>Warwicks</t>
  </si>
  <si>
    <t>Washington Aquatics SC</t>
  </si>
  <si>
    <t>WAQE</t>
  </si>
  <si>
    <t>Washington</t>
  </si>
  <si>
    <t>Watford SC</t>
  </si>
  <si>
    <t>WATT</t>
  </si>
  <si>
    <t>Watford Water Polo Club</t>
  </si>
  <si>
    <t>WPOT</t>
  </si>
  <si>
    <t>Watford WPC</t>
  </si>
  <si>
    <t>Wear Valley SC</t>
  </si>
  <si>
    <t>WEVE</t>
  </si>
  <si>
    <t>Wear Valley</t>
  </si>
  <si>
    <t>Thorne Tigers</t>
  </si>
  <si>
    <t>THTE</t>
  </si>
  <si>
    <t>Wellingborough SC</t>
  </si>
  <si>
    <t>WELA</t>
  </si>
  <si>
    <t>Wellingboro</t>
  </si>
  <si>
    <t>Wellington</t>
  </si>
  <si>
    <t>WLNW</t>
  </si>
  <si>
    <t>Wellington W</t>
  </si>
  <si>
    <t>Wellington (Telford) SC</t>
  </si>
  <si>
    <t>WTNM</t>
  </si>
  <si>
    <t>Wellington M</t>
  </si>
  <si>
    <t>Wells Swimming Club</t>
  </si>
  <si>
    <t>WELW</t>
  </si>
  <si>
    <t>Wells SC</t>
  </si>
  <si>
    <t>Tigershark Swim Squad</t>
  </si>
  <si>
    <t>TSSL</t>
  </si>
  <si>
    <t>Welsh Individual Member</t>
  </si>
  <si>
    <t>INDY</t>
  </si>
  <si>
    <t>Welsh Ind</t>
  </si>
  <si>
    <t>Welsh Wanderers</t>
  </si>
  <si>
    <t>WWPY</t>
  </si>
  <si>
    <t>Welsh Wand</t>
  </si>
  <si>
    <t>Welshpool</t>
  </si>
  <si>
    <t>WELY</t>
  </si>
  <si>
    <t>Tisbury ASC</t>
  </si>
  <si>
    <t>TISW</t>
  </si>
  <si>
    <t>Welwyn Garden SC</t>
  </si>
  <si>
    <t>WELT</t>
  </si>
  <si>
    <t>WelwynGarden</t>
  </si>
  <si>
    <t>West Dorset SC</t>
  </si>
  <si>
    <t>WDOW</t>
  </si>
  <si>
    <t>West Dorset</t>
  </si>
  <si>
    <t>Todmorden SC</t>
  </si>
  <si>
    <t>TODE</t>
  </si>
  <si>
    <t>West Dunbartonshire ASC</t>
  </si>
  <si>
    <t>WDDX</t>
  </si>
  <si>
    <t>West Dunbart</t>
  </si>
  <si>
    <t>West Kirby ASC</t>
  </si>
  <si>
    <t>WEKN</t>
  </si>
  <si>
    <t>West Kirby</t>
  </si>
  <si>
    <t>West London Penguin Swimming &amp; Water Polo Club</t>
  </si>
  <si>
    <t>HAPL</t>
  </si>
  <si>
    <t>W Lon Pengu</t>
  </si>
  <si>
    <t>Tornadoes of South Dorset</t>
  </si>
  <si>
    <t>THTW</t>
  </si>
  <si>
    <t>West Midland Region</t>
  </si>
  <si>
    <t>WESM</t>
  </si>
  <si>
    <t>W M Region</t>
  </si>
  <si>
    <t>West Norfolk Swimming Club</t>
  </si>
  <si>
    <t>KLWT</t>
  </si>
  <si>
    <t>West Norfolk</t>
  </si>
  <si>
    <t>West Suffolk Swimming Club</t>
  </si>
  <si>
    <t>WSUT</t>
  </si>
  <si>
    <t>West Suffolk</t>
  </si>
  <si>
    <t>West Wight SC</t>
  </si>
  <si>
    <t>WEWS</t>
  </si>
  <si>
    <t>West Wight</t>
  </si>
  <si>
    <t>West Wilts Diving Club</t>
  </si>
  <si>
    <t>WWDW</t>
  </si>
  <si>
    <t>WWilts DC</t>
  </si>
  <si>
    <t>TR1 Swim</t>
  </si>
  <si>
    <t>TRSW</t>
  </si>
  <si>
    <t>Westbury ASC</t>
  </si>
  <si>
    <t>WESW</t>
  </si>
  <si>
    <t>Westbury</t>
  </si>
  <si>
    <t>Western Baths WPC</t>
  </si>
  <si>
    <t>WABX</t>
  </si>
  <si>
    <t>Western Bath</t>
  </si>
  <si>
    <t>Trafford Synchro SC</t>
  </si>
  <si>
    <t>Westhill District ASC</t>
  </si>
  <si>
    <t>NWDX</t>
  </si>
  <si>
    <t>Westhill</t>
  </si>
  <si>
    <t>Westminster Tiburones SC</t>
  </si>
  <si>
    <t>WTIL</t>
  </si>
  <si>
    <t>WestminsterT</t>
  </si>
  <si>
    <t>Weston-Super-Mare SC</t>
  </si>
  <si>
    <t>WSMW</t>
  </si>
  <si>
    <t>Weston S M</t>
  </si>
  <si>
    <t>Westside Sharks Swimming Club</t>
  </si>
  <si>
    <t>NWSX</t>
  </si>
  <si>
    <t>Wside Sharks</t>
  </si>
  <si>
    <t>Wetherby SC</t>
  </si>
  <si>
    <t>WETE</t>
  </si>
  <si>
    <t>Wetherby</t>
  </si>
  <si>
    <t>Wey Valley SC</t>
  </si>
  <si>
    <t>WEYS</t>
  </si>
  <si>
    <t>Wey Valley</t>
  </si>
  <si>
    <t>Weymouth &amp; Portland WPC</t>
  </si>
  <si>
    <t>WPWW</t>
  </si>
  <si>
    <t>Weymouth WP</t>
  </si>
  <si>
    <t>Weymouth SC</t>
  </si>
  <si>
    <t>WEYW</t>
  </si>
  <si>
    <t>Weymouth</t>
  </si>
  <si>
    <t>Weyport Masters SC</t>
  </si>
  <si>
    <t>WEOW</t>
  </si>
  <si>
    <t>Weyport Mas</t>
  </si>
  <si>
    <t>Whalsay ASC</t>
  </si>
  <si>
    <t>NWYX</t>
  </si>
  <si>
    <t>Whalsay</t>
  </si>
  <si>
    <t>Whitby Seals SC</t>
  </si>
  <si>
    <t>WHTE</t>
  </si>
  <si>
    <t>Whitby</t>
  </si>
  <si>
    <t>White Cliffs (of Dover) Swimming Club</t>
  </si>
  <si>
    <t>WCDS</t>
  </si>
  <si>
    <t>White Cliffs</t>
  </si>
  <si>
    <t>White Oak SC</t>
  </si>
  <si>
    <t>WHIS</t>
  </si>
  <si>
    <t>White Oak</t>
  </si>
  <si>
    <t>Whitgift Swimming Club</t>
  </si>
  <si>
    <t>WHSL</t>
  </si>
  <si>
    <t>Whitgift SC</t>
  </si>
  <si>
    <t>Whittlesey SC</t>
  </si>
  <si>
    <t>WSCT</t>
  </si>
  <si>
    <t>Whittlesey</t>
  </si>
  <si>
    <t>Wick ASC</t>
  </si>
  <si>
    <t>NWKX</t>
  </si>
  <si>
    <t>Wick</t>
  </si>
  <si>
    <t>United Bristol Swimming Club</t>
  </si>
  <si>
    <t>UBSW</t>
  </si>
  <si>
    <t>Wigan Best SC</t>
  </si>
  <si>
    <t>WBEN</t>
  </si>
  <si>
    <t>Wigan BEST</t>
  </si>
  <si>
    <t>Wigan SC</t>
  </si>
  <si>
    <t>WIGN</t>
  </si>
  <si>
    <t>Wigan</t>
  </si>
  <si>
    <t>Wildern Waves</t>
  </si>
  <si>
    <t>WWAS</t>
  </si>
  <si>
    <t>WildernWaves</t>
  </si>
  <si>
    <t>Wilmslow &amp; District ASC</t>
  </si>
  <si>
    <t>WILN</t>
  </si>
  <si>
    <t>Wilmslow</t>
  </si>
  <si>
    <t>Wiltshire ASA</t>
  </si>
  <si>
    <t>Wiltshire</t>
  </si>
  <si>
    <t>Wimbledon Dolphins SC</t>
  </si>
  <si>
    <t>WMBL</t>
  </si>
  <si>
    <t>Wimb Dolphs</t>
  </si>
  <si>
    <t>Wincanton SC</t>
  </si>
  <si>
    <t>WINW</t>
  </si>
  <si>
    <t>Wincanton</t>
  </si>
  <si>
    <t>Winchester City Penguins</t>
  </si>
  <si>
    <t>WCPS</t>
  </si>
  <si>
    <t>Winchester</t>
  </si>
  <si>
    <t>Winchester Water Polo Club</t>
  </si>
  <si>
    <t>WIWS</t>
  </si>
  <si>
    <t>Wchester WP</t>
  </si>
  <si>
    <t>Upper Wharfedale SC</t>
  </si>
  <si>
    <t>UWDE</t>
  </si>
  <si>
    <t>Windsor &amp; Maidenhead StarFish SC</t>
  </si>
  <si>
    <t>WMSS</t>
  </si>
  <si>
    <t>WindsorMStar</t>
  </si>
  <si>
    <t>Windsor SC</t>
  </si>
  <si>
    <t>WINS</t>
  </si>
  <si>
    <t>Windsor</t>
  </si>
  <si>
    <t>Wakefield Kingfisher SC</t>
  </si>
  <si>
    <t>WKKE</t>
  </si>
  <si>
    <t>Winsford Swimming Club</t>
  </si>
  <si>
    <t>WINN</t>
  </si>
  <si>
    <t>Winsford</t>
  </si>
  <si>
    <t>Wirral Metro SC</t>
  </si>
  <si>
    <t>WIMN</t>
  </si>
  <si>
    <t>Wirral Metro</t>
  </si>
  <si>
    <t>Wisbech Swimming Club</t>
  </si>
  <si>
    <t>WIST</t>
  </si>
  <si>
    <t>Wisbech</t>
  </si>
  <si>
    <t>Witham Dolphins SC</t>
  </si>
  <si>
    <t>WITT</t>
  </si>
  <si>
    <t>Witham Dolph</t>
  </si>
  <si>
    <t>Walsall Synchronised SC</t>
  </si>
  <si>
    <t>Withnell SC</t>
  </si>
  <si>
    <t>WITN</t>
  </si>
  <si>
    <t>Withnell</t>
  </si>
  <si>
    <t>Witney &amp; District SC</t>
  </si>
  <si>
    <t>WITS</t>
  </si>
  <si>
    <t>Witney</t>
  </si>
  <si>
    <t>Waltham Forest Dolphins Disabled SC</t>
  </si>
  <si>
    <t>WDOL</t>
  </si>
  <si>
    <t>Witney Water Polo Club</t>
  </si>
  <si>
    <t>WWPS</t>
  </si>
  <si>
    <t>Witney WPC</t>
  </si>
  <si>
    <t>Walthamstow Tritons</t>
  </si>
  <si>
    <t>WATL</t>
  </si>
  <si>
    <t>Woking SC</t>
  </si>
  <si>
    <t>WOKS</t>
  </si>
  <si>
    <t>Woking</t>
  </si>
  <si>
    <t>Wolverhampton SC</t>
  </si>
  <si>
    <t>WLVM</t>
  </si>
  <si>
    <t>Wolv'hampton</t>
  </si>
  <si>
    <t>Wombourne SC</t>
  </si>
  <si>
    <t>WOMM</t>
  </si>
  <si>
    <t>Wombourne</t>
  </si>
  <si>
    <t>Woodchurch SC</t>
  </si>
  <si>
    <t>WOON</t>
  </si>
  <si>
    <t>Woodchurch</t>
  </si>
  <si>
    <t>Woodhall Sharks SC</t>
  </si>
  <si>
    <t>WOSA</t>
  </si>
  <si>
    <t>Woodhall</t>
  </si>
  <si>
    <t>Wareham SC</t>
  </si>
  <si>
    <t>Woodham Ferrers Swimming Club</t>
  </si>
  <si>
    <t>WOFT</t>
  </si>
  <si>
    <t>Woodham F SC</t>
  </si>
  <si>
    <t>Woodside &amp; Thornton Heath SC</t>
  </si>
  <si>
    <t>WOOL</t>
  </si>
  <si>
    <t>Woodside Th</t>
  </si>
  <si>
    <t>Woolton SC</t>
  </si>
  <si>
    <t>WSCN</t>
  </si>
  <si>
    <t>Woolton</t>
  </si>
  <si>
    <t>Worcester County ASA</t>
  </si>
  <si>
    <t>Worcs</t>
  </si>
  <si>
    <t>Warrington Dolphins L.D.</t>
  </si>
  <si>
    <t>WADN</t>
  </si>
  <si>
    <t>Worcester Crocodiles</t>
  </si>
  <si>
    <t>WCRM</t>
  </si>
  <si>
    <t>Worcester Cr</t>
  </si>
  <si>
    <t>Worcester SC</t>
  </si>
  <si>
    <t>WORM</t>
  </si>
  <si>
    <t>Worcester</t>
  </si>
  <si>
    <t>Workington SC</t>
  </si>
  <si>
    <t>WORN</t>
  </si>
  <si>
    <t>Workington</t>
  </si>
  <si>
    <t>Worksop Dolphins SC</t>
  </si>
  <si>
    <t>WOKA</t>
  </si>
  <si>
    <t>Worksop</t>
  </si>
  <si>
    <t>Worsley SC</t>
  </si>
  <si>
    <t>WSYN</t>
  </si>
  <si>
    <t>Worsley</t>
  </si>
  <si>
    <t>Worthing Swimming Club</t>
  </si>
  <si>
    <t>WORS</t>
  </si>
  <si>
    <t>Worthing SC</t>
  </si>
  <si>
    <t>Wrekin SC</t>
  </si>
  <si>
    <t>WCOM</t>
  </si>
  <si>
    <t>Wrexham</t>
  </si>
  <si>
    <t>WREY</t>
  </si>
  <si>
    <t>Wrexham Aquatics</t>
  </si>
  <si>
    <t>WRAY</t>
  </si>
  <si>
    <t>Wrexham Aqua</t>
  </si>
  <si>
    <t>Wycombe District SC</t>
  </si>
  <si>
    <t>WYCS</t>
  </si>
  <si>
    <t>Wycombe Dist</t>
  </si>
  <si>
    <t>Wyndley Learn to Dive</t>
  </si>
  <si>
    <t>WLDM</t>
  </si>
  <si>
    <t>Wyndley L2D</t>
  </si>
  <si>
    <t>Wednesbury SC</t>
  </si>
  <si>
    <t>WEDM</t>
  </si>
  <si>
    <t>Wyre Forest SC</t>
  </si>
  <si>
    <t>WYRM</t>
  </si>
  <si>
    <t>Wyre Forest</t>
  </si>
  <si>
    <t>Wednesbury WP Club</t>
  </si>
  <si>
    <t>WWPM</t>
  </si>
  <si>
    <t>Wythenshawe SC</t>
  </si>
  <si>
    <t>WYTN</t>
  </si>
  <si>
    <t>Wythenshawe</t>
  </si>
  <si>
    <t>Y.A.A.B.A ASC</t>
  </si>
  <si>
    <t>MYAX</t>
  </si>
  <si>
    <t>Y.A.A.B.A.</t>
  </si>
  <si>
    <t>Yeovil District SC</t>
  </si>
  <si>
    <t>YEOW</t>
  </si>
  <si>
    <t>Yeovil</t>
  </si>
  <si>
    <t>York City Baths Club</t>
  </si>
  <si>
    <t>YCBE</t>
  </si>
  <si>
    <t>York City</t>
  </si>
  <si>
    <t>Yorkshire SA</t>
  </si>
  <si>
    <t>Yorkshire</t>
  </si>
  <si>
    <t>Ythan ASC</t>
  </si>
  <si>
    <t>NYNX</t>
  </si>
  <si>
    <t>Ythan</t>
  </si>
  <si>
    <t>Derby Excel</t>
  </si>
  <si>
    <t>Wessex Diving Club</t>
  </si>
  <si>
    <t>WXDW</t>
  </si>
  <si>
    <t>West Midlands Police SC</t>
  </si>
  <si>
    <t>WMPM</t>
  </si>
  <si>
    <t>West Wilts Force Five</t>
  </si>
  <si>
    <t>WFFW</t>
  </si>
  <si>
    <t>WWBX</t>
  </si>
  <si>
    <t>Western SC</t>
  </si>
  <si>
    <t>WESN</t>
  </si>
  <si>
    <t>Whitchurch SC</t>
  </si>
  <si>
    <t>WHTM</t>
  </si>
  <si>
    <t>Whitley Bay SC</t>
  </si>
  <si>
    <t>WHBE</t>
  </si>
  <si>
    <t>Wimbledon &amp; Merton SC</t>
  </si>
  <si>
    <t>WIML</t>
  </si>
  <si>
    <t>Wirral Evolutions Aqua Club</t>
  </si>
  <si>
    <t>WEAN</t>
  </si>
  <si>
    <t>Witney &amp; District Synchronised SC</t>
  </si>
  <si>
    <t>Wolverhampton Masters SC</t>
  </si>
  <si>
    <t>WVHM</t>
  </si>
  <si>
    <t>Wrekin College SC</t>
  </si>
  <si>
    <t>Wroughton ASC</t>
  </si>
  <si>
    <t>WROW</t>
  </si>
  <si>
    <t>Y Swim</t>
  </si>
  <si>
    <t>YMCL</t>
  </si>
  <si>
    <t>YMCA Lytham St Annes SC</t>
  </si>
  <si>
    <t>York Sport Swim Club</t>
  </si>
  <si>
    <t>YSSE</t>
  </si>
  <si>
    <t>York Triathlon Club</t>
  </si>
  <si>
    <t>YTCE</t>
  </si>
  <si>
    <t>York SynchroniCity SC</t>
  </si>
  <si>
    <t>YSCE</t>
  </si>
  <si>
    <t>Yorkshire Otters Coaching Club</t>
  </si>
  <si>
    <t>YOCE</t>
  </si>
  <si>
    <t>Gala Setup</t>
  </si>
  <si>
    <t>Gala Recording</t>
  </si>
  <si>
    <t>Check a 
Swimmer</t>
  </si>
  <si>
    <t>Final 
Result</t>
  </si>
  <si>
    <r>
      <rPr>
        <b/>
        <sz val="12"/>
        <rFont val="Arial"/>
        <family val="2"/>
        <charset val="1"/>
      </rPr>
      <t xml:space="preserve">Team sheets
</t>
    </r>
    <r>
      <rPr>
        <b/>
        <sz val="12"/>
        <rFont val="Calibri"/>
        <family val="2"/>
        <charset val="1"/>
      </rPr>
      <t>↓</t>
    </r>
  </si>
  <si>
    <r>
      <rPr>
        <b/>
        <sz val="36"/>
        <rFont val="Arial"/>
        <family val="2"/>
        <charset val="1"/>
      </rPr>
      <t xml:space="preserve">     Lane Timer sheets are now  
  required at Arena League Galas
</t>
    </r>
    <r>
      <rPr>
        <b/>
        <sz val="14"/>
        <rFont val="Arial"/>
        <family val="2"/>
        <charset val="1"/>
      </rPr>
      <t xml:space="preserve">1. Ensure that you have processed any team changes before printing out these sheets.   
2. Now - From this page, Press - Ctrl+P on the keyboard.
3. The default setting is for 10 lanes, with 2 pages per lane 20 pages, so please select
     the number of pages to  equal the number of lanes in use. 
                                                                  </t>
    </r>
    <r>
      <rPr>
        <b/>
        <u/>
        <sz val="14"/>
        <rFont val="Arial"/>
        <family val="2"/>
        <charset val="1"/>
      </rPr>
      <t xml:space="preserve">Examples
</t>
    </r>
    <r>
      <rPr>
        <b/>
        <sz val="14"/>
        <rFont val="Arial"/>
        <family val="2"/>
        <charset val="1"/>
      </rPr>
      <t xml:space="preserve">                                                           6 lanes = pages 1 - 12 
                                                           8 lanes = pages 1 - 16
</t>
    </r>
    <r>
      <rPr>
        <b/>
        <i/>
        <u/>
        <sz val="12"/>
        <color rgb="FFF70314"/>
        <rFont val="Arial"/>
        <family val="2"/>
        <charset val="1"/>
      </rPr>
      <t xml:space="preserve">
</t>
    </r>
    <r>
      <rPr>
        <b/>
        <i/>
        <sz val="12"/>
        <color rgb="FFF70314"/>
        <rFont val="Arial"/>
        <family val="2"/>
        <charset val="1"/>
      </rPr>
      <t xml:space="preserve">                                                                            </t>
    </r>
    <r>
      <rPr>
        <b/>
        <i/>
        <sz val="14"/>
        <color rgb="FFF70314"/>
        <rFont val="Arial"/>
        <family val="2"/>
        <charset val="1"/>
      </rPr>
      <t>Please note</t>
    </r>
    <r>
      <rPr>
        <b/>
        <i/>
        <sz val="12"/>
        <color rgb="FFF70314"/>
        <rFont val="Arial"/>
        <family val="2"/>
        <charset val="1"/>
      </rPr>
      <t xml:space="preserve"> 
                              </t>
    </r>
    <r>
      <rPr>
        <b/>
        <i/>
        <sz val="12"/>
        <rFont val="Arial"/>
        <family val="2"/>
        <charset val="1"/>
      </rPr>
      <t xml:space="preserve">Only 1 copy should be selected, as that will print 1 copy of each lane.
</t>
    </r>
    <r>
      <rPr>
        <sz val="18"/>
        <rFont val="Arial"/>
        <family val="2"/>
        <charset val="1"/>
      </rPr>
      <t xml:space="preserve">
</t>
    </r>
    <r>
      <rPr>
        <b/>
        <sz val="14"/>
        <rFont val="Arial"/>
        <family val="2"/>
        <charset val="1"/>
      </rPr>
      <t xml:space="preserve">        Hand the printed sheets to the Referee who will issue them to the timekeepers.</t>
    </r>
    <r>
      <rPr>
        <sz val="18"/>
        <rFont val="Arial"/>
        <family val="2"/>
        <charset val="1"/>
      </rPr>
      <t xml:space="preserve"> 
</t>
    </r>
  </si>
  <si>
    <t>Events</t>
  </si>
  <si>
    <t>Time</t>
  </si>
  <si>
    <t xml:space="preserve">LANE </t>
  </si>
  <si>
    <t>Female 16+ 200m IM</t>
  </si>
  <si>
    <t>Open/Male 16+ 200m IM</t>
  </si>
  <si>
    <t>Female 9/11 4 X 50M
FREESTYLE RELAY</t>
  </si>
  <si>
    <t>Open/Male 9/11 4 X 50M
FREESTYLE RELAY</t>
  </si>
  <si>
    <r>
      <rPr>
        <b/>
        <sz val="14"/>
        <rFont val="Calibri"/>
        <family val="2"/>
        <charset val="1"/>
      </rPr>
      <t xml:space="preserve">↑
</t>
    </r>
    <r>
      <rPr>
        <b/>
        <sz val="14"/>
        <rFont val="Arial"/>
        <family val="2"/>
        <charset val="1"/>
      </rPr>
      <t>Team sheets</t>
    </r>
  </si>
  <si>
    <t>Female 13/U 4 X 50M
MEDLEY RELAY</t>
  </si>
  <si>
    <t>Open/Male 13/U 4 X 50M
MEDLEY RELAY</t>
  </si>
  <si>
    <t>Female 15/U 4 X 50M
FREESTYLE RELAY</t>
  </si>
  <si>
    <t>Open/Male 15/U 4 X 50M
FREESTYLE RELAY</t>
  </si>
  <si>
    <t>Female 16+ 4 X 50M
MEDLEY RELAY</t>
  </si>
  <si>
    <t>Open/Male 16+ 4 X 50M
MEDLEY RELAY</t>
  </si>
  <si>
    <t>Female 10/11 50m Backstroke</t>
  </si>
  <si>
    <t>Open/Male 10/11 50m Backstroke</t>
  </si>
  <si>
    <t>Female 13/U 100m Breaststroke</t>
  </si>
  <si>
    <t>Open/Male 13/U 100m Breaststroke</t>
  </si>
  <si>
    <t>Female 15/U 100m Backstroke</t>
  </si>
  <si>
    <t>Open/Male 100m 15/U Backstroke</t>
  </si>
  <si>
    <t>Female 16+ 100m Butterfly</t>
  </si>
  <si>
    <t>Open/Male 16+ 100m Butterfly</t>
  </si>
  <si>
    <t>Female 10/11 50m Butterfly</t>
  </si>
  <si>
    <t>Open/Male 10/11 50m Butterfly</t>
  </si>
  <si>
    <t>Female 13/U 100m Backstroke</t>
  </si>
  <si>
    <t>Open/Male 13/U 100m Backstroke</t>
  </si>
  <si>
    <t>Female 15/U 100m Butterfly</t>
  </si>
  <si>
    <t>Male/Open 15/U 100m Butterfly</t>
  </si>
  <si>
    <t>Female 16+ 100m Backstroke</t>
  </si>
  <si>
    <t>Male/Open 16+ 100m Backstroke</t>
  </si>
  <si>
    <t>Female 10/11 50m Breaststroke</t>
  </si>
  <si>
    <t>Open/Male 10/11 50m Breaststroke</t>
  </si>
  <si>
    <t>Female 13/U 100m Butterfly</t>
  </si>
  <si>
    <t>Open/Male 13/U 100m Butterfly</t>
  </si>
  <si>
    <t>Female 15/U 100m Freestyle</t>
  </si>
  <si>
    <t>Open/Male 15/U 100m Freestyle</t>
  </si>
  <si>
    <t>Female 16+ 100m Breaststroke</t>
  </si>
  <si>
    <t>Open/Male 16+ 100m Breaststroke</t>
  </si>
  <si>
    <t>Female 10/11 50m Freestyle</t>
  </si>
  <si>
    <t>Open/Male10/11 50m Freestyle</t>
  </si>
  <si>
    <t>Female 13/U 100m Freestyle</t>
  </si>
  <si>
    <t>Open/Male 13/U 100m Freestyle</t>
  </si>
  <si>
    <t>Female 15/U 100m Breaststroke</t>
  </si>
  <si>
    <t>Open/Male 15/U 100m Breaststroke</t>
  </si>
  <si>
    <t>Female 16+ 100m Freestyle</t>
  </si>
  <si>
    <t>Open/Male 16+ 100m Freestyle</t>
  </si>
  <si>
    <t>Female 9/11 4 X 50M
MEDLEY RELAY</t>
  </si>
  <si>
    <t>Open/Male 9/11 4 X 50M
MEDLEY RELAY</t>
  </si>
  <si>
    <t>Female 13/U 4 X 50M
FREESTYLE RELAY</t>
  </si>
  <si>
    <t>Open/Male 13/U 4 X 50M
FREESTYLE RELAY</t>
  </si>
  <si>
    <t>Female 15/U 4 X 50M
MEDLEY RELAY</t>
  </si>
  <si>
    <t>Open/Male 15/U 4 X 50M
MEDLEY RELAY</t>
  </si>
  <si>
    <t>Female 16+ 4 X 50M
FREESTYLE RELAY</t>
  </si>
  <si>
    <t>Open/Male 16+ 4 X 50M
FREESTYLE RELAY</t>
  </si>
  <si>
    <t>SQUADRON RELAY 8 X 50M
1 MALE &amp; 1 FEMALE FROM EACH AGE GROUP
May swim in any order</t>
  </si>
  <si>
    <t>Todays date is</t>
  </si>
  <si>
    <t>License Number
(if applicable)</t>
  </si>
  <si>
    <t>National Arena Swimming League 
Gala Recording Sheet</t>
  </si>
  <si>
    <t>Please select the printout sheet relevant to your gala. 
There are 6 ,8 or 10 lane sheets to choose from</t>
  </si>
  <si>
    <t>Navigate the programme with  these links.</t>
  </si>
  <si>
    <t>→→</t>
  </si>
  <si>
    <t>Edit Team 1</t>
  </si>
  <si>
    <t>Edit Team 2</t>
  </si>
  <si>
    <t>Edit Team 3</t>
  </si>
  <si>
    <t>Edit Team 4</t>
  </si>
  <si>
    <t>Edit Team 5</t>
  </si>
  <si>
    <t>Edit Team 6</t>
  </si>
  <si>
    <t>Edit Team 7</t>
  </si>
  <si>
    <t>Edit Team 8</t>
  </si>
  <si>
    <t>Edit Team 9</t>
  </si>
  <si>
    <t>Edit Team 10</t>
  </si>
  <si>
    <t xml:space="preserve">Gala Set-up </t>
  </si>
  <si>
    <t>Eligibility</t>
  </si>
  <si>
    <t>Final result</t>
  </si>
  <si>
    <t>Printout
6 Lane</t>
  </si>
  <si>
    <t>Printout
8 Lane</t>
  </si>
  <si>
    <t>Printout
10 Lane</t>
  </si>
  <si>
    <t>Club Codes</t>
  </si>
  <si>
    <t>Rankings 
HDR File</t>
  </si>
  <si>
    <t>Rankings 
MRF File</t>
  </si>
  <si>
    <t>Place</t>
  </si>
  <si>
    <t>Club</t>
  </si>
  <si>
    <t>Points</t>
  </si>
  <si>
    <t>Should more than 2 teams be on equal points &amp; blank spaces occur during the gala, please refer to the points shown at the head of the events list.</t>
  </si>
  <si>
    <t>CLUBS</t>
  </si>
  <si>
    <t>Points at Event 10</t>
  </si>
  <si>
    <t>Points at Event 18</t>
  </si>
  <si>
    <t>Points at Event 26</t>
  </si>
  <si>
    <t>Points at Event 34</t>
  </si>
  <si>
    <t>Points at Event 42</t>
  </si>
  <si>
    <t>POINTS TO DATE</t>
  </si>
  <si>
    <t>PLACINGS</t>
  </si>
  <si>
    <t>EVENTS</t>
  </si>
  <si>
    <t>When points are equal, countback on all races is used to place clubs. For the table above to be fully functional a spread of events may be needed. 
The lane columns show places from gala points only.</t>
  </si>
  <si>
    <t>Error
Correction</t>
  </si>
  <si>
    <t>Error correction is simple.  At any time during or after the Gala, Simply DELETE  the incorrect information &amp; retype with the correction. 
DO NOT USE DRAG &amp; DROP or CUT &amp; PASTE.  ----------   These processes will create #REF! &amp; result in loss of data.</t>
  </si>
  <si>
    <t xml:space="preserve">EVENT 1   </t>
  </si>
  <si>
    <t>PLACE</t>
  </si>
  <si>
    <t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t>
  </si>
  <si>
    <t>TIME</t>
  </si>
  <si>
    <t>SWIMMER</t>
  </si>
  <si>
    <t>DQ REASON</t>
  </si>
  <si>
    <t>EVENT 2</t>
  </si>
  <si>
    <t>6.4 did not initiate the turn straight away when turned onto breast</t>
  </si>
  <si>
    <t>EVENT 3</t>
  </si>
  <si>
    <t>Error correction.
Simply overwrite the incorrect information. 
Do not use  "Drag &amp; Drop" or "Cut &amp; Paste" as this will corrupt the programming</t>
  </si>
  <si>
    <t>OA swimmer</t>
  </si>
  <si>
    <t>EVENT 4</t>
  </si>
  <si>
    <t>DNS</t>
  </si>
  <si>
    <t>4.4 initiated the start before signal</t>
  </si>
  <si>
    <t>EVENT 5</t>
  </si>
  <si>
    <t>7.6 did not touch at the turn end with both hands simultaneously</t>
  </si>
  <si>
    <t>EVENT 6</t>
  </si>
  <si>
    <t>EVENT 7</t>
  </si>
  <si>
    <t>EVENT 8</t>
  </si>
  <si>
    <t>EVENT 9</t>
  </si>
  <si>
    <t>10.12 Jump before incoming swimmer touched the wall</t>
  </si>
  <si>
    <t>EVENT 10</t>
  </si>
  <si>
    <t>10.12 swimmer left the block before incoming swimmer touched the wall</t>
  </si>
  <si>
    <t>EVENT 11</t>
  </si>
  <si>
    <t>EVENT 12</t>
  </si>
  <si>
    <t>6.2 left position on back except when executing the turn</t>
  </si>
  <si>
    <t>EVENT 13</t>
  </si>
  <si>
    <t>EVENT 14</t>
  </si>
  <si>
    <t>EVENT 15</t>
  </si>
  <si>
    <t>EVENT 16</t>
  </si>
  <si>
    <t>6.4 turn not initiated straight away once turned over</t>
  </si>
  <si>
    <t>EVENT 17</t>
  </si>
  <si>
    <t>EVENT 18</t>
  </si>
  <si>
    <t>EVENT 19</t>
  </si>
  <si>
    <t>EVENT 20</t>
  </si>
  <si>
    <t>8.2 non simultaneous arms</t>
  </si>
  <si>
    <t>EVENT 21</t>
  </si>
  <si>
    <t>6.4 didn't initiate turn straight away when turned onto front at turn</t>
  </si>
  <si>
    <t>EVENT 22</t>
  </si>
  <si>
    <t>EVENT 23</t>
  </si>
  <si>
    <t>EVENT 24</t>
  </si>
  <si>
    <t>dns</t>
  </si>
  <si>
    <t>EVENT 25</t>
  </si>
  <si>
    <t>EVENT 26</t>
  </si>
  <si>
    <t>6.4 did not immediately initiate turn</t>
  </si>
  <si>
    <t>EVENT 27</t>
  </si>
  <si>
    <t>EVENT 28</t>
  </si>
  <si>
    <t>7.2 arms not simultaneuous</t>
  </si>
  <si>
    <t>EVENT 29</t>
  </si>
  <si>
    <t>EVENT 30</t>
  </si>
  <si>
    <t>EVENT 31</t>
  </si>
  <si>
    <t>EVENT 32</t>
  </si>
  <si>
    <t>ns</t>
  </si>
  <si>
    <t>EVENT 33</t>
  </si>
  <si>
    <t>EVENT 34</t>
  </si>
  <si>
    <t>EVENT 35</t>
  </si>
  <si>
    <t>EVENT 36</t>
  </si>
  <si>
    <t>EVENT 37</t>
  </si>
  <si>
    <t>EVENT 38</t>
  </si>
  <si>
    <t>EVENT 39</t>
  </si>
  <si>
    <t>EVENT 40</t>
  </si>
  <si>
    <t>EVENT 41</t>
  </si>
  <si>
    <t>EVENT 42</t>
  </si>
  <si>
    <t>EVENT 43</t>
  </si>
  <si>
    <t>EVENT 44</t>
  </si>
  <si>
    <t>10.12 feet lost touch with starting platform before incoming swimmer touched the wall</t>
  </si>
  <si>
    <t>10.8 swimmer caused an obstruction in lane 6</t>
  </si>
  <si>
    <t>EVENT 45</t>
  </si>
  <si>
    <t>EVENT 46</t>
  </si>
  <si>
    <t>EVENT 47</t>
  </si>
  <si>
    <t>EVENT 48</t>
  </si>
  <si>
    <t>10.8 Obstructed swimmer in lane 3</t>
  </si>
  <si>
    <t>EVENT 49</t>
  </si>
  <si>
    <t>EVENT 50</t>
  </si>
  <si>
    <t>EVENT 51
SQUADRON RELAY</t>
  </si>
  <si>
    <t>5.2 did not touch the wall at the turn</t>
  </si>
  <si>
    <t xml:space="preserve">Results are produced by creating a PDF from the 6 lane, 8 lane or 10 lane printout sheets, the selection of which is dependant on the number of teams/lanes in use in the gala.
Due to Data protection requirements, ONLY the PDF result can be published or shared with other clubs. </t>
  </si>
  <si>
    <t xml:space="preserve">Results 
Printout
6 Lane </t>
  </si>
  <si>
    <t xml:space="preserve">Results 
Printout
8 Lane </t>
  </si>
  <si>
    <t xml:space="preserve">Results 
Printout
10 Lane </t>
  </si>
  <si>
    <t>This complete excel file must now be emailed back to your league Secretary, at the latest, by midday the day following the gala.</t>
  </si>
  <si>
    <t>Gala 
Setup</t>
  </si>
  <si>
    <t>Time &amp; Place Quick Check</t>
  </si>
  <si>
    <t>EVENT 1</t>
  </si>
  <si>
    <t>EVENT 51</t>
  </si>
  <si>
    <t>Gala 
Set-up</t>
  </si>
  <si>
    <t xml:space="preserve">Use the data filter arrows to select an individual swimmer </t>
  </si>
  <si>
    <t>Only individual events are shown below as relays are not restricted</t>
  </si>
  <si>
    <t>lane 1</t>
  </si>
  <si>
    <t>lane 2</t>
  </si>
  <si>
    <t>lane 4</t>
  </si>
  <si>
    <t>lane 5</t>
  </si>
  <si>
    <t>FEMALE 16+   IM</t>
  </si>
  <si>
    <t>OPEN/MALE 16+    IM</t>
  </si>
  <si>
    <t>FEMALE 10/11 BACKSTROKE</t>
  </si>
  <si>
    <t>OPEN/MALE 10/11 BACKSTROKE</t>
  </si>
  <si>
    <t>FEMALE 13/U BREASTSTROKE</t>
  </si>
  <si>
    <t>OPEN/MALE 13/U BREASTSTROKE</t>
  </si>
  <si>
    <t>FEMALE 15/U BACKSTROKE</t>
  </si>
  <si>
    <t>OPEN/MALE 15/U BACKSTROKE</t>
  </si>
  <si>
    <t>FEMALE 16+ BUTTERFLY</t>
  </si>
  <si>
    <t>OPEN/MALE 16+ BUTTERFLY</t>
  </si>
  <si>
    <t>FEMALE 10/11 BUTTERFLY</t>
  </si>
  <si>
    <t>OPEN/MALE 10/11BUTTERFLY</t>
  </si>
  <si>
    <t>FEMALE 13/U BACKSTROKE</t>
  </si>
  <si>
    <t>OPEN/MALE 13/U BACKSTROKE</t>
  </si>
  <si>
    <t>FEMALE 15/U BUTTERFLY</t>
  </si>
  <si>
    <t>OPEN/MALE 15/U BUTTERFLY</t>
  </si>
  <si>
    <t>FEMALE 16+ BACKSTROKE</t>
  </si>
  <si>
    <t>OPEN/MALE 16+BACKSTROKE</t>
  </si>
  <si>
    <t>FEMALE 10/11BREASTSTROKE</t>
  </si>
  <si>
    <t>OPEN/MALE 10/11 BREASTSTROKE</t>
  </si>
  <si>
    <t>FEMALE 13/U BUTTERFLY</t>
  </si>
  <si>
    <t>OPEN/MALE 13/U BUTTERFLY</t>
  </si>
  <si>
    <t>FEMALE 15/U FREESTYLE</t>
  </si>
  <si>
    <t>OPEN/MALE 15/U FREESTYLE</t>
  </si>
  <si>
    <t>FEMALE 16+ BREASTSTROKE</t>
  </si>
  <si>
    <t>OPEN/MALE 16+ BREASTSTROKE</t>
  </si>
  <si>
    <t>FEMALE 10/11 FREESTYLE</t>
  </si>
  <si>
    <t>OPEN/MALE 10/11 FREESTYLE</t>
  </si>
  <si>
    <t>FEMALE 13/U FREESTYLE</t>
  </si>
  <si>
    <t>OPEN/MALE 13/U FREESTYLE</t>
  </si>
  <si>
    <t>FEMALE 15/U BREASTSTROKE</t>
  </si>
  <si>
    <t>MALE 15/U BREASTSTROKE</t>
  </si>
  <si>
    <t>FEMALE 16+ FREESTYLE</t>
  </si>
  <si>
    <t>OPEN/MALE 16+ FREESTYLE</t>
  </si>
  <si>
    <t xml:space="preserve"> Different leagues select their overall league winners by slightly different methods:-  The various league points, &amp; bonus points applicable to your league, should be added manually to find your league winner.
Enter information as required into boxes shaded red. All others automatically fill in.</t>
  </si>
  <si>
    <t>Round</t>
  </si>
  <si>
    <t xml:space="preserve">Gala </t>
  </si>
  <si>
    <t>Venue</t>
  </si>
  <si>
    <t>Date</t>
  </si>
  <si>
    <t xml:space="preserve">Gala Recording </t>
  </si>
  <si>
    <t>Previous 
gala results</t>
  </si>
  <si>
    <t>Tonight's Gala result</t>
  </si>
  <si>
    <t>Final League Result</t>
  </si>
  <si>
    <t>Final League Positions</t>
  </si>
  <si>
    <r>
      <rPr>
        <b/>
        <sz val="20"/>
        <rFont val="Arial"/>
        <family val="2"/>
        <charset val="1"/>
      </rPr>
      <t xml:space="preserve">Tonight's Gala result
</t>
    </r>
    <r>
      <rPr>
        <b/>
        <sz val="10"/>
        <rFont val="Arial"/>
        <family val="2"/>
        <charset val="1"/>
      </rPr>
      <t>Fill in the league points as allocated by your league rules</t>
    </r>
  </si>
  <si>
    <r>
      <rPr>
        <b/>
        <sz val="20"/>
        <rFont val="Arial"/>
        <family val="2"/>
        <charset val="1"/>
      </rPr>
      <t xml:space="preserve">Final League Result
</t>
    </r>
    <r>
      <rPr>
        <b/>
        <sz val="10"/>
        <rFont val="Arial"/>
        <family val="2"/>
        <charset val="1"/>
      </rPr>
      <t>This should be filled in as instructed by your specific league rules</t>
    </r>
  </si>
  <si>
    <t>Clubs have been entered in the team sheets, to swim in the lanes as shown below.</t>
  </si>
  <si>
    <t>League Points from Galas
 1 &amp; 2 below</t>
  </si>
  <si>
    <t>Gala Points 
from Galas 
1 &amp; 2 below</t>
  </si>
  <si>
    <t>Gala Place Tonight</t>
  </si>
  <si>
    <t>League Points
Tonight</t>
  </si>
  <si>
    <t>Gala Points
Tonight</t>
  </si>
  <si>
    <r>
      <rPr>
        <b/>
        <sz val="10"/>
        <rFont val="Arial"/>
        <family val="2"/>
        <charset val="1"/>
      </rPr>
      <t xml:space="preserve">Teams are initially placed by Gala points. 
League points are then awarded as per your league rules.
-----------------------------------
Should 2 or more teams have equal Gala points   
</t>
    </r>
    <r>
      <rPr>
        <b/>
        <sz val="10"/>
        <color rgb="FFFF0000"/>
        <rFont val="Arial"/>
        <family val="2"/>
        <charset val="1"/>
      </rPr>
      <t>"Ranking By Places"</t>
    </r>
    <r>
      <rPr>
        <b/>
        <sz val="10"/>
        <rFont val="Arial"/>
        <family val="2"/>
        <charset val="1"/>
      </rPr>
      <t xml:space="preserve"> comes into effect.
This table ranks teams by the number of 1st places, then 2nd places and so on until positions are finally established.
</t>
    </r>
    <r>
      <rPr>
        <b/>
        <i/>
        <sz val="10"/>
        <rFont val="Arial"/>
        <family val="2"/>
        <charset val="1"/>
      </rPr>
      <t xml:space="preserve">A spread of events is therefore needed before this records accurately.
-----------------------------------
</t>
    </r>
    <r>
      <rPr>
        <b/>
        <sz val="10"/>
        <rFont val="Arial"/>
        <family val="2"/>
        <charset val="1"/>
      </rPr>
      <t xml:space="preserve">
</t>
    </r>
    <r>
      <rPr>
        <b/>
        <sz val="10"/>
        <color rgb="FFFF0000"/>
        <rFont val="Arial"/>
        <family val="2"/>
        <charset val="1"/>
      </rPr>
      <t>Should a manual check be requested, a full table of placings can be found on the foot of the "Printout" sheet relevant to this gala.</t>
    </r>
    <r>
      <rPr>
        <b/>
        <sz val="10"/>
        <rFont val="Arial"/>
        <family val="2"/>
        <charset val="1"/>
      </rPr>
      <t xml:space="preserve"> </t>
    </r>
  </si>
  <si>
    <t>Final League Position</t>
  </si>
  <si>
    <t>Teams</t>
  </si>
  <si>
    <t xml:space="preserve">Tonights
Gala Points </t>
  </si>
  <si>
    <t>Bonus points tonight</t>
  </si>
  <si>
    <t xml:space="preserve">Total of League 
Points this Season </t>
  </si>
  <si>
    <t xml:space="preserve">Club Codes </t>
  </si>
  <si>
    <t>Lane</t>
  </si>
  <si>
    <r>
      <rPr>
        <b/>
        <sz val="9"/>
        <rFont val="Arial"/>
        <family val="2"/>
        <charset val="1"/>
      </rPr>
      <t xml:space="preserve">
</t>
    </r>
    <r>
      <rPr>
        <b/>
        <sz val="10"/>
        <rFont val="Arial"/>
        <family val="2"/>
        <charset val="1"/>
      </rPr>
      <t xml:space="preserve">League points from Galas
 1 &amp; 2 </t>
    </r>
  </si>
  <si>
    <r>
      <rPr>
        <b/>
        <sz val="12"/>
        <rFont val="Arial"/>
        <family val="2"/>
        <charset val="1"/>
      </rPr>
      <t xml:space="preserve">
</t>
    </r>
    <r>
      <rPr>
        <b/>
        <sz val="10"/>
        <rFont val="Arial"/>
        <family val="2"/>
        <charset val="1"/>
      </rPr>
      <t xml:space="preserve">Gala 
points from Galas 
1 &amp; 2 </t>
    </r>
  </si>
  <si>
    <t>Gala
Points
Tonight</t>
  </si>
  <si>
    <t>Gala Place
Tonight</t>
  </si>
  <si>
    <t>Number of 1st, 2nd &amp; 3rd places are shown below. 
These have already been incorporated into the calculation to give final places</t>
  </si>
  <si>
    <t>Total of Gala points this Season</t>
  </si>
  <si>
    <t>Final 
League place</t>
  </si>
  <si>
    <t>non ranked place</t>
  </si>
  <si>
    <t>1st Ranked Place on Gala points only</t>
  </si>
  <si>
    <t>1st ranked place</t>
  </si>
  <si>
    <t>2nd Rank taking 1st places into account</t>
  </si>
  <si>
    <t>2nd rank Place</t>
  </si>
  <si>
    <t>3rd Rank taking 2nd places into account</t>
  </si>
  <si>
    <t>3rd
Rank
Place</t>
  </si>
  <si>
    <t>4th Rank taking 3rd places into account</t>
  </si>
  <si>
    <t>4th 
ranked 
place</t>
  </si>
  <si>
    <t>5th Rank taking 4th places into account</t>
  </si>
  <si>
    <t>5th Ranked Place</t>
  </si>
  <si>
    <t>6th Rank taking 5th Places into account</t>
  </si>
  <si>
    <t>6th ranked place</t>
  </si>
  <si>
    <t>7th rank taking 6th place into account</t>
  </si>
  <si>
    <t>7th Ranked place</t>
  </si>
  <si>
    <t>8th rank taking 7th place into account</t>
  </si>
  <si>
    <t>8th ranked place</t>
  </si>
  <si>
    <t>9th rank taking 8th place into account</t>
  </si>
  <si>
    <t>9th ranked place</t>
  </si>
  <si>
    <t>10th Rank taking 9th place into account</t>
  </si>
  <si>
    <t>10th Ranked place</t>
  </si>
  <si>
    <t>11th Ranked place taking 10th place into account</t>
  </si>
  <si>
    <t>Gala Points Tonight</t>
  </si>
  <si>
    <t xml:space="preserve">League 
Points this Season </t>
  </si>
  <si>
    <t>Gala points this Season</t>
  </si>
  <si>
    <t>Printout
6 Lane Gala</t>
  </si>
  <si>
    <t>1st</t>
  </si>
  <si>
    <t>2nd</t>
  </si>
  <si>
    <t>3rd</t>
  </si>
  <si>
    <t>4th</t>
  </si>
  <si>
    <t>5th</t>
  </si>
  <si>
    <t>6th</t>
  </si>
  <si>
    <t>7th</t>
  </si>
  <si>
    <t>8th</t>
  </si>
  <si>
    <t>9th</t>
  </si>
  <si>
    <t>10th</t>
  </si>
  <si>
    <t>Printout
8 Lane Gala</t>
  </si>
  <si>
    <t>Printout
10 Lane Gala</t>
  </si>
  <si>
    <t>Rankings HDR</t>
  </si>
  <si>
    <t>Rankings MRF</t>
  </si>
  <si>
    <t xml:space="preserve"> </t>
  </si>
  <si>
    <t xml:space="preserve">Enter Team Name → </t>
  </si>
  <si>
    <t>HARINGEY AQUATICS</t>
  </si>
  <si>
    <t xml:space="preserve">QUALIFYING DATE </t>
  </si>
  <si>
    <t>NOTES TO THE GALA RECORDER</t>
  </si>
  <si>
    <t>TEAM NAME</t>
  </si>
  <si>
    <r>
      <rPr>
        <sz val="14"/>
        <rFont val="Arial"/>
        <family val="2"/>
        <charset val="1"/>
      </rPr>
      <t xml:space="preserve">To add all information from a team sheet to the gala sheet, open the team sheet provided for the team allocated the </t>
    </r>
    <r>
      <rPr>
        <sz val="24"/>
        <rFont val="Arial"/>
        <family val="2"/>
        <charset val="1"/>
      </rPr>
      <t>1st lane</t>
    </r>
    <r>
      <rPr>
        <sz val="14"/>
        <rFont val="Arial"/>
        <family val="2"/>
        <charset val="1"/>
      </rPr>
      <t xml:space="preserve"> 
at the gala and
</t>
    </r>
    <r>
      <rPr>
        <sz val="10"/>
        <rFont val="Arial"/>
        <family val="2"/>
        <charset val="1"/>
      </rPr>
      <t xml:space="preserve">HIGHLGHT COLUMNS 
</t>
    </r>
    <r>
      <rPr>
        <sz val="28"/>
        <rFont val="Arial"/>
        <family val="2"/>
        <charset val="1"/>
      </rPr>
      <t xml:space="preserve">"E to H"
</t>
    </r>
    <r>
      <rPr>
        <sz val="16"/>
        <rFont val="Arial"/>
        <family val="2"/>
        <charset val="1"/>
      </rPr>
      <t xml:space="preserve">Copy &amp; Paste into this sheet. All Swimmers names have now been added to the gala sheet
</t>
    </r>
    <r>
      <rPr>
        <sz val="10"/>
        <rFont val="Arial"/>
        <family val="2"/>
        <charset val="1"/>
      </rPr>
      <t xml:space="preserve">
</t>
    </r>
    <r>
      <rPr>
        <sz val="14"/>
        <rFont val="Arial"/>
        <family val="2"/>
        <charset val="1"/>
      </rPr>
      <t>Any team changes can be carried out in this sheet at any time</t>
    </r>
  </si>
  <si>
    <t>If a swimmer is to be changed for an event, it is important that all 4 columns are altered.
1. Swim England No
2. First Name
3. Family Name
4. D.O.B
To do this with an existing swimmer, simply Highlight the 4 cells on the appropriate line.
 Copy and paste the information into the new event line to overwrite the existing information.
If the swimmer is not already in the file then all the required information must be manually added before the swimmer is allowed to compete.</t>
  </si>
  <si>
    <t>ASA No</t>
  </si>
  <si>
    <t>GIVEN NAME</t>
  </si>
  <si>
    <t>FAMILY NAME</t>
  </si>
  <si>
    <t>D.O.B.</t>
  </si>
  <si>
    <t>AGE GROUP</t>
  </si>
  <si>
    <t>SE No</t>
  </si>
  <si>
    <t>FEMALE 16+  200M  IM</t>
  </si>
  <si>
    <t>F</t>
  </si>
  <si>
    <t>Bianca</t>
  </si>
  <si>
    <t>Gomez-Velasco</t>
  </si>
  <si>
    <t>OPEN/MALE 16+ 200M  IM</t>
  </si>
  <si>
    <t>Zente</t>
  </si>
  <si>
    <t>Buzsik</t>
  </si>
  <si>
    <t>FEMALE 9/11 4 X 50M
FREESTYLE RELAY</t>
  </si>
  <si>
    <t>Ines</t>
  </si>
  <si>
    <t>Puente</t>
  </si>
  <si>
    <t>Aaliyah</t>
  </si>
  <si>
    <t>Gordon</t>
  </si>
  <si>
    <t>Eleanor</t>
  </si>
  <si>
    <t>Skinner</t>
  </si>
  <si>
    <t>Claudia</t>
  </si>
  <si>
    <t>Savov</t>
  </si>
  <si>
    <t>OPEN/MALE 9/11 4 X50M
FREESTYLE RELAY</t>
  </si>
  <si>
    <t>FEMALE 13/U 4 X 50M
MEDLEY RELAY</t>
  </si>
  <si>
    <t>Edanur</t>
  </si>
  <si>
    <t>Yigit</t>
  </si>
  <si>
    <t>Amy</t>
  </si>
  <si>
    <t>Hanson</t>
  </si>
  <si>
    <t>Ane</t>
  </si>
  <si>
    <t>Pedraza-Eguia</t>
  </si>
  <si>
    <t>Maryla</t>
  </si>
  <si>
    <t>Koslacz</t>
  </si>
  <si>
    <t>OPEN/MALE 13/U 4 X 50M
MEDLEY RELAY</t>
  </si>
  <si>
    <t>Albert</t>
  </si>
  <si>
    <t>Nezha</t>
  </si>
  <si>
    <t>Lane Timer Sheets</t>
  </si>
  <si>
    <t>Ilhan</t>
  </si>
  <si>
    <t>Ned Peter</t>
  </si>
  <si>
    <t>Andrews</t>
  </si>
  <si>
    <t>FEMALE 15/U 4 X 50M
FREESTYLE RELAY</t>
  </si>
  <si>
    <t>Shreya</t>
  </si>
  <si>
    <t>Bavishi</t>
  </si>
  <si>
    <t>Emily</t>
  </si>
  <si>
    <t>Hudszky</t>
  </si>
  <si>
    <t>Taisia</t>
  </si>
  <si>
    <t>Flury</t>
  </si>
  <si>
    <t>Zoe</t>
  </si>
  <si>
    <t>Panayi</t>
  </si>
  <si>
    <t>OPEN/MALE 15/U 4 X 50M
FREESTYLE RELAY</t>
  </si>
  <si>
    <t>Michael</t>
  </si>
  <si>
    <t>Manassero</t>
  </si>
  <si>
    <t>Zalan</t>
  </si>
  <si>
    <t>Tornay</t>
  </si>
  <si>
    <t>FEMALE 16+ 4 X 50M
MEDLEY RELAY</t>
  </si>
  <si>
    <t>Isabel</t>
  </si>
  <si>
    <t>Spyrou</t>
  </si>
  <si>
    <t>Charlotte</t>
  </si>
  <si>
    <t>Maja</t>
  </si>
  <si>
    <t>Grzybek</t>
  </si>
  <si>
    <t>OPEN/MALE 16+ 4 X 50M
MEDLEY RELAY</t>
  </si>
  <si>
    <t>James</t>
  </si>
  <si>
    <t>Smeaton</t>
  </si>
  <si>
    <t>Gabriel</t>
  </si>
  <si>
    <t>Bhonsle</t>
  </si>
  <si>
    <t>Leonardo</t>
  </si>
  <si>
    <t>Goad</t>
  </si>
  <si>
    <t>Open/Male 15/U 100m Backstroke</t>
  </si>
  <si>
    <t>Kornel</t>
  </si>
  <si>
    <t>Kern-Konyar</t>
  </si>
  <si>
    <t>Open/Male 15/U 100m Butterfly</t>
  </si>
  <si>
    <t>Open/Male 16+100m Backstroke</t>
  </si>
  <si>
    <t>Open/Male 10/11 50m Freestyle</t>
  </si>
  <si>
    <t>FEMALE 9/11 4 X 50M
MEDLEY RELAY</t>
  </si>
  <si>
    <t>OPEN/MALE 9/11 4 X 50M
MEDLEY RELAY</t>
  </si>
  <si>
    <t>FEMALE 13/U 4 X 50M
FREESTYLE RELAY</t>
  </si>
  <si>
    <t>OPEN/MALE 13/U 4 X 50M
FREESTYLE RELAY</t>
  </si>
  <si>
    <t>FEMALE 15/U 4 X 50M
MEDLEY RELAY</t>
  </si>
  <si>
    <t>OPEN/MALE 15/U 4 X 50M
MEDLEY RELAY</t>
  </si>
  <si>
    <t>FEMALE 16+4 X 50M
FREESTYLE RELAY</t>
  </si>
  <si>
    <t>OPEN/MALE 16+4 X 50M
FREESTYLE RELAY</t>
  </si>
  <si>
    <t>SQUADRON RELAY 8 X 50M
1 MALE &amp; 1 FEMALE FROM EACH AGE GROUP
SWIM IN ANY ORDER</t>
  </si>
  <si>
    <t>STEVENAGE</t>
  </si>
  <si>
    <r>
      <rPr>
        <sz val="14"/>
        <rFont val="Arial"/>
        <family val="2"/>
        <charset val="1"/>
      </rPr>
      <t xml:space="preserve">To add all information from a team sheet to the gala sheet, open the team sheet provided for the team allocated the </t>
    </r>
    <r>
      <rPr>
        <sz val="24"/>
        <rFont val="Arial"/>
        <family val="2"/>
        <charset val="1"/>
      </rPr>
      <t>2nd lane</t>
    </r>
    <r>
      <rPr>
        <sz val="14"/>
        <rFont val="Arial"/>
        <family val="2"/>
        <charset val="1"/>
      </rPr>
      <t xml:space="preserve"> 
at the gala and
</t>
    </r>
    <r>
      <rPr>
        <sz val="10"/>
        <rFont val="Arial"/>
        <family val="2"/>
        <charset val="1"/>
      </rPr>
      <t xml:space="preserve">HIGHLGHT COLUMNS 
</t>
    </r>
    <r>
      <rPr>
        <sz val="28"/>
        <rFont val="Arial"/>
        <family val="2"/>
        <charset val="1"/>
      </rPr>
      <t xml:space="preserve">"E to H"
</t>
    </r>
    <r>
      <rPr>
        <sz val="16"/>
        <rFont val="Arial"/>
        <family val="2"/>
        <charset val="1"/>
      </rPr>
      <t xml:space="preserve">Copy &amp; Paste into this sheet. All Swimmers names have now been added to the gala sheet
</t>
    </r>
    <r>
      <rPr>
        <sz val="10"/>
        <rFont val="Arial"/>
        <family val="2"/>
        <charset val="1"/>
      </rPr>
      <t xml:space="preserve">
</t>
    </r>
    <r>
      <rPr>
        <sz val="14"/>
        <rFont val="Arial"/>
        <family val="2"/>
        <charset val="1"/>
      </rPr>
      <t>Any team changes can be carried out in this sheet at any time</t>
    </r>
  </si>
  <si>
    <t>Sophie</t>
  </si>
  <si>
    <t>Stelmach</t>
  </si>
  <si>
    <t>Harry</t>
  </si>
  <si>
    <t>Chapman</t>
  </si>
  <si>
    <t>Seren</t>
  </si>
  <si>
    <t>Cooper</t>
  </si>
  <si>
    <t>Annabelle</t>
  </si>
  <si>
    <t>Harris</t>
  </si>
  <si>
    <t>Jasmin</t>
  </si>
  <si>
    <t>Hunt</t>
  </si>
  <si>
    <t>Maya</t>
  </si>
  <si>
    <t>Wegner</t>
  </si>
  <si>
    <t>Winter</t>
  </si>
  <si>
    <t>Alex</t>
  </si>
  <si>
    <t>Cash</t>
  </si>
  <si>
    <t>Kai Jun Wai</t>
  </si>
  <si>
    <t>Cheung</t>
  </si>
  <si>
    <t>Charlie</t>
  </si>
  <si>
    <t>Pritchard</t>
  </si>
  <si>
    <t>Heraty</t>
  </si>
  <si>
    <t>Ruby</t>
  </si>
  <si>
    <t>Gracie</t>
  </si>
  <si>
    <t>Fleming-Jacobs</t>
  </si>
  <si>
    <t>Oliver</t>
  </si>
  <si>
    <t>Tubridy</t>
  </si>
  <si>
    <t>Joseph</t>
  </si>
  <si>
    <t>Bagshaw</t>
  </si>
  <si>
    <t>Daisy</t>
  </si>
  <si>
    <t>Harradine</t>
  </si>
  <si>
    <t>Lyon</t>
  </si>
  <si>
    <t>Alexander</t>
  </si>
  <si>
    <t>Gregory</t>
  </si>
  <si>
    <t>Samuel</t>
  </si>
  <si>
    <t>Daniel</t>
  </si>
  <si>
    <t>Humphreys</t>
  </si>
  <si>
    <t>Madeleine</t>
  </si>
  <si>
    <t>Bailiss</t>
  </si>
  <si>
    <t>Matthew</t>
  </si>
  <si>
    <t>Costello</t>
  </si>
  <si>
    <t>Esmae</t>
  </si>
  <si>
    <t>Green</t>
  </si>
  <si>
    <t>FEMALE 9/11
MEDLEY RELAY</t>
  </si>
  <si>
    <t>OPEN/MALE 9/11
MEDLEY RELAY</t>
  </si>
  <si>
    <t>FEMALE 13/U
FREESTYLE RELAY</t>
  </si>
  <si>
    <t>OPEN/MALE 13/U
FREESTYLE RELAY</t>
  </si>
  <si>
    <t>FEMALE 15/U
MEDLEY RELAY</t>
  </si>
  <si>
    <t>OPEN/MALE 15/U
MEDLEY RELAY</t>
  </si>
  <si>
    <t>John</t>
  </si>
  <si>
    <t>Langdon</t>
  </si>
  <si>
    <t>FEMALE 16+
FREESTYLE RELAY</t>
  </si>
  <si>
    <t>Lucy</t>
  </si>
  <si>
    <t>Crocker</t>
  </si>
  <si>
    <t>OPEN/MALE 16+
FREESTYLE RELAY</t>
  </si>
  <si>
    <t>SQUADRON RELAY
1 MALE &amp; 1 FEMALE FROM EACH AGE GROUP
SWIM IN ANY ORDER</t>
  </si>
  <si>
    <t>BORO OF BROXBOURNE</t>
  </si>
  <si>
    <r>
      <rPr>
        <sz val="14"/>
        <rFont val="Arial"/>
        <family val="2"/>
        <charset val="1"/>
      </rPr>
      <t xml:space="preserve">To add all information from a team sheet to the gala sheet, open the team sheet provided for the team allocated the </t>
    </r>
    <r>
      <rPr>
        <sz val="24"/>
        <rFont val="Arial"/>
        <family val="2"/>
        <charset val="1"/>
      </rPr>
      <t>3rd lane</t>
    </r>
    <r>
      <rPr>
        <sz val="14"/>
        <rFont val="Arial"/>
        <family val="2"/>
        <charset val="1"/>
      </rPr>
      <t xml:space="preserve"> 
at the gala and
</t>
    </r>
    <r>
      <rPr>
        <sz val="10"/>
        <rFont val="Arial"/>
        <family val="2"/>
        <charset val="1"/>
      </rPr>
      <t xml:space="preserve">HIGHLGHT COLUMNS 
</t>
    </r>
    <r>
      <rPr>
        <sz val="28"/>
        <rFont val="Arial"/>
        <family val="2"/>
        <charset val="1"/>
      </rPr>
      <t xml:space="preserve">"E to H"
</t>
    </r>
    <r>
      <rPr>
        <sz val="16"/>
        <rFont val="Arial"/>
        <family val="2"/>
        <charset val="1"/>
      </rPr>
      <t xml:space="preserve">Copy &amp; Paste into this sheet. All Swimmers names have now been added to the gala sheet
</t>
    </r>
    <r>
      <rPr>
        <sz val="10"/>
        <rFont val="Arial"/>
        <family val="2"/>
        <charset val="1"/>
      </rPr>
      <t xml:space="preserve">
</t>
    </r>
    <r>
      <rPr>
        <sz val="14"/>
        <rFont val="Arial"/>
        <family val="2"/>
        <charset val="1"/>
      </rPr>
      <t>Any team changes can be carried out in this sheet at any time</t>
    </r>
  </si>
  <si>
    <t>Hannah</t>
  </si>
  <si>
    <t>Lovelock</t>
  </si>
  <si>
    <t>George</t>
  </si>
  <si>
    <t>Jounor</t>
  </si>
  <si>
    <t>Niamh</t>
  </si>
  <si>
    <t>Holland</t>
  </si>
  <si>
    <t>Scarlett</t>
  </si>
  <si>
    <t>Omand</t>
  </si>
  <si>
    <t>Chloe</t>
  </si>
  <si>
    <t>Wimpenny</t>
  </si>
  <si>
    <t xml:space="preserve">Liam </t>
  </si>
  <si>
    <t>Thompson</t>
  </si>
  <si>
    <t>Croft</t>
  </si>
  <si>
    <t>Lythgoe</t>
  </si>
  <si>
    <t>Fabio</t>
  </si>
  <si>
    <t>Giambrone</t>
  </si>
  <si>
    <t>Robu</t>
  </si>
  <si>
    <t>Mia</t>
  </si>
  <si>
    <t>Nelson</t>
  </si>
  <si>
    <t>Olivia</t>
  </si>
  <si>
    <t>Ryan</t>
  </si>
  <si>
    <t>Luigi</t>
  </si>
  <si>
    <t>Mikhail</t>
  </si>
  <si>
    <t>Zharinov</t>
  </si>
  <si>
    <t>Ewan</t>
  </si>
  <si>
    <t>Jessica</t>
  </si>
  <si>
    <t>MacKenzie</t>
  </si>
  <si>
    <t>Molly</t>
  </si>
  <si>
    <t>Bartup</t>
  </si>
  <si>
    <t>Mullings</t>
  </si>
  <si>
    <t>Alfie</t>
  </si>
  <si>
    <t>Bullock</t>
  </si>
  <si>
    <t>Theo</t>
  </si>
  <si>
    <t>Smith</t>
  </si>
  <si>
    <t>Grace</t>
  </si>
  <si>
    <t>Sofokleous-Ames</t>
  </si>
  <si>
    <t>Clark</t>
  </si>
  <si>
    <t>Cropley</t>
  </si>
  <si>
    <t>Luke</t>
  </si>
  <si>
    <t>Ethan</t>
  </si>
  <si>
    <t>Saldanha</t>
  </si>
  <si>
    <t>Brakenbury</t>
  </si>
  <si>
    <t xml:space="preserve">Hannah </t>
  </si>
  <si>
    <t>AYLESBURY</t>
  </si>
  <si>
    <r>
      <rPr>
        <sz val="14"/>
        <rFont val="Arial"/>
        <family val="2"/>
        <charset val="1"/>
      </rPr>
      <t xml:space="preserve">To add all information from a team sheet to the gala sheet, open the team sheet provided for the team allocated the </t>
    </r>
    <r>
      <rPr>
        <sz val="24"/>
        <rFont val="Arial"/>
        <family val="2"/>
        <charset val="1"/>
      </rPr>
      <t>4th lane</t>
    </r>
    <r>
      <rPr>
        <sz val="14"/>
        <rFont val="Arial"/>
        <family val="2"/>
        <charset val="1"/>
      </rPr>
      <t xml:space="preserve"> 
at the gala and
</t>
    </r>
    <r>
      <rPr>
        <sz val="10"/>
        <rFont val="Arial"/>
        <family val="2"/>
        <charset val="1"/>
      </rPr>
      <t xml:space="preserve">HIGHLGHT COLUMNS 
</t>
    </r>
    <r>
      <rPr>
        <sz val="28"/>
        <rFont val="Arial"/>
        <family val="2"/>
        <charset val="1"/>
      </rPr>
      <t xml:space="preserve">"E to H"
</t>
    </r>
    <r>
      <rPr>
        <sz val="16"/>
        <rFont val="Arial"/>
        <family val="2"/>
        <charset val="1"/>
      </rPr>
      <t xml:space="preserve">Copy &amp; Paste into this sheet. All Swimmers names have now been added to the gala sheet
</t>
    </r>
    <r>
      <rPr>
        <sz val="10"/>
        <rFont val="Arial"/>
        <family val="2"/>
        <charset val="1"/>
      </rPr>
      <t xml:space="preserve">
</t>
    </r>
    <r>
      <rPr>
        <sz val="14"/>
        <rFont val="Arial"/>
        <family val="2"/>
        <charset val="1"/>
      </rPr>
      <t>Any team changes can be carried out in this sheet at any time</t>
    </r>
  </si>
  <si>
    <t>LIBBY</t>
  </si>
  <si>
    <t>BLISSETT</t>
  </si>
  <si>
    <t>ELLIS</t>
  </si>
  <si>
    <t>BUNCE</t>
  </si>
  <si>
    <t>WILLOW</t>
  </si>
  <si>
    <t>BROWNBRIDGE</t>
  </si>
  <si>
    <t>CHELSEA</t>
  </si>
  <si>
    <t>Genge</t>
  </si>
  <si>
    <t>MIA</t>
  </si>
  <si>
    <t>ZUBCEVIC</t>
  </si>
  <si>
    <t>JAMES</t>
  </si>
  <si>
    <t>MOHAMMED</t>
  </si>
  <si>
    <t>SIMON</t>
  </si>
  <si>
    <t>ROSA</t>
  </si>
  <si>
    <t>CHARLIE</t>
  </si>
  <si>
    <t>COJEEN</t>
  </si>
  <si>
    <t>SOLOMON</t>
  </si>
  <si>
    <t>HAWKES</t>
  </si>
  <si>
    <t>ANNABELLA</t>
  </si>
  <si>
    <t>FRANCES</t>
  </si>
  <si>
    <t>STARSMORE</t>
  </si>
  <si>
    <t>ISLA</t>
  </si>
  <si>
    <t>AVA</t>
  </si>
  <si>
    <t>IANNONE</t>
  </si>
  <si>
    <t>RILEY</t>
  </si>
  <si>
    <t>SAMUEL</t>
  </si>
  <si>
    <t>ROWAN</t>
  </si>
  <si>
    <t>FULLER</t>
  </si>
  <si>
    <t>RUFUS</t>
  </si>
  <si>
    <t>MARTIN</t>
  </si>
  <si>
    <t>MEGAN</t>
  </si>
  <si>
    <t>JOHNSON</t>
  </si>
  <si>
    <t>ABIGAIL</t>
  </si>
  <si>
    <t>ZAHRA</t>
  </si>
  <si>
    <t>WALLER</t>
  </si>
  <si>
    <t>CHARLES</t>
  </si>
  <si>
    <t>RAINES</t>
  </si>
  <si>
    <t>RAFI</t>
  </si>
  <si>
    <t>GIBSON</t>
  </si>
  <si>
    <t>MAKSYMILIAN</t>
  </si>
  <si>
    <t>WOZNICKI</t>
  </si>
  <si>
    <t>SEBASTIAN</t>
  </si>
  <si>
    <t>BROWN</t>
  </si>
  <si>
    <t>LUCY</t>
  </si>
  <si>
    <t>BURNHAM</t>
  </si>
  <si>
    <t>HANNAH</t>
  </si>
  <si>
    <t>BOLTON</t>
  </si>
  <si>
    <t>AMBER</t>
  </si>
  <si>
    <t>CURTIS</t>
  </si>
  <si>
    <t>MATTHEW</t>
  </si>
  <si>
    <t>MASTERS</t>
  </si>
  <si>
    <t>MAX</t>
  </si>
  <si>
    <t>Rosa</t>
  </si>
  <si>
    <t>BRAINTREE &amp; BOCKING</t>
  </si>
  <si>
    <r>
      <rPr>
        <sz val="14"/>
        <rFont val="Arial"/>
        <family val="2"/>
        <charset val="1"/>
      </rPr>
      <t xml:space="preserve">To add all information from a team sheet to the gala sheet, open the team sheet provided for the team allocated the </t>
    </r>
    <r>
      <rPr>
        <sz val="24"/>
        <rFont val="Arial"/>
        <family val="2"/>
        <charset val="1"/>
      </rPr>
      <t>5th lane</t>
    </r>
    <r>
      <rPr>
        <sz val="14"/>
        <rFont val="Arial"/>
        <family val="2"/>
        <charset val="1"/>
      </rPr>
      <t xml:space="preserve"> 
at the gala and
</t>
    </r>
    <r>
      <rPr>
        <sz val="10"/>
        <rFont val="Arial"/>
        <family val="2"/>
        <charset val="1"/>
      </rPr>
      <t xml:space="preserve">HIGHLGHT COLUMNS 
</t>
    </r>
    <r>
      <rPr>
        <sz val="28"/>
        <rFont val="Arial"/>
        <family val="2"/>
        <charset val="1"/>
      </rPr>
      <t xml:space="preserve">"E to H"
</t>
    </r>
    <r>
      <rPr>
        <sz val="16"/>
        <rFont val="Arial"/>
        <family val="2"/>
        <charset val="1"/>
      </rPr>
      <t xml:space="preserve">Copy &amp; Paste into this sheet. All Swimmers names have now been added to the gala sheet
</t>
    </r>
    <r>
      <rPr>
        <sz val="10"/>
        <rFont val="Arial"/>
        <family val="2"/>
        <charset val="1"/>
      </rPr>
      <t xml:space="preserve">
</t>
    </r>
    <r>
      <rPr>
        <sz val="14"/>
        <rFont val="Arial"/>
        <family val="2"/>
        <charset val="1"/>
      </rPr>
      <t>Any team changes can be carried out in this sheet at any time</t>
    </r>
  </si>
  <si>
    <t>Isabelle</t>
  </si>
  <si>
    <t>Talbot</t>
  </si>
  <si>
    <t>Orley</t>
  </si>
  <si>
    <t>Layla</t>
  </si>
  <si>
    <t>Cook</t>
  </si>
  <si>
    <t>Megan</t>
  </si>
  <si>
    <t>Caoife</t>
  </si>
  <si>
    <t>Long</t>
  </si>
  <si>
    <t>Maisie</t>
  </si>
  <si>
    <t>Mohammed</t>
  </si>
  <si>
    <t>Malek</t>
  </si>
  <si>
    <t>Myron</t>
  </si>
  <si>
    <t>Young</t>
  </si>
  <si>
    <t>Hayden</t>
  </si>
  <si>
    <t>Whele</t>
  </si>
  <si>
    <t>Braden</t>
  </si>
  <si>
    <t>Barnacle</t>
  </si>
  <si>
    <t>Orlagh</t>
  </si>
  <si>
    <t>Northgrave</t>
  </si>
  <si>
    <t>Reeve</t>
  </si>
  <si>
    <t>Aimee</t>
  </si>
  <si>
    <t>Baker</t>
  </si>
  <si>
    <t>Kayla</t>
  </si>
  <si>
    <t>Paxton</t>
  </si>
  <si>
    <t>Liam</t>
  </si>
  <si>
    <t>Hurst</t>
  </si>
  <si>
    <t>Bradley</t>
  </si>
  <si>
    <t>Rawlinson</t>
  </si>
  <si>
    <t>Poyraz</t>
  </si>
  <si>
    <t>Akbiyik</t>
  </si>
  <si>
    <t>Benjamin</t>
  </si>
  <si>
    <t>Esmee</t>
  </si>
  <si>
    <t>Francesca</t>
  </si>
  <si>
    <t>Hollie</t>
  </si>
  <si>
    <t>Heighes</t>
  </si>
  <si>
    <t>Macklin</t>
  </si>
  <si>
    <t>Nathaniel</t>
  </si>
  <si>
    <t>Coburn</t>
  </si>
  <si>
    <t>Pirie</t>
  </si>
  <si>
    <t>Joshua</t>
  </si>
  <si>
    <t>Parker</t>
  </si>
  <si>
    <t>Marcie</t>
  </si>
  <si>
    <t>Aley</t>
  </si>
  <si>
    <t>Kathryn</t>
  </si>
  <si>
    <t>Edwards</t>
  </si>
  <si>
    <t>Lily</t>
  </si>
  <si>
    <t>Threadgold</t>
  </si>
  <si>
    <t>Jamie</t>
  </si>
  <si>
    <t>Hartnup</t>
  </si>
  <si>
    <t>Robert</t>
  </si>
  <si>
    <t>Elliston</t>
  </si>
  <si>
    <t>Murray</t>
  </si>
  <si>
    <t>Pack</t>
  </si>
  <si>
    <t>Bo of Harrow</t>
  </si>
  <si>
    <r>
      <rPr>
        <sz val="14"/>
        <rFont val="Arial"/>
        <family val="2"/>
        <charset val="1"/>
      </rPr>
      <t xml:space="preserve">To add all information from a team sheet to the gala sheet, open the team sheet provided for the team allocated the </t>
    </r>
    <r>
      <rPr>
        <sz val="24"/>
        <rFont val="Arial"/>
        <family val="2"/>
        <charset val="1"/>
      </rPr>
      <t>6th lane</t>
    </r>
    <r>
      <rPr>
        <sz val="14"/>
        <rFont val="Arial"/>
        <family val="2"/>
        <charset val="1"/>
      </rPr>
      <t xml:space="preserve"> 
at the gala and
</t>
    </r>
    <r>
      <rPr>
        <sz val="10"/>
        <rFont val="Arial"/>
        <family val="2"/>
        <charset val="1"/>
      </rPr>
      <t xml:space="preserve">HIGHLGHT COLUMNS 
</t>
    </r>
    <r>
      <rPr>
        <sz val="28"/>
        <rFont val="Arial"/>
        <family val="2"/>
        <charset val="1"/>
      </rPr>
      <t xml:space="preserve">"E to H"
</t>
    </r>
    <r>
      <rPr>
        <sz val="16"/>
        <rFont val="Arial"/>
        <family val="2"/>
        <charset val="1"/>
      </rPr>
      <t xml:space="preserve">Copy &amp; Paste into this sheet. All Swimmers names have now been added to the gala sheet
</t>
    </r>
    <r>
      <rPr>
        <sz val="10"/>
        <rFont val="Arial"/>
        <family val="2"/>
        <charset val="1"/>
      </rPr>
      <t xml:space="preserve">
</t>
    </r>
    <r>
      <rPr>
        <sz val="14"/>
        <rFont val="Arial"/>
        <family val="2"/>
        <charset val="1"/>
      </rPr>
      <t>Any team changes can be carried out in this sheet at any time</t>
    </r>
  </si>
  <si>
    <t>Reg No</t>
  </si>
  <si>
    <t>1st Name</t>
  </si>
  <si>
    <t>Family name</t>
  </si>
  <si>
    <t>D.O.B</t>
  </si>
  <si>
    <t xml:space="preserve">Alice </t>
  </si>
  <si>
    <t>Sharrock</t>
  </si>
  <si>
    <t>Razvan</t>
  </si>
  <si>
    <t>Lembac</t>
  </si>
  <si>
    <t>14/12/2007</t>
  </si>
  <si>
    <t>Mahika</t>
  </si>
  <si>
    <t>Chandrashekar</t>
  </si>
  <si>
    <t>04/06/2012</t>
  </si>
  <si>
    <t>Miraya</t>
  </si>
  <si>
    <t>Patel</t>
  </si>
  <si>
    <t>Anna</t>
  </si>
  <si>
    <t>Rescia</t>
  </si>
  <si>
    <t>29/12/2012</t>
  </si>
  <si>
    <t>Roya</t>
  </si>
  <si>
    <t>Malliwal</t>
  </si>
  <si>
    <t>31/12/2012</t>
  </si>
  <si>
    <t>Fedorov</t>
  </si>
  <si>
    <t>Macsen</t>
  </si>
  <si>
    <t>Roberts</t>
  </si>
  <si>
    <t>Aaron</t>
  </si>
  <si>
    <t>Lal</t>
  </si>
  <si>
    <t>07/12/2013</t>
  </si>
  <si>
    <t>Zayn</t>
  </si>
  <si>
    <t>Tang</t>
  </si>
  <si>
    <t>17/03/2012</t>
  </si>
  <si>
    <t>Polina</t>
  </si>
  <si>
    <t>Fedorova</t>
  </si>
  <si>
    <t>29/09/2010</t>
  </si>
  <si>
    <t>Emma</t>
  </si>
  <si>
    <t>Sum</t>
  </si>
  <si>
    <t>Petros</t>
  </si>
  <si>
    <t>Soteriou</t>
  </si>
  <si>
    <t>Gert</t>
  </si>
  <si>
    <t>Zeqiri</t>
  </si>
  <si>
    <t>27/05/2010</t>
  </si>
  <si>
    <t xml:space="preserve">Cosmin Ioan </t>
  </si>
  <si>
    <t>Iojan</t>
  </si>
  <si>
    <t>08/08/2011</t>
  </si>
  <si>
    <t>Dragos</t>
  </si>
  <si>
    <t>Musteate</t>
  </si>
  <si>
    <t>10/02/2011</t>
  </si>
  <si>
    <t>Barrios</t>
  </si>
  <si>
    <t>18/09/2009</t>
  </si>
  <si>
    <t>Laura</t>
  </si>
  <si>
    <t>Leksander</t>
  </si>
  <si>
    <t>20/04/2008</t>
  </si>
  <si>
    <t xml:space="preserve">Polina </t>
  </si>
  <si>
    <t>Gianluca</t>
  </si>
  <si>
    <t>Safahe</t>
  </si>
  <si>
    <t>04/02/2008</t>
  </si>
  <si>
    <t xml:space="preserve">Owen </t>
  </si>
  <si>
    <t>Louis</t>
  </si>
  <si>
    <t>Waissman</t>
  </si>
  <si>
    <t>Rebelo</t>
  </si>
  <si>
    <t>Mina</t>
  </si>
  <si>
    <t>17/01/2009</t>
  </si>
  <si>
    <t xml:space="preserve">Crina Stefania </t>
  </si>
  <si>
    <t>Bostan</t>
  </si>
  <si>
    <t>Dawid</t>
  </si>
  <si>
    <t>Otulak</t>
  </si>
  <si>
    <t>28/04/2007</t>
  </si>
  <si>
    <t>Shanil</t>
  </si>
  <si>
    <t>Ramaiya</t>
  </si>
  <si>
    <t>Wiktor</t>
  </si>
  <si>
    <t>Brejnak</t>
  </si>
  <si>
    <t>Dylan</t>
  </si>
  <si>
    <t xml:space="preserve">Miraya </t>
  </si>
  <si>
    <t xml:space="preserve">Roberts </t>
  </si>
  <si>
    <t>Owen</t>
  </si>
  <si>
    <t xml:space="preserve">Mina </t>
  </si>
  <si>
    <t xml:space="preserve">Wiktor </t>
  </si>
  <si>
    <t xml:space="preserve">Gert </t>
  </si>
  <si>
    <t>Esha</t>
  </si>
  <si>
    <t>19/11/2004</t>
  </si>
  <si>
    <t>Hillingdon 'B'</t>
  </si>
  <si>
    <r>
      <rPr>
        <sz val="14"/>
        <rFont val="Arial"/>
        <family val="2"/>
        <charset val="1"/>
      </rPr>
      <t xml:space="preserve">To add all information from a team sheet to the gala sheet, open the team sheet provided for the team allocated the </t>
    </r>
    <r>
      <rPr>
        <sz val="24"/>
        <rFont val="Arial"/>
        <family val="2"/>
        <charset val="1"/>
      </rPr>
      <t>7th lane</t>
    </r>
    <r>
      <rPr>
        <sz val="14"/>
        <rFont val="Arial"/>
        <family val="2"/>
        <charset val="1"/>
      </rPr>
      <t xml:space="preserve"> 
at the gala and
</t>
    </r>
    <r>
      <rPr>
        <sz val="10"/>
        <rFont val="Arial"/>
        <family val="2"/>
        <charset val="1"/>
      </rPr>
      <t xml:space="preserve">HIGHLGHT COLUMNS 
</t>
    </r>
    <r>
      <rPr>
        <sz val="28"/>
        <rFont val="Arial"/>
        <family val="2"/>
        <charset val="1"/>
      </rPr>
      <t xml:space="preserve">"E to H"
</t>
    </r>
    <r>
      <rPr>
        <sz val="16"/>
        <rFont val="Arial"/>
        <family val="2"/>
        <charset val="1"/>
      </rPr>
      <t xml:space="preserve">Copy &amp; Paste into this sheet. All Swimmers names have now been added to the gala sheet
</t>
    </r>
    <r>
      <rPr>
        <sz val="10"/>
        <rFont val="Arial"/>
        <family val="2"/>
        <charset val="1"/>
      </rPr>
      <t xml:space="preserve">
</t>
    </r>
    <r>
      <rPr>
        <sz val="14"/>
        <rFont val="Arial"/>
        <family val="2"/>
        <charset val="1"/>
      </rPr>
      <t>Any team changes can be carried out in this sheet at any time</t>
    </r>
  </si>
  <si>
    <t>Hibberd</t>
  </si>
  <si>
    <t>Treanor</t>
  </si>
  <si>
    <t>Zara</t>
  </si>
  <si>
    <t>Jobanputra</t>
  </si>
  <si>
    <t>Alexa</t>
  </si>
  <si>
    <t>Homer</t>
  </si>
  <si>
    <t>Lara</t>
  </si>
  <si>
    <t>Shah</t>
  </si>
  <si>
    <t>Arabella</t>
  </si>
  <si>
    <t>Connick</t>
  </si>
  <si>
    <t>Arush</t>
  </si>
  <si>
    <t>Agarwal</t>
  </si>
  <si>
    <t>Christopher</t>
  </si>
  <si>
    <t>Li Mow Ching</t>
  </si>
  <si>
    <t>Jai</t>
  </si>
  <si>
    <t>Bhuwania</t>
  </si>
  <si>
    <t>Siddharth</t>
  </si>
  <si>
    <t>Kanjalkar</t>
  </si>
  <si>
    <t>Maria</t>
  </si>
  <si>
    <t>Tzanidaki</t>
  </si>
  <si>
    <t>Eliza</t>
  </si>
  <si>
    <t>Mayor</t>
  </si>
  <si>
    <t>Curle</t>
  </si>
  <si>
    <t>Vaari</t>
  </si>
  <si>
    <t>Mepani</t>
  </si>
  <si>
    <t>Nikhil</t>
  </si>
  <si>
    <t>Dawett</t>
  </si>
  <si>
    <t>Advay</t>
  </si>
  <si>
    <t>Bhatia</t>
  </si>
  <si>
    <t>Celi</t>
  </si>
  <si>
    <t>Bruno</t>
  </si>
  <si>
    <t>Francisco</t>
  </si>
  <si>
    <t>Keira</t>
  </si>
  <si>
    <t>Brannigan</t>
  </si>
  <si>
    <t>Sharp</t>
  </si>
  <si>
    <t>Lydon</t>
  </si>
  <si>
    <t>Aaran</t>
  </si>
  <si>
    <t>Parmar</t>
  </si>
  <si>
    <t>Tsz Kwai</t>
  </si>
  <si>
    <t>Chan</t>
  </si>
  <si>
    <t>Van Zyl</t>
  </si>
  <si>
    <t>Aoife</t>
  </si>
  <si>
    <t>O'Leary</t>
  </si>
  <si>
    <t>Andrew</t>
  </si>
  <si>
    <t>May</t>
  </si>
  <si>
    <t>Keanna</t>
  </si>
  <si>
    <t>Roets</t>
  </si>
  <si>
    <t>Riach</t>
  </si>
  <si>
    <t>Julia</t>
  </si>
  <si>
    <t>Ozen</t>
  </si>
  <si>
    <t>Adam</t>
  </si>
  <si>
    <t>Zoubiri</t>
  </si>
  <si>
    <r>
      <rPr>
        <sz val="14"/>
        <rFont val="Arial"/>
        <family val="2"/>
        <charset val="1"/>
      </rPr>
      <t xml:space="preserve">To add all information from a team sheet to the gala sheet, open the team sheet provided for the team allocated the </t>
    </r>
    <r>
      <rPr>
        <sz val="24"/>
        <rFont val="Arial"/>
        <family val="2"/>
        <charset val="1"/>
      </rPr>
      <t>8th lane</t>
    </r>
    <r>
      <rPr>
        <sz val="14"/>
        <rFont val="Arial"/>
        <family val="2"/>
        <charset val="1"/>
      </rPr>
      <t xml:space="preserve"> 
at the gala and
</t>
    </r>
    <r>
      <rPr>
        <sz val="10"/>
        <rFont val="Arial"/>
        <family val="2"/>
        <charset val="1"/>
      </rPr>
      <t xml:space="preserve">HIGHLGHT COLUMNS 
</t>
    </r>
    <r>
      <rPr>
        <sz val="28"/>
        <rFont val="Arial"/>
        <family val="2"/>
        <charset val="1"/>
      </rPr>
      <t xml:space="preserve">"E to H"
</t>
    </r>
    <r>
      <rPr>
        <sz val="16"/>
        <rFont val="Arial"/>
        <family val="2"/>
        <charset val="1"/>
      </rPr>
      <t xml:space="preserve">Copy &amp; Paste into this sheet. All Swimmers names have now been added to the gala sheet
</t>
    </r>
    <r>
      <rPr>
        <sz val="10"/>
        <rFont val="Arial"/>
        <family val="2"/>
        <charset val="1"/>
      </rPr>
      <t xml:space="preserve">
</t>
    </r>
    <r>
      <rPr>
        <sz val="14"/>
        <rFont val="Arial"/>
        <family val="2"/>
        <charset val="1"/>
      </rPr>
      <t>Any team changes can be carried out in this sheet at any time</t>
    </r>
  </si>
  <si>
    <r>
      <rPr>
        <sz val="14"/>
        <rFont val="Arial"/>
        <family val="2"/>
        <charset val="1"/>
      </rPr>
      <t xml:space="preserve">To add all information from a team sheet to the gala sheet, open the team sheet provided for the team allocated the </t>
    </r>
    <r>
      <rPr>
        <sz val="24"/>
        <rFont val="Arial"/>
        <family val="2"/>
        <charset val="1"/>
      </rPr>
      <t>9th lane</t>
    </r>
    <r>
      <rPr>
        <sz val="14"/>
        <rFont val="Arial"/>
        <family val="2"/>
        <charset val="1"/>
      </rPr>
      <t xml:space="preserve"> 
at the gala and
</t>
    </r>
    <r>
      <rPr>
        <sz val="10"/>
        <rFont val="Arial"/>
        <family val="2"/>
        <charset val="1"/>
      </rPr>
      <t xml:space="preserve">HIGHLGHT COLUMNS 
</t>
    </r>
    <r>
      <rPr>
        <sz val="28"/>
        <rFont val="Arial"/>
        <family val="2"/>
        <charset val="1"/>
      </rPr>
      <t xml:space="preserve">"E to H"
</t>
    </r>
    <r>
      <rPr>
        <sz val="16"/>
        <rFont val="Arial"/>
        <family val="2"/>
        <charset val="1"/>
      </rPr>
      <t xml:space="preserve">Copy &amp; Paste into this sheet. All Swimmers names have now been added to the gala sheet
</t>
    </r>
    <r>
      <rPr>
        <sz val="10"/>
        <rFont val="Arial"/>
        <family val="2"/>
        <charset val="1"/>
      </rPr>
      <t xml:space="preserve">
</t>
    </r>
    <r>
      <rPr>
        <sz val="14"/>
        <rFont val="Arial"/>
        <family val="2"/>
        <charset val="1"/>
      </rPr>
      <t>Any team changes can be carried out in this sheet at any time</t>
    </r>
  </si>
  <si>
    <r>
      <rPr>
        <sz val="14"/>
        <rFont val="Arial"/>
        <family val="2"/>
        <charset val="1"/>
      </rPr>
      <t xml:space="preserve">To add all information from a team sheet to the gala sheet, open the team sheet provided for the team allocated the </t>
    </r>
    <r>
      <rPr>
        <sz val="24"/>
        <rFont val="Arial"/>
        <family val="2"/>
        <charset val="1"/>
      </rPr>
      <t>10th lane</t>
    </r>
    <r>
      <rPr>
        <sz val="14"/>
        <rFont val="Arial"/>
        <family val="2"/>
        <charset val="1"/>
      </rPr>
      <t xml:space="preserve"> 
at the gala and
</t>
    </r>
    <r>
      <rPr>
        <sz val="10"/>
        <rFont val="Arial"/>
        <family val="2"/>
        <charset val="1"/>
      </rPr>
      <t xml:space="preserve">HIGHLGHT COLUMNS 
</t>
    </r>
    <r>
      <rPr>
        <sz val="28"/>
        <rFont val="Arial"/>
        <family val="2"/>
        <charset val="1"/>
      </rPr>
      <t xml:space="preserve">"E to H"
</t>
    </r>
    <r>
      <rPr>
        <sz val="16"/>
        <rFont val="Arial"/>
        <family val="2"/>
        <charset val="1"/>
      </rPr>
      <t xml:space="preserve">Copy &amp; Paste into this sheet. All Swimmers names have now been added to the gala sheet
</t>
    </r>
    <r>
      <rPr>
        <sz val="10"/>
        <rFont val="Arial"/>
        <family val="2"/>
        <charset val="1"/>
      </rPr>
      <t xml:space="preserve">
</t>
    </r>
    <r>
      <rPr>
        <sz val="14"/>
        <rFont val="Arial"/>
        <family val="2"/>
        <charset val="1"/>
      </rPr>
      <t>Any team changes can be carried out in this sheet at any time</t>
    </r>
  </si>
  <si>
    <t>YOUR LEAGUE SECRETARY WILL USUALLY ATTEND TO THESE FILES FOR ANY GALA THAT IS LICENSED</t>
  </si>
  <si>
    <t>Copy the Red cell Below and paste it into a new text document</t>
  </si>
  <si>
    <t>Title it as
HDR followed by the license number
Which is</t>
  </si>
  <si>
    <t>That file can then be sent to rankings with the MRF results file</t>
  </si>
  <si>
    <t>If you are unsure of this procedure please contact Brian Smith 07703 451232</t>
  </si>
  <si>
    <t>briansmithbsc@gmail.com</t>
  </si>
  <si>
    <t>Your league secretary will usually prepare these files if the gala is licensed</t>
  </si>
  <si>
    <t>Please ensure that the ASA club code has been included in the "Gala Setup" page.</t>
  </si>
  <si>
    <t xml:space="preserve">Copy and paste all the cells highlighted in yellow into a text document </t>
  </si>
  <si>
    <t xml:space="preserve">Title the file as MRF followed by </t>
  </si>
  <si>
    <t>That file can then be sent to rankings with the HDR file</t>
  </si>
  <si>
    <t>If you are unsure of this procedure, please contact 
Brian Smith for further instructions.  07703 451232</t>
  </si>
  <si>
    <t>Gala  Set-up</t>
  </si>
  <si>
    <t xml:space="preserve"> HDR file</t>
  </si>
  <si>
    <t>Gala
Recording</t>
  </si>
  <si>
    <t>Check 
Results</t>
  </si>
  <si>
    <t>Rankings 
HDR</t>
  </si>
  <si>
    <t>Rankings 
MRF</t>
  </si>
  <si>
    <t>If points are equal then the table below places clubs in finish order by countback of 1st places, then if necessary 2nd's 3rd's etc.</t>
  </si>
  <si>
    <t>LEAGUE</t>
  </si>
  <si>
    <t>ROUND</t>
  </si>
  <si>
    <t>GALA
NUMBER</t>
  </si>
  <si>
    <t>VENUE</t>
  </si>
  <si>
    <t xml:space="preserve">License </t>
  </si>
  <si>
    <t>NUMBER OF TEAMS WITH NO POINTS</t>
  </si>
  <si>
    <t>POINTS</t>
  </si>
  <si>
    <t>Female</t>
  </si>
  <si>
    <t>16+</t>
  </si>
  <si>
    <t>Individual Medley</t>
  </si>
  <si>
    <t>Reason for no points</t>
  </si>
  <si>
    <t>Open/
Male</t>
  </si>
  <si>
    <t>9 /11 Years</t>
  </si>
  <si>
    <t>4 x 50m Freestyle Relay</t>
  </si>
  <si>
    <t>13/u</t>
  </si>
  <si>
    <t>4 x 50m Medley Relay</t>
  </si>
  <si>
    <t>15/u</t>
  </si>
  <si>
    <t>Open</t>
  </si>
  <si>
    <t>10/11 
Years</t>
  </si>
  <si>
    <t>50m Backstroke</t>
  </si>
  <si>
    <t>13/U</t>
  </si>
  <si>
    <t>100m Breaststroke</t>
  </si>
  <si>
    <t>15/U</t>
  </si>
  <si>
    <t>100m Backstroke</t>
  </si>
  <si>
    <t>100m Butterfly</t>
  </si>
  <si>
    <t>50m Butterfly</t>
  </si>
  <si>
    <t>50m Breaststroke</t>
  </si>
  <si>
    <t>100m Freestyle</t>
  </si>
  <si>
    <t>50m Freestyle</t>
  </si>
  <si>
    <t>9 /11
Years</t>
  </si>
  <si>
    <t>Squadron Relay</t>
  </si>
  <si>
    <t>8 x 50m Freestyle Relay</t>
  </si>
  <si>
    <t>Reason for no points.</t>
  </si>
  <si>
    <t xml:space="preserve">TOTALS OF 
1st, 2nd &amp; 3rd PLACES 
PER CLUB </t>
  </si>
  <si>
    <t xml:space="preserve">POINTS AT EVENT 10 </t>
  </si>
  <si>
    <t>GO TO EVENT 11</t>
  </si>
  <si>
    <t>POINTS AT EVENT 18</t>
  </si>
  <si>
    <t>GO TO EVENT 19</t>
  </si>
  <si>
    <t>POINTS AT EVENT 26</t>
  </si>
  <si>
    <t>GO TO EVENT 27</t>
  </si>
  <si>
    <t xml:space="preserve">POINTS AT EVENT 34 </t>
  </si>
  <si>
    <t>GO TO EVENT 35</t>
  </si>
  <si>
    <t xml:space="preserve">POINTS AT EVENT 42 </t>
  </si>
  <si>
    <t>GO TO EVENT 43</t>
  </si>
  <si>
    <t>LANE 1</t>
  </si>
  <si>
    <t>LANE 2</t>
  </si>
  <si>
    <t>LANE 3</t>
  </si>
  <si>
    <t>LANE 4</t>
  </si>
  <si>
    <t>LANE 5</t>
  </si>
  <si>
    <t>LANE 6</t>
  </si>
  <si>
    <t>6 Lane Printout</t>
  </si>
  <si>
    <t>10 Lane Printout</t>
  </si>
  <si>
    <t>Gala Number</t>
  </si>
  <si>
    <t>License number</t>
  </si>
  <si>
    <t xml:space="preserve">TOTALS OF 
ALL PLACES 
PER CLUB </t>
  </si>
  <si>
    <t>1ST</t>
  </si>
  <si>
    <t>2ND</t>
  </si>
  <si>
    <t>3RD</t>
  </si>
  <si>
    <t>Quick
Results
Check</t>
  </si>
  <si>
    <t>8 Lane Printout</t>
  </si>
  <si>
    <t>License Number</t>
  </si>
  <si>
    <t>DEFAULT 
POINTS TOTALS</t>
  </si>
  <si>
    <t>DQs Ties Etc will change these totals</t>
  </si>
  <si>
    <t>10 LANE 2750
9  LANE 2250</t>
  </si>
  <si>
    <t>OVERALL POINTS TOTAL</t>
  </si>
  <si>
    <t xml:space="preserve">TOTAL OF 
ALL PLACES 
PER CLUB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</si>
</sst>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
    <numFmt numFmtId="165" formatCode="ddmmyy"/>
    <numFmt numFmtId="166" formatCode="&quot;TRUE&quot;;&quot;TRUE&quot;;&quot;FALSE&quot;"/>
    <numFmt numFmtId="167" formatCode="m:ss.00"/>
    <numFmt numFmtId="168" formatCode="00"/>
    <numFmt numFmtId="169" formatCode="m\.ss.00"/>
  </numFmts>
  <fonts count="176" x14ac:knownFonts="1">
    <font>
      <sz val="10"/>
      <name val="Arial"/>
      <charset val="1"/>
    </font>
    <font>
      <sz val="10"/>
      <name val="Arial"/>
      <family val="2"/>
      <charset val="1"/>
    </font>
    <font>
      <sz val="10"/>
      <color theme="1"/>
      <name val="Arial"/>
      <family val="2"/>
      <charset val="1"/>
    </font>
    <font>
      <sz val="10"/>
      <color theme="0" tint="-0.34998626667073579"/>
      <name val="Arial"/>
      <family val="2"/>
      <charset val="1"/>
    </font>
    <font>
      <sz val="10"/>
      <color theme="0"/>
      <name val="Arial"/>
      <family val="2"/>
      <charset val="1"/>
    </font>
    <font>
      <b/>
      <sz val="20"/>
      <color rgb="FFFF0000"/>
      <name val="Arial"/>
      <family val="2"/>
      <charset val="1"/>
    </font>
    <font>
      <b/>
      <sz val="16"/>
      <color rgb="FFFF0000"/>
      <name val="Arial"/>
      <family val="2"/>
      <charset val="1"/>
    </font>
    <font>
      <b/>
      <sz val="24"/>
      <name val="Arial"/>
      <family val="2"/>
      <charset val="1"/>
    </font>
    <font>
      <b/>
      <sz val="20"/>
      <name val="Arial"/>
      <family val="2"/>
      <charset val="1"/>
    </font>
    <font>
      <b/>
      <sz val="18"/>
      <name val="Arial"/>
      <family val="2"/>
      <charset val="1"/>
    </font>
    <font>
      <b/>
      <sz val="10"/>
      <name val="Arial"/>
      <family val="2"/>
      <charset val="1"/>
    </font>
    <font>
      <sz val="10"/>
      <name val="Calibri"/>
      <family val="2"/>
      <charset val="1"/>
    </font>
    <font>
      <b/>
      <sz val="7"/>
      <name val="Arial"/>
      <family val="2"/>
      <charset val="1"/>
    </font>
    <font>
      <sz val="7"/>
      <color rgb="FFFF0101"/>
      <name val="Calibri"/>
      <family val="2"/>
      <charset val="1"/>
    </font>
    <font>
      <sz val="7"/>
      <name val="Arial"/>
      <family val="2"/>
      <charset val="1"/>
    </font>
    <font>
      <b/>
      <sz val="14"/>
      <color theme="1"/>
      <name val="Arial"/>
      <family val="2"/>
      <charset val="1"/>
    </font>
    <font>
      <b/>
      <sz val="9"/>
      <name val="Arial"/>
      <family val="2"/>
      <charset val="1"/>
    </font>
    <font>
      <sz val="10"/>
      <color rgb="FFFF0101"/>
      <name val="Arial"/>
      <family val="2"/>
      <charset val="1"/>
    </font>
    <font>
      <sz val="10"/>
      <color rgb="FFFF0101"/>
      <name val="Calibri"/>
      <family val="2"/>
      <charset val="1"/>
    </font>
    <font>
      <b/>
      <i/>
      <sz val="12"/>
      <color theme="1"/>
      <name val="Arial"/>
      <family val="2"/>
      <charset val="1"/>
    </font>
    <font>
      <b/>
      <sz val="12"/>
      <name val="Arial"/>
      <family val="2"/>
      <charset val="1"/>
    </font>
    <font>
      <b/>
      <sz val="8"/>
      <name val="Arial"/>
      <family val="2"/>
      <charset val="1"/>
    </font>
    <font>
      <b/>
      <sz val="12"/>
      <color rgb="FFF70314"/>
      <name val="Arial"/>
      <family val="2"/>
      <charset val="1"/>
    </font>
    <font>
      <b/>
      <sz val="14"/>
      <name val="Arial"/>
      <family val="2"/>
      <charset val="1"/>
    </font>
    <font>
      <b/>
      <sz val="12"/>
      <name val="Arial Black"/>
      <family val="2"/>
      <charset val="1"/>
    </font>
    <font>
      <b/>
      <u/>
      <sz val="10"/>
      <color rgb="FF0000FF"/>
      <name val="Arial"/>
      <family val="2"/>
      <charset val="1"/>
    </font>
    <font>
      <u/>
      <sz val="9.5"/>
      <color rgb="FF0000FF"/>
      <name val="Arial"/>
      <family val="2"/>
      <charset val="1"/>
    </font>
    <font>
      <b/>
      <sz val="12"/>
      <color theme="0"/>
      <name val="Arial"/>
      <family val="2"/>
      <charset val="1"/>
    </font>
    <font>
      <b/>
      <sz val="10"/>
      <color theme="1"/>
      <name val="Arial"/>
      <family val="2"/>
      <charset val="1"/>
    </font>
    <font>
      <b/>
      <sz val="12"/>
      <color theme="1"/>
      <name val="Arial"/>
      <family val="2"/>
      <charset val="1"/>
    </font>
    <font>
      <b/>
      <sz val="10"/>
      <color theme="0"/>
      <name val="Arial"/>
      <family val="2"/>
      <charset val="1"/>
    </font>
    <font>
      <b/>
      <sz val="20"/>
      <color theme="0"/>
      <name val="Arial"/>
      <family val="2"/>
      <charset val="1"/>
    </font>
    <font>
      <b/>
      <sz val="11"/>
      <name val="Arial"/>
      <family val="2"/>
      <charset val="1"/>
    </font>
    <font>
      <sz val="72"/>
      <color rgb="FFFF0000"/>
      <name val="Arial"/>
      <family val="2"/>
      <charset val="1"/>
    </font>
    <font>
      <b/>
      <sz val="12"/>
      <color theme="1"/>
      <name val="Arial Black"/>
      <family val="2"/>
      <charset val="1"/>
    </font>
    <font>
      <b/>
      <sz val="11"/>
      <color theme="1"/>
      <name val="Arial"/>
      <family val="2"/>
      <charset val="1"/>
    </font>
    <font>
      <b/>
      <u/>
      <sz val="18"/>
      <color rgb="FF0000FF"/>
      <name val="Arial"/>
      <family val="2"/>
      <charset val="1"/>
    </font>
    <font>
      <b/>
      <sz val="28"/>
      <name val="Arial"/>
      <family val="2"/>
      <charset val="1"/>
    </font>
    <font>
      <b/>
      <sz val="26"/>
      <name val="Arial"/>
      <family val="2"/>
      <charset val="1"/>
    </font>
    <font>
      <sz val="12"/>
      <name val="Arial"/>
      <family val="2"/>
      <charset val="1"/>
    </font>
    <font>
      <b/>
      <sz val="26"/>
      <color theme="1"/>
      <name val="Arial"/>
      <family val="2"/>
      <charset val="1"/>
    </font>
    <font>
      <b/>
      <u/>
      <sz val="9.5"/>
      <color rgb="FF0000FF"/>
      <name val="Arial"/>
      <family val="2"/>
      <charset val="1"/>
    </font>
    <font>
      <b/>
      <i/>
      <sz val="14"/>
      <name val="Arial"/>
      <family val="2"/>
      <charset val="1"/>
    </font>
    <font>
      <b/>
      <u/>
      <sz val="14"/>
      <color rgb="FF0000FF"/>
      <name val="Arial"/>
      <family val="2"/>
      <charset val="1"/>
    </font>
    <font>
      <sz val="9"/>
      <color theme="1"/>
      <name val="Arial"/>
      <family val="2"/>
      <charset val="1"/>
    </font>
    <font>
      <b/>
      <sz val="9"/>
      <color theme="1"/>
      <name val="Arial"/>
      <family val="2"/>
      <charset val="1"/>
    </font>
    <font>
      <b/>
      <sz val="14"/>
      <color theme="0"/>
      <name val="Arial"/>
      <family val="2"/>
      <charset val="1"/>
    </font>
    <font>
      <sz val="10"/>
      <color rgb="FFFF0000"/>
      <name val="Arial"/>
      <family val="2"/>
      <charset val="1"/>
    </font>
    <font>
      <b/>
      <sz val="20"/>
      <name val="Calibri"/>
      <family val="2"/>
      <charset val="1"/>
    </font>
    <font>
      <b/>
      <u/>
      <sz val="16"/>
      <color rgb="FF0000FF"/>
      <name val="Arial"/>
      <family val="2"/>
      <charset val="1"/>
    </font>
    <font>
      <b/>
      <sz val="12"/>
      <name val="Comic Sans MS"/>
      <family val="4"/>
      <charset val="1"/>
    </font>
    <font>
      <b/>
      <sz val="16"/>
      <name val="Arial"/>
      <family val="2"/>
      <charset val="1"/>
    </font>
    <font>
      <b/>
      <sz val="20"/>
      <color rgb="FF0000FF"/>
      <name val="Calibri"/>
      <family val="2"/>
      <charset val="1"/>
    </font>
    <font>
      <b/>
      <u/>
      <sz val="20"/>
      <color rgb="FF0000FF"/>
      <name val="Arial"/>
      <family val="2"/>
      <charset val="1"/>
    </font>
    <font>
      <b/>
      <u/>
      <sz val="28"/>
      <color rgb="FF0000FF"/>
      <name val="Arial"/>
      <family val="2"/>
      <charset val="1"/>
    </font>
    <font>
      <b/>
      <sz val="22"/>
      <color rgb="FF0000FF"/>
      <name val="Calibri"/>
      <family val="2"/>
      <charset val="1"/>
    </font>
    <font>
      <i/>
      <sz val="12"/>
      <name val="Arial"/>
      <family val="2"/>
      <charset val="1"/>
    </font>
    <font>
      <sz val="14"/>
      <name val="Arial"/>
      <family val="2"/>
      <charset val="1"/>
    </font>
    <font>
      <b/>
      <u/>
      <sz val="16"/>
      <color theme="0"/>
      <name val="Arial"/>
      <family val="2"/>
      <charset val="1"/>
    </font>
    <font>
      <b/>
      <u/>
      <sz val="12"/>
      <color rgb="FF0000FF"/>
      <name val="Arial"/>
      <family val="2"/>
      <charset val="1"/>
    </font>
    <font>
      <b/>
      <sz val="12"/>
      <name val="Calibri"/>
      <family val="2"/>
      <charset val="1"/>
    </font>
    <font>
      <b/>
      <sz val="36"/>
      <name val="Arial"/>
      <family val="2"/>
      <charset val="1"/>
    </font>
    <font>
      <b/>
      <u/>
      <sz val="14"/>
      <name val="Arial"/>
      <family val="2"/>
      <charset val="1"/>
    </font>
    <font>
      <b/>
      <i/>
      <u/>
      <sz val="12"/>
      <color rgb="FFF70314"/>
      <name val="Arial"/>
      <family val="2"/>
      <charset val="1"/>
    </font>
    <font>
      <b/>
      <i/>
      <sz val="12"/>
      <color rgb="FFF70314"/>
      <name val="Arial"/>
      <family val="2"/>
      <charset val="1"/>
    </font>
    <font>
      <b/>
      <i/>
      <sz val="14"/>
      <color rgb="FFF70314"/>
      <name val="Arial"/>
      <family val="2"/>
      <charset val="1"/>
    </font>
    <font>
      <b/>
      <i/>
      <sz val="12"/>
      <name val="Arial"/>
      <family val="2"/>
      <charset val="1"/>
    </font>
    <font>
      <sz val="18"/>
      <name val="Arial"/>
      <family val="2"/>
      <charset val="1"/>
    </font>
    <font>
      <b/>
      <u/>
      <sz val="8"/>
      <color rgb="FF0000FF"/>
      <name val="Arial"/>
      <family val="2"/>
      <charset val="1"/>
    </font>
    <font>
      <sz val="16"/>
      <name val="Arial"/>
      <family val="2"/>
      <charset val="1"/>
    </font>
    <font>
      <sz val="16"/>
      <color theme="0" tint="-0.34998626667073579"/>
      <name val="Arial"/>
      <family val="2"/>
      <charset val="1"/>
    </font>
    <font>
      <sz val="14"/>
      <name val="Comic Sans MS"/>
      <family val="4"/>
      <charset val="1"/>
    </font>
    <font>
      <b/>
      <sz val="14"/>
      <name val="Calibri"/>
      <family val="2"/>
      <charset val="1"/>
    </font>
    <font>
      <b/>
      <sz val="24"/>
      <color rgb="FF0000FF"/>
      <name val="Arial"/>
      <family val="2"/>
      <charset val="1"/>
    </font>
    <font>
      <b/>
      <sz val="24"/>
      <color theme="0"/>
      <name val="Arial"/>
      <family val="2"/>
      <charset val="1"/>
    </font>
    <font>
      <b/>
      <sz val="12"/>
      <name val="Cambria"/>
      <family val="1"/>
      <charset val="1"/>
    </font>
    <font>
      <b/>
      <sz val="28"/>
      <color rgb="FF0000FF"/>
      <name val="Calibri"/>
      <family val="2"/>
      <charset val="1"/>
    </font>
    <font>
      <b/>
      <u/>
      <sz val="11"/>
      <color rgb="FF0000FF"/>
      <name val="Arial"/>
      <family val="2"/>
      <charset val="1"/>
    </font>
    <font>
      <b/>
      <sz val="14"/>
      <name val="Cambria"/>
      <family val="1"/>
      <charset val="1"/>
    </font>
    <font>
      <sz val="11"/>
      <name val="Calibri"/>
      <family val="2"/>
      <charset val="1"/>
    </font>
    <font>
      <sz val="20"/>
      <name val="Arial"/>
      <family val="2"/>
      <charset val="1"/>
    </font>
    <font>
      <b/>
      <sz val="9"/>
      <name val="Comic Sans MS"/>
      <family val="4"/>
      <charset val="1"/>
    </font>
    <font>
      <b/>
      <sz val="20"/>
      <color theme="1"/>
      <name val="Arial"/>
      <family val="2"/>
      <charset val="1"/>
    </font>
    <font>
      <b/>
      <sz val="20"/>
      <color theme="0"/>
      <name val="Calibri"/>
      <family val="2"/>
      <charset val="1"/>
    </font>
    <font>
      <b/>
      <sz val="20"/>
      <name val="Tw Cen MT Condensed Extra Bold"/>
      <family val="2"/>
      <charset val="1"/>
    </font>
    <font>
      <b/>
      <sz val="16"/>
      <color rgb="FF0000FF"/>
      <name val="Arial"/>
      <family val="2"/>
      <charset val="1"/>
    </font>
    <font>
      <b/>
      <sz val="16"/>
      <color theme="0"/>
      <name val="Arial"/>
      <family val="2"/>
      <charset val="1"/>
    </font>
    <font>
      <b/>
      <sz val="22"/>
      <color theme="0"/>
      <name val="Calibri"/>
      <family val="2"/>
      <charset val="1"/>
    </font>
    <font>
      <b/>
      <sz val="10"/>
      <name val="Tw Cen MT Condensed Extra Bold"/>
      <family val="2"/>
      <charset val="1"/>
    </font>
    <font>
      <b/>
      <sz val="10"/>
      <color rgb="FFFF0000"/>
      <name val="Arial"/>
      <family val="2"/>
      <charset val="1"/>
    </font>
    <font>
      <b/>
      <i/>
      <sz val="16"/>
      <color theme="1"/>
      <name val="Arial"/>
      <family val="2"/>
      <charset val="1"/>
    </font>
    <font>
      <sz val="10"/>
      <name val="Tw Cen MT Condensed Extra Bold"/>
      <family val="2"/>
      <charset val="1"/>
    </font>
    <font>
      <b/>
      <sz val="10"/>
      <name val="Arial Black"/>
      <family val="2"/>
      <charset val="1"/>
    </font>
    <font>
      <b/>
      <sz val="13"/>
      <name val="Arial"/>
      <family val="2"/>
      <charset val="1"/>
    </font>
    <font>
      <b/>
      <i/>
      <sz val="14"/>
      <color theme="0"/>
      <name val="Arial"/>
      <family val="2"/>
      <charset val="1"/>
    </font>
    <font>
      <sz val="20"/>
      <color rgb="FFFF0000"/>
      <name val="Calibri"/>
      <family val="2"/>
      <charset val="1"/>
    </font>
    <font>
      <b/>
      <sz val="28"/>
      <color theme="1"/>
      <name val="Arial"/>
      <family val="2"/>
      <charset val="1"/>
    </font>
    <font>
      <b/>
      <sz val="28"/>
      <color rgb="FFFF0000"/>
      <name val="Arial"/>
      <family val="2"/>
      <charset val="1"/>
    </font>
    <font>
      <b/>
      <sz val="18"/>
      <color theme="0"/>
      <name val="Arial"/>
      <family val="2"/>
      <charset val="1"/>
    </font>
    <font>
      <sz val="10"/>
      <name val="Comic Sans MS"/>
      <family val="4"/>
      <charset val="1"/>
    </font>
    <font>
      <b/>
      <u/>
      <sz val="9"/>
      <color rgb="FF0000FF"/>
      <name val="Arial"/>
      <family val="2"/>
      <charset val="1"/>
    </font>
    <font>
      <sz val="36"/>
      <color rgb="FFFF0000"/>
      <name val="Arial"/>
      <family val="2"/>
      <charset val="1"/>
    </font>
    <font>
      <b/>
      <sz val="24"/>
      <color theme="1"/>
      <name val="Arial"/>
      <family val="2"/>
      <charset val="1"/>
    </font>
    <font>
      <b/>
      <sz val="20"/>
      <name val="Comic Sans MS"/>
      <family val="4"/>
      <charset val="1"/>
    </font>
    <font>
      <b/>
      <i/>
      <sz val="10"/>
      <name val="Arial"/>
      <family val="2"/>
      <charset val="1"/>
    </font>
    <font>
      <b/>
      <sz val="8"/>
      <color theme="1"/>
      <name val="Arial"/>
      <family val="2"/>
      <charset val="1"/>
    </font>
    <font>
      <sz val="9"/>
      <name val="Comic Sans MS"/>
      <family val="4"/>
      <charset val="1"/>
    </font>
    <font>
      <b/>
      <sz val="26"/>
      <color theme="1"/>
      <name val="Comic Sans MS"/>
      <family val="4"/>
      <charset val="1"/>
    </font>
    <font>
      <b/>
      <sz val="14"/>
      <name val="Comic Sans MS"/>
      <family val="4"/>
      <charset val="1"/>
    </font>
    <font>
      <sz val="10"/>
      <color theme="0" tint="-0.249977111117893"/>
      <name val="Arial"/>
      <family val="2"/>
      <charset val="1"/>
    </font>
    <font>
      <b/>
      <sz val="16"/>
      <color rgb="FFFFFFFF"/>
      <name val="Arial"/>
      <family val="2"/>
      <charset val="1"/>
    </font>
    <font>
      <sz val="24"/>
      <name val="Arial"/>
      <family val="2"/>
      <charset val="1"/>
    </font>
    <font>
      <sz val="28"/>
      <name val="Arial"/>
      <family val="2"/>
      <charset val="1"/>
    </font>
    <font>
      <b/>
      <u/>
      <sz val="20"/>
      <name val="Arial"/>
      <family val="2"/>
      <charset val="1"/>
    </font>
    <font>
      <b/>
      <u/>
      <sz val="12"/>
      <name val="Arial"/>
      <family val="1"/>
      <charset val="1"/>
    </font>
    <font>
      <b/>
      <u/>
      <sz val="14"/>
      <name val="Arial"/>
      <family val="1"/>
      <charset val="1"/>
    </font>
    <font>
      <b/>
      <u/>
      <sz val="12"/>
      <name val="Arial"/>
      <family val="2"/>
      <charset val="1"/>
    </font>
    <font>
      <b/>
      <sz val="16"/>
      <name val="Arial"/>
      <family val="1"/>
      <charset val="1"/>
    </font>
    <font>
      <sz val="10"/>
      <color rgb="FFFFFFFF"/>
      <name val="Arial"/>
      <family val="2"/>
      <charset val="1"/>
    </font>
    <font>
      <b/>
      <i/>
      <sz val="16"/>
      <name val="Arial"/>
      <family val="2"/>
      <charset val="1"/>
    </font>
    <font>
      <sz val="16"/>
      <color theme="1"/>
      <name val="Arial"/>
      <family val="2"/>
      <charset val="1"/>
    </font>
    <font>
      <b/>
      <sz val="11"/>
      <color theme="0"/>
      <name val="Arial"/>
      <family val="2"/>
      <charset val="1"/>
    </font>
    <font>
      <sz val="18"/>
      <color theme="1"/>
      <name val="Arial"/>
      <family val="2"/>
      <charset val="1"/>
    </font>
    <font>
      <sz val="14"/>
      <color theme="1"/>
      <name val="Arial"/>
      <family val="2"/>
      <charset val="1"/>
    </font>
    <font>
      <b/>
      <i/>
      <u/>
      <sz val="9"/>
      <color theme="0"/>
      <name val="Arial"/>
      <family val="2"/>
      <charset val="1"/>
    </font>
    <font>
      <sz val="20"/>
      <color theme="1"/>
      <name val="Arial"/>
      <family val="2"/>
      <charset val="1"/>
    </font>
    <font>
      <b/>
      <u/>
      <sz val="20"/>
      <color theme="0"/>
      <name val="Arial"/>
      <family val="2"/>
      <charset val="1"/>
    </font>
    <font>
      <b/>
      <i/>
      <u/>
      <sz val="20"/>
      <color theme="0"/>
      <name val="Arial"/>
      <family val="2"/>
      <charset val="1"/>
    </font>
    <font>
      <b/>
      <sz val="36"/>
      <color theme="0"/>
      <name val="Arial Black"/>
      <family val="2"/>
      <charset val="1"/>
    </font>
    <font>
      <sz val="16"/>
      <name val="Comic Sans MS"/>
      <family val="4"/>
      <charset val="1"/>
    </font>
    <font>
      <b/>
      <u/>
      <sz val="10"/>
      <name val="Arial"/>
      <family val="2"/>
      <charset val="1"/>
    </font>
    <font>
      <b/>
      <sz val="18"/>
      <color rgb="FF0000FF"/>
      <name val="Comic Sans MS"/>
      <family val="4"/>
      <charset val="1"/>
    </font>
    <font>
      <b/>
      <i/>
      <sz val="36"/>
      <name val="Arial"/>
      <family val="2"/>
      <charset val="1"/>
    </font>
    <font>
      <b/>
      <i/>
      <sz val="28"/>
      <color rgb="FFFF0000"/>
      <name val="Arial"/>
      <family val="2"/>
      <charset val="1"/>
    </font>
    <font>
      <b/>
      <sz val="24"/>
      <name val="Comic Sans MS"/>
      <family val="4"/>
      <charset val="1"/>
    </font>
    <font>
      <b/>
      <sz val="10"/>
      <color rgb="FF0000FF"/>
      <name val="Arial"/>
      <family val="2"/>
      <charset val="1"/>
    </font>
    <font>
      <b/>
      <sz val="16"/>
      <color rgb="FF0000FF"/>
      <name val="Arial Black"/>
      <family val="2"/>
      <charset val="1"/>
    </font>
    <font>
      <b/>
      <sz val="10"/>
      <color rgb="FF0000FF"/>
      <name val="Arial Black"/>
      <family val="2"/>
      <charset val="1"/>
    </font>
    <font>
      <b/>
      <sz val="16"/>
      <name val="Arial Black"/>
      <family val="2"/>
      <charset val="1"/>
    </font>
    <font>
      <b/>
      <sz val="18"/>
      <color theme="0"/>
      <name val="Comic Sans MS"/>
      <family val="4"/>
      <charset val="1"/>
    </font>
    <font>
      <b/>
      <sz val="12"/>
      <color rgb="FF0000FF"/>
      <name val="Arial"/>
      <family val="2"/>
      <charset val="1"/>
    </font>
    <font>
      <b/>
      <sz val="12"/>
      <color rgb="FF0000FF"/>
      <name val="Arial Black"/>
      <family val="2"/>
      <charset val="1"/>
    </font>
    <font>
      <b/>
      <sz val="14"/>
      <color rgb="FF0000FF"/>
      <name val="Arial"/>
      <family val="2"/>
      <charset val="1"/>
    </font>
    <font>
      <sz val="16"/>
      <name val="Engravers MT"/>
      <family val="1"/>
      <charset val="1"/>
    </font>
    <font>
      <u val="double"/>
      <sz val="26"/>
      <name val="Arial Black"/>
      <family val="2"/>
      <charset val="1"/>
    </font>
    <font>
      <sz val="20"/>
      <name val="Arial Black"/>
      <family val="2"/>
      <charset val="1"/>
    </font>
    <font>
      <sz val="6"/>
      <name val="Arial"/>
      <family val="2"/>
      <charset val="1"/>
    </font>
    <font>
      <b/>
      <sz val="10"/>
      <color rgb="FFFF0000"/>
      <name val="Comic Sans MS"/>
      <family val="4"/>
      <charset val="1"/>
    </font>
    <font>
      <b/>
      <sz val="16"/>
      <name val="Comic Sans MS"/>
      <family val="4"/>
      <charset val="1"/>
    </font>
    <font>
      <b/>
      <u val="double"/>
      <sz val="20"/>
      <name val="Arial"/>
      <family val="2"/>
      <charset val="1"/>
    </font>
    <font>
      <u val="double"/>
      <sz val="20"/>
      <name val="Arial"/>
      <family val="2"/>
      <charset val="1"/>
    </font>
    <font>
      <u val="double"/>
      <sz val="14"/>
      <name val="Arial"/>
      <family val="2"/>
      <charset val="1"/>
    </font>
    <font>
      <b/>
      <u/>
      <sz val="16"/>
      <color rgb="FFFF0000"/>
      <name val="Comic Sans MS"/>
      <family val="4"/>
      <charset val="1"/>
    </font>
    <font>
      <b/>
      <u/>
      <sz val="14"/>
      <color rgb="FFFF0000"/>
      <name val="Comic Sans MS"/>
      <family val="4"/>
      <charset val="1"/>
    </font>
    <font>
      <b/>
      <sz val="10"/>
      <name val="Comic Sans MS"/>
      <family val="4"/>
      <charset val="1"/>
    </font>
    <font>
      <b/>
      <sz val="12"/>
      <color rgb="FFFF0000"/>
      <name val="Arial"/>
      <family val="2"/>
      <charset val="1"/>
    </font>
    <font>
      <b/>
      <sz val="18"/>
      <name val="Comic Sans MS"/>
      <family val="4"/>
      <charset val="1"/>
    </font>
    <font>
      <sz val="20"/>
      <color theme="0"/>
      <name val="Comic Sans MS"/>
      <family val="4"/>
      <charset val="1"/>
    </font>
    <font>
      <b/>
      <sz val="20"/>
      <color rgb="FFFF0000"/>
      <name val="Comic Sans MS"/>
      <family val="4"/>
      <charset val="1"/>
    </font>
    <font>
      <sz val="20"/>
      <name val="Comic Sans MS"/>
      <family val="4"/>
      <charset val="1"/>
    </font>
    <font>
      <sz val="6"/>
      <name val="Comic Sans MS"/>
      <family val="4"/>
      <charset val="1"/>
    </font>
    <font>
      <b/>
      <sz val="36"/>
      <color rgb="FFFF0000"/>
      <name val="Arial"/>
      <family val="2"/>
      <charset val="1"/>
    </font>
    <font>
      <sz val="10"/>
      <color theme="0"/>
      <name val="Cambria"/>
      <family val="1"/>
      <charset val="1"/>
    </font>
    <font>
      <b/>
      <sz val="14"/>
      <color theme="0"/>
      <name val="Cambria"/>
      <family val="1"/>
      <charset val="1"/>
    </font>
    <font>
      <b/>
      <u val="double"/>
      <sz val="48"/>
      <name val="Arial"/>
      <family val="2"/>
      <charset val="1"/>
    </font>
    <font>
      <b/>
      <u/>
      <sz val="26"/>
      <color rgb="FF0000FF"/>
      <name val="Arial"/>
      <family val="2"/>
      <charset val="1"/>
    </font>
    <font>
      <b/>
      <u/>
      <sz val="36"/>
      <color rgb="FF0000FF"/>
      <name val="Arial Black"/>
      <family val="2"/>
      <charset val="1"/>
    </font>
    <font>
      <b/>
      <i/>
      <sz val="48"/>
      <color rgb="FFFFFFFF"/>
      <name val="Comic Sans MS"/>
      <family val="4"/>
      <charset val="1"/>
    </font>
    <font>
      <b/>
      <u/>
      <sz val="22"/>
      <name val="Arial"/>
      <family val="2"/>
      <charset val="1"/>
    </font>
    <font>
      <b/>
      <sz val="14"/>
      <name val="Arial Rounded MT Bold"/>
      <family val="2"/>
      <charset val="1"/>
    </font>
    <font>
      <sz val="12"/>
      <name val="Arial Rounded MT Bold"/>
      <family val="2"/>
      <charset val="1"/>
    </font>
    <font>
      <b/>
      <sz val="26"/>
      <color rgb="FFFF0000"/>
      <name val="Arial"/>
      <family val="2"/>
      <charset val="1"/>
    </font>
    <font>
      <sz val="10"/>
      <color theme="0"/>
      <name val="Comic Sans MS"/>
      <family val="4"/>
      <charset val="1"/>
    </font>
    <font>
      <sz val="20"/>
      <color theme="0"/>
      <name val="Arial"/>
      <family val="2"/>
      <charset val="1"/>
    </font>
    <font>
      <u val="double"/>
      <sz val="20"/>
      <color theme="0"/>
      <name val="Arial"/>
      <family val="2"/>
      <charset val="1"/>
    </font>
    <font>
      <b/>
      <sz val="18"/>
      <color theme="1"/>
      <name val="Comic Sans MS"/>
      <family val="4"/>
      <charset val="1"/>
    </font>
  </fonts>
  <fills count="48">
    <fill>
      <patternFill patternType="none"/>
    </fill>
    <fill>
      <patternFill patternType="gray125"/>
    </fill>
    <fill>
      <patternFill patternType="solid">
        <fgColor theme="0" tint="-0.249977111117893"/>
        <bgColor rgb="FFC6C0C0"/>
      </patternFill>
    </fill>
    <fill>
      <patternFill patternType="solid">
        <fgColor theme="0"/>
        <bgColor rgb="FFFFFFCC"/>
      </patternFill>
    </fill>
    <fill>
      <patternFill patternType="solid">
        <fgColor rgb="FFFFFF00"/>
        <bgColor rgb="FFF4FD81"/>
      </patternFill>
    </fill>
    <fill>
      <patternFill patternType="solid">
        <fgColor theme="1"/>
        <bgColor rgb="FF0000FF"/>
      </patternFill>
    </fill>
    <fill>
      <patternFill patternType="solid">
        <fgColor theme="8" tint="0.59978026673177287"/>
        <bgColor rgb="FFC6D9F1"/>
      </patternFill>
    </fill>
    <fill>
      <patternFill patternType="solid">
        <fgColor rgb="FF0063CC"/>
        <bgColor rgb="FF31859C"/>
      </patternFill>
    </fill>
    <fill>
      <patternFill patternType="solid">
        <fgColor theme="3" tint="0.79979857783745845"/>
        <bgColor rgb="FFC7DAF1"/>
      </patternFill>
    </fill>
    <fill>
      <patternFill patternType="solid">
        <fgColor rgb="FFC6C0C0"/>
        <bgColor rgb="FFBFBFBF"/>
      </patternFill>
    </fill>
    <fill>
      <patternFill patternType="solid">
        <fgColor rgb="FFF4FD81"/>
        <bgColor rgb="FFFFFF99"/>
      </patternFill>
    </fill>
    <fill>
      <patternFill patternType="solid">
        <fgColor rgb="FFFF0000"/>
        <bgColor rgb="FFF70314"/>
      </patternFill>
    </fill>
    <fill>
      <patternFill patternType="mediumGray">
        <fgColor rgb="FF0063CC"/>
        <bgColor rgb="FF0000FF"/>
      </patternFill>
    </fill>
    <fill>
      <patternFill patternType="solid">
        <fgColor rgb="FFFFFF99"/>
        <bgColor rgb="FFF8FEAC"/>
      </patternFill>
    </fill>
    <fill>
      <patternFill patternType="solid">
        <fgColor rgb="FFCCFFFF"/>
        <bgColor rgb="FFDBEFF4"/>
      </patternFill>
    </fill>
    <fill>
      <patternFill patternType="solid">
        <fgColor theme="8" tint="0.79979857783745845"/>
        <bgColor rgb="FFDBEEF3"/>
      </patternFill>
    </fill>
    <fill>
      <patternFill patternType="solid">
        <fgColor rgb="FFA6C0DF"/>
        <bgColor rgb="FFAAC6EA"/>
      </patternFill>
    </fill>
    <fill>
      <patternFill patternType="darkGray">
        <fgColor rgb="FFD9D9D9"/>
        <bgColor rgb="FFDCE6F2"/>
      </patternFill>
    </fill>
    <fill>
      <patternFill patternType="solid">
        <fgColor theme="0" tint="-0.14999847407452621"/>
        <bgColor rgb="FFCAD9EB"/>
      </patternFill>
    </fill>
    <fill>
      <patternFill patternType="solid">
        <fgColor rgb="FF0000FF"/>
        <bgColor rgb="FF0063CC"/>
      </patternFill>
    </fill>
    <fill>
      <patternFill patternType="solid">
        <fgColor rgb="FFDBEEF3"/>
        <bgColor rgb="FFDBEEF4"/>
      </patternFill>
    </fill>
    <fill>
      <patternFill patternType="solid">
        <fgColor rgb="FFEEE7F2"/>
        <bgColor rgb="FFDCE6F2"/>
      </patternFill>
    </fill>
    <fill>
      <patternFill patternType="solid">
        <fgColor rgb="FFFFC000"/>
        <bgColor rgb="FFF8B981"/>
      </patternFill>
    </fill>
    <fill>
      <patternFill patternType="solid">
        <fgColor theme="0" tint="-0.34998626667073579"/>
        <bgColor rgb="FFBFBFBF"/>
      </patternFill>
    </fill>
    <fill>
      <patternFill patternType="solid">
        <fgColor rgb="FF13F808"/>
        <bgColor rgb="FF00FF00"/>
      </patternFill>
    </fill>
    <fill>
      <patternFill patternType="solid">
        <fgColor rgb="FFFFFFCC"/>
        <bgColor rgb="FFF9FEC0"/>
      </patternFill>
    </fill>
    <fill>
      <patternFill patternType="solid">
        <fgColor theme="3" tint="0.39979247413556324"/>
        <bgColor rgb="FF31859C"/>
      </patternFill>
    </fill>
    <fill>
      <patternFill patternType="solid">
        <fgColor rgb="FFF8FEAC"/>
        <bgColor rgb="FFF9FEC0"/>
      </patternFill>
    </fill>
    <fill>
      <patternFill patternType="solid">
        <fgColor rgb="FF80FFFF"/>
        <bgColor rgb="FF69FFFF"/>
      </patternFill>
    </fill>
    <fill>
      <patternFill patternType="solid">
        <fgColor rgb="FFFF5050"/>
        <bgColor rgb="FFE2700D"/>
      </patternFill>
    </fill>
    <fill>
      <patternFill patternType="solid">
        <fgColor rgb="FF00B0F0"/>
        <bgColor rgb="FF00CCFF"/>
      </patternFill>
    </fill>
    <fill>
      <patternFill patternType="solid">
        <fgColor rgb="FF76FA8C"/>
        <bgColor rgb="FF7FD7A7"/>
      </patternFill>
    </fill>
    <fill>
      <patternFill patternType="solid">
        <fgColor theme="9" tint="-0.249977111117893"/>
        <bgColor rgb="FFFF5050"/>
      </patternFill>
    </fill>
    <fill>
      <patternFill patternType="solid">
        <fgColor rgb="FF7FD7A7"/>
        <bgColor rgb="FF76FA8C"/>
      </patternFill>
    </fill>
    <fill>
      <patternFill patternType="solid">
        <fgColor theme="9" tint="0.59978026673177287"/>
        <bgColor rgb="FFD9D9D9"/>
      </patternFill>
    </fill>
    <fill>
      <patternFill patternType="solid">
        <fgColor theme="5" tint="0.59978026673177287"/>
        <bgColor rgb="FFBFBFBF"/>
      </patternFill>
    </fill>
    <fill>
      <patternFill patternType="darkGray">
        <fgColor rgb="FF0063CC"/>
        <bgColor rgb="FF31859C"/>
      </patternFill>
    </fill>
    <fill>
      <patternFill patternType="solid">
        <fgColor rgb="FF00FF00"/>
        <bgColor rgb="FF13F808"/>
      </patternFill>
    </fill>
    <fill>
      <patternFill patternType="solid">
        <fgColor rgb="FF00FFFF"/>
        <bgColor rgb="FF00CCFF"/>
      </patternFill>
    </fill>
    <fill>
      <patternFill patternType="solid">
        <fgColor rgb="FFCCFFCC"/>
        <bgColor rgb="FFCCFFFF"/>
      </patternFill>
    </fill>
    <fill>
      <patternFill patternType="solid">
        <fgColor rgb="FF00CCFF"/>
        <bgColor rgb="FF00B0F0"/>
      </patternFill>
    </fill>
    <fill>
      <patternFill patternType="darkGray">
        <fgColor rgb="FFEEE7F2"/>
        <bgColor rgb="FFDCE6F2"/>
      </patternFill>
    </fill>
    <fill>
      <patternFill patternType="solid">
        <fgColor rgb="FF996666"/>
        <bgColor rgb="FF808080"/>
      </patternFill>
    </fill>
    <fill>
      <patternFill patternType="solid">
        <fgColor rgb="FF58F709"/>
        <bgColor rgb="FF13F808"/>
      </patternFill>
    </fill>
    <fill>
      <patternFill patternType="solid">
        <fgColor theme="0" tint="-0.499984740745262"/>
        <bgColor rgb="FF996666"/>
      </patternFill>
    </fill>
    <fill>
      <patternFill patternType="solid">
        <fgColor rgb="FF00B050"/>
        <bgColor rgb="FF31859C"/>
      </patternFill>
    </fill>
    <fill>
      <patternFill patternType="solid">
        <fgColor rgb="FF69FFFF"/>
        <bgColor rgb="FF80FFFF"/>
      </patternFill>
    </fill>
    <fill>
      <patternFill patternType="solid">
        <fgColor theme="8" tint="-0.249977111117893"/>
        <bgColor rgb="FF558ED5"/>
      </patternFill>
    </fill>
  </fills>
  <borders count="153">
    <border>
      <left/>
      <right/>
      <top/>
      <bottom/>
      <diagonal/>
    </border>
    <border>
      <left/>
      <right/>
      <top/>
      <bottom style="medium">
        <color auto="1"/>
      </bottom>
      <diagonal/>
    </border>
    <border>
      <left/>
      <right style="medium">
        <color auto="1"/>
      </right>
      <top style="medium">
        <color auto="1"/>
      </top>
      <bottom/>
      <diagonal/>
    </border>
    <border>
      <left style="medium">
        <color auto="1"/>
      </left>
      <right style="thick">
        <color theme="0"/>
      </right>
      <top style="medium">
        <color auto="1"/>
      </top>
      <bottom/>
      <diagonal/>
    </border>
    <border>
      <left/>
      <right/>
      <top style="medium">
        <color auto="1"/>
      </top>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right style="medium">
        <color auto="1"/>
      </right>
      <top/>
      <bottom style="medium">
        <color auto="1"/>
      </bottom>
      <diagonal/>
    </border>
    <border>
      <left style="medium">
        <color auto="1"/>
      </left>
      <right style="medium">
        <color auto="1"/>
      </right>
      <top/>
      <bottom/>
      <diagonal/>
    </border>
    <border>
      <left/>
      <right/>
      <top style="thin">
        <color auto="1"/>
      </top>
      <bottom/>
      <diagonal/>
    </border>
    <border>
      <left/>
      <right style="medium">
        <color auto="1"/>
      </right>
      <top style="medium">
        <color auto="1"/>
      </top>
      <bottom style="medium">
        <color auto="1"/>
      </bottom>
      <diagonal/>
    </border>
    <border>
      <left/>
      <right style="medium">
        <color auto="1"/>
      </right>
      <top style="thick">
        <color theme="0"/>
      </top>
      <bottom style="thick">
        <color theme="0"/>
      </bottom>
      <diagonal/>
    </border>
    <border>
      <left style="thick">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bottom/>
      <diagonal/>
    </border>
    <border>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style="thick">
        <color theme="0"/>
      </right>
      <top style="thick">
        <color theme="0"/>
      </top>
      <bottom style="thick">
        <color theme="0"/>
      </bottom>
      <diagonal/>
    </border>
    <border>
      <left style="thick">
        <color theme="0"/>
      </left>
      <right style="medium">
        <color auto="1"/>
      </right>
      <top/>
      <bottom style="medium">
        <color auto="1"/>
      </bottom>
      <diagonal/>
    </border>
    <border>
      <left style="medium">
        <color auto="1"/>
      </left>
      <right style="medium">
        <color auto="1"/>
      </right>
      <top style="medium">
        <color auto="1"/>
      </top>
      <bottom style="thin">
        <color auto="1"/>
      </bottom>
      <diagonal/>
    </border>
    <border>
      <left/>
      <right style="thick">
        <color theme="0"/>
      </right>
      <top/>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style="thick">
        <color theme="0"/>
      </top>
      <bottom/>
      <diagonal/>
    </border>
    <border>
      <left/>
      <right style="medium">
        <color auto="1"/>
      </right>
      <top/>
      <bottom/>
      <diagonal/>
    </border>
    <border>
      <left style="medium">
        <color auto="1"/>
      </left>
      <right/>
      <top/>
      <bottom style="medium">
        <color auto="1"/>
      </bottom>
      <diagonal/>
    </border>
    <border>
      <left style="medium">
        <color auto="1"/>
      </left>
      <right/>
      <top/>
      <bottom style="thin">
        <color auto="1"/>
      </bottom>
      <diagonal/>
    </border>
    <border>
      <left style="medium">
        <color auto="1"/>
      </left>
      <right style="medium">
        <color auto="1"/>
      </right>
      <top/>
      <bottom style="medium">
        <color auto="1"/>
      </bottom>
      <diagonal/>
    </border>
    <border>
      <left style="thick">
        <color auto="1"/>
      </left>
      <right style="medium">
        <color auto="1"/>
      </right>
      <top style="medium">
        <color auto="1"/>
      </top>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auto="1"/>
      </left>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style="thick">
        <color theme="0"/>
      </left>
      <right/>
      <top/>
      <bottom/>
      <diagonal/>
    </border>
    <border>
      <left/>
      <right/>
      <top style="thick">
        <color theme="0"/>
      </top>
      <bottom/>
      <diagonal/>
    </border>
    <border>
      <left/>
      <right style="thin">
        <color auto="1"/>
      </right>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ck">
        <color theme="0"/>
      </bottom>
      <diagonal/>
    </border>
    <border>
      <left/>
      <right style="medium">
        <color auto="1"/>
      </right>
      <top style="medium">
        <color auto="1"/>
      </top>
      <bottom style="thick">
        <color theme="0"/>
      </bottom>
      <diagonal/>
    </border>
    <border>
      <left/>
      <right/>
      <top style="medium">
        <color theme="0"/>
      </top>
      <bottom/>
      <diagonal/>
    </border>
    <border>
      <left/>
      <right style="thin">
        <color auto="1"/>
      </right>
      <top/>
      <bottom style="medium">
        <color rgb="FF0000FF"/>
      </bottom>
      <diagonal/>
    </border>
    <border>
      <left style="thin">
        <color auto="1"/>
      </left>
      <right/>
      <top style="thick">
        <color theme="0"/>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rgb="FF0000FF"/>
      </bottom>
      <diagonal/>
    </border>
    <border>
      <left style="thick">
        <color theme="0"/>
      </left>
      <right/>
      <top style="thick">
        <color theme="0"/>
      </top>
      <bottom/>
      <diagonal/>
    </border>
    <border>
      <left style="thin">
        <color auto="1"/>
      </left>
      <right/>
      <top style="thick">
        <color theme="0"/>
      </top>
      <bottom/>
      <diagonal/>
    </border>
    <border>
      <left style="thick">
        <color rgb="FF0000FF"/>
      </left>
      <right style="thick">
        <color theme="0"/>
      </right>
      <top style="medium">
        <color auto="1"/>
      </top>
      <bottom style="thick">
        <color theme="0"/>
      </bottom>
      <diagonal/>
    </border>
    <border>
      <left style="medium">
        <color rgb="FF0000FF"/>
      </left>
      <right/>
      <top style="medium">
        <color rgb="FF0000FF"/>
      </top>
      <bottom style="medium">
        <color rgb="FF0000FF"/>
      </bottom>
      <diagonal/>
    </border>
    <border>
      <left style="thick">
        <color rgb="FF0000FF"/>
      </left>
      <right/>
      <top style="medium">
        <color rgb="FF0000FF"/>
      </top>
      <bottom style="medium">
        <color rgb="FF0000FF"/>
      </bottom>
      <diagonal/>
    </border>
    <border>
      <left style="thick">
        <color rgb="FF0000FF"/>
      </left>
      <right style="thick">
        <color rgb="FF0000FF"/>
      </right>
      <top/>
      <bottom style="thick">
        <color rgb="FF0000FF"/>
      </bottom>
      <diagonal/>
    </border>
    <border>
      <left style="thick">
        <color rgb="FF0000FF"/>
      </left>
      <right style="thick">
        <color rgb="FF0000FF"/>
      </right>
      <top style="thick">
        <color rgb="FF0000FF"/>
      </top>
      <bottom style="thick">
        <color rgb="FF0000FF"/>
      </bottom>
      <diagonal/>
    </border>
    <border>
      <left style="thick">
        <color rgb="FF0000FF"/>
      </left>
      <right style="medium">
        <color auto="1"/>
      </right>
      <top style="thick">
        <color rgb="FF0000FF"/>
      </top>
      <bottom style="thick">
        <color rgb="FF0000FF"/>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thick">
        <color rgb="FF0000FF"/>
      </left>
      <right/>
      <top/>
      <bottom style="thin">
        <color auto="1"/>
      </bottom>
      <diagonal/>
    </border>
    <border>
      <left style="thick">
        <color rgb="FF0000FF"/>
      </left>
      <right style="thick">
        <color rgb="FF0000FF"/>
      </right>
      <top style="thick">
        <color rgb="FF0000FF"/>
      </top>
      <bottom style="thin">
        <color auto="1"/>
      </bottom>
      <diagonal/>
    </border>
    <border>
      <left style="thick">
        <color rgb="FF0000FF"/>
      </left>
      <right style="thick">
        <color rgb="FF0000FF"/>
      </right>
      <top/>
      <bottom style="thin">
        <color auto="1"/>
      </bottom>
      <diagonal/>
    </border>
    <border>
      <left style="thick">
        <color rgb="FF0000FF"/>
      </left>
      <right/>
      <top style="thin">
        <color auto="1"/>
      </top>
      <bottom style="thin">
        <color auto="1"/>
      </bottom>
      <diagonal/>
    </border>
    <border>
      <left style="thick">
        <color rgb="FF0000FF"/>
      </left>
      <right style="thick">
        <color rgb="FF0000FF"/>
      </right>
      <top style="thin">
        <color auto="1"/>
      </top>
      <bottom style="thin">
        <color auto="1"/>
      </bottom>
      <diagonal/>
    </border>
    <border>
      <left/>
      <right/>
      <top style="thin">
        <color auto="1"/>
      </top>
      <bottom style="thin">
        <color auto="1"/>
      </bottom>
      <diagonal/>
    </border>
    <border>
      <left style="thick">
        <color rgb="FF0000FF"/>
      </left>
      <right/>
      <top style="thin">
        <color auto="1"/>
      </top>
      <bottom/>
      <diagonal/>
    </border>
    <border>
      <left style="thick">
        <color rgb="FF0000FF"/>
      </left>
      <right style="thick">
        <color rgb="FF0000FF"/>
      </right>
      <top style="thin">
        <color auto="1"/>
      </top>
      <bottom/>
      <diagonal/>
    </border>
    <border>
      <left style="medium">
        <color rgb="FF0000FF"/>
      </left>
      <right/>
      <top style="medium">
        <color rgb="FF0000FF"/>
      </top>
      <bottom/>
      <diagonal/>
    </border>
    <border>
      <left style="thick">
        <color rgb="FF0000FF"/>
      </left>
      <right/>
      <top style="medium">
        <color rgb="FF0000FF"/>
      </top>
      <bottom/>
      <diagonal/>
    </border>
    <border>
      <left style="thick">
        <color rgb="FF0000FF"/>
      </left>
      <right style="thick">
        <color rgb="FF0000FF"/>
      </right>
      <top style="medium">
        <color rgb="FF0000FF"/>
      </top>
      <bottom/>
      <diagonal/>
    </border>
    <border>
      <left/>
      <right/>
      <top style="medium">
        <color rgb="FF0000FF"/>
      </top>
      <bottom/>
      <diagonal/>
    </border>
    <border>
      <left style="thin">
        <color auto="1"/>
      </left>
      <right/>
      <top style="thin">
        <color auto="1"/>
      </top>
      <bottom/>
      <diagonal/>
    </border>
    <border>
      <left style="medium">
        <color rgb="FF0000FF"/>
      </left>
      <right style="thick">
        <color rgb="FF0000FF"/>
      </right>
      <top/>
      <bottom/>
      <diagonal/>
    </border>
    <border>
      <left style="thick">
        <color rgb="FF0000FF"/>
      </left>
      <right/>
      <top/>
      <bottom/>
      <diagonal/>
    </border>
    <border>
      <left style="thick">
        <color rgb="FF0000FF"/>
      </left>
      <right style="thick">
        <color rgb="FF0000FF"/>
      </right>
      <top/>
      <bottom/>
      <diagonal/>
    </border>
    <border>
      <left style="medium">
        <color rgb="FF0000FF"/>
      </left>
      <right/>
      <top/>
      <bottom style="medium">
        <color rgb="FF0000FF"/>
      </bottom>
      <diagonal/>
    </border>
    <border>
      <left style="thick">
        <color rgb="FF0000FF"/>
      </left>
      <right style="thick">
        <color rgb="FF0000FF"/>
      </right>
      <top/>
      <bottom style="medium">
        <color rgb="FF0000FF"/>
      </bottom>
      <diagonal/>
    </border>
    <border>
      <left style="thick">
        <color rgb="FF0000FF"/>
      </left>
      <right/>
      <top/>
      <bottom style="medium">
        <color rgb="FF0000FF"/>
      </bottom>
      <diagonal/>
    </border>
    <border>
      <left style="thin">
        <color auto="1"/>
      </left>
      <right style="thin">
        <color auto="1"/>
      </right>
      <top style="thin">
        <color auto="1"/>
      </top>
      <bottom style="medium">
        <color auto="1"/>
      </bottom>
      <diagonal/>
    </border>
    <border>
      <left style="thin">
        <color auto="1"/>
      </left>
      <right/>
      <top style="thin">
        <color auto="1"/>
      </top>
      <bottom style="thick">
        <color rgb="FF0000FF"/>
      </bottom>
      <diagonal/>
    </border>
    <border>
      <left style="thick">
        <color rgb="FF0000FF"/>
      </left>
      <right/>
      <top style="thick">
        <color rgb="FF0000FF"/>
      </top>
      <bottom style="thick">
        <color rgb="FF0000FF"/>
      </bottom>
      <diagonal/>
    </border>
    <border>
      <left style="thick">
        <color rgb="FF0000FF"/>
      </left>
      <right/>
      <top style="thick">
        <color rgb="FF0000FF"/>
      </top>
      <bottom/>
      <diagonal/>
    </border>
    <border>
      <left style="thick">
        <color rgb="FF0000FF"/>
      </left>
      <right style="thick">
        <color rgb="FF0000FF"/>
      </right>
      <top style="thick">
        <color rgb="FF0000FF"/>
      </top>
      <bottom/>
      <diagonal/>
    </border>
    <border>
      <left/>
      <right/>
      <top/>
      <bottom style="thick">
        <color theme="0"/>
      </bottom>
      <diagonal/>
    </border>
    <border>
      <left/>
      <right/>
      <top style="thick">
        <color rgb="FF0000FF"/>
      </top>
      <bottom style="thick">
        <color auto="1"/>
      </bottom>
      <diagonal/>
    </border>
    <border>
      <left style="thin">
        <color theme="0"/>
      </left>
      <right/>
      <top style="thick">
        <color rgb="FF0000FF"/>
      </top>
      <bottom style="thick">
        <color auto="1"/>
      </bottom>
      <diagonal/>
    </border>
    <border>
      <left/>
      <right style="medium">
        <color auto="1"/>
      </right>
      <top style="thick">
        <color theme="0"/>
      </top>
      <bottom style="medium">
        <color auto="1"/>
      </bottom>
      <diagonal/>
    </border>
    <border>
      <left style="medium">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top style="medium">
        <color auto="1"/>
      </top>
      <bottom style="medium">
        <color rgb="FFFF0000"/>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thin">
        <color auto="1"/>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style="thin">
        <color auto="1"/>
      </left>
      <right style="medium">
        <color auto="1"/>
      </right>
      <top/>
      <bottom style="medium">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ck">
        <color rgb="FFFF0000"/>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n">
        <color auto="1"/>
      </left>
      <right/>
      <top style="thick">
        <color rgb="FFFF0000"/>
      </top>
      <bottom style="thin">
        <color auto="1"/>
      </bottom>
      <diagonal/>
    </border>
    <border>
      <left style="thick">
        <color rgb="FFFF0000"/>
      </left>
      <right style="thin">
        <color auto="1"/>
      </right>
      <top style="thin">
        <color auto="1"/>
      </top>
      <bottom style="thin">
        <color auto="1"/>
      </bottom>
      <diagonal/>
    </border>
    <border>
      <left style="medium">
        <color auto="1"/>
      </left>
      <right/>
      <top style="thin">
        <color auto="1"/>
      </top>
      <bottom style="thin">
        <color auto="1"/>
      </bottom>
      <diagonal/>
    </border>
    <border>
      <left style="thick">
        <color rgb="FFFF0000"/>
      </left>
      <right style="thin">
        <color auto="1"/>
      </right>
      <top style="thin">
        <color auto="1"/>
      </top>
      <bottom style="thick">
        <color rgb="FFFF0000"/>
      </bottom>
      <diagonal/>
    </border>
    <border>
      <left style="thin">
        <color auto="1"/>
      </left>
      <right/>
      <top style="thin">
        <color auto="1"/>
      </top>
      <bottom style="thick">
        <color rgb="FFFF0000"/>
      </bottom>
      <diagonal/>
    </border>
    <border>
      <left style="medium">
        <color auto="1"/>
      </left>
      <right style="thin">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thick">
        <color rgb="FFFF0000"/>
      </top>
      <bottom/>
      <diagonal/>
    </border>
    <border>
      <left style="thin">
        <color auto="1"/>
      </left>
      <right/>
      <top style="medium">
        <color auto="1"/>
      </top>
      <bottom style="medium">
        <color auto="1"/>
      </bottom>
      <diagonal/>
    </border>
    <border>
      <left style="medium">
        <color auto="1"/>
      </left>
      <right/>
      <top style="thin">
        <color auto="1"/>
      </top>
      <bottom/>
      <diagonal/>
    </border>
    <border>
      <left/>
      <right style="thick">
        <color auto="1"/>
      </right>
      <top/>
      <bottom/>
      <diagonal/>
    </border>
    <border>
      <left style="thick">
        <color auto="1"/>
      </left>
      <right/>
      <top/>
      <bottom/>
      <diagonal/>
    </border>
    <border>
      <left/>
      <right style="thick">
        <color auto="1"/>
      </right>
      <top style="thick">
        <color auto="1"/>
      </top>
      <bottom/>
      <diagonal/>
    </border>
    <border>
      <left style="medium">
        <color theme="0"/>
      </left>
      <right style="medium">
        <color theme="0"/>
      </right>
      <top style="medium">
        <color auto="1"/>
      </top>
      <bottom/>
      <diagonal/>
    </border>
    <border>
      <left style="thin">
        <color auto="1"/>
      </left>
      <right style="medium">
        <color auto="1"/>
      </right>
      <top/>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style="medium">
        <color theme="0"/>
      </left>
      <right style="medium">
        <color theme="0"/>
      </right>
      <top style="medium">
        <color theme="0"/>
      </top>
      <bottom/>
      <diagonal/>
    </border>
    <border>
      <left style="medium">
        <color auto="1"/>
      </left>
      <right style="medium">
        <color auto="1"/>
      </right>
      <top style="thin">
        <color auto="1"/>
      </top>
      <bottom/>
      <diagonal/>
    </border>
    <border>
      <left style="medium">
        <color auto="1"/>
      </left>
      <right style="thin">
        <color auto="1"/>
      </right>
      <top/>
      <bottom/>
      <diagonal/>
    </border>
    <border>
      <left style="thin">
        <color auto="1"/>
      </left>
      <right/>
      <top/>
      <bottom style="medium">
        <color auto="1"/>
      </bottom>
      <diagonal/>
    </border>
  </borders>
  <cellStyleXfs count="6">
    <xf numFmtId="0" fontId="0" fillId="0" borderId="0"/>
    <xf numFmtId="0" fontId="26" fillId="0" borderId="0" applyBorder="0" applyProtection="0"/>
    <xf numFmtId="0" fontId="1" fillId="0" borderId="0"/>
    <xf numFmtId="0" fontId="1" fillId="0" borderId="0"/>
    <xf numFmtId="0" fontId="2" fillId="0" borderId="0"/>
    <xf numFmtId="0" fontId="1" fillId="0" borderId="0"/>
  </cellStyleXfs>
  <cellXfs count="1501">
    <xf numFmtId="0" fontId="0" fillId="0" borderId="0" xfId="0"/>
    <xf numFmtId="0" fontId="10" fillId="3" borderId="11" xfId="0" applyFont="1" applyFill="1" applyBorder="1" applyAlignment="1" applyProtection="1">
      <alignment horizontal="center" vertical="center" wrapText="1"/>
      <protection hidden="1"/>
    </xf>
    <xf numFmtId="0" fontId="9" fillId="3" borderId="7" xfId="0" applyFont="1" applyFill="1" applyBorder="1" applyAlignment="1" applyProtection="1">
      <alignment horizontal="center" vertical="center"/>
      <protection hidden="1"/>
    </xf>
    <xf numFmtId="0" fontId="1" fillId="0" borderId="0" xfId="0" applyFont="1"/>
    <xf numFmtId="0" fontId="1" fillId="0" borderId="0" xfId="0" applyFont="1" applyAlignment="1">
      <alignment horizontal="center"/>
    </xf>
    <xf numFmtId="0" fontId="3" fillId="2" borderId="0" xfId="0" applyFont="1" applyFill="1" applyProtection="1">
      <protection hidden="1"/>
    </xf>
    <xf numFmtId="0" fontId="1" fillId="0" borderId="0" xfId="0" applyFont="1" applyProtection="1">
      <protection hidden="1"/>
    </xf>
    <xf numFmtId="0" fontId="1" fillId="3" borderId="0" xfId="0" applyFont="1" applyFill="1" applyAlignment="1" applyProtection="1">
      <alignment horizontal="center"/>
      <protection hidden="1"/>
    </xf>
    <xf numFmtId="0" fontId="4" fillId="3" borderId="0" xfId="0" applyFont="1" applyFill="1" applyAlignment="1" applyProtection="1">
      <alignment horizontal="center"/>
      <protection hidden="1"/>
    </xf>
    <xf numFmtId="0" fontId="4" fillId="3" borderId="0" xfId="0" applyFont="1" applyFill="1" applyProtection="1">
      <protection hidden="1"/>
    </xf>
    <xf numFmtId="0" fontId="5" fillId="0" borderId="0" xfId="0" applyFont="1"/>
    <xf numFmtId="0" fontId="1" fillId="3" borderId="0" xfId="0" applyFont="1" applyFill="1" applyProtection="1">
      <protection hidden="1"/>
    </xf>
    <xf numFmtId="0" fontId="1" fillId="3" borderId="0" xfId="0" applyFont="1" applyFill="1" applyAlignment="1" applyProtection="1">
      <alignment horizontal="left"/>
      <protection hidden="1"/>
    </xf>
    <xf numFmtId="0" fontId="1" fillId="5" borderId="0" xfId="0" applyFont="1" applyFill="1" applyProtection="1">
      <protection hidden="1"/>
    </xf>
    <xf numFmtId="0" fontId="7" fillId="5" borderId="0" xfId="0" applyFont="1" applyFill="1" applyAlignment="1" applyProtection="1">
      <alignment horizontal="center" vertical="center"/>
      <protection hidden="1"/>
    </xf>
    <xf numFmtId="14" fontId="7" fillId="5" borderId="0" xfId="0" applyNumberFormat="1" applyFont="1" applyFill="1" applyAlignment="1" applyProtection="1">
      <alignment horizontal="center" vertical="center"/>
      <protection hidden="1"/>
    </xf>
    <xf numFmtId="0" fontId="10" fillId="6" borderId="5" xfId="0" applyFont="1" applyFill="1" applyBorder="1" applyAlignment="1" applyProtection="1">
      <alignment horizontal="center" vertical="center"/>
      <protection hidden="1"/>
    </xf>
    <xf numFmtId="0" fontId="15" fillId="7" borderId="4" xfId="0" applyFont="1" applyFill="1" applyBorder="1" applyAlignment="1" applyProtection="1">
      <alignment horizontal="center" vertical="center" wrapText="1"/>
      <protection hidden="1"/>
    </xf>
    <xf numFmtId="0" fontId="15" fillId="7" borderId="8" xfId="0" applyFont="1" applyFill="1" applyBorder="1" applyAlignment="1" applyProtection="1">
      <alignment horizontal="center" vertical="center" wrapText="1"/>
      <protection hidden="1"/>
    </xf>
    <xf numFmtId="0" fontId="1" fillId="5" borderId="9" xfId="0" applyFont="1" applyFill="1" applyBorder="1" applyProtection="1">
      <protection hidden="1"/>
    </xf>
    <xf numFmtId="0" fontId="1" fillId="9" borderId="0" xfId="0" applyFont="1" applyFill="1" applyProtection="1">
      <protection hidden="1"/>
    </xf>
    <xf numFmtId="0" fontId="20" fillId="3" borderId="4" xfId="0" applyFont="1" applyFill="1" applyBorder="1" applyAlignment="1" applyProtection="1">
      <alignment horizontal="center" wrapText="1"/>
      <protection hidden="1"/>
    </xf>
    <xf numFmtId="0" fontId="21" fillId="3" borderId="10" xfId="0" applyFont="1" applyFill="1" applyBorder="1" applyAlignment="1" applyProtection="1">
      <alignment horizontal="center" vertical="center"/>
      <protection hidden="1"/>
    </xf>
    <xf numFmtId="0" fontId="10" fillId="6" borderId="1" xfId="0" applyFont="1" applyFill="1" applyBorder="1" applyAlignment="1" applyProtection="1">
      <alignment horizontal="center" vertical="center"/>
      <protection hidden="1"/>
    </xf>
    <xf numFmtId="0" fontId="15" fillId="7" borderId="0" xfId="0" applyFont="1" applyFill="1" applyAlignment="1" applyProtection="1">
      <alignment horizontal="center" vertical="center" wrapText="1"/>
      <protection hidden="1"/>
    </xf>
    <xf numFmtId="0" fontId="1" fillId="5" borderId="13" xfId="0" applyFont="1" applyFill="1" applyBorder="1" applyProtection="1">
      <protection hidden="1"/>
    </xf>
    <xf numFmtId="0" fontId="9" fillId="3" borderId="4" xfId="0" applyFont="1" applyFill="1" applyBorder="1" applyAlignment="1" applyProtection="1">
      <alignment horizontal="center" vertical="center"/>
      <protection hidden="1"/>
    </xf>
    <xf numFmtId="0" fontId="23" fillId="3" borderId="4" xfId="0" applyFont="1" applyFill="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10" fillId="3" borderId="14" xfId="0" applyFont="1" applyFill="1" applyBorder="1" applyAlignment="1" applyProtection="1">
      <alignment horizontal="center" vertical="center" wrapText="1"/>
      <protection hidden="1"/>
    </xf>
    <xf numFmtId="165" fontId="1" fillId="5" borderId="0" xfId="0" applyNumberFormat="1" applyFont="1" applyFill="1" applyProtection="1">
      <protection hidden="1"/>
    </xf>
    <xf numFmtId="0" fontId="20" fillId="3" borderId="6" xfId="0" applyFont="1" applyFill="1" applyBorder="1" applyAlignment="1" applyProtection="1">
      <alignment horizontal="center" vertical="center"/>
      <protection hidden="1"/>
    </xf>
    <xf numFmtId="0" fontId="24" fillId="3" borderId="15" xfId="0" applyFont="1" applyFill="1" applyBorder="1" applyAlignment="1" applyProtection="1">
      <alignment horizontal="left" vertical="center" shrinkToFit="1"/>
      <protection locked="0"/>
    </xf>
    <xf numFmtId="0" fontId="20" fillId="3" borderId="6" xfId="0" applyFont="1" applyFill="1" applyBorder="1" applyAlignment="1" applyProtection="1">
      <alignment horizontal="center" vertical="center" shrinkToFit="1"/>
      <protection hidden="1"/>
    </xf>
    <xf numFmtId="0" fontId="24" fillId="3" borderId="5" xfId="0" applyFont="1" applyFill="1" applyBorder="1" applyAlignment="1" applyProtection="1">
      <alignment horizontal="left" vertical="center" shrinkToFit="1"/>
      <protection locked="0"/>
    </xf>
    <xf numFmtId="0" fontId="25" fillId="10" borderId="16" xfId="1" applyFont="1" applyFill="1" applyBorder="1" applyAlignment="1" applyProtection="1">
      <alignment horizontal="center" vertical="center" wrapText="1"/>
      <protection hidden="1"/>
    </xf>
    <xf numFmtId="0" fontId="27" fillId="7" borderId="5" xfId="0" applyFont="1" applyFill="1" applyBorder="1" applyAlignment="1" applyProtection="1">
      <alignment horizontal="left" vertical="center" shrinkToFit="1"/>
      <protection hidden="1"/>
    </xf>
    <xf numFmtId="0" fontId="10" fillId="11" borderId="17" xfId="0" applyFont="1" applyFill="1" applyBorder="1" applyAlignment="1" applyProtection="1">
      <alignment horizontal="center" vertical="center"/>
      <protection locked="0" hidden="1"/>
    </xf>
    <xf numFmtId="0" fontId="27" fillId="7" borderId="5" xfId="0" applyFont="1" applyFill="1" applyBorder="1" applyAlignment="1" applyProtection="1">
      <alignment horizontal="center" vertical="center" wrapText="1"/>
      <protection hidden="1"/>
    </xf>
    <xf numFmtId="0" fontId="28" fillId="3" borderId="15" xfId="0" applyFont="1" applyFill="1" applyBorder="1" applyAlignment="1" applyProtection="1">
      <alignment horizontal="left" vertical="center" wrapText="1"/>
      <protection hidden="1"/>
    </xf>
    <xf numFmtId="0" fontId="29" fillId="3" borderId="15" xfId="0" applyFont="1" applyFill="1" applyBorder="1" applyAlignment="1" applyProtection="1">
      <alignment horizontal="center" vertical="center" shrinkToFit="1"/>
      <protection locked="0"/>
    </xf>
    <xf numFmtId="0" fontId="30" fillId="7" borderId="0" xfId="0" applyFont="1" applyFill="1" applyAlignment="1" applyProtection="1">
      <alignment horizontal="center" textRotation="255"/>
      <protection hidden="1"/>
    </xf>
    <xf numFmtId="0" fontId="20" fillId="3" borderId="6" xfId="0" applyFont="1" applyFill="1" applyBorder="1" applyAlignment="1" applyProtection="1">
      <alignment horizontal="left" vertical="center"/>
      <protection hidden="1"/>
    </xf>
    <xf numFmtId="0" fontId="24" fillId="3" borderId="18" xfId="0" applyFont="1" applyFill="1" applyBorder="1" applyAlignment="1" applyProtection="1">
      <alignment horizontal="left" vertical="center" shrinkToFit="1"/>
      <protection hidden="1"/>
    </xf>
    <xf numFmtId="0" fontId="20" fillId="3" borderId="19" xfId="0" applyFont="1" applyFill="1" applyBorder="1" applyAlignment="1" applyProtection="1">
      <alignment horizontal="center" vertical="center" shrinkToFit="1"/>
      <protection hidden="1"/>
    </xf>
    <xf numFmtId="0" fontId="24" fillId="3" borderId="20" xfId="0" applyFont="1" applyFill="1" applyBorder="1" applyAlignment="1" applyProtection="1">
      <alignment horizontal="left" vertical="center" shrinkToFit="1"/>
      <protection hidden="1"/>
    </xf>
    <xf numFmtId="0" fontId="10" fillId="3" borderId="10" xfId="0" applyFont="1" applyFill="1" applyBorder="1" applyAlignment="1" applyProtection="1">
      <alignment horizontal="center" vertical="center" wrapText="1"/>
      <protection hidden="1"/>
    </xf>
    <xf numFmtId="0" fontId="20" fillId="3" borderId="21" xfId="0" applyFont="1" applyFill="1" applyBorder="1" applyAlignment="1" applyProtection="1">
      <alignment horizontal="left" vertical="center" shrinkToFit="1"/>
      <protection hidden="1"/>
    </xf>
    <xf numFmtId="0" fontId="20" fillId="3" borderId="0" xfId="0" applyFont="1" applyFill="1" applyAlignment="1" applyProtection="1">
      <alignment horizontal="left" vertical="center" shrinkToFit="1"/>
      <protection hidden="1"/>
    </xf>
    <xf numFmtId="0" fontId="20" fillId="3" borderId="0" xfId="0" applyFont="1" applyFill="1" applyAlignment="1" applyProtection="1">
      <alignment horizontal="center" vertical="center" wrapText="1"/>
      <protection hidden="1"/>
    </xf>
    <xf numFmtId="0" fontId="32" fillId="3" borderId="6" xfId="0" applyFont="1" applyFill="1" applyBorder="1" applyAlignment="1" applyProtection="1">
      <alignment horizontal="center" vertical="center" wrapText="1" shrinkToFit="1"/>
      <protection hidden="1"/>
    </xf>
    <xf numFmtId="0" fontId="25" fillId="10" borderId="25" xfId="1" applyFont="1" applyFill="1" applyBorder="1" applyAlignment="1" applyProtection="1">
      <alignment horizontal="center" vertical="center" wrapText="1"/>
      <protection hidden="1"/>
    </xf>
    <xf numFmtId="0" fontId="29" fillId="3" borderId="15" xfId="0" applyFont="1" applyFill="1" applyBorder="1" applyAlignment="1" applyProtection="1">
      <alignment horizontal="left" vertical="center" shrinkToFit="1"/>
      <protection hidden="1"/>
    </xf>
    <xf numFmtId="0" fontId="29" fillId="3" borderId="7" xfId="0" applyFont="1" applyFill="1" applyBorder="1" applyAlignment="1" applyProtection="1">
      <alignment horizontal="left" vertical="center"/>
      <protection hidden="1"/>
    </xf>
    <xf numFmtId="0" fontId="34" fillId="3" borderId="15" xfId="0" applyFont="1" applyFill="1" applyBorder="1" applyAlignment="1" applyProtection="1">
      <alignment horizontal="left" vertical="center" shrinkToFit="1"/>
      <protection locked="0"/>
    </xf>
    <xf numFmtId="0" fontId="35" fillId="3" borderId="7" xfId="0" applyFont="1" applyFill="1" applyBorder="1" applyAlignment="1" applyProtection="1">
      <alignment horizontal="left" vertical="center" wrapText="1" shrinkToFit="1"/>
      <protection hidden="1"/>
    </xf>
    <xf numFmtId="0" fontId="10" fillId="3" borderId="21" xfId="0" applyFont="1" applyFill="1" applyBorder="1" applyAlignment="1" applyProtection="1">
      <alignment horizontal="center" vertical="center" wrapText="1"/>
      <protection hidden="1"/>
    </xf>
    <xf numFmtId="0" fontId="1" fillId="5" borderId="0" xfId="0" applyFont="1" applyFill="1" applyAlignment="1" applyProtection="1">
      <alignment horizontal="center" vertical="center"/>
      <protection hidden="1"/>
    </xf>
    <xf numFmtId="0" fontId="20" fillId="3" borderId="6" xfId="0" applyFont="1" applyFill="1" applyBorder="1" applyAlignment="1" applyProtection="1">
      <alignment horizontal="center" vertical="center" wrapText="1"/>
      <protection hidden="1"/>
    </xf>
    <xf numFmtId="0" fontId="20" fillId="3" borderId="9" xfId="0" applyFont="1" applyFill="1" applyBorder="1" applyAlignment="1" applyProtection="1">
      <alignment horizontal="center" vertical="center"/>
      <protection hidden="1"/>
    </xf>
    <xf numFmtId="14" fontId="24" fillId="3" borderId="4" xfId="0" applyNumberFormat="1" applyFont="1" applyFill="1" applyBorder="1" applyAlignment="1" applyProtection="1">
      <alignment horizontal="left" vertical="center" shrinkToFit="1"/>
      <protection locked="0"/>
    </xf>
    <xf numFmtId="0" fontId="21" fillId="3" borderId="9" xfId="0" applyFont="1" applyFill="1" applyBorder="1" applyAlignment="1" applyProtection="1">
      <alignment horizontal="center" vertical="center" wrapText="1" shrinkToFit="1"/>
      <protection hidden="1"/>
    </xf>
    <xf numFmtId="14" fontId="32" fillId="3" borderId="4" xfId="0" applyNumberFormat="1" applyFont="1" applyFill="1" applyBorder="1" applyAlignment="1" applyProtection="1">
      <alignment horizontal="left" vertical="center" shrinkToFit="1"/>
      <protection locked="0"/>
    </xf>
    <xf numFmtId="0" fontId="1" fillId="2" borderId="0" xfId="0" applyFont="1" applyFill="1" applyProtection="1">
      <protection hidden="1"/>
    </xf>
    <xf numFmtId="0" fontId="37" fillId="3" borderId="11" xfId="0" applyFont="1" applyFill="1" applyBorder="1" applyAlignment="1" applyProtection="1">
      <alignment horizontal="center" vertical="center"/>
      <protection hidden="1"/>
    </xf>
    <xf numFmtId="0" fontId="29" fillId="3" borderId="6" xfId="0" applyFont="1" applyFill="1" applyBorder="1" applyAlignment="1" applyProtection="1">
      <alignment horizontal="left" vertical="center" shrinkToFit="1"/>
      <protection hidden="1"/>
    </xf>
    <xf numFmtId="0" fontId="1" fillId="2" borderId="0" xfId="0" applyFont="1" applyFill="1"/>
    <xf numFmtId="0" fontId="37" fillId="3" borderId="2" xfId="0" applyFont="1" applyFill="1" applyBorder="1" applyAlignment="1" applyProtection="1">
      <alignment horizontal="center" vertical="center"/>
      <protection hidden="1"/>
    </xf>
    <xf numFmtId="0" fontId="39" fillId="5" borderId="0" xfId="0" applyFont="1" applyFill="1" applyProtection="1">
      <protection hidden="1"/>
    </xf>
    <xf numFmtId="0" fontId="40" fillId="3" borderId="31" xfId="0" applyFont="1" applyFill="1" applyBorder="1" applyAlignment="1" applyProtection="1">
      <alignment horizontal="center" vertical="center" shrinkToFit="1"/>
      <protection hidden="1"/>
    </xf>
    <xf numFmtId="0" fontId="41" fillId="5" borderId="33" xfId="1" applyFont="1" applyFill="1" applyBorder="1" applyAlignment="1" applyProtection="1">
      <alignment horizontal="center" vertical="center" wrapText="1"/>
      <protection hidden="1"/>
    </xf>
    <xf numFmtId="0" fontId="39" fillId="2" borderId="0" xfId="0" applyFont="1" applyFill="1" applyProtection="1">
      <protection hidden="1"/>
    </xf>
    <xf numFmtId="0" fontId="37" fillId="3" borderId="35" xfId="0" applyFont="1" applyFill="1" applyBorder="1" applyAlignment="1" applyProtection="1">
      <alignment horizontal="center" vertical="center"/>
      <protection hidden="1"/>
    </xf>
    <xf numFmtId="0" fontId="10" fillId="3" borderId="36" xfId="0" applyFont="1" applyFill="1" applyBorder="1" applyAlignment="1" applyProtection="1">
      <alignment horizontal="center" vertical="center" wrapText="1"/>
      <protection hidden="1"/>
    </xf>
    <xf numFmtId="0" fontId="20" fillId="3" borderId="36" xfId="0" applyFont="1" applyFill="1" applyBorder="1" applyAlignment="1" applyProtection="1">
      <alignment horizontal="left" vertical="center" shrinkToFit="1"/>
      <protection hidden="1"/>
    </xf>
    <xf numFmtId="0" fontId="20" fillId="3" borderId="1" xfId="0" applyFont="1" applyFill="1" applyBorder="1" applyAlignment="1" applyProtection="1">
      <alignment horizontal="left" vertical="center" shrinkToFit="1"/>
      <protection hidden="1"/>
    </xf>
    <xf numFmtId="0" fontId="20" fillId="3" borderId="1" xfId="0" applyFont="1" applyFill="1" applyBorder="1" applyAlignment="1" applyProtection="1">
      <alignment horizontal="center" vertical="center" wrapText="1"/>
      <protection hidden="1"/>
    </xf>
    <xf numFmtId="16" fontId="27" fillId="7" borderId="5" xfId="0" applyNumberFormat="1" applyFont="1" applyFill="1" applyBorder="1" applyAlignment="1" applyProtection="1">
      <alignment horizontal="left" vertical="center" shrinkToFit="1"/>
      <protection hidden="1"/>
    </xf>
    <xf numFmtId="0" fontId="37" fillId="3" borderId="12" xfId="0" applyFont="1" applyFill="1" applyBorder="1" applyAlignment="1" applyProtection="1">
      <alignment horizontal="center" vertical="center"/>
      <protection hidden="1"/>
    </xf>
    <xf numFmtId="0" fontId="10" fillId="3" borderId="9" xfId="0" applyFont="1" applyFill="1" applyBorder="1" applyAlignment="1" applyProtection="1">
      <alignment horizontal="left" vertical="center"/>
      <protection hidden="1"/>
    </xf>
    <xf numFmtId="0" fontId="20" fillId="3" borderId="0" xfId="0" applyFont="1" applyFill="1" applyAlignment="1" applyProtection="1">
      <alignment horizontal="center" vertical="center" textRotation="255"/>
      <protection hidden="1"/>
    </xf>
    <xf numFmtId="0" fontId="10" fillId="3" borderId="0" xfId="0" applyFont="1" applyFill="1" applyAlignment="1" applyProtection="1">
      <alignment horizontal="center" vertical="center" textRotation="255"/>
      <protection hidden="1"/>
    </xf>
    <xf numFmtId="0" fontId="10" fillId="3" borderId="38" xfId="0" applyFont="1" applyFill="1" applyBorder="1" applyAlignment="1" applyProtection="1">
      <alignment horizontal="left" vertical="center"/>
      <protection hidden="1"/>
    </xf>
    <xf numFmtId="0" fontId="25" fillId="10" borderId="35" xfId="1" applyFont="1" applyFill="1" applyBorder="1" applyAlignment="1" applyProtection="1">
      <alignment horizontal="center" vertical="center" wrapText="1"/>
      <protection hidden="1"/>
    </xf>
    <xf numFmtId="0" fontId="46" fillId="7" borderId="0" xfId="0" applyFont="1" applyFill="1" applyAlignment="1" applyProtection="1">
      <alignment horizontal="center" vertical="center" textRotation="255"/>
      <protection hidden="1"/>
    </xf>
    <xf numFmtId="0" fontId="20" fillId="3" borderId="10" xfId="0" applyFont="1" applyFill="1" applyBorder="1" applyAlignment="1" applyProtection="1">
      <alignment horizontal="left" vertical="center" shrinkToFit="1"/>
      <protection hidden="1"/>
    </xf>
    <xf numFmtId="0" fontId="20" fillId="3" borderId="4" xfId="0" applyFont="1" applyFill="1" applyBorder="1" applyAlignment="1" applyProtection="1">
      <alignment horizontal="left" vertical="center" shrinkToFit="1"/>
      <protection hidden="1"/>
    </xf>
    <xf numFmtId="0" fontId="20" fillId="3" borderId="4" xfId="0" applyFont="1" applyFill="1" applyBorder="1" applyAlignment="1" applyProtection="1">
      <alignment horizontal="center" vertical="center" wrapText="1"/>
      <protection hidden="1"/>
    </xf>
    <xf numFmtId="0" fontId="10" fillId="3" borderId="35" xfId="0" applyFont="1" applyFill="1" applyBorder="1" applyAlignment="1" applyProtection="1">
      <alignment horizontal="center" vertical="center" textRotation="255"/>
      <protection hidden="1"/>
    </xf>
    <xf numFmtId="0" fontId="27" fillId="7" borderId="4" xfId="0" applyFont="1" applyFill="1" applyBorder="1" applyAlignment="1" applyProtection="1">
      <alignment horizontal="left" vertical="center" shrinkToFit="1"/>
      <protection hidden="1"/>
    </xf>
    <xf numFmtId="0" fontId="10" fillId="11" borderId="39" xfId="0" applyFont="1" applyFill="1" applyBorder="1" applyAlignment="1" applyProtection="1">
      <alignment horizontal="center" vertical="center"/>
      <protection locked="0" hidden="1"/>
    </xf>
    <xf numFmtId="0" fontId="27" fillId="7" borderId="4" xfId="0" applyFont="1" applyFill="1" applyBorder="1" applyAlignment="1" applyProtection="1">
      <alignment horizontal="center" vertical="center" wrapText="1"/>
      <protection hidden="1"/>
    </xf>
    <xf numFmtId="0" fontId="29" fillId="3" borderId="2" xfId="0" applyFont="1" applyFill="1" applyBorder="1" applyAlignment="1" applyProtection="1">
      <alignment horizontal="left" vertical="center" shrinkToFit="1"/>
      <protection hidden="1"/>
    </xf>
    <xf numFmtId="0" fontId="30" fillId="7" borderId="0" xfId="0" applyFont="1" applyFill="1" applyAlignment="1" applyProtection="1">
      <alignment horizontal="center" vertical="center" textRotation="255"/>
      <protection hidden="1"/>
    </xf>
    <xf numFmtId="0" fontId="41" fillId="5" borderId="41" xfId="1" applyFont="1" applyFill="1" applyBorder="1" applyAlignment="1" applyProtection="1">
      <alignment horizontal="center" vertical="center" wrapText="1"/>
      <protection hidden="1"/>
    </xf>
    <xf numFmtId="0" fontId="10" fillId="3" borderId="12" xfId="0" applyFont="1" applyFill="1" applyBorder="1" applyAlignment="1" applyProtection="1">
      <alignment horizontal="center" vertical="center" textRotation="255"/>
      <protection hidden="1"/>
    </xf>
    <xf numFmtId="0" fontId="1" fillId="5" borderId="43" xfId="0" applyFont="1" applyFill="1" applyBorder="1"/>
    <xf numFmtId="0" fontId="23" fillId="3" borderId="5" xfId="0" applyFont="1" applyFill="1" applyBorder="1" applyAlignment="1" applyProtection="1">
      <alignment horizontal="center" vertical="center" wrapText="1"/>
      <protection hidden="1"/>
    </xf>
    <xf numFmtId="0" fontId="48" fillId="3" borderId="44" xfId="0" applyFont="1" applyFill="1" applyBorder="1" applyAlignment="1" applyProtection="1">
      <alignment horizontal="right" vertical="center"/>
      <protection hidden="1"/>
    </xf>
    <xf numFmtId="0" fontId="49" fillId="3" borderId="4" xfId="1" applyFont="1" applyFill="1" applyBorder="1" applyAlignment="1" applyProtection="1">
      <alignment horizontal="center" vertical="center" wrapText="1"/>
      <protection hidden="1"/>
    </xf>
    <xf numFmtId="0" fontId="48" fillId="3" borderId="0" xfId="1" applyFont="1" applyFill="1" applyBorder="1" applyAlignment="1" applyProtection="1">
      <alignment horizontal="left" vertical="center"/>
      <protection hidden="1"/>
    </xf>
    <xf numFmtId="0" fontId="1" fillId="5" borderId="46" xfId="0" applyFont="1" applyFill="1" applyBorder="1"/>
    <xf numFmtId="0" fontId="23" fillId="5" borderId="0" xfId="0" applyFont="1" applyFill="1" applyAlignment="1" applyProtection="1">
      <alignment horizontal="center" vertical="top" wrapText="1"/>
      <protection hidden="1"/>
    </xf>
    <xf numFmtId="0" fontId="50" fillId="2" borderId="0" xfId="0" applyFont="1" applyFill="1" applyAlignment="1" applyProtection="1">
      <alignment horizontal="center" vertical="center" wrapText="1"/>
      <protection hidden="1"/>
    </xf>
    <xf numFmtId="0" fontId="20" fillId="2" borderId="0" xfId="0" applyFont="1" applyFill="1" applyAlignment="1" applyProtection="1">
      <alignment horizontal="left" vertical="center" shrinkToFit="1"/>
      <protection hidden="1"/>
    </xf>
    <xf numFmtId="0" fontId="51" fillId="2" borderId="0" xfId="0" applyFont="1" applyFill="1" applyAlignment="1" applyProtection="1">
      <alignment horizontal="center" vertical="center"/>
      <protection hidden="1"/>
    </xf>
    <xf numFmtId="0" fontId="53" fillId="15" borderId="0" xfId="1" applyFont="1" applyFill="1" applyBorder="1" applyAlignment="1" applyProtection="1">
      <alignment horizontal="center" vertical="center"/>
      <protection hidden="1"/>
    </xf>
    <xf numFmtId="0" fontId="23" fillId="5" borderId="46" xfId="0" applyFont="1" applyFill="1" applyBorder="1" applyAlignment="1" applyProtection="1">
      <alignment horizontal="center" vertical="top" wrapText="1"/>
      <protection hidden="1"/>
    </xf>
    <xf numFmtId="0" fontId="20" fillId="2" borderId="0" xfId="0" applyFont="1" applyFill="1" applyAlignment="1" applyProtection="1">
      <alignment horizontal="center" vertical="center" wrapText="1"/>
      <protection hidden="1"/>
    </xf>
    <xf numFmtId="0" fontId="53" fillId="17" borderId="0" xfId="1" applyFont="1" applyFill="1" applyBorder="1" applyAlignment="1" applyProtection="1">
      <alignment horizontal="center" vertical="center"/>
      <protection hidden="1"/>
    </xf>
    <xf numFmtId="0" fontId="20" fillId="2" borderId="0" xfId="0" applyFont="1" applyFill="1" applyAlignment="1" applyProtection="1">
      <alignment horizontal="center"/>
      <protection hidden="1"/>
    </xf>
    <xf numFmtId="0" fontId="52" fillId="15" borderId="0" xfId="0" applyFont="1" applyFill="1" applyAlignment="1" applyProtection="1">
      <alignment horizontal="right" vertical="center"/>
      <protection hidden="1"/>
    </xf>
    <xf numFmtId="0" fontId="52" fillId="15" borderId="0" xfId="1" applyFont="1" applyFill="1" applyBorder="1" applyAlignment="1" applyProtection="1">
      <alignment horizontal="left" vertical="center"/>
      <protection hidden="1"/>
    </xf>
    <xf numFmtId="0" fontId="1" fillId="2" borderId="0" xfId="0" applyFont="1" applyFill="1" applyAlignment="1" applyProtection="1">
      <alignment horizontal="center"/>
      <protection hidden="1"/>
    </xf>
    <xf numFmtId="0" fontId="1" fillId="2" borderId="0" xfId="0" applyFont="1" applyFill="1" applyAlignment="1" applyProtection="1">
      <alignment horizontal="left"/>
      <protection hidden="1"/>
    </xf>
    <xf numFmtId="0" fontId="0" fillId="0" borderId="0" xfId="0" applyAlignment="1">
      <alignment horizontal="center"/>
    </xf>
    <xf numFmtId="0" fontId="0" fillId="0" borderId="0" xfId="0" applyAlignment="1">
      <alignment shrinkToFit="1"/>
    </xf>
    <xf numFmtId="0" fontId="0" fillId="0" borderId="0" xfId="0" applyAlignment="1">
      <alignment horizontal="center" vertical="center"/>
    </xf>
    <xf numFmtId="0" fontId="0" fillId="18" borderId="0" xfId="0" applyFill="1"/>
    <xf numFmtId="0" fontId="41" fillId="14" borderId="11" xfId="1" applyFont="1" applyFill="1" applyBorder="1" applyAlignment="1" applyProtection="1">
      <alignment horizontal="center" vertical="center" wrapText="1"/>
    </xf>
    <xf numFmtId="0" fontId="41" fillId="13" borderId="49" xfId="1" applyFont="1" applyFill="1" applyBorder="1" applyAlignment="1" applyProtection="1">
      <alignment horizontal="center" vertical="center" wrapText="1"/>
    </xf>
    <xf numFmtId="0" fontId="20" fillId="10" borderId="7" xfId="0" applyFont="1" applyFill="1" applyBorder="1" applyAlignment="1">
      <alignment horizontal="center" vertical="center"/>
    </xf>
    <xf numFmtId="0" fontId="20" fillId="10" borderId="5" xfId="0" applyFont="1" applyFill="1" applyBorder="1" applyAlignment="1">
      <alignment horizontal="center" vertical="center"/>
    </xf>
    <xf numFmtId="0" fontId="20" fillId="10" borderId="15" xfId="0" applyFont="1" applyFill="1" applyBorder="1" applyAlignment="1">
      <alignment horizontal="center" vertical="center"/>
    </xf>
    <xf numFmtId="0" fontId="20" fillId="10" borderId="50" xfId="0" applyFont="1" applyFill="1" applyBorder="1" applyAlignment="1">
      <alignment horizontal="center" vertical="center"/>
    </xf>
    <xf numFmtId="0" fontId="20" fillId="10" borderId="50" xfId="0" applyFont="1" applyFill="1" applyBorder="1" applyAlignment="1">
      <alignment horizontal="center" vertical="center" wrapText="1"/>
    </xf>
    <xf numFmtId="0" fontId="23" fillId="0" borderId="0" xfId="0" applyFont="1" applyAlignment="1">
      <alignment horizontal="center" vertical="center" shrinkToFit="1"/>
    </xf>
    <xf numFmtId="0" fontId="23" fillId="0" borderId="0" xfId="0" applyFont="1" applyAlignment="1">
      <alignment horizontal="center" vertical="center"/>
    </xf>
    <xf numFmtId="0" fontId="20" fillId="0" borderId="0" xfId="0" applyFont="1" applyAlignment="1">
      <alignment horizontal="center" vertical="center"/>
    </xf>
    <xf numFmtId="0" fontId="0" fillId="0" borderId="0" xfId="0" applyAlignment="1">
      <alignment horizontal="left"/>
    </xf>
    <xf numFmtId="0" fontId="0" fillId="0" borderId="0" xfId="0" applyProtection="1">
      <protection locked="0"/>
    </xf>
    <xf numFmtId="0" fontId="0" fillId="18" borderId="0" xfId="0" applyFill="1" applyAlignment="1">
      <alignment horizontal="center" vertical="center"/>
    </xf>
    <xf numFmtId="0" fontId="0" fillId="18" borderId="0" xfId="0" applyFill="1" applyAlignment="1">
      <alignment horizontal="center"/>
    </xf>
    <xf numFmtId="0" fontId="0" fillId="18" borderId="0" xfId="0" applyFill="1" applyAlignment="1">
      <alignment shrinkToFit="1"/>
    </xf>
    <xf numFmtId="0" fontId="0" fillId="2" borderId="0" xfId="0" applyFill="1"/>
    <xf numFmtId="0" fontId="0" fillId="2" borderId="0" xfId="0" applyFill="1" applyAlignment="1">
      <alignment horizontal="center"/>
    </xf>
    <xf numFmtId="0" fontId="43" fillId="20" borderId="11" xfId="1" applyFont="1" applyFill="1" applyBorder="1" applyAlignment="1" applyProtection="1">
      <alignment horizontal="center" vertical="center" wrapText="1"/>
    </xf>
    <xf numFmtId="0" fontId="59" fillId="20" borderId="11" xfId="1" applyFont="1" applyFill="1" applyBorder="1" applyAlignment="1" applyProtection="1">
      <alignment horizontal="center" vertical="center" wrapText="1"/>
    </xf>
    <xf numFmtId="0" fontId="43" fillId="21" borderId="11" xfId="1" applyFont="1" applyFill="1" applyBorder="1" applyAlignment="1" applyProtection="1">
      <alignment horizontal="center" vertical="center" wrapText="1"/>
    </xf>
    <xf numFmtId="0" fontId="20" fillId="22" borderId="15" xfId="1" applyFont="1" applyFill="1" applyBorder="1" applyAlignment="1" applyProtection="1">
      <alignment horizontal="center" vertical="center" wrapText="1"/>
    </xf>
    <xf numFmtId="0" fontId="0" fillId="0" borderId="10" xfId="0" applyBorder="1"/>
    <xf numFmtId="0" fontId="0" fillId="0" borderId="4" xfId="0" applyBorder="1"/>
    <xf numFmtId="0" fontId="0" fillId="0" borderId="2" xfId="0" applyBorder="1"/>
    <xf numFmtId="0" fontId="68" fillId="10" borderId="41" xfId="1" applyFont="1" applyFill="1" applyBorder="1" applyAlignment="1" applyProtection="1">
      <alignment horizontal="center" vertical="center" wrapText="1"/>
      <protection hidden="1"/>
    </xf>
    <xf numFmtId="0" fontId="69" fillId="18" borderId="46" xfId="0" applyFont="1" applyFill="1" applyBorder="1" applyAlignment="1">
      <alignment horizontal="left" vertical="top"/>
    </xf>
    <xf numFmtId="14" fontId="51" fillId="3" borderId="11" xfId="0" applyNumberFormat="1" applyFont="1" applyFill="1" applyBorder="1" applyAlignment="1" applyProtection="1">
      <alignment horizontal="center" vertical="center"/>
      <protection hidden="1"/>
    </xf>
    <xf numFmtId="0" fontId="70" fillId="3" borderId="11" xfId="0" applyFont="1" applyFill="1" applyBorder="1" applyProtection="1">
      <protection hidden="1"/>
    </xf>
    <xf numFmtId="0" fontId="51" fillId="3" borderId="11" xfId="1" applyFont="1" applyFill="1" applyBorder="1" applyAlignment="1" applyProtection="1">
      <alignment horizontal="center" vertical="center" shrinkToFit="1"/>
      <protection locked="0" hidden="1"/>
    </xf>
    <xf numFmtId="0" fontId="51" fillId="3" borderId="11" xfId="1" applyFont="1" applyFill="1" applyBorder="1" applyAlignment="1" applyProtection="1">
      <alignment horizontal="center" vertical="center" shrinkToFit="1"/>
      <protection hidden="1"/>
    </xf>
    <xf numFmtId="0" fontId="51" fillId="0" borderId="11" xfId="0" applyFont="1" applyBorder="1" applyAlignment="1">
      <alignment horizontal="center" vertical="center"/>
    </xf>
    <xf numFmtId="0" fontId="70" fillId="5" borderId="0" xfId="0" applyFont="1" applyFill="1" applyProtection="1">
      <protection hidden="1"/>
    </xf>
    <xf numFmtId="0" fontId="69" fillId="23" borderId="0" xfId="0" applyFont="1" applyFill="1"/>
    <xf numFmtId="0" fontId="69" fillId="0" borderId="0" xfId="0" applyFont="1"/>
    <xf numFmtId="0" fontId="68" fillId="10" borderId="42" xfId="1" applyFont="1" applyFill="1" applyBorder="1" applyAlignment="1" applyProtection="1">
      <alignment horizontal="center" vertical="center" wrapText="1"/>
      <protection hidden="1"/>
    </xf>
    <xf numFmtId="0" fontId="69" fillId="18" borderId="0" xfId="0" applyFont="1" applyFill="1" applyAlignment="1">
      <alignment horizontal="left" vertical="top"/>
    </xf>
    <xf numFmtId="0" fontId="69" fillId="5" borderId="0" xfId="0" applyFont="1" applyFill="1" applyProtection="1">
      <protection hidden="1"/>
    </xf>
    <xf numFmtId="0" fontId="68" fillId="10" borderId="42" xfId="1" applyFont="1" applyFill="1" applyBorder="1" applyAlignment="1" applyProtection="1">
      <alignment horizontal="center" vertical="center" shrinkToFit="1"/>
      <protection hidden="1"/>
    </xf>
    <xf numFmtId="0" fontId="0" fillId="18" borderId="46" xfId="0" applyFill="1" applyBorder="1" applyAlignment="1">
      <alignment horizontal="left" vertical="top" shrinkToFit="1"/>
    </xf>
    <xf numFmtId="0" fontId="37" fillId="0" borderId="11" xfId="0" applyFont="1" applyBorder="1" applyAlignment="1">
      <alignment horizontal="center" vertical="center"/>
    </xf>
    <xf numFmtId="0" fontId="23" fillId="3" borderId="11" xfId="1" applyFont="1" applyFill="1" applyBorder="1" applyAlignment="1" applyProtection="1">
      <alignment horizontal="center" vertical="center" shrinkToFit="1"/>
      <protection locked="0" hidden="1"/>
    </xf>
    <xf numFmtId="0" fontId="37" fillId="0" borderId="11" xfId="0" applyFont="1" applyBorder="1" applyAlignment="1">
      <alignment horizontal="center" vertical="center" shrinkToFit="1"/>
    </xf>
    <xf numFmtId="0" fontId="23" fillId="3" borderId="11" xfId="1" applyFont="1" applyFill="1" applyBorder="1" applyAlignment="1" applyProtection="1">
      <alignment horizontal="center" vertical="center" shrinkToFit="1"/>
      <protection hidden="1"/>
    </xf>
    <xf numFmtId="0" fontId="0" fillId="5" borderId="0" xfId="0" applyFill="1" applyAlignment="1" applyProtection="1">
      <alignment shrinkToFit="1"/>
      <protection hidden="1"/>
    </xf>
    <xf numFmtId="0" fontId="0" fillId="23" borderId="0" xfId="0" applyFill="1" applyAlignment="1">
      <alignment shrinkToFit="1"/>
    </xf>
    <xf numFmtId="0" fontId="0" fillId="18" borderId="46" xfId="0" applyFill="1" applyBorder="1" applyAlignment="1">
      <alignment horizontal="left" vertical="top"/>
    </xf>
    <xf numFmtId="0" fontId="15" fillId="3" borderId="11" xfId="1" applyFont="1" applyFill="1" applyBorder="1" applyAlignment="1" applyProtection="1">
      <alignment horizontal="center" vertical="center" wrapText="1"/>
      <protection locked="0" hidden="1"/>
    </xf>
    <xf numFmtId="0" fontId="0" fillId="5" borderId="0" xfId="0" applyFill="1" applyProtection="1">
      <protection hidden="1"/>
    </xf>
    <xf numFmtId="0" fontId="0" fillId="23" borderId="0" xfId="0" applyFill="1"/>
    <xf numFmtId="0" fontId="9" fillId="3" borderId="11" xfId="0" applyFont="1" applyFill="1" applyBorder="1" applyAlignment="1" applyProtection="1">
      <alignment horizontal="center" vertical="center"/>
      <protection hidden="1"/>
    </xf>
    <xf numFmtId="0" fontId="10" fillId="5" borderId="0" xfId="0" applyFont="1" applyFill="1" applyAlignment="1" applyProtection="1">
      <alignment horizontal="center" vertical="center"/>
      <protection hidden="1"/>
    </xf>
    <xf numFmtId="0" fontId="43" fillId="3" borderId="42" xfId="1" applyFont="1" applyFill="1" applyBorder="1" applyAlignment="1" applyProtection="1">
      <alignment horizontal="center" vertical="center" wrapText="1"/>
      <protection hidden="1"/>
    </xf>
    <xf numFmtId="0" fontId="57" fillId="18" borderId="46" xfId="0" applyFont="1" applyFill="1" applyBorder="1" applyAlignment="1">
      <alignment horizontal="left" vertical="top"/>
    </xf>
    <xf numFmtId="0" fontId="71" fillId="3" borderId="11" xfId="0" applyFont="1" applyFill="1" applyBorder="1" applyAlignment="1" applyProtection="1">
      <alignment horizontal="center" vertical="center" wrapText="1"/>
      <protection hidden="1"/>
    </xf>
    <xf numFmtId="0" fontId="23" fillId="3" borderId="11" xfId="0" applyFont="1" applyFill="1" applyBorder="1" applyAlignment="1" applyProtection="1">
      <alignment horizontal="left" vertical="center" wrapText="1" shrinkToFit="1"/>
      <protection hidden="1"/>
    </xf>
    <xf numFmtId="0" fontId="57" fillId="3" borderId="11" xfId="0" applyFont="1" applyFill="1" applyBorder="1" applyAlignment="1" applyProtection="1">
      <alignment vertical="center" shrinkToFit="1"/>
      <protection hidden="1"/>
    </xf>
    <xf numFmtId="14" fontId="23" fillId="3" borderId="11" xfId="0" applyNumberFormat="1" applyFont="1" applyFill="1" applyBorder="1" applyAlignment="1" applyProtection="1">
      <alignment vertical="center" shrinkToFit="1"/>
      <protection hidden="1"/>
    </xf>
    <xf numFmtId="14" fontId="57" fillId="3" borderId="11" xfId="0" applyNumberFormat="1" applyFont="1" applyFill="1" applyBorder="1" applyAlignment="1" applyProtection="1">
      <alignment vertical="center" shrinkToFit="1"/>
      <protection hidden="1"/>
    </xf>
    <xf numFmtId="0" fontId="23" fillId="3" borderId="11" xfId="0" applyFont="1" applyFill="1" applyBorder="1" applyAlignment="1" applyProtection="1">
      <alignment horizontal="left" vertical="center" shrinkToFit="1"/>
      <protection hidden="1"/>
    </xf>
    <xf numFmtId="14" fontId="23" fillId="3" borderId="11" xfId="0" applyNumberFormat="1" applyFont="1" applyFill="1" applyBorder="1" applyAlignment="1" applyProtection="1">
      <alignment vertical="center"/>
      <protection hidden="1"/>
    </xf>
    <xf numFmtId="0" fontId="57" fillId="3" borderId="0" xfId="0" applyFont="1" applyFill="1"/>
    <xf numFmtId="0" fontId="57" fillId="3" borderId="0" xfId="0" applyFont="1" applyFill="1" applyProtection="1">
      <protection hidden="1"/>
    </xf>
    <xf numFmtId="0" fontId="43" fillId="3" borderId="34" xfId="1" applyFont="1" applyFill="1" applyBorder="1" applyAlignment="1" applyProtection="1">
      <alignment horizontal="center" vertical="center" wrapText="1"/>
      <protection hidden="1"/>
    </xf>
    <xf numFmtId="0" fontId="57" fillId="18" borderId="0" xfId="0" applyFont="1" applyFill="1" applyAlignment="1">
      <alignment horizontal="left" vertical="top"/>
    </xf>
    <xf numFmtId="0" fontId="57" fillId="18" borderId="0" xfId="0" applyFont="1" applyFill="1" applyAlignment="1">
      <alignment horizontal="center" vertical="center" wrapText="1"/>
    </xf>
    <xf numFmtId="0" fontId="46" fillId="18" borderId="0" xfId="0" applyFont="1" applyFill="1" applyAlignment="1">
      <alignment horizontal="center" vertical="top" wrapText="1"/>
    </xf>
    <xf numFmtId="0" fontId="57" fillId="3" borderId="0" xfId="0" applyFont="1" applyFill="1" applyAlignment="1">
      <alignment horizontal="center" vertical="center" wrapText="1"/>
    </xf>
    <xf numFmtId="0" fontId="57" fillId="18" borderId="0" xfId="0" applyFont="1" applyFill="1"/>
    <xf numFmtId="0" fontId="43" fillId="18" borderId="0" xfId="1" applyFont="1" applyFill="1" applyBorder="1" applyAlignment="1" applyProtection="1">
      <alignment horizontal="center" vertical="center" wrapText="1"/>
    </xf>
    <xf numFmtId="0" fontId="57" fillId="3" borderId="0" xfId="0" applyFont="1" applyFill="1" applyAlignment="1">
      <alignment horizontal="left" vertical="top"/>
    </xf>
    <xf numFmtId="0" fontId="57" fillId="18" borderId="21" xfId="0" applyFont="1" applyFill="1" applyBorder="1"/>
    <xf numFmtId="0" fontId="57" fillId="3" borderId="2" xfId="0" applyFont="1" applyFill="1" applyBorder="1" applyProtection="1">
      <protection hidden="1"/>
    </xf>
    <xf numFmtId="0" fontId="57" fillId="3" borderId="35" xfId="0" applyFont="1" applyFill="1" applyBorder="1" applyProtection="1">
      <protection hidden="1"/>
    </xf>
    <xf numFmtId="0" fontId="57" fillId="18" borderId="11" xfId="0" applyFont="1" applyFill="1" applyBorder="1"/>
    <xf numFmtId="0" fontId="57" fillId="18" borderId="11" xfId="0" applyFont="1" applyFill="1" applyBorder="1" applyAlignment="1">
      <alignment horizontal="left" vertical="top"/>
    </xf>
    <xf numFmtId="0" fontId="57" fillId="3" borderId="11" xfId="0" applyFont="1" applyFill="1" applyBorder="1" applyAlignment="1">
      <alignment horizontal="left" vertical="top"/>
    </xf>
    <xf numFmtId="0" fontId="57" fillId="18" borderId="49" xfId="0" applyFont="1" applyFill="1" applyBorder="1" applyAlignment="1">
      <alignment horizontal="left" vertical="top"/>
    </xf>
    <xf numFmtId="0" fontId="57" fillId="3" borderId="51" xfId="0" applyFont="1" applyFill="1" applyBorder="1" applyProtection="1">
      <protection hidden="1"/>
    </xf>
    <xf numFmtId="0" fontId="57" fillId="3" borderId="11" xfId="0" applyFont="1" applyFill="1" applyBorder="1"/>
    <xf numFmtId="0" fontId="57" fillId="18" borderId="31" xfId="0" applyFont="1" applyFill="1" applyBorder="1"/>
    <xf numFmtId="0" fontId="57" fillId="3" borderId="31" xfId="0" applyFont="1" applyFill="1" applyBorder="1"/>
    <xf numFmtId="0" fontId="57" fillId="18" borderId="52" xfId="0" applyFont="1" applyFill="1" applyBorder="1"/>
    <xf numFmtId="14" fontId="23" fillId="3" borderId="53" xfId="0" applyNumberFormat="1" applyFont="1" applyFill="1" applyBorder="1" applyAlignment="1" applyProtection="1">
      <alignment vertical="center" shrinkToFit="1"/>
      <protection hidden="1"/>
    </xf>
    <xf numFmtId="14" fontId="23" fillId="3" borderId="54" xfId="0" applyNumberFormat="1" applyFont="1" applyFill="1" applyBorder="1" applyAlignment="1" applyProtection="1">
      <alignment vertical="center" shrinkToFit="1"/>
      <protection hidden="1"/>
    </xf>
    <xf numFmtId="0" fontId="57" fillId="18" borderId="49" xfId="0" applyFont="1" applyFill="1" applyBorder="1"/>
    <xf numFmtId="14" fontId="23" fillId="3" borderId="51" xfId="0" applyNumberFormat="1" applyFont="1" applyFill="1" applyBorder="1" applyAlignment="1" applyProtection="1">
      <alignment vertical="center" shrinkToFit="1"/>
      <protection hidden="1"/>
    </xf>
    <xf numFmtId="14" fontId="23" fillId="3" borderId="55" xfId="0" applyNumberFormat="1" applyFont="1" applyFill="1" applyBorder="1" applyAlignment="1" applyProtection="1">
      <alignment vertical="center" shrinkToFit="1"/>
      <protection hidden="1"/>
    </xf>
    <xf numFmtId="14" fontId="23" fillId="3" borderId="56" xfId="0" applyNumberFormat="1" applyFont="1" applyFill="1" applyBorder="1" applyAlignment="1" applyProtection="1">
      <alignment vertical="center" shrinkToFit="1"/>
      <protection hidden="1"/>
    </xf>
    <xf numFmtId="14" fontId="23" fillId="3" borderId="24" xfId="0" applyNumberFormat="1" applyFont="1" applyFill="1" applyBorder="1" applyAlignment="1" applyProtection="1">
      <alignment vertical="center" shrinkToFit="1"/>
      <protection hidden="1"/>
    </xf>
    <xf numFmtId="14" fontId="23" fillId="3" borderId="57" xfId="0" applyNumberFormat="1" applyFont="1" applyFill="1" applyBorder="1" applyAlignment="1" applyProtection="1">
      <alignment vertical="center" shrinkToFit="1"/>
      <protection hidden="1"/>
    </xf>
    <xf numFmtId="14" fontId="23" fillId="3" borderId="58" xfId="0" applyNumberFormat="1" applyFont="1" applyFill="1" applyBorder="1" applyAlignment="1" applyProtection="1">
      <alignment vertical="center" shrinkToFit="1"/>
      <protection hidden="1"/>
    </xf>
    <xf numFmtId="0" fontId="0" fillId="18" borderId="11" xfId="0" applyFill="1" applyBorder="1"/>
    <xf numFmtId="0" fontId="0" fillId="0" borderId="11" xfId="0" applyBorder="1"/>
    <xf numFmtId="0" fontId="0" fillId="0" borderId="31" xfId="0" applyBorder="1"/>
    <xf numFmtId="0" fontId="0" fillId="18" borderId="11" xfId="0" applyFill="1" applyBorder="1" applyAlignment="1">
      <alignment horizontal="center" vertical="center"/>
    </xf>
    <xf numFmtId="0" fontId="0" fillId="0" borderId="11" xfId="0" applyBorder="1" applyAlignment="1">
      <alignment horizontal="center" vertical="center"/>
    </xf>
    <xf numFmtId="0" fontId="4" fillId="0" borderId="0" xfId="0" applyFont="1"/>
    <xf numFmtId="0" fontId="1" fillId="5" borderId="0" xfId="0" applyFont="1" applyFill="1"/>
    <xf numFmtId="0" fontId="32" fillId="7" borderId="9" xfId="0" applyFont="1" applyFill="1" applyBorder="1" applyAlignment="1">
      <alignment horizontal="center" vertical="center" wrapText="1" shrinkToFit="1"/>
    </xf>
    <xf numFmtId="0" fontId="1" fillId="5" borderId="9" xfId="0" applyFont="1" applyFill="1" applyBorder="1" applyAlignment="1" applyProtection="1">
      <alignment horizontal="center" vertical="center" shrinkToFit="1"/>
      <protection hidden="1"/>
    </xf>
    <xf numFmtId="0" fontId="1" fillId="5" borderId="0" xfId="0" applyFont="1" applyFill="1" applyAlignment="1" applyProtection="1">
      <alignment horizontal="left" vertical="center" shrinkToFit="1"/>
      <protection hidden="1"/>
    </xf>
    <xf numFmtId="0" fontId="1" fillId="5" borderId="0" xfId="0" applyFont="1" applyFill="1" applyAlignment="1" applyProtection="1">
      <alignment vertical="center" shrinkToFit="1"/>
      <protection hidden="1"/>
    </xf>
    <xf numFmtId="0" fontId="1" fillId="5" borderId="0" xfId="0" applyFont="1" applyFill="1" applyAlignment="1" applyProtection="1">
      <alignment horizontal="center" vertical="center" shrinkToFit="1"/>
      <protection hidden="1"/>
    </xf>
    <xf numFmtId="0" fontId="1" fillId="5" borderId="9" xfId="0" applyFont="1" applyFill="1" applyBorder="1" applyAlignment="1" applyProtection="1">
      <alignment horizontal="left" vertical="center" shrinkToFit="1"/>
      <protection hidden="1"/>
    </xf>
    <xf numFmtId="0" fontId="75" fillId="2" borderId="0" xfId="0" applyFont="1" applyFill="1" applyAlignment="1" applyProtection="1">
      <alignment vertical="center" shrinkToFit="1"/>
      <protection hidden="1"/>
    </xf>
    <xf numFmtId="0" fontId="1" fillId="2" borderId="0" xfId="0" applyFont="1" applyFill="1" applyAlignment="1" applyProtection="1">
      <alignment vertical="center" shrinkToFit="1"/>
      <protection hidden="1"/>
    </xf>
    <xf numFmtId="0" fontId="8" fillId="0" borderId="0" xfId="0" applyFont="1" applyAlignment="1">
      <alignment horizontal="center" vertical="center" wrapText="1"/>
    </xf>
    <xf numFmtId="0" fontId="24" fillId="3" borderId="9" xfId="0" applyFont="1" applyFill="1" applyBorder="1" applyAlignment="1" applyProtection="1">
      <alignment horizontal="center" vertical="center" wrapText="1" shrinkToFit="1"/>
      <protection hidden="1"/>
    </xf>
    <xf numFmtId="0" fontId="1" fillId="5" borderId="13" xfId="0" applyFont="1" applyFill="1" applyBorder="1" applyAlignment="1" applyProtection="1">
      <alignment horizontal="left" vertical="center" shrinkToFit="1"/>
      <protection hidden="1"/>
    </xf>
    <xf numFmtId="0" fontId="76" fillId="3" borderId="31" xfId="0" applyFont="1" applyFill="1" applyBorder="1" applyAlignment="1">
      <alignment horizontal="right" vertical="center" wrapText="1" shrinkToFit="1"/>
    </xf>
    <xf numFmtId="0" fontId="77" fillId="13" borderId="40" xfId="1" applyFont="1" applyFill="1" applyBorder="1" applyAlignment="1" applyProtection="1">
      <alignment horizontal="center" vertical="center" wrapText="1" shrinkToFit="1"/>
    </xf>
    <xf numFmtId="0" fontId="59" fillId="13" borderId="42" xfId="1" applyFont="1" applyFill="1" applyBorder="1" applyAlignment="1" applyProtection="1">
      <alignment horizontal="center" vertical="center" wrapText="1" shrinkToFit="1"/>
    </xf>
    <xf numFmtId="0" fontId="59" fillId="13" borderId="44" xfId="1" applyFont="1" applyFill="1" applyBorder="1" applyAlignment="1" applyProtection="1">
      <alignment horizontal="center" vertical="center" wrapText="1" shrinkToFit="1"/>
    </xf>
    <xf numFmtId="0" fontId="59" fillId="13" borderId="63" xfId="1" applyFont="1" applyFill="1" applyBorder="1" applyAlignment="1" applyProtection="1">
      <alignment horizontal="center" vertical="center" wrapText="1" shrinkToFit="1"/>
    </xf>
    <xf numFmtId="0" fontId="1" fillId="5" borderId="13" xfId="0" applyFont="1" applyFill="1" applyBorder="1" applyAlignment="1" applyProtection="1">
      <alignment horizontal="center" vertical="center" shrinkToFit="1"/>
      <protection hidden="1"/>
    </xf>
    <xf numFmtId="0" fontId="3" fillId="5" borderId="0" xfId="0" applyFont="1" applyFill="1" applyAlignment="1" applyProtection="1">
      <alignment horizontal="left" vertical="center" shrinkToFit="1"/>
      <protection hidden="1"/>
    </xf>
    <xf numFmtId="0" fontId="1" fillId="5" borderId="38" xfId="0" applyFont="1" applyFill="1" applyBorder="1" applyAlignment="1" applyProtection="1">
      <alignment horizontal="left" vertical="center" shrinkToFit="1"/>
      <protection hidden="1"/>
    </xf>
    <xf numFmtId="0" fontId="76" fillId="3" borderId="11" xfId="0" applyFont="1" applyFill="1" applyBorder="1" applyAlignment="1">
      <alignment horizontal="right" vertical="center" wrapText="1" shrinkToFit="1"/>
    </xf>
    <xf numFmtId="0" fontId="59" fillId="14" borderId="64" xfId="1" applyFont="1" applyFill="1" applyBorder="1" applyAlignment="1" applyProtection="1">
      <alignment horizontal="center" vertical="center" wrapText="1"/>
      <protection hidden="1"/>
    </xf>
    <xf numFmtId="0" fontId="59" fillId="14" borderId="65" xfId="1" applyFont="1" applyFill="1" applyBorder="1" applyAlignment="1" applyProtection="1">
      <alignment horizontal="center" vertical="center" wrapText="1" shrinkToFit="1"/>
      <protection hidden="1"/>
    </xf>
    <xf numFmtId="0" fontId="59" fillId="14" borderId="34" xfId="1" applyFont="1" applyFill="1" applyBorder="1" applyAlignment="1" applyProtection="1">
      <alignment horizontal="center" vertical="center" wrapText="1"/>
      <protection hidden="1"/>
    </xf>
    <xf numFmtId="0" fontId="59" fillId="14" borderId="65" xfId="1" applyFont="1" applyFill="1" applyBorder="1" applyAlignment="1" applyProtection="1">
      <alignment horizontal="center" vertical="center" wrapText="1"/>
      <protection hidden="1"/>
    </xf>
    <xf numFmtId="0" fontId="59" fillId="14" borderId="34" xfId="1" applyFont="1" applyFill="1" applyBorder="1" applyAlignment="1" applyProtection="1">
      <alignment horizontal="center" vertical="center" wrapText="1" shrinkToFit="1"/>
      <protection hidden="1"/>
    </xf>
    <xf numFmtId="0" fontId="25" fillId="24" borderId="66" xfId="1" applyFont="1" applyFill="1" applyBorder="1" applyAlignment="1" applyProtection="1">
      <alignment horizontal="center" vertical="center" wrapText="1"/>
      <protection hidden="1"/>
    </xf>
    <xf numFmtId="0" fontId="25" fillId="24" borderId="67" xfId="1" applyFont="1" applyFill="1" applyBorder="1" applyAlignment="1" applyProtection="1">
      <alignment horizontal="center" vertical="center" wrapText="1"/>
      <protection hidden="1"/>
    </xf>
    <xf numFmtId="0" fontId="4" fillId="5" borderId="13" xfId="0" applyFont="1" applyFill="1" applyBorder="1" applyAlignment="1" applyProtection="1">
      <alignment horizontal="center" vertical="center" shrinkToFit="1"/>
      <protection hidden="1"/>
    </xf>
    <xf numFmtId="0" fontId="20" fillId="25" borderId="51" xfId="0" applyFont="1" applyFill="1" applyBorder="1" applyAlignment="1" applyProtection="1">
      <alignment horizontal="left" vertical="center" shrinkToFit="1"/>
      <protection hidden="1"/>
    </xf>
    <xf numFmtId="0" fontId="20" fillId="25" borderId="31" xfId="0" applyFont="1" applyFill="1" applyBorder="1" applyAlignment="1" applyProtection="1">
      <alignment horizontal="center" vertical="center" shrinkToFit="1"/>
      <protection hidden="1"/>
    </xf>
    <xf numFmtId="49" fontId="75" fillId="2" borderId="4" xfId="0" applyNumberFormat="1" applyFont="1" applyFill="1" applyBorder="1" applyAlignment="1" applyProtection="1">
      <alignment vertical="center" shrinkToFit="1"/>
      <protection hidden="1"/>
    </xf>
    <xf numFmtId="0" fontId="75" fillId="2" borderId="4" xfId="0" applyFont="1" applyFill="1" applyBorder="1" applyAlignment="1" applyProtection="1">
      <alignment vertical="center" shrinkToFit="1"/>
      <protection hidden="1"/>
    </xf>
    <xf numFmtId="0" fontId="39" fillId="2" borderId="4" xfId="0" applyFont="1" applyFill="1" applyBorder="1" applyAlignment="1" applyProtection="1">
      <alignment vertical="center" shrinkToFit="1"/>
      <protection hidden="1"/>
    </xf>
    <xf numFmtId="0" fontId="1" fillId="5" borderId="38" xfId="0" applyFont="1" applyFill="1" applyBorder="1" applyAlignment="1" applyProtection="1">
      <alignment horizontal="center" vertical="center" shrinkToFit="1"/>
      <protection hidden="1"/>
    </xf>
    <xf numFmtId="0" fontId="23" fillId="0" borderId="51" xfId="0" applyFont="1" applyBorder="1" applyAlignment="1" applyProtection="1">
      <alignment horizontal="left" vertical="center"/>
      <protection hidden="1"/>
    </xf>
    <xf numFmtId="0" fontId="51" fillId="0" borderId="11" xfId="0" applyFont="1" applyBorder="1" applyAlignment="1" applyProtection="1">
      <alignment vertical="center" shrinkToFit="1"/>
      <protection hidden="1"/>
    </xf>
    <xf numFmtId="0" fontId="51" fillId="0" borderId="11" xfId="0" applyFont="1" applyBorder="1" applyAlignment="1" applyProtection="1">
      <alignment horizontal="center" vertical="center"/>
      <protection hidden="1"/>
    </xf>
    <xf numFmtId="49" fontId="75" fillId="2" borderId="0" xfId="1" applyNumberFormat="1" applyFont="1" applyFill="1" applyBorder="1" applyAlignment="1" applyProtection="1">
      <alignment horizontal="center" vertical="center" shrinkToFit="1"/>
      <protection hidden="1"/>
    </xf>
    <xf numFmtId="0" fontId="75" fillId="2" borderId="0" xfId="1" applyFont="1" applyFill="1" applyBorder="1" applyAlignment="1" applyProtection="1">
      <alignment horizontal="center" vertical="center" shrinkToFit="1"/>
      <protection hidden="1"/>
    </xf>
    <xf numFmtId="0" fontId="20" fillId="2" borderId="0" xfId="0" applyFont="1" applyFill="1" applyAlignment="1" applyProtection="1">
      <alignment vertical="center" shrinkToFit="1"/>
      <protection hidden="1"/>
    </xf>
    <xf numFmtId="0" fontId="23" fillId="3" borderId="51" xfId="0" applyFont="1" applyFill="1" applyBorder="1" applyAlignment="1" applyProtection="1">
      <alignment horizontal="center" vertical="center" shrinkToFit="1"/>
      <protection hidden="1"/>
    </xf>
    <xf numFmtId="0" fontId="39" fillId="3" borderId="11" xfId="0" applyFont="1" applyFill="1" applyBorder="1" applyAlignment="1" applyProtection="1">
      <alignment vertical="center" shrinkToFit="1"/>
      <protection hidden="1"/>
    </xf>
    <xf numFmtId="0" fontId="20" fillId="3" borderId="49" xfId="0" applyFont="1" applyFill="1" applyBorder="1" applyAlignment="1" applyProtection="1">
      <alignment horizontal="center" vertical="center" shrinkToFit="1"/>
      <protection hidden="1"/>
    </xf>
    <xf numFmtId="0" fontId="1" fillId="5" borderId="74" xfId="0" applyFont="1" applyFill="1" applyBorder="1" applyAlignment="1" applyProtection="1">
      <alignment horizontal="center" vertical="center" shrinkToFit="1"/>
      <protection hidden="1"/>
    </xf>
    <xf numFmtId="49" fontId="49" fillId="2" borderId="0" xfId="1" applyNumberFormat="1" applyFont="1" applyFill="1" applyBorder="1" applyAlignment="1" applyProtection="1">
      <alignment horizontal="left" vertical="center" shrinkToFit="1"/>
      <protection hidden="1"/>
    </xf>
    <xf numFmtId="0" fontId="49" fillId="2" borderId="0" xfId="1" applyFont="1" applyFill="1" applyBorder="1" applyAlignment="1" applyProtection="1">
      <alignment horizontal="center" vertical="center" shrinkToFit="1"/>
      <protection hidden="1"/>
    </xf>
    <xf numFmtId="0" fontId="23" fillId="2" borderId="51" xfId="0" applyFont="1" applyFill="1" applyBorder="1" applyAlignment="1" applyProtection="1">
      <alignment horizontal="center" vertical="center" shrinkToFit="1"/>
      <protection hidden="1"/>
    </xf>
    <xf numFmtId="166" fontId="39" fillId="3" borderId="11" xfId="0" applyNumberFormat="1" applyFont="1" applyFill="1" applyBorder="1" applyAlignment="1" applyProtection="1">
      <alignment vertical="center" shrinkToFit="1"/>
      <protection hidden="1"/>
    </xf>
    <xf numFmtId="0" fontId="49" fillId="2" borderId="49" xfId="1" applyFont="1" applyFill="1" applyBorder="1" applyAlignment="1" applyProtection="1">
      <alignment horizontal="center" vertical="center" shrinkToFit="1"/>
      <protection hidden="1"/>
    </xf>
    <xf numFmtId="0" fontId="1" fillId="5" borderId="75" xfId="0" applyFont="1" applyFill="1" applyBorder="1" applyAlignment="1" applyProtection="1">
      <alignment horizontal="center" vertical="center" shrinkToFit="1"/>
      <protection hidden="1"/>
    </xf>
    <xf numFmtId="0" fontId="20" fillId="2" borderId="0" xfId="0" applyFont="1" applyFill="1" applyAlignment="1" applyProtection="1">
      <alignment horizontal="center" vertical="center" shrinkToFit="1"/>
      <protection hidden="1"/>
    </xf>
    <xf numFmtId="0" fontId="75" fillId="2" borderId="0" xfId="0" applyFont="1" applyFill="1" applyAlignment="1" applyProtection="1">
      <alignment horizontal="center" vertical="center" shrinkToFit="1"/>
      <protection hidden="1"/>
    </xf>
    <xf numFmtId="0" fontId="1" fillId="2" borderId="0" xfId="0" applyFont="1" applyFill="1" applyAlignment="1" applyProtection="1">
      <alignment horizontal="center" vertical="center" shrinkToFit="1"/>
      <protection hidden="1"/>
    </xf>
    <xf numFmtId="0" fontId="50" fillId="3" borderId="76" xfId="1" applyFont="1" applyFill="1" applyBorder="1" applyAlignment="1" applyProtection="1">
      <alignment horizontal="center" vertical="center" shrinkToFit="1"/>
      <protection hidden="1"/>
    </xf>
    <xf numFmtId="0" fontId="50" fillId="3" borderId="77" xfId="1" applyFont="1" applyFill="1" applyBorder="1" applyAlignment="1" applyProtection="1">
      <alignment horizontal="center" vertical="center" shrinkToFit="1"/>
      <protection hidden="1"/>
    </xf>
    <xf numFmtId="0" fontId="50" fillId="3" borderId="78" xfId="1" applyFont="1" applyFill="1" applyBorder="1" applyAlignment="1" applyProtection="1">
      <alignment horizontal="center" vertical="center" shrinkToFit="1"/>
      <protection hidden="1"/>
    </xf>
    <xf numFmtId="0" fontId="79" fillId="0" borderId="0" xfId="0" applyFont="1"/>
    <xf numFmtId="0" fontId="50" fillId="3" borderId="79" xfId="1" applyFont="1" applyFill="1" applyBorder="1" applyAlignment="1" applyProtection="1">
      <alignment horizontal="center" vertical="center" shrinkToFit="1"/>
      <protection hidden="1"/>
    </xf>
    <xf numFmtId="0" fontId="50" fillId="3" borderId="80" xfId="1" applyFont="1" applyFill="1" applyBorder="1" applyAlignment="1" applyProtection="1">
      <alignment horizontal="center" vertical="center" shrinkToFit="1"/>
      <protection hidden="1"/>
    </xf>
    <xf numFmtId="0" fontId="50" fillId="3" borderId="81" xfId="1" applyFont="1" applyFill="1" applyBorder="1" applyAlignment="1" applyProtection="1">
      <alignment horizontal="center" vertical="center" shrinkToFit="1"/>
      <protection hidden="1"/>
    </xf>
    <xf numFmtId="0" fontId="50" fillId="3" borderId="0" xfId="1" applyFont="1" applyFill="1" applyBorder="1" applyAlignment="1" applyProtection="1">
      <alignment horizontal="center" vertical="center" shrinkToFit="1"/>
      <protection hidden="1"/>
    </xf>
    <xf numFmtId="0" fontId="50" fillId="3" borderId="82" xfId="1" applyFont="1" applyFill="1" applyBorder="1" applyAlignment="1" applyProtection="1">
      <alignment horizontal="center" vertical="center" shrinkToFit="1"/>
      <protection hidden="1"/>
    </xf>
    <xf numFmtId="0" fontId="50" fillId="3" borderId="83" xfId="1" applyFont="1" applyFill="1" applyBorder="1" applyAlignment="1" applyProtection="1">
      <alignment horizontal="center" vertical="center" shrinkToFit="1"/>
      <protection hidden="1"/>
    </xf>
    <xf numFmtId="0" fontId="81" fillId="3" borderId="85" xfId="1" applyFont="1" applyFill="1" applyBorder="1" applyAlignment="1" applyProtection="1">
      <alignment horizontal="center" vertical="center" shrinkToFit="1"/>
      <protection hidden="1"/>
    </xf>
    <xf numFmtId="0" fontId="81" fillId="3" borderId="86" xfId="1" applyFont="1" applyFill="1" applyBorder="1" applyAlignment="1" applyProtection="1">
      <alignment horizontal="center" vertical="center" shrinkToFit="1"/>
      <protection hidden="1"/>
    </xf>
    <xf numFmtId="0" fontId="81" fillId="3" borderId="87" xfId="1" applyFont="1" applyFill="1" applyBorder="1" applyAlignment="1" applyProtection="1">
      <alignment horizontal="center" vertical="center" shrinkToFit="1"/>
      <protection hidden="1"/>
    </xf>
    <xf numFmtId="0" fontId="20" fillId="3" borderId="88" xfId="0" applyFont="1" applyFill="1" applyBorder="1" applyAlignment="1" applyProtection="1">
      <alignment horizontal="center" vertical="center" shrinkToFit="1"/>
      <protection hidden="1"/>
    </xf>
    <xf numFmtId="0" fontId="50" fillId="15" borderId="90" xfId="1" applyFont="1" applyFill="1" applyBorder="1" applyAlignment="1" applyProtection="1">
      <alignment horizontal="center" vertical="center" shrinkToFit="1"/>
      <protection hidden="1"/>
    </xf>
    <xf numFmtId="0" fontId="50" fillId="15" borderId="91" xfId="1" applyFont="1" applyFill="1" applyBorder="1" applyAlignment="1" applyProtection="1">
      <alignment horizontal="center" vertical="center" shrinkToFit="1"/>
      <protection hidden="1"/>
    </xf>
    <xf numFmtId="1" fontId="82" fillId="3" borderId="93" xfId="0" applyNumberFormat="1" applyFont="1" applyFill="1" applyBorder="1" applyAlignment="1" applyProtection="1">
      <alignment horizontal="center" vertical="center" shrinkToFit="1"/>
      <protection hidden="1"/>
    </xf>
    <xf numFmtId="1" fontId="82" fillId="3" borderId="94" xfId="0" applyNumberFormat="1" applyFont="1" applyFill="1" applyBorder="1" applyAlignment="1" applyProtection="1">
      <alignment horizontal="center" vertical="center" shrinkToFit="1"/>
      <protection hidden="1"/>
    </xf>
    <xf numFmtId="166" fontId="75" fillId="2" borderId="0" xfId="0" applyNumberFormat="1" applyFont="1" applyFill="1" applyAlignment="1" applyProtection="1">
      <alignment horizontal="center" vertical="center" shrinkToFit="1"/>
      <protection hidden="1"/>
    </xf>
    <xf numFmtId="166" fontId="79" fillId="0" borderId="0" xfId="0" applyNumberFormat="1" applyFont="1"/>
    <xf numFmtId="0" fontId="23" fillId="3" borderId="57" xfId="0" applyFont="1" applyFill="1" applyBorder="1" applyAlignment="1" applyProtection="1">
      <alignment horizontal="center" vertical="center" shrinkToFit="1"/>
      <protection hidden="1"/>
    </xf>
    <xf numFmtId="0" fontId="39" fillId="3" borderId="95" xfId="0" applyFont="1" applyFill="1" applyBorder="1" applyAlignment="1" applyProtection="1">
      <alignment vertical="center" shrinkToFit="1"/>
      <protection hidden="1"/>
    </xf>
    <xf numFmtId="0" fontId="20" fillId="3" borderId="96" xfId="0" applyFont="1" applyFill="1" applyBorder="1" applyAlignment="1" applyProtection="1">
      <alignment horizontal="center" vertical="center" shrinkToFit="1"/>
      <protection hidden="1"/>
    </xf>
    <xf numFmtId="0" fontId="31" fillId="26" borderId="0" xfId="1" applyFont="1" applyFill="1" applyBorder="1" applyAlignment="1" applyProtection="1">
      <alignment horizontal="center" vertical="center" shrinkToFit="1"/>
    </xf>
    <xf numFmtId="0" fontId="83" fillId="19" borderId="0" xfId="0" applyFont="1" applyFill="1" applyAlignment="1" applyProtection="1">
      <alignment horizontal="center" vertical="center" wrapText="1"/>
      <protection hidden="1"/>
    </xf>
    <xf numFmtId="0" fontId="49" fillId="14" borderId="13" xfId="1" applyFont="1" applyFill="1" applyBorder="1" applyAlignment="1" applyProtection="1">
      <alignment horizontal="center" vertical="center" wrapText="1"/>
      <protection hidden="1"/>
    </xf>
    <xf numFmtId="0" fontId="85" fillId="3" borderId="98" xfId="1" applyFont="1" applyFill="1" applyBorder="1" applyAlignment="1" applyProtection="1">
      <alignment horizontal="center" vertical="center" wrapText="1" shrinkToFit="1"/>
    </xf>
    <xf numFmtId="0" fontId="85" fillId="3" borderId="90" xfId="1" applyFont="1" applyFill="1" applyBorder="1" applyAlignment="1" applyProtection="1">
      <alignment horizontal="center" vertical="center" wrapText="1" shrinkToFit="1"/>
    </xf>
    <xf numFmtId="0" fontId="85" fillId="3" borderId="99" xfId="1" applyFont="1" applyFill="1" applyBorder="1" applyAlignment="1" applyProtection="1">
      <alignment horizontal="center" vertical="center" wrapText="1" shrinkToFit="1"/>
    </xf>
    <xf numFmtId="0" fontId="85" fillId="3" borderId="91" xfId="1" applyFont="1" applyFill="1" applyBorder="1" applyAlignment="1" applyProtection="1">
      <alignment horizontal="center" vertical="center" wrapText="1" shrinkToFit="1"/>
    </xf>
    <xf numFmtId="0" fontId="1" fillId="5" borderId="13" xfId="0" applyFont="1" applyFill="1" applyBorder="1"/>
    <xf numFmtId="0" fontId="20" fillId="0" borderId="0" xfId="0" applyFont="1" applyAlignment="1">
      <alignment horizontal="left" vertical="center" wrapText="1"/>
    </xf>
    <xf numFmtId="0" fontId="85" fillId="3" borderId="91" xfId="0" applyFont="1" applyFill="1" applyBorder="1" applyAlignment="1">
      <alignment horizontal="center" vertical="center" shrinkToFit="1"/>
    </xf>
    <xf numFmtId="0" fontId="85" fillId="3" borderId="90" xfId="0" applyFont="1" applyFill="1" applyBorder="1" applyAlignment="1">
      <alignment horizontal="center" vertical="center" shrinkToFit="1"/>
    </xf>
    <xf numFmtId="0" fontId="85" fillId="3" borderId="0" xfId="0" applyFont="1" applyFill="1" applyAlignment="1">
      <alignment horizontal="center" vertical="center" shrinkToFit="1"/>
    </xf>
    <xf numFmtId="0" fontId="20" fillId="5" borderId="38" xfId="0" applyFont="1" applyFill="1" applyBorder="1" applyAlignment="1">
      <alignment horizontal="left" vertical="center" wrapText="1"/>
    </xf>
    <xf numFmtId="0" fontId="88" fillId="15" borderId="105" xfId="0" applyFont="1" applyFill="1" applyBorder="1" applyAlignment="1">
      <alignment horizontal="center" vertical="center" shrinkToFit="1"/>
    </xf>
    <xf numFmtId="0" fontId="89" fillId="15" borderId="105" xfId="0" applyFont="1" applyFill="1" applyBorder="1" applyAlignment="1" applyProtection="1">
      <alignment horizontal="center" vertical="center" wrapText="1" shrinkToFit="1"/>
      <protection hidden="1"/>
    </xf>
    <xf numFmtId="0" fontId="89" fillId="15" borderId="106" xfId="0" applyFont="1" applyFill="1" applyBorder="1" applyAlignment="1" applyProtection="1">
      <alignment horizontal="center" vertical="center" wrapText="1" shrinkToFit="1"/>
      <protection hidden="1"/>
    </xf>
    <xf numFmtId="0" fontId="88" fillId="5" borderId="13" xfId="0" applyFont="1" applyFill="1" applyBorder="1" applyAlignment="1" applyProtection="1">
      <alignment horizontal="center" vertical="center" shrinkToFit="1"/>
      <protection hidden="1"/>
    </xf>
    <xf numFmtId="0" fontId="91" fillId="15" borderId="11" xfId="0" applyFont="1" applyFill="1" applyBorder="1" applyAlignment="1">
      <alignment horizontal="center" vertical="center" shrinkToFit="1"/>
    </xf>
    <xf numFmtId="0" fontId="23" fillId="15" borderId="51" xfId="0" applyFont="1" applyFill="1" applyBorder="1" applyAlignment="1" applyProtection="1">
      <alignment horizontal="center" vertical="center" shrinkToFit="1"/>
      <protection locked="0"/>
    </xf>
    <xf numFmtId="0" fontId="23" fillId="15" borderId="11" xfId="0" applyFont="1" applyFill="1" applyBorder="1" applyAlignment="1" applyProtection="1">
      <alignment horizontal="center" vertical="center" shrinkToFit="1"/>
      <protection locked="0"/>
    </xf>
    <xf numFmtId="0" fontId="23" fillId="15" borderId="49" xfId="0" applyFont="1" applyFill="1" applyBorder="1" applyAlignment="1" applyProtection="1">
      <alignment horizontal="center" vertical="center" shrinkToFit="1"/>
      <protection locked="0"/>
    </xf>
    <xf numFmtId="14" fontId="1" fillId="15" borderId="48" xfId="0" applyNumberFormat="1" applyFont="1" applyFill="1" applyBorder="1" applyAlignment="1" applyProtection="1">
      <alignment horizontal="center" vertical="center" shrinkToFit="1"/>
      <protection hidden="1"/>
    </xf>
    <xf numFmtId="14" fontId="1" fillId="15" borderId="108" xfId="0" applyNumberFormat="1" applyFont="1" applyFill="1" applyBorder="1" applyAlignment="1" applyProtection="1">
      <alignment horizontal="center" vertical="center" shrinkToFit="1"/>
      <protection hidden="1"/>
    </xf>
    <xf numFmtId="14" fontId="1" fillId="15" borderId="49" xfId="0" applyNumberFormat="1" applyFont="1" applyFill="1" applyBorder="1" applyAlignment="1" applyProtection="1">
      <alignment horizontal="center" vertical="center" shrinkToFit="1"/>
      <protection hidden="1"/>
    </xf>
    <xf numFmtId="14" fontId="1" fillId="15" borderId="11" xfId="0" applyNumberFormat="1" applyFont="1" applyFill="1" applyBorder="1" applyAlignment="1" applyProtection="1">
      <alignment horizontal="center" vertical="center" shrinkToFit="1"/>
      <protection hidden="1"/>
    </xf>
    <xf numFmtId="14" fontId="1" fillId="15" borderId="109" xfId="0" applyNumberFormat="1" applyFont="1" applyFill="1" applyBorder="1" applyAlignment="1" applyProtection="1">
      <alignment horizontal="center" vertical="center" shrinkToFit="1"/>
      <protection hidden="1"/>
    </xf>
    <xf numFmtId="14" fontId="1" fillId="5" borderId="38" xfId="0" applyNumberFormat="1" applyFont="1" applyFill="1" applyBorder="1" applyAlignment="1" applyProtection="1">
      <alignment horizontal="center" vertical="center" shrinkToFit="1"/>
      <protection hidden="1"/>
    </xf>
    <xf numFmtId="0" fontId="91" fillId="15" borderId="95" xfId="0" applyFont="1" applyFill="1" applyBorder="1" applyAlignment="1">
      <alignment horizontal="center" vertical="center" wrapText="1" shrinkToFit="1"/>
    </xf>
    <xf numFmtId="0" fontId="1" fillId="15" borderId="57" xfId="0" applyFont="1" applyFill="1" applyBorder="1" applyAlignment="1" applyProtection="1">
      <alignment horizontal="center" vertical="center" wrapText="1" shrinkToFit="1"/>
      <protection locked="0"/>
    </xf>
    <xf numFmtId="0" fontId="1" fillId="15" borderId="95" xfId="0" applyFont="1" applyFill="1" applyBorder="1" applyAlignment="1" applyProtection="1">
      <alignment horizontal="center" vertical="center" wrapText="1" shrinkToFit="1"/>
      <protection locked="0"/>
    </xf>
    <xf numFmtId="0" fontId="1" fillId="15" borderId="110" xfId="0" applyFont="1" applyFill="1" applyBorder="1" applyAlignment="1" applyProtection="1">
      <alignment horizontal="center" vertical="center" wrapText="1" shrinkToFit="1"/>
      <protection locked="0"/>
    </xf>
    <xf numFmtId="0" fontId="1" fillId="5" borderId="13" xfId="0" applyFont="1" applyFill="1" applyBorder="1" applyAlignment="1" applyProtection="1">
      <alignment horizontal="center" vertical="center" wrapText="1" shrinkToFit="1"/>
      <protection hidden="1"/>
    </xf>
    <xf numFmtId="0" fontId="92" fillId="27" borderId="31" xfId="0" applyFont="1" applyFill="1" applyBorder="1" applyAlignment="1">
      <alignment horizontal="center" vertical="center" shrinkToFit="1"/>
    </xf>
    <xf numFmtId="0" fontId="89" fillId="27" borderId="19" xfId="0" applyFont="1" applyFill="1" applyBorder="1" applyAlignment="1" applyProtection="1">
      <alignment horizontal="center" vertical="center" wrapText="1"/>
      <protection hidden="1"/>
    </xf>
    <xf numFmtId="0" fontId="89" fillId="27" borderId="19" xfId="0" applyFont="1" applyFill="1" applyBorder="1" applyAlignment="1" applyProtection="1">
      <alignment horizontal="center" vertical="center" wrapText="1" shrinkToFit="1"/>
      <protection hidden="1"/>
    </xf>
    <xf numFmtId="0" fontId="89" fillId="27" borderId="20" xfId="0" applyFont="1" applyFill="1" applyBorder="1" applyAlignment="1" applyProtection="1">
      <alignment horizontal="center" vertical="center" wrapText="1" shrinkToFit="1"/>
      <protection hidden="1"/>
    </xf>
    <xf numFmtId="0" fontId="1" fillId="5" borderId="38" xfId="0" applyFont="1" applyFill="1" applyBorder="1" applyAlignment="1" applyProtection="1">
      <alignment horizontal="center" vertical="center" wrapText="1" shrinkToFit="1"/>
      <protection hidden="1"/>
    </xf>
    <xf numFmtId="0" fontId="91" fillId="27" borderId="11" xfId="0" applyFont="1" applyFill="1" applyBorder="1" applyAlignment="1">
      <alignment horizontal="center" vertical="center" shrinkToFit="1"/>
    </xf>
    <xf numFmtId="0" fontId="23" fillId="27" borderId="11" xfId="0" applyFont="1" applyFill="1" applyBorder="1" applyAlignment="1" applyProtection="1">
      <alignment horizontal="center" vertical="center" shrinkToFit="1"/>
      <protection locked="0"/>
    </xf>
    <xf numFmtId="0" fontId="23" fillId="27" borderId="49" xfId="0" applyFont="1" applyFill="1" applyBorder="1" applyAlignment="1" applyProtection="1">
      <alignment horizontal="center" vertical="center" shrinkToFit="1"/>
      <protection locked="0"/>
    </xf>
    <xf numFmtId="14" fontId="1" fillId="27" borderId="11" xfId="0" applyNumberFormat="1" applyFont="1" applyFill="1" applyBorder="1" applyAlignment="1" applyProtection="1">
      <alignment horizontal="center" vertical="center" shrinkToFit="1"/>
      <protection hidden="1"/>
    </xf>
    <xf numFmtId="14" fontId="1" fillId="27" borderId="49" xfId="0" applyNumberFormat="1" applyFont="1" applyFill="1" applyBorder="1" applyAlignment="1" applyProtection="1">
      <alignment horizontal="center" vertical="center" shrinkToFit="1"/>
      <protection hidden="1"/>
    </xf>
    <xf numFmtId="14" fontId="1" fillId="5" borderId="13" xfId="0" applyNumberFormat="1" applyFont="1" applyFill="1" applyBorder="1" applyAlignment="1" applyProtection="1">
      <alignment horizontal="center" vertical="center" shrinkToFit="1"/>
      <protection hidden="1"/>
    </xf>
    <xf numFmtId="0" fontId="91" fillId="27" borderId="95" xfId="0" applyFont="1" applyFill="1" applyBorder="1" applyAlignment="1">
      <alignment horizontal="center" vertical="center" wrapText="1" shrinkToFit="1"/>
    </xf>
    <xf numFmtId="0" fontId="1" fillId="27" borderId="95" xfId="0" applyFont="1" applyFill="1" applyBorder="1" applyAlignment="1" applyProtection="1">
      <alignment horizontal="center" vertical="center" wrapText="1"/>
      <protection locked="0"/>
    </xf>
    <xf numFmtId="0" fontId="1" fillId="27" borderId="95" xfId="0" applyFont="1" applyFill="1" applyBorder="1" applyAlignment="1" applyProtection="1">
      <alignment horizontal="center" vertical="center" wrapText="1" shrinkToFit="1"/>
      <protection locked="0"/>
    </xf>
    <xf numFmtId="0" fontId="1" fillId="27" borderId="110" xfId="0" applyFont="1" applyFill="1" applyBorder="1" applyAlignment="1" applyProtection="1">
      <alignment horizontal="center" vertical="center" wrapText="1" shrinkToFit="1"/>
      <protection locked="0"/>
    </xf>
    <xf numFmtId="0" fontId="88" fillId="15" borderId="21" xfId="0" applyFont="1" applyFill="1" applyBorder="1" applyAlignment="1">
      <alignment horizontal="center" vertical="center" shrinkToFit="1"/>
    </xf>
    <xf numFmtId="0" fontId="92" fillId="15" borderId="31" xfId="0" applyFont="1" applyFill="1" applyBorder="1" applyAlignment="1">
      <alignment horizontal="center" vertical="center" shrinkToFit="1"/>
    </xf>
    <xf numFmtId="0" fontId="89" fillId="15" borderId="31" xfId="0" applyFont="1" applyFill="1" applyBorder="1" applyAlignment="1" applyProtection="1">
      <alignment horizontal="center" vertical="center" wrapText="1"/>
      <protection hidden="1"/>
    </xf>
    <xf numFmtId="0" fontId="89" fillId="15" borderId="31" xfId="0" applyFont="1" applyFill="1" applyBorder="1" applyAlignment="1" applyProtection="1">
      <alignment horizontal="center" vertical="center" wrapText="1" shrinkToFit="1"/>
      <protection hidden="1"/>
    </xf>
    <xf numFmtId="0" fontId="89" fillId="15" borderId="52" xfId="0" applyFont="1" applyFill="1" applyBorder="1" applyAlignment="1" applyProtection="1">
      <alignment horizontal="center" vertical="center" wrapText="1" shrinkToFit="1"/>
      <protection hidden="1"/>
    </xf>
    <xf numFmtId="0" fontId="88" fillId="27" borderId="21" xfId="0" applyFont="1" applyFill="1" applyBorder="1" applyAlignment="1">
      <alignment horizontal="center" vertical="center" wrapText="1" shrinkToFit="1"/>
    </xf>
    <xf numFmtId="0" fontId="91" fillId="27" borderId="31" xfId="0" applyFont="1" applyFill="1" applyBorder="1" applyAlignment="1">
      <alignment horizontal="center" vertical="center" wrapText="1" shrinkToFit="1"/>
    </xf>
    <xf numFmtId="0" fontId="91" fillId="27" borderId="30" xfId="0" applyFont="1" applyFill="1" applyBorder="1" applyAlignment="1">
      <alignment horizontal="center" vertical="center" wrapText="1" shrinkToFit="1"/>
    </xf>
    <xf numFmtId="0" fontId="1" fillId="27" borderId="30" xfId="0" applyFont="1" applyFill="1" applyBorder="1" applyAlignment="1" applyProtection="1">
      <alignment horizontal="center" vertical="center" wrapText="1" shrinkToFit="1"/>
      <protection locked="0"/>
    </xf>
    <xf numFmtId="0" fontId="1" fillId="27" borderId="88" xfId="0" applyFont="1" applyFill="1" applyBorder="1" applyAlignment="1" applyProtection="1">
      <alignment horizontal="center" vertical="center" wrapText="1" shrinkToFit="1"/>
      <protection locked="0"/>
    </xf>
    <xf numFmtId="0" fontId="88" fillId="15" borderId="10" xfId="0" applyFont="1" applyFill="1" applyBorder="1" applyAlignment="1">
      <alignment horizontal="center" vertical="center" wrapText="1"/>
    </xf>
    <xf numFmtId="0" fontId="91" fillId="15" borderId="19" xfId="0" applyFont="1" applyFill="1" applyBorder="1" applyAlignment="1">
      <alignment horizontal="center" vertical="center" wrapText="1" shrinkToFit="1"/>
    </xf>
    <xf numFmtId="0" fontId="89" fillId="15" borderId="19" xfId="0" applyFont="1" applyFill="1" applyBorder="1" applyAlignment="1" applyProtection="1">
      <alignment horizontal="center" vertical="center" wrapText="1"/>
      <protection hidden="1"/>
    </xf>
    <xf numFmtId="0" fontId="89" fillId="15" borderId="19" xfId="0" applyFont="1" applyFill="1" applyBorder="1" applyAlignment="1" applyProtection="1">
      <alignment horizontal="center" vertical="center" wrapText="1" shrinkToFit="1"/>
      <protection hidden="1"/>
    </xf>
    <xf numFmtId="0" fontId="89" fillId="15" borderId="20" xfId="0" applyFont="1" applyFill="1" applyBorder="1" applyAlignment="1" applyProtection="1">
      <alignment horizontal="center" vertical="center" wrapText="1" shrinkToFit="1"/>
      <protection hidden="1"/>
    </xf>
    <xf numFmtId="0" fontId="91" fillId="15" borderId="30" xfId="0" applyFont="1" applyFill="1" applyBorder="1" applyAlignment="1">
      <alignment horizontal="center" vertical="center" wrapText="1" shrinkToFit="1"/>
    </xf>
    <xf numFmtId="0" fontId="1" fillId="15" borderId="30" xfId="0" applyFont="1" applyFill="1" applyBorder="1" applyAlignment="1" applyProtection="1">
      <alignment horizontal="center" vertical="center" wrapText="1" shrinkToFit="1"/>
      <protection locked="0"/>
    </xf>
    <xf numFmtId="0" fontId="1" fillId="15" borderId="88" xfId="0" applyFont="1" applyFill="1" applyBorder="1" applyAlignment="1" applyProtection="1">
      <alignment horizontal="center" vertical="center" wrapText="1" shrinkToFit="1"/>
      <protection locked="0"/>
    </xf>
    <xf numFmtId="0" fontId="88" fillId="27" borderId="10" xfId="0" applyFont="1" applyFill="1" applyBorder="1" applyAlignment="1">
      <alignment horizontal="center" vertical="center" wrapText="1"/>
    </xf>
    <xf numFmtId="0" fontId="91" fillId="27" borderId="19" xfId="0" applyFont="1" applyFill="1" applyBorder="1" applyAlignment="1">
      <alignment horizontal="center" vertical="center" wrapText="1" shrinkToFit="1"/>
    </xf>
    <xf numFmtId="0" fontId="88" fillId="27" borderId="21" xfId="0" applyFont="1" applyFill="1" applyBorder="1" applyAlignment="1">
      <alignment horizontal="center" vertical="center" wrapText="1"/>
    </xf>
    <xf numFmtId="0" fontId="88" fillId="15" borderId="11" xfId="0" applyFont="1" applyFill="1" applyBorder="1" applyAlignment="1">
      <alignment horizontal="center" vertical="center" wrapText="1"/>
    </xf>
    <xf numFmtId="0" fontId="59" fillId="2" borderId="0" xfId="1" applyFont="1" applyFill="1" applyBorder="1" applyAlignment="1" applyProtection="1">
      <alignment horizontal="center" vertical="center" wrapText="1"/>
      <protection hidden="1"/>
    </xf>
    <xf numFmtId="0" fontId="94" fillId="2" borderId="0" xfId="0" applyFont="1" applyFill="1" applyAlignment="1" applyProtection="1">
      <alignment horizontal="left" vertical="center" wrapText="1"/>
      <protection hidden="1"/>
    </xf>
    <xf numFmtId="0" fontId="91" fillId="27" borderId="30" xfId="0" applyFont="1" applyFill="1" applyBorder="1" applyAlignment="1">
      <alignment horizontal="center" vertical="center" shrinkToFit="1"/>
    </xf>
    <xf numFmtId="0" fontId="1" fillId="27" borderId="30" xfId="0" applyFont="1" applyFill="1" applyBorder="1" applyAlignment="1" applyProtection="1">
      <alignment horizontal="center" vertical="center" wrapText="1"/>
      <protection locked="0"/>
    </xf>
    <xf numFmtId="0" fontId="1" fillId="27" borderId="88" xfId="0" applyFont="1" applyFill="1" applyBorder="1" applyAlignment="1" applyProtection="1">
      <alignment horizontal="center" vertical="center" wrapText="1"/>
      <protection locked="0"/>
    </xf>
    <xf numFmtId="0" fontId="91" fillId="15" borderId="19" xfId="0" applyFont="1" applyFill="1" applyBorder="1" applyAlignment="1">
      <alignment horizontal="center" vertical="center" shrinkToFit="1"/>
    </xf>
    <xf numFmtId="0" fontId="91" fillId="15" borderId="30" xfId="0" applyFont="1" applyFill="1" applyBorder="1" applyAlignment="1">
      <alignment horizontal="center" vertical="center" shrinkToFit="1"/>
    </xf>
    <xf numFmtId="0" fontId="91" fillId="27" borderId="19" xfId="0" applyFont="1" applyFill="1" applyBorder="1" applyAlignment="1">
      <alignment horizontal="center" vertical="center" shrinkToFit="1"/>
    </xf>
    <xf numFmtId="0" fontId="1" fillId="2" borderId="0" xfId="0" applyFont="1" applyFill="1" applyAlignment="1" applyProtection="1">
      <alignment horizontal="left" vertical="center" shrinkToFit="1"/>
      <protection hidden="1"/>
    </xf>
    <xf numFmtId="0" fontId="91" fillId="15" borderId="95" xfId="0" applyFont="1" applyFill="1" applyBorder="1" applyAlignment="1">
      <alignment horizontal="center" vertical="center" shrinkToFit="1"/>
    </xf>
    <xf numFmtId="0" fontId="91" fillId="27" borderId="31" xfId="0" applyFont="1" applyFill="1" applyBorder="1" applyAlignment="1">
      <alignment horizontal="center" vertical="center" shrinkToFit="1"/>
    </xf>
    <xf numFmtId="0" fontId="89" fillId="27" borderId="31" xfId="0" applyFont="1" applyFill="1" applyBorder="1" applyAlignment="1" applyProtection="1">
      <alignment horizontal="center" vertical="center" wrapText="1"/>
      <protection hidden="1"/>
    </xf>
    <xf numFmtId="0" fontId="89" fillId="27" borderId="31" xfId="0" applyFont="1" applyFill="1" applyBorder="1" applyAlignment="1" applyProtection="1">
      <alignment horizontal="center" vertical="center" wrapText="1" shrinkToFit="1"/>
      <protection hidden="1"/>
    </xf>
    <xf numFmtId="0" fontId="89" fillId="27" borderId="52" xfId="0" applyFont="1" applyFill="1" applyBorder="1" applyAlignment="1" applyProtection="1">
      <alignment horizontal="center" vertical="center" wrapText="1" shrinkToFit="1"/>
      <protection hidden="1"/>
    </xf>
    <xf numFmtId="0" fontId="20" fillId="2" borderId="0" xfId="0" applyFont="1" applyFill="1" applyAlignment="1" applyProtection="1">
      <alignment horizontal="left" vertical="top" wrapText="1"/>
      <protection hidden="1"/>
    </xf>
    <xf numFmtId="0" fontId="1" fillId="27" borderId="30" xfId="0" applyFont="1" applyFill="1" applyBorder="1" applyAlignment="1" applyProtection="1">
      <alignment horizontal="center" vertical="center" shrinkToFit="1"/>
      <protection locked="0"/>
    </xf>
    <xf numFmtId="0" fontId="1" fillId="27" borderId="88" xfId="0" applyFont="1" applyFill="1" applyBorder="1" applyAlignment="1" applyProtection="1">
      <alignment horizontal="center" vertical="center" shrinkToFit="1"/>
      <protection locked="0"/>
    </xf>
    <xf numFmtId="0" fontId="1" fillId="15" borderId="30" xfId="0" applyFont="1" applyFill="1" applyBorder="1" applyAlignment="1" applyProtection="1">
      <alignment horizontal="center" vertical="center" wrapText="1"/>
      <protection locked="0"/>
    </xf>
    <xf numFmtId="0" fontId="1" fillId="15" borderId="88" xfId="0" applyFont="1" applyFill="1" applyBorder="1" applyAlignment="1" applyProtection="1">
      <alignment horizontal="center" vertical="center" wrapText="1"/>
      <protection locked="0"/>
    </xf>
    <xf numFmtId="0" fontId="95" fillId="2" borderId="0" xfId="0" applyFont="1" applyFill="1" applyAlignment="1" applyProtection="1">
      <alignment horizontal="left" vertical="center" shrinkToFit="1"/>
      <protection hidden="1"/>
    </xf>
    <xf numFmtId="0" fontId="1" fillId="27" borderId="49" xfId="0" applyFont="1" applyFill="1" applyBorder="1" applyAlignment="1" applyProtection="1">
      <alignment horizontal="center" vertical="center" shrinkToFit="1"/>
      <protection locked="0"/>
    </xf>
    <xf numFmtId="0" fontId="20" fillId="2" borderId="0" xfId="0" applyFont="1" applyFill="1" applyAlignment="1" applyProtection="1">
      <alignment horizontal="center" vertical="top" wrapText="1"/>
      <protection hidden="1"/>
    </xf>
    <xf numFmtId="0" fontId="88" fillId="27" borderId="111" xfId="0" applyFont="1" applyFill="1" applyBorder="1" applyAlignment="1">
      <alignment horizontal="center" vertical="center" wrapText="1"/>
    </xf>
    <xf numFmtId="0" fontId="88" fillId="15" borderId="111" xfId="0" applyFont="1" applyFill="1" applyBorder="1" applyAlignment="1">
      <alignment horizontal="center" vertical="center" wrapText="1"/>
    </xf>
    <xf numFmtId="0" fontId="20" fillId="5" borderId="5" xfId="0" applyFont="1" applyFill="1" applyBorder="1" applyAlignment="1" applyProtection="1">
      <alignment horizontal="left" vertical="top" wrapText="1"/>
      <protection hidden="1"/>
    </xf>
    <xf numFmtId="0" fontId="91" fillId="27" borderId="95" xfId="0" applyFont="1" applyFill="1" applyBorder="1" applyAlignment="1">
      <alignment horizontal="center" vertical="center" shrinkToFit="1"/>
    </xf>
    <xf numFmtId="0" fontId="1" fillId="5" borderId="35" xfId="0" applyFont="1" applyFill="1" applyBorder="1" applyAlignment="1" applyProtection="1">
      <alignment horizontal="center" vertical="center" shrinkToFit="1"/>
      <protection hidden="1"/>
    </xf>
    <xf numFmtId="0" fontId="23" fillId="27" borderId="11" xfId="0" applyFont="1" applyFill="1" applyBorder="1" applyAlignment="1" applyProtection="1">
      <alignment horizontal="center" vertical="center" wrapText="1"/>
      <protection locked="0"/>
    </xf>
    <xf numFmtId="0" fontId="1" fillId="27" borderId="11" xfId="0" applyFont="1" applyFill="1" applyBorder="1" applyAlignment="1" applyProtection="1">
      <alignment horizontal="center" vertical="center" wrapText="1"/>
      <protection locked="0"/>
    </xf>
    <xf numFmtId="0" fontId="84" fillId="5" borderId="13" xfId="0" applyFont="1" applyFill="1" applyBorder="1" applyAlignment="1" applyProtection="1">
      <alignment vertical="center" shrinkToFit="1"/>
      <protection hidden="1"/>
    </xf>
    <xf numFmtId="0" fontId="88" fillId="5" borderId="7" xfId="0" applyFont="1" applyFill="1" applyBorder="1" applyAlignment="1">
      <alignment vertical="center" shrinkToFit="1"/>
    </xf>
    <xf numFmtId="0" fontId="88" fillId="5" borderId="5" xfId="0" applyFont="1" applyFill="1" applyBorder="1" applyAlignment="1">
      <alignment horizontal="center" vertical="center" shrinkToFit="1"/>
    </xf>
    <xf numFmtId="0" fontId="1" fillId="5" borderId="5" xfId="0" applyFont="1" applyFill="1" applyBorder="1" applyAlignment="1">
      <alignment horizontal="center" vertical="center" shrinkToFit="1"/>
    </xf>
    <xf numFmtId="0" fontId="88" fillId="2" borderId="0" xfId="0" applyFont="1" applyFill="1" applyAlignment="1">
      <alignment vertical="center" shrinkToFit="1"/>
    </xf>
    <xf numFmtId="0" fontId="88" fillId="2" borderId="0" xfId="0" applyFont="1" applyFill="1" applyAlignment="1">
      <alignment horizontal="center" vertical="center" shrinkToFit="1"/>
    </xf>
    <xf numFmtId="0" fontId="1" fillId="2" borderId="0" xfId="0" applyFont="1" applyFill="1" applyAlignment="1">
      <alignment horizontal="center" vertical="center" shrinkToFit="1"/>
    </xf>
    <xf numFmtId="0" fontId="4" fillId="2" borderId="0" xfId="0" applyFont="1" applyFill="1" applyAlignment="1" applyProtection="1">
      <alignment vertical="center" shrinkToFit="1"/>
      <protection hidden="1"/>
    </xf>
    <xf numFmtId="0" fontId="1" fillId="2" borderId="0" xfId="0" applyFont="1" applyFill="1" applyAlignment="1">
      <alignment vertical="center" shrinkToFit="1"/>
    </xf>
    <xf numFmtId="0" fontId="0" fillId="5" borderId="9" xfId="0" applyFill="1" applyBorder="1"/>
    <xf numFmtId="0" fontId="10" fillId="0" borderId="0" xfId="0" applyFont="1"/>
    <xf numFmtId="0" fontId="0" fillId="5" borderId="13" xfId="0" applyFill="1" applyBorder="1"/>
    <xf numFmtId="0" fontId="39" fillId="5" borderId="13" xfId="0" applyFont="1" applyFill="1" applyBorder="1"/>
    <xf numFmtId="0" fontId="0" fillId="15" borderId="0" xfId="0" applyFill="1" applyAlignment="1" applyProtection="1">
      <alignment vertical="center"/>
      <protection locked="0"/>
    </xf>
    <xf numFmtId="0" fontId="10" fillId="15" borderId="0" xfId="0" applyFont="1" applyFill="1" applyAlignment="1" applyProtection="1">
      <alignment vertical="center"/>
      <protection hidden="1"/>
    </xf>
    <xf numFmtId="167" fontId="0" fillId="15" borderId="21" xfId="0" applyNumberFormat="1" applyFill="1" applyBorder="1" applyAlignment="1" applyProtection="1">
      <alignment horizontal="left" vertical="center"/>
      <protection hidden="1"/>
    </xf>
    <xf numFmtId="0" fontId="10" fillId="15" borderId="0" xfId="0" applyFont="1" applyFill="1" applyAlignment="1" applyProtection="1">
      <alignment horizontal="left" vertical="center"/>
      <protection hidden="1"/>
    </xf>
    <xf numFmtId="0" fontId="10" fillId="15" borderId="35" xfId="0" applyFont="1" applyFill="1" applyBorder="1" applyAlignment="1" applyProtection="1">
      <alignment horizontal="left" vertical="center"/>
      <protection hidden="1"/>
    </xf>
    <xf numFmtId="0" fontId="0" fillId="0" borderId="0" xfId="0" applyAlignment="1" applyProtection="1">
      <alignment vertical="center"/>
      <protection locked="0"/>
    </xf>
    <xf numFmtId="0" fontId="10" fillId="0" borderId="0" xfId="0" applyFont="1" applyAlignment="1" applyProtection="1">
      <alignment vertical="center"/>
      <protection hidden="1"/>
    </xf>
    <xf numFmtId="167" fontId="0" fillId="0" borderId="21" xfId="0" applyNumberForma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35" xfId="0" applyFont="1" applyBorder="1" applyAlignment="1" applyProtection="1">
      <alignment horizontal="left" vertical="center"/>
      <protection hidden="1"/>
    </xf>
    <xf numFmtId="0" fontId="0" fillId="5" borderId="13" xfId="0" applyFill="1" applyBorder="1" applyAlignment="1">
      <alignment vertical="center"/>
    </xf>
    <xf numFmtId="0" fontId="0" fillId="5" borderId="38" xfId="0" applyFill="1" applyBorder="1" applyAlignment="1">
      <alignment vertical="center"/>
    </xf>
    <xf numFmtId="0" fontId="0" fillId="5" borderId="12" xfId="0" applyFill="1" applyBorder="1" applyAlignment="1">
      <alignment vertical="center"/>
    </xf>
    <xf numFmtId="0" fontId="0" fillId="5" borderId="38" xfId="0" applyFill="1" applyBorder="1"/>
    <xf numFmtId="0" fontId="0" fillId="5" borderId="7" xfId="0" applyFill="1" applyBorder="1"/>
    <xf numFmtId="0" fontId="10" fillId="5" borderId="5" xfId="0" applyFont="1" applyFill="1" applyBorder="1"/>
    <xf numFmtId="167" fontId="0" fillId="5" borderId="5" xfId="0" applyNumberFormat="1" applyFill="1" applyBorder="1" applyAlignment="1">
      <alignment horizontal="left"/>
    </xf>
    <xf numFmtId="0" fontId="10" fillId="5" borderId="5" xfId="0" applyFont="1" applyFill="1" applyBorder="1" applyAlignment="1">
      <alignment horizontal="left"/>
    </xf>
    <xf numFmtId="0" fontId="0" fillId="5" borderId="15" xfId="0" applyFill="1" applyBorder="1"/>
    <xf numFmtId="0" fontId="3" fillId="3" borderId="0" xfId="0" applyFont="1" applyFill="1" applyProtection="1">
      <protection hidden="1"/>
    </xf>
    <xf numFmtId="0" fontId="43" fillId="27" borderId="0" xfId="1" applyFont="1" applyFill="1" applyBorder="1" applyAlignment="1" applyProtection="1">
      <alignment horizontal="center" vertical="center" wrapText="1"/>
      <protection locked="0" hidden="1"/>
    </xf>
    <xf numFmtId="0" fontId="3" fillId="5" borderId="0" xfId="0" applyFont="1" applyFill="1" applyProtection="1">
      <protection hidden="1"/>
    </xf>
    <xf numFmtId="0" fontId="0" fillId="18" borderId="0" xfId="0" applyFill="1" applyProtection="1">
      <protection hidden="1"/>
    </xf>
    <xf numFmtId="0" fontId="57" fillId="18" borderId="0" xfId="0" applyFont="1" applyFill="1" applyProtection="1">
      <protection hidden="1"/>
    </xf>
    <xf numFmtId="0" fontId="23" fillId="3" borderId="9" xfId="1" applyFont="1" applyFill="1" applyBorder="1" applyAlignment="1" applyProtection="1">
      <alignment horizontal="center" vertical="center" wrapText="1"/>
      <protection locked="0" hidden="1"/>
    </xf>
    <xf numFmtId="0" fontId="23" fillId="3" borderId="0" xfId="1" applyFont="1" applyFill="1" applyBorder="1" applyAlignment="1" applyProtection="1">
      <alignment horizontal="center" vertical="center" wrapText="1"/>
      <protection locked="0" hidden="1"/>
    </xf>
    <xf numFmtId="0" fontId="23" fillId="3" borderId="9" xfId="1" applyFont="1" applyFill="1" applyBorder="1" applyAlignment="1" applyProtection="1">
      <alignment horizontal="center" vertical="center" wrapText="1"/>
      <protection hidden="1"/>
    </xf>
    <xf numFmtId="0" fontId="23" fillId="3" borderId="0" xfId="1" applyFont="1" applyFill="1" applyBorder="1" applyAlignment="1" applyProtection="1">
      <alignment horizontal="center" vertical="center" wrapText="1"/>
      <protection hidden="1"/>
    </xf>
    <xf numFmtId="0" fontId="23" fillId="3" borderId="0" xfId="0" applyFont="1" applyFill="1" applyAlignment="1" applyProtection="1">
      <alignment horizontal="center" vertical="center" wrapText="1"/>
      <protection hidden="1"/>
    </xf>
    <xf numFmtId="0" fontId="15" fillId="3" borderId="13" xfId="1" applyFont="1" applyFill="1" applyBorder="1" applyAlignment="1" applyProtection="1">
      <alignment horizontal="center" vertical="center" wrapText="1"/>
      <protection locked="0" hidden="1"/>
    </xf>
    <xf numFmtId="0" fontId="43" fillId="3" borderId="0" xfId="1" applyFont="1" applyFill="1" applyBorder="1" applyAlignment="1" applyProtection="1">
      <alignment horizontal="center" vertical="center" wrapText="1"/>
      <protection locked="0" hidden="1"/>
    </xf>
    <xf numFmtId="0" fontId="15" fillId="3" borderId="0" xfId="1" applyFont="1" applyFill="1" applyBorder="1" applyAlignment="1" applyProtection="1">
      <alignment horizontal="center" vertical="center" wrapText="1"/>
      <protection locked="0" hidden="1"/>
    </xf>
    <xf numFmtId="0" fontId="10" fillId="0" borderId="0" xfId="0" applyFont="1" applyAlignment="1" applyProtection="1">
      <alignment horizontal="center" vertical="center"/>
      <protection hidden="1"/>
    </xf>
    <xf numFmtId="0" fontId="9" fillId="3" borderId="38" xfId="0" applyFont="1" applyFill="1" applyBorder="1" applyAlignment="1" applyProtection="1">
      <alignment horizontal="center" vertical="center"/>
      <protection hidden="1"/>
    </xf>
    <xf numFmtId="0" fontId="9" fillId="3" borderId="0" xfId="0" applyFont="1" applyFill="1" applyAlignment="1" applyProtection="1">
      <alignment horizontal="center" vertical="center"/>
      <protection hidden="1"/>
    </xf>
    <xf numFmtId="0" fontId="99" fillId="3" borderId="11" xfId="0" applyFont="1" applyFill="1" applyBorder="1" applyAlignment="1" applyProtection="1">
      <alignment horizontal="center" vertical="center" wrapText="1"/>
      <protection hidden="1"/>
    </xf>
    <xf numFmtId="0" fontId="21" fillId="3" borderId="11" xfId="0" applyFont="1" applyFill="1" applyBorder="1" applyAlignment="1" applyProtection="1">
      <alignment horizontal="left" vertical="center" wrapText="1" shrinkToFit="1"/>
      <protection hidden="1"/>
    </xf>
    <xf numFmtId="0" fontId="0" fillId="0" borderId="0" xfId="0" applyProtection="1">
      <protection hidden="1"/>
    </xf>
    <xf numFmtId="14" fontId="0" fillId="0" borderId="0" xfId="0" applyNumberFormat="1" applyProtection="1">
      <protection hidden="1"/>
    </xf>
    <xf numFmtId="0" fontId="21" fillId="3" borderId="11" xfId="0" applyFont="1" applyFill="1" applyBorder="1" applyAlignment="1" applyProtection="1">
      <alignment horizontal="left" vertical="center" shrinkToFit="1"/>
      <protection hidden="1"/>
    </xf>
    <xf numFmtId="0" fontId="0" fillId="5" borderId="9" xfId="0" applyFill="1" applyBorder="1" applyProtection="1">
      <protection hidden="1"/>
    </xf>
    <xf numFmtId="0" fontId="0" fillId="5" borderId="13" xfId="0" applyFill="1" applyBorder="1" applyProtection="1">
      <protection hidden="1"/>
    </xf>
    <xf numFmtId="0" fontId="0" fillId="5" borderId="7" xfId="0" applyFill="1" applyBorder="1" applyProtection="1">
      <protection hidden="1"/>
    </xf>
    <xf numFmtId="0" fontId="0" fillId="5" borderId="5" xfId="0" applyFill="1" applyBorder="1" applyProtection="1">
      <protection hidden="1"/>
    </xf>
    <xf numFmtId="0" fontId="0" fillId="5" borderId="38" xfId="0" applyFill="1" applyBorder="1" applyProtection="1">
      <protection hidden="1"/>
    </xf>
    <xf numFmtId="0" fontId="0" fillId="23" borderId="0" xfId="0" applyFill="1" applyProtection="1">
      <protection hidden="1"/>
    </xf>
    <xf numFmtId="0" fontId="8" fillId="3" borderId="5" xfId="0" applyFont="1" applyFill="1" applyBorder="1" applyAlignment="1" applyProtection="1">
      <alignment horizontal="center" vertical="center"/>
      <protection hidden="1"/>
    </xf>
    <xf numFmtId="0" fontId="1" fillId="5" borderId="21" xfId="0" applyFont="1" applyFill="1" applyBorder="1" applyProtection="1">
      <protection hidden="1"/>
    </xf>
    <xf numFmtId="0" fontId="38" fillId="5" borderId="13" xfId="0" applyFont="1" applyFill="1" applyBorder="1" applyAlignment="1" applyProtection="1">
      <alignment horizontal="center" vertical="center"/>
      <protection hidden="1"/>
    </xf>
    <xf numFmtId="0" fontId="23" fillId="8" borderId="113" xfId="0" applyFont="1" applyFill="1" applyBorder="1" applyAlignment="1" applyProtection="1">
      <alignment horizontal="center" vertical="center"/>
      <protection hidden="1"/>
    </xf>
    <xf numFmtId="0" fontId="23" fillId="8" borderId="13" xfId="0" applyFont="1" applyFill="1" applyBorder="1" applyAlignment="1" applyProtection="1">
      <alignment horizontal="center" vertical="center"/>
      <protection hidden="1"/>
    </xf>
    <xf numFmtId="0" fontId="23" fillId="8" borderId="11" xfId="0" applyFont="1" applyFill="1" applyBorder="1" applyAlignment="1" applyProtection="1">
      <alignment horizontal="center" vertical="center"/>
      <protection hidden="1"/>
    </xf>
    <xf numFmtId="0" fontId="100" fillId="5" borderId="0" xfId="1" applyFont="1" applyFill="1" applyBorder="1" applyAlignment="1" applyProtection="1">
      <alignment horizontal="center" vertical="center" wrapText="1"/>
      <protection hidden="1"/>
    </xf>
    <xf numFmtId="0" fontId="101" fillId="2" borderId="109" xfId="0" applyFont="1" applyFill="1" applyBorder="1" applyAlignment="1" applyProtection="1">
      <alignment horizontal="center" vertical="center" wrapText="1"/>
      <protection hidden="1"/>
    </xf>
    <xf numFmtId="0" fontId="23" fillId="3" borderId="9" xfId="0" applyFont="1" applyFill="1" applyBorder="1" applyAlignment="1" applyProtection="1">
      <alignment horizontal="center" vertical="center"/>
      <protection hidden="1"/>
    </xf>
    <xf numFmtId="0" fontId="0" fillId="2" borderId="0" xfId="0" applyFill="1" applyProtection="1">
      <protection hidden="1"/>
    </xf>
    <xf numFmtId="0" fontId="23" fillId="3" borderId="23" xfId="0" applyFont="1" applyFill="1" applyBorder="1" applyAlignment="1" applyProtection="1">
      <alignment horizontal="center" vertical="center"/>
      <protection hidden="1"/>
    </xf>
    <xf numFmtId="0" fontId="23" fillId="5" borderId="13" xfId="0" applyFont="1" applyFill="1" applyBorder="1" applyAlignment="1" applyProtection="1">
      <alignment horizontal="center" vertical="center" shrinkToFit="1"/>
      <protection hidden="1"/>
    </xf>
    <xf numFmtId="0" fontId="23" fillId="3" borderId="30" xfId="0" applyFont="1" applyFill="1" applyBorder="1" applyAlignment="1" applyProtection="1">
      <alignment horizontal="center" vertical="center" shrinkToFit="1"/>
      <protection hidden="1"/>
    </xf>
    <xf numFmtId="0" fontId="23" fillId="3" borderId="13" xfId="0" applyFont="1" applyFill="1" applyBorder="1" applyAlignment="1" applyProtection="1">
      <alignment horizontal="center" vertical="center"/>
      <protection hidden="1"/>
    </xf>
    <xf numFmtId="0" fontId="10" fillId="2" borderId="0" xfId="0" applyFont="1" applyFill="1" applyAlignment="1" applyProtection="1">
      <alignment horizontal="center" vertical="center" wrapText="1"/>
      <protection hidden="1"/>
    </xf>
    <xf numFmtId="0" fontId="37" fillId="3" borderId="116" xfId="0" applyFont="1" applyFill="1" applyBorder="1" applyAlignment="1" applyProtection="1">
      <alignment horizontal="center" vertical="center"/>
      <protection hidden="1"/>
    </xf>
    <xf numFmtId="0" fontId="37" fillId="3" borderId="117" xfId="0" applyFont="1" applyFill="1" applyBorder="1" applyAlignment="1" applyProtection="1">
      <alignment horizontal="center" vertical="center"/>
      <protection hidden="1"/>
    </xf>
    <xf numFmtId="0" fontId="20" fillId="5" borderId="13" xfId="0" applyFont="1" applyFill="1" applyBorder="1" applyAlignment="1" applyProtection="1">
      <alignment horizontal="center" vertical="center" wrapText="1"/>
      <protection hidden="1"/>
    </xf>
    <xf numFmtId="0" fontId="37" fillId="3" borderId="4" xfId="0" applyFont="1" applyFill="1" applyBorder="1" applyAlignment="1" applyProtection="1">
      <alignment horizontal="center" vertical="center" wrapText="1"/>
      <protection hidden="1"/>
    </xf>
    <xf numFmtId="0" fontId="37" fillId="3" borderId="2" xfId="0" applyFont="1" applyFill="1" applyBorder="1" applyAlignment="1" applyProtection="1">
      <alignment horizontal="center" vertical="center" wrapText="1"/>
      <protection hidden="1"/>
    </xf>
    <xf numFmtId="0" fontId="100" fillId="5" borderId="46" xfId="1" applyFont="1" applyFill="1" applyBorder="1" applyAlignment="1" applyProtection="1">
      <alignment horizontal="center" vertical="center" wrapText="1"/>
      <protection hidden="1"/>
    </xf>
    <xf numFmtId="0" fontId="25" fillId="2" borderId="109" xfId="1" applyFont="1" applyFill="1" applyBorder="1" applyAlignment="1" applyProtection="1">
      <alignment horizontal="center" vertical="center" wrapText="1"/>
      <protection hidden="1"/>
    </xf>
    <xf numFmtId="0" fontId="10" fillId="23" borderId="2" xfId="0" applyFont="1" applyFill="1" applyBorder="1" applyAlignment="1" applyProtection="1">
      <alignment horizontal="center" vertical="center" wrapText="1"/>
      <protection hidden="1"/>
    </xf>
    <xf numFmtId="0" fontId="10" fillId="23" borderId="35" xfId="0" applyFont="1" applyFill="1" applyBorder="1" applyAlignment="1" applyProtection="1">
      <alignment horizontal="center" vertical="center" wrapText="1"/>
      <protection hidden="1"/>
    </xf>
    <xf numFmtId="0" fontId="16" fillId="3" borderId="119" xfId="0" applyFont="1" applyFill="1" applyBorder="1" applyAlignment="1" applyProtection="1">
      <alignment horizontal="center" vertical="center" wrapText="1"/>
      <protection hidden="1"/>
    </xf>
    <xf numFmtId="0" fontId="16" fillId="3" borderId="120" xfId="0" applyFont="1" applyFill="1" applyBorder="1" applyAlignment="1" applyProtection="1">
      <alignment horizontal="center" vertical="center" wrapText="1"/>
      <protection hidden="1"/>
    </xf>
    <xf numFmtId="0" fontId="37" fillId="3" borderId="113" xfId="0" applyFont="1" applyFill="1" applyBorder="1" applyAlignment="1" applyProtection="1">
      <alignment horizontal="center" vertical="center"/>
      <protection hidden="1"/>
    </xf>
    <xf numFmtId="0" fontId="10" fillId="3" borderId="31" xfId="0" applyFont="1" applyFill="1" applyBorder="1" applyAlignment="1" applyProtection="1">
      <alignment horizontal="center" vertical="center" wrapText="1"/>
      <protection hidden="1"/>
    </xf>
    <xf numFmtId="0" fontId="10" fillId="3" borderId="48" xfId="0" applyFont="1" applyFill="1" applyBorder="1" applyAlignment="1" applyProtection="1">
      <alignment horizontal="center" vertical="center" wrapText="1"/>
      <protection hidden="1"/>
    </xf>
    <xf numFmtId="0" fontId="10" fillId="3" borderId="109" xfId="0" applyFont="1" applyFill="1" applyBorder="1" applyAlignment="1" applyProtection="1">
      <alignment horizontal="center" vertical="center" wrapText="1"/>
      <protection hidden="1"/>
    </xf>
    <xf numFmtId="0" fontId="10" fillId="3" borderId="6" xfId="0" applyFont="1" applyFill="1" applyBorder="1" applyAlignment="1" applyProtection="1">
      <alignment horizontal="center" vertical="center" wrapText="1"/>
      <protection hidden="1"/>
    </xf>
    <xf numFmtId="0" fontId="10" fillId="3" borderId="5" xfId="0" applyFont="1" applyFill="1" applyBorder="1" applyAlignment="1" applyProtection="1">
      <alignment horizontal="center" vertical="center" wrapText="1"/>
      <protection hidden="1"/>
    </xf>
    <xf numFmtId="0" fontId="15" fillId="3" borderId="7" xfId="0" applyFont="1" applyFill="1" applyBorder="1" applyAlignment="1" applyProtection="1">
      <alignment horizontal="center" vertical="center" wrapText="1"/>
      <protection hidden="1"/>
    </xf>
    <xf numFmtId="0" fontId="15" fillId="3" borderId="5" xfId="0" applyFont="1" applyFill="1" applyBorder="1" applyAlignment="1" applyProtection="1">
      <alignment horizontal="center" vertical="center" wrapText="1"/>
      <protection hidden="1"/>
    </xf>
    <xf numFmtId="0" fontId="28" fillId="3" borderId="15" xfId="0" applyFont="1" applyFill="1" applyBorder="1" applyAlignment="1" applyProtection="1">
      <alignment horizontal="center" vertical="center" wrapText="1"/>
      <protection hidden="1"/>
    </xf>
    <xf numFmtId="0" fontId="0" fillId="0" borderId="5" xfId="0" applyBorder="1" applyProtection="1">
      <protection hidden="1"/>
    </xf>
    <xf numFmtId="0" fontId="0" fillId="0" borderId="6" xfId="0" applyBorder="1" applyProtection="1">
      <protection hidden="1"/>
    </xf>
    <xf numFmtId="0" fontId="25" fillId="14" borderId="42" xfId="1" applyFont="1" applyFill="1" applyBorder="1" applyAlignment="1" applyProtection="1">
      <alignment horizontal="center" vertical="center" wrapText="1"/>
      <protection hidden="1"/>
    </xf>
    <xf numFmtId="0" fontId="41" fillId="5" borderId="46" xfId="1" applyFont="1" applyFill="1" applyBorder="1" applyAlignment="1" applyProtection="1">
      <alignment horizontal="center" vertical="center" wrapText="1"/>
      <protection hidden="1"/>
    </xf>
    <xf numFmtId="0" fontId="10" fillId="18" borderId="23" xfId="0" applyFont="1" applyFill="1" applyBorder="1" applyAlignment="1" applyProtection="1">
      <alignment horizontal="center" vertical="center"/>
      <protection hidden="1"/>
    </xf>
    <xf numFmtId="0" fontId="16" fillId="3" borderId="11" xfId="0" applyFont="1" applyFill="1" applyBorder="1" applyAlignment="1" applyProtection="1">
      <alignment horizontal="center" wrapText="1"/>
      <protection hidden="1"/>
    </xf>
    <xf numFmtId="0" fontId="20" fillId="3" borderId="49" xfId="0" applyFont="1" applyFill="1" applyBorder="1" applyAlignment="1" applyProtection="1">
      <alignment horizontal="center" wrapText="1"/>
      <protection hidden="1"/>
    </xf>
    <xf numFmtId="0" fontId="37" fillId="3" borderId="18" xfId="0" applyFont="1" applyFill="1" applyBorder="1" applyAlignment="1" applyProtection="1">
      <alignment horizontal="center" vertical="center"/>
      <protection hidden="1"/>
    </xf>
    <xf numFmtId="0" fontId="0" fillId="0" borderId="19" xfId="0" applyBorder="1" applyProtection="1">
      <protection hidden="1"/>
    </xf>
    <xf numFmtId="0" fontId="10" fillId="3" borderId="19" xfId="0" applyFont="1" applyFill="1" applyBorder="1" applyAlignment="1" applyProtection="1">
      <alignment horizontal="center" vertical="center" wrapText="1"/>
      <protection hidden="1"/>
    </xf>
    <xf numFmtId="0" fontId="10" fillId="23" borderId="0" xfId="0" applyFont="1" applyFill="1" applyAlignment="1" applyProtection="1">
      <alignment horizontal="center" vertical="center" wrapText="1"/>
      <protection hidden="1"/>
    </xf>
    <xf numFmtId="0" fontId="32" fillId="3" borderId="18" xfId="0" applyFont="1" applyFill="1" applyBorder="1" applyAlignment="1" applyProtection="1">
      <alignment horizontal="center" vertical="center" wrapText="1"/>
      <protection hidden="1"/>
    </xf>
    <xf numFmtId="0" fontId="32" fillId="3" borderId="19" xfId="0" applyFont="1" applyFill="1" applyBorder="1" applyAlignment="1" applyProtection="1">
      <alignment horizontal="center" vertical="center" wrapText="1"/>
      <protection hidden="1"/>
    </xf>
    <xf numFmtId="0" fontId="20" fillId="3" borderId="19" xfId="0" applyFont="1" applyFill="1" applyBorder="1" applyAlignment="1" applyProtection="1">
      <alignment horizontal="center" vertical="center" wrapText="1"/>
      <protection hidden="1"/>
    </xf>
    <xf numFmtId="0" fontId="1" fillId="0" borderId="11" xfId="0" applyFont="1" applyBorder="1" applyAlignment="1" applyProtection="1">
      <alignment horizontal="center" vertical="center" wrapText="1"/>
      <protection hidden="1"/>
    </xf>
    <xf numFmtId="0" fontId="1" fillId="0" borderId="109" xfId="0" applyFont="1" applyBorder="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0" fontId="8" fillId="0" borderId="114" xfId="0" applyFont="1" applyBorder="1" applyAlignment="1" applyProtection="1">
      <alignment horizontal="center" vertical="center"/>
      <protection hidden="1"/>
    </xf>
    <xf numFmtId="0" fontId="10" fillId="3" borderId="55" xfId="0" applyFont="1" applyFill="1" applyBorder="1" applyAlignment="1" applyProtection="1">
      <alignment horizontal="center" vertical="center" wrapText="1"/>
      <protection hidden="1"/>
    </xf>
    <xf numFmtId="0" fontId="81" fillId="3" borderId="114" xfId="0" applyFont="1" applyFill="1" applyBorder="1" applyAlignment="1" applyProtection="1">
      <alignment horizontal="center" vertical="center" wrapText="1"/>
      <protection hidden="1"/>
    </xf>
    <xf numFmtId="0" fontId="81" fillId="3" borderId="11" xfId="0" applyFont="1" applyFill="1" applyBorder="1" applyAlignment="1" applyProtection="1">
      <alignment horizontal="center" vertical="center" wrapText="1"/>
      <protection hidden="1"/>
    </xf>
    <xf numFmtId="0" fontId="106" fillId="0" borderId="11" xfId="0" applyFont="1" applyBorder="1" applyProtection="1">
      <protection hidden="1"/>
    </xf>
    <xf numFmtId="0" fontId="107" fillId="3" borderId="55" xfId="0" applyFont="1" applyFill="1" applyBorder="1" applyAlignment="1" applyProtection="1">
      <alignment horizontal="center" vertical="center" wrapText="1"/>
      <protection hidden="1"/>
    </xf>
    <xf numFmtId="0" fontId="16" fillId="3" borderId="0" xfId="0" applyFont="1" applyFill="1" applyAlignment="1" applyProtection="1">
      <alignment horizontal="center" vertical="center" wrapText="1"/>
      <protection hidden="1"/>
    </xf>
    <xf numFmtId="0" fontId="10" fillId="3" borderId="9" xfId="0" applyFont="1" applyFill="1" applyBorder="1" applyAlignment="1" applyProtection="1">
      <alignment horizontal="center" vertical="center" wrapText="1"/>
      <protection hidden="1"/>
    </xf>
    <xf numFmtId="0" fontId="25" fillId="14" borderId="34" xfId="1" applyFont="1" applyFill="1" applyBorder="1" applyAlignment="1" applyProtection="1">
      <alignment horizontal="center" vertical="center" wrapText="1"/>
      <protection hidden="1"/>
    </xf>
    <xf numFmtId="0" fontId="41" fillId="5" borderId="0" xfId="1" applyFont="1" applyFill="1" applyBorder="1" applyAlignment="1" applyProtection="1">
      <alignment horizontal="center" vertical="center" wrapText="1"/>
      <protection hidden="1"/>
    </xf>
    <xf numFmtId="0" fontId="10" fillId="18" borderId="56" xfId="0" applyFont="1" applyFill="1" applyBorder="1" applyAlignment="1" applyProtection="1">
      <alignment horizontal="center" vertical="center"/>
      <protection hidden="1"/>
    </xf>
    <xf numFmtId="0" fontId="37" fillId="3" borderId="123" xfId="0" applyFont="1" applyFill="1" applyBorder="1" applyAlignment="1" applyProtection="1">
      <alignment horizontal="center" vertical="center"/>
      <protection hidden="1"/>
    </xf>
    <xf numFmtId="0" fontId="16" fillId="3" borderId="4" xfId="0" applyFont="1" applyFill="1" applyBorder="1" applyAlignment="1" applyProtection="1">
      <alignment horizontal="center" vertical="center" wrapText="1"/>
      <protection hidden="1"/>
    </xf>
    <xf numFmtId="0" fontId="16" fillId="3" borderId="2" xfId="0" applyFont="1" applyFill="1" applyBorder="1" applyAlignment="1" applyProtection="1">
      <alignment horizontal="center" vertical="center" wrapText="1"/>
      <protection hidden="1"/>
    </xf>
    <xf numFmtId="0" fontId="96" fillId="3" borderId="20" xfId="0" applyFont="1" applyFill="1" applyBorder="1" applyAlignment="1" applyProtection="1">
      <alignment horizontal="center" vertical="center"/>
      <protection hidden="1"/>
    </xf>
    <xf numFmtId="0" fontId="96" fillId="3" borderId="124" xfId="0" applyFont="1" applyFill="1" applyBorder="1" applyAlignment="1" applyProtection="1">
      <alignment horizontal="center" vertical="center"/>
      <protection hidden="1"/>
    </xf>
    <xf numFmtId="0" fontId="96" fillId="3" borderId="125" xfId="0" applyFont="1" applyFill="1" applyBorder="1" applyAlignment="1" applyProtection="1">
      <alignment horizontal="center" vertical="center"/>
      <protection hidden="1"/>
    </xf>
    <xf numFmtId="0" fontId="10" fillId="10" borderId="31" xfId="0" applyFont="1" applyFill="1" applyBorder="1" applyAlignment="1" applyProtection="1">
      <alignment horizontal="center" vertical="center" wrapText="1"/>
      <protection hidden="1"/>
    </xf>
    <xf numFmtId="0" fontId="10" fillId="6" borderId="31" xfId="0" applyFont="1" applyFill="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0" fontId="107" fillId="3" borderId="11" xfId="0" applyFont="1" applyFill="1" applyBorder="1" applyAlignment="1" applyProtection="1">
      <alignment horizontal="center" vertical="center" wrapText="1"/>
      <protection hidden="1"/>
    </xf>
    <xf numFmtId="0" fontId="20" fillId="25" borderId="126" xfId="0" applyFont="1" applyFill="1" applyBorder="1" applyAlignment="1" applyProtection="1">
      <alignment horizontal="center" vertical="center" shrinkToFit="1"/>
      <protection hidden="1"/>
    </xf>
    <xf numFmtId="0" fontId="8" fillId="3" borderId="127" xfId="0" applyFont="1" applyFill="1" applyBorder="1" applyAlignment="1" applyProtection="1">
      <alignment horizontal="left" vertical="center" shrinkToFit="1"/>
      <protection hidden="1"/>
    </xf>
    <xf numFmtId="0" fontId="80" fillId="29" borderId="126" xfId="0" applyFont="1" applyFill="1" applyBorder="1" applyAlignment="1" applyProtection="1">
      <alignment horizontal="center" vertical="center"/>
      <protection locked="0"/>
    </xf>
    <xf numFmtId="0" fontId="80" fillId="29" borderId="128" xfId="0" applyFont="1" applyFill="1" applyBorder="1" applyAlignment="1" applyProtection="1">
      <alignment horizontal="center" vertical="center" shrinkToFit="1"/>
      <protection locked="0"/>
    </xf>
    <xf numFmtId="0" fontId="20" fillId="0" borderId="114" xfId="0" applyFont="1" applyBorder="1" applyAlignment="1" applyProtection="1">
      <alignment horizontal="left" vertical="center" shrinkToFit="1"/>
      <protection hidden="1"/>
    </xf>
    <xf numFmtId="0" fontId="23" fillId="0" borderId="11" xfId="0" applyFont="1" applyBorder="1" applyAlignment="1" applyProtection="1">
      <alignment horizontal="center" vertical="center"/>
      <protection hidden="1"/>
    </xf>
    <xf numFmtId="166" fontId="23" fillId="0" borderId="11" xfId="0" applyNumberFormat="1" applyFont="1" applyBorder="1" applyAlignment="1" applyProtection="1">
      <alignment horizontal="center" vertical="center"/>
      <protection hidden="1"/>
    </xf>
    <xf numFmtId="0" fontId="23" fillId="0" borderId="11" xfId="0" applyFont="1" applyBorder="1" applyAlignment="1" applyProtection="1">
      <alignment horizontal="center" vertical="center"/>
      <protection locked="0"/>
    </xf>
    <xf numFmtId="0" fontId="23" fillId="0" borderId="113" xfId="0" applyFont="1" applyBorder="1" applyAlignment="1" applyProtection="1">
      <alignment horizontal="center" vertical="center"/>
      <protection hidden="1"/>
    </xf>
    <xf numFmtId="0" fontId="23" fillId="0" borderId="37" xfId="0" applyFont="1" applyBorder="1" applyAlignment="1" applyProtection="1">
      <alignment horizontal="center" vertical="center"/>
      <protection hidden="1"/>
    </xf>
    <xf numFmtId="0" fontId="23" fillId="0" borderId="27"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31" xfId="0" applyFont="1" applyBorder="1" applyAlignment="1" applyProtection="1">
      <alignment horizontal="center" vertical="center"/>
      <protection locked="0"/>
    </xf>
    <xf numFmtId="0" fontId="1" fillId="10" borderId="31" xfId="0" applyFont="1" applyFill="1" applyBorder="1" applyAlignment="1" applyProtection="1">
      <alignment horizontal="center" vertical="center"/>
      <protection locked="0"/>
    </xf>
    <xf numFmtId="166" fontId="1" fillId="10" borderId="31" xfId="0" applyNumberFormat="1" applyFont="1" applyFill="1" applyBorder="1" applyAlignment="1" applyProtection="1">
      <alignment horizontal="center" vertical="center"/>
      <protection locked="0"/>
    </xf>
    <xf numFmtId="0" fontId="26" fillId="2" borderId="109" xfId="1" applyFill="1" applyBorder="1" applyAlignment="1" applyProtection="1">
      <alignment horizontal="center" vertical="center" wrapText="1"/>
      <protection hidden="1"/>
    </xf>
    <xf numFmtId="0" fontId="20" fillId="18" borderId="114" xfId="0" applyFont="1" applyFill="1" applyBorder="1" applyAlignment="1" applyProtection="1">
      <alignment horizontal="center" vertical="center" shrinkToFit="1"/>
      <protection hidden="1"/>
    </xf>
    <xf numFmtId="0" fontId="80" fillId="3" borderId="19" xfId="0" applyFont="1" applyFill="1" applyBorder="1" applyAlignment="1" applyProtection="1">
      <alignment horizontal="center" vertical="center"/>
      <protection hidden="1"/>
    </xf>
    <xf numFmtId="0" fontId="23" fillId="0" borderId="11" xfId="0" applyFont="1" applyBorder="1" applyAlignment="1" applyProtection="1">
      <alignment horizontal="center" vertical="center" shrinkToFit="1"/>
      <protection hidden="1"/>
    </xf>
    <xf numFmtId="0" fontId="20" fillId="3" borderId="19" xfId="0" applyFont="1" applyFill="1" applyBorder="1" applyAlignment="1" applyProtection="1">
      <alignment horizontal="left" vertical="center" shrinkToFit="1"/>
      <protection hidden="1"/>
    </xf>
    <xf numFmtId="166" fontId="80" fillId="3" borderId="19" xfId="0" applyNumberFormat="1" applyFont="1" applyFill="1" applyBorder="1" applyAlignment="1" applyProtection="1">
      <alignment horizontal="center" vertical="center"/>
      <protection hidden="1"/>
    </xf>
    <xf numFmtId="0" fontId="20" fillId="3" borderId="122" xfId="0" applyFont="1" applyFill="1" applyBorder="1" applyAlignment="1" applyProtection="1">
      <alignment horizontal="center" vertical="center" shrinkToFit="1"/>
      <protection hidden="1"/>
    </xf>
    <xf numFmtId="0" fontId="80" fillId="3" borderId="18" xfId="0" applyFont="1" applyFill="1" applyBorder="1" applyAlignment="1" applyProtection="1">
      <alignment horizontal="center" vertical="center"/>
      <protection hidden="1"/>
    </xf>
    <xf numFmtId="0" fontId="69" fillId="3" borderId="18" xfId="0" applyFont="1" applyFill="1" applyBorder="1" applyAlignment="1" applyProtection="1">
      <alignment vertical="center" shrinkToFit="1"/>
      <protection hidden="1"/>
    </xf>
    <xf numFmtId="0" fontId="80" fillId="30" borderId="19" xfId="0" applyFont="1" applyFill="1" applyBorder="1" applyAlignment="1" applyProtection="1">
      <alignment horizontal="center" vertical="center"/>
      <protection hidden="1"/>
    </xf>
    <xf numFmtId="0" fontId="80" fillId="6" borderId="19" xfId="0" applyFont="1" applyFill="1" applyBorder="1" applyAlignment="1" applyProtection="1">
      <alignment horizontal="center" vertical="center"/>
      <protection hidden="1"/>
    </xf>
    <xf numFmtId="0" fontId="80" fillId="31" borderId="19" xfId="0" applyFont="1" applyFill="1" applyBorder="1" applyAlignment="1" applyProtection="1">
      <alignment horizontal="center" vertical="center"/>
      <protection hidden="1"/>
    </xf>
    <xf numFmtId="0" fontId="0" fillId="4" borderId="19" xfId="0" applyFill="1" applyBorder="1" applyAlignment="1" applyProtection="1">
      <alignment horizontal="center" vertical="center"/>
      <protection hidden="1"/>
    </xf>
    <xf numFmtId="166" fontId="0" fillId="11" borderId="19" xfId="0" applyNumberFormat="1" applyFill="1" applyBorder="1" applyAlignment="1" applyProtection="1">
      <alignment horizontal="center" vertical="center"/>
      <protection hidden="1"/>
    </xf>
    <xf numFmtId="0" fontId="0" fillId="11" borderId="19" xfId="0" applyFill="1" applyBorder="1" applyAlignment="1" applyProtection="1">
      <alignment horizontal="center" vertical="center"/>
      <protection hidden="1"/>
    </xf>
    <xf numFmtId="0" fontId="1" fillId="4" borderId="19" xfId="0" applyFont="1" applyFill="1" applyBorder="1" applyAlignment="1" applyProtection="1">
      <alignment horizontal="center" vertical="center"/>
      <protection hidden="1"/>
    </xf>
    <xf numFmtId="0" fontId="51" fillId="3" borderId="20" xfId="0" applyFont="1" applyFill="1" applyBorder="1" applyAlignment="1" applyProtection="1">
      <alignment horizontal="center" vertical="center"/>
      <protection hidden="1"/>
    </xf>
    <xf numFmtId="0" fontId="1" fillId="22" borderId="18" xfId="0" applyFont="1" applyFill="1" applyBorder="1" applyAlignment="1" applyProtection="1">
      <alignment horizontal="center" vertical="center" shrinkToFit="1"/>
      <protection hidden="1"/>
    </xf>
    <xf numFmtId="0" fontId="1" fillId="3" borderId="19" xfId="0" applyFont="1" applyFill="1" applyBorder="1" applyAlignment="1" applyProtection="1">
      <alignment horizontal="center" vertical="center" shrinkToFit="1"/>
      <protection hidden="1"/>
    </xf>
    <xf numFmtId="0" fontId="1" fillId="2" borderId="19" xfId="0" applyFont="1" applyFill="1" applyBorder="1" applyAlignment="1" applyProtection="1">
      <alignment horizontal="center" vertical="center" shrinkToFit="1"/>
      <protection hidden="1"/>
    </xf>
    <xf numFmtId="0" fontId="1" fillId="32" borderId="19" xfId="0" applyFont="1" applyFill="1" applyBorder="1" applyAlignment="1" applyProtection="1">
      <alignment horizontal="center" vertical="center" shrinkToFit="1"/>
      <protection hidden="1"/>
    </xf>
    <xf numFmtId="0" fontId="1" fillId="3" borderId="122" xfId="0" applyFont="1" applyFill="1" applyBorder="1" applyAlignment="1" applyProtection="1">
      <alignment horizontal="center" vertical="center" shrinkToFit="1"/>
      <protection hidden="1"/>
    </xf>
    <xf numFmtId="0" fontId="1" fillId="4" borderId="0" xfId="0" applyFont="1" applyFill="1" applyAlignment="1" applyProtection="1">
      <alignment horizontal="center" vertical="center" shrinkToFit="1"/>
      <protection hidden="1"/>
    </xf>
    <xf numFmtId="0" fontId="1" fillId="3" borderId="0" xfId="0" applyFont="1" applyFill="1" applyAlignment="1" applyProtection="1">
      <alignment horizontal="center" vertical="center" shrinkToFit="1"/>
      <protection hidden="1"/>
    </xf>
    <xf numFmtId="0" fontId="1" fillId="18" borderId="0" xfId="0" applyFont="1" applyFill="1" applyAlignment="1" applyProtection="1">
      <alignment horizontal="center" vertical="center" shrinkToFit="1"/>
      <protection hidden="1"/>
    </xf>
    <xf numFmtId="0" fontId="1" fillId="33" borderId="0" xfId="0" applyFont="1" applyFill="1" applyAlignment="1" applyProtection="1">
      <alignment horizontal="center" vertical="center" shrinkToFit="1"/>
      <protection hidden="1"/>
    </xf>
    <xf numFmtId="0" fontId="1" fillId="34" borderId="0" xfId="0" applyFont="1" applyFill="1" applyAlignment="1" applyProtection="1">
      <alignment horizontal="center" vertical="center" shrinkToFit="1"/>
      <protection hidden="1"/>
    </xf>
    <xf numFmtId="0" fontId="1" fillId="30" borderId="0" xfId="0" applyFont="1" applyFill="1" applyAlignment="1" applyProtection="1">
      <alignment horizontal="center" vertical="center" shrinkToFit="1"/>
      <protection hidden="1"/>
    </xf>
    <xf numFmtId="0" fontId="1" fillId="26" borderId="0" xfId="0" applyFont="1" applyFill="1" applyAlignment="1" applyProtection="1">
      <alignment horizontal="center" vertical="center" shrinkToFit="1"/>
      <protection hidden="1"/>
    </xf>
    <xf numFmtId="0" fontId="1" fillId="35" borderId="0" xfId="0" applyFont="1" applyFill="1" applyAlignment="1" applyProtection="1">
      <alignment horizontal="center" vertical="center" shrinkToFit="1"/>
      <protection hidden="1"/>
    </xf>
    <xf numFmtId="0" fontId="80" fillId="6" borderId="18" xfId="0" applyFont="1" applyFill="1" applyBorder="1" applyAlignment="1" applyProtection="1">
      <alignment horizontal="center" vertical="center"/>
      <protection hidden="1"/>
    </xf>
    <xf numFmtId="0" fontId="80" fillId="31" borderId="19" xfId="0" applyFont="1" applyFill="1" applyBorder="1" applyAlignment="1" applyProtection="1">
      <alignment horizontal="center" vertical="center" shrinkToFit="1"/>
      <protection hidden="1"/>
    </xf>
    <xf numFmtId="166" fontId="23" fillId="0" borderId="55" xfId="0" applyNumberFormat="1" applyFont="1" applyBorder="1" applyAlignment="1" applyProtection="1">
      <alignment horizontal="center" vertical="center"/>
      <protection hidden="1"/>
    </xf>
    <xf numFmtId="0" fontId="108" fillId="0" borderId="114" xfId="0" applyFont="1" applyBorder="1" applyAlignment="1" applyProtection="1">
      <alignment horizontal="center" vertical="center"/>
      <protection hidden="1"/>
    </xf>
    <xf numFmtId="0" fontId="108" fillId="0" borderId="11" xfId="0" applyFont="1" applyBorder="1" applyAlignment="1" applyProtection="1">
      <alignment horizontal="center" vertical="center"/>
      <protection hidden="1"/>
    </xf>
    <xf numFmtId="166" fontId="108" fillId="0" borderId="11" xfId="0" applyNumberFormat="1" applyFont="1" applyBorder="1" applyAlignment="1" applyProtection="1">
      <alignment horizontal="center" vertical="center"/>
      <protection hidden="1"/>
    </xf>
    <xf numFmtId="0" fontId="99" fillId="10" borderId="11" xfId="0" applyFont="1" applyFill="1" applyBorder="1" applyAlignment="1" applyProtection="1">
      <alignment horizontal="center" vertical="center"/>
      <protection hidden="1"/>
    </xf>
    <xf numFmtId="166" fontId="99" fillId="10" borderId="11" xfId="0" applyNumberFormat="1" applyFont="1" applyFill="1" applyBorder="1" applyAlignment="1" applyProtection="1">
      <alignment horizontal="center" vertical="center"/>
      <protection hidden="1"/>
    </xf>
    <xf numFmtId="0" fontId="20" fillId="25" borderId="129" xfId="0" applyFont="1" applyFill="1" applyBorder="1" applyAlignment="1" applyProtection="1">
      <alignment horizontal="center" vertical="center"/>
      <protection hidden="1"/>
    </xf>
    <xf numFmtId="0" fontId="80" fillId="29" borderId="129" xfId="0" applyFont="1" applyFill="1" applyBorder="1" applyAlignment="1" applyProtection="1">
      <alignment horizontal="center" vertical="center"/>
      <protection locked="0"/>
    </xf>
    <xf numFmtId="0" fontId="80" fillId="29" borderId="49" xfId="0" applyFont="1" applyFill="1" applyBorder="1" applyAlignment="1" applyProtection="1">
      <alignment horizontal="center" vertical="center" shrinkToFit="1"/>
      <protection locked="0"/>
    </xf>
    <xf numFmtId="0" fontId="23" fillId="0" borderId="114" xfId="0" applyFont="1" applyBorder="1" applyAlignment="1" applyProtection="1">
      <alignment horizontal="center" vertical="center"/>
      <protection hidden="1"/>
    </xf>
    <xf numFmtId="0" fontId="23" fillId="0" borderId="130" xfId="0" applyFont="1" applyBorder="1" applyAlignment="1" applyProtection="1">
      <alignment horizontal="center" vertical="center"/>
      <protection hidden="1"/>
    </xf>
    <xf numFmtId="0" fontId="23" fillId="0" borderId="75" xfId="0" applyFont="1" applyBorder="1" applyAlignment="1" applyProtection="1">
      <alignment horizontal="center" vertical="center"/>
      <protection locked="0"/>
    </xf>
    <xf numFmtId="0" fontId="23" fillId="0" borderId="81" xfId="0" applyFont="1" applyBorder="1" applyAlignment="1" applyProtection="1">
      <alignment horizontal="center" vertical="center"/>
      <protection locked="0"/>
    </xf>
    <xf numFmtId="0" fontId="23" fillId="0" borderId="74"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1" fillId="10" borderId="11" xfId="0" applyFont="1" applyFill="1" applyBorder="1" applyAlignment="1" applyProtection="1">
      <alignment horizontal="center" vertical="center"/>
      <protection locked="0"/>
    </xf>
    <xf numFmtId="166" fontId="1" fillId="10" borderId="11" xfId="0" applyNumberFormat="1" applyFont="1" applyFill="1" applyBorder="1" applyAlignment="1" applyProtection="1">
      <alignment horizontal="center" vertical="center"/>
      <protection locked="0"/>
    </xf>
    <xf numFmtId="0" fontId="1" fillId="10" borderId="19" xfId="0" applyFont="1" applyFill="1" applyBorder="1" applyAlignment="1" applyProtection="1">
      <alignment horizontal="center" vertical="center"/>
      <protection locked="0"/>
    </xf>
    <xf numFmtId="0" fontId="20" fillId="18" borderId="114" xfId="0" applyFont="1" applyFill="1" applyBorder="1" applyAlignment="1" applyProtection="1">
      <alignment horizontal="center" vertical="center"/>
      <protection hidden="1"/>
    </xf>
    <xf numFmtId="0" fontId="80" fillId="3" borderId="11" xfId="0" applyFont="1" applyFill="1" applyBorder="1" applyAlignment="1" applyProtection="1">
      <alignment horizontal="center" vertical="center"/>
      <protection hidden="1"/>
    </xf>
    <xf numFmtId="0" fontId="20" fillId="3" borderId="11" xfId="0" applyFont="1" applyFill="1" applyBorder="1" applyAlignment="1" applyProtection="1">
      <alignment horizontal="left" vertical="center" shrinkToFit="1"/>
      <protection hidden="1"/>
    </xf>
    <xf numFmtId="166" fontId="80" fillId="3" borderId="11" xfId="0" applyNumberFormat="1" applyFont="1" applyFill="1" applyBorder="1" applyAlignment="1" applyProtection="1">
      <alignment horizontal="center" vertical="center"/>
      <protection hidden="1"/>
    </xf>
    <xf numFmtId="0" fontId="20" fillId="3" borderId="11" xfId="0" applyFont="1" applyFill="1" applyBorder="1" applyAlignment="1" applyProtection="1">
      <alignment horizontal="center" vertical="center" shrinkToFit="1"/>
      <protection hidden="1"/>
    </xf>
    <xf numFmtId="0" fontId="20" fillId="3" borderId="55" xfId="0" applyFont="1" applyFill="1" applyBorder="1" applyAlignment="1" applyProtection="1">
      <alignment horizontal="center" vertical="center" shrinkToFit="1"/>
      <protection hidden="1"/>
    </xf>
    <xf numFmtId="0" fontId="80" fillId="3" borderId="114" xfId="0" applyFont="1" applyFill="1" applyBorder="1" applyAlignment="1" applyProtection="1">
      <alignment horizontal="center" vertical="center"/>
      <protection hidden="1"/>
    </xf>
    <xf numFmtId="0" fontId="69" fillId="3" borderId="114" xfId="0" applyFont="1" applyFill="1" applyBorder="1" applyAlignment="1" applyProtection="1">
      <alignment vertical="center" shrinkToFit="1"/>
      <protection hidden="1"/>
    </xf>
    <xf numFmtId="0" fontId="80" fillId="30" borderId="31" xfId="0" applyFont="1" applyFill="1" applyBorder="1" applyAlignment="1" applyProtection="1">
      <alignment horizontal="center" vertical="center"/>
      <protection hidden="1"/>
    </xf>
    <xf numFmtId="0" fontId="80" fillId="6" borderId="11" xfId="0" applyFont="1" applyFill="1" applyBorder="1" applyAlignment="1" applyProtection="1">
      <alignment horizontal="center" vertical="center"/>
      <protection hidden="1"/>
    </xf>
    <xf numFmtId="0" fontId="80" fillId="31" borderId="11" xfId="0" applyFont="1" applyFill="1" applyBorder="1" applyAlignment="1" applyProtection="1">
      <alignment horizontal="center" vertical="center"/>
      <protection hidden="1"/>
    </xf>
    <xf numFmtId="0" fontId="0" fillId="4" borderId="31" xfId="0" applyFill="1" applyBorder="1" applyAlignment="1" applyProtection="1">
      <alignment horizontal="center" vertical="center"/>
      <protection hidden="1"/>
    </xf>
    <xf numFmtId="166" fontId="0" fillId="11" borderId="31" xfId="0" applyNumberFormat="1" applyFill="1" applyBorder="1" applyAlignment="1" applyProtection="1">
      <alignment horizontal="center" vertical="center"/>
      <protection hidden="1"/>
    </xf>
    <xf numFmtId="0" fontId="1" fillId="4" borderId="31" xfId="0" applyFont="1" applyFill="1" applyBorder="1" applyAlignment="1" applyProtection="1">
      <alignment horizontal="center" vertical="center"/>
      <protection hidden="1"/>
    </xf>
    <xf numFmtId="166" fontId="0" fillId="11" borderId="11" xfId="0" applyNumberFormat="1" applyFill="1" applyBorder="1" applyAlignment="1" applyProtection="1">
      <alignment horizontal="center" vertical="center"/>
      <protection hidden="1"/>
    </xf>
    <xf numFmtId="0" fontId="0" fillId="11" borderId="31" xfId="0" applyFill="1" applyBorder="1" applyAlignment="1" applyProtection="1">
      <alignment horizontal="center" vertical="center"/>
      <protection hidden="1"/>
    </xf>
    <xf numFmtId="0" fontId="1" fillId="22" borderId="114" xfId="0" applyFont="1" applyFill="1" applyBorder="1" applyAlignment="1" applyProtection="1">
      <alignment horizontal="center" vertical="center" shrinkToFit="1"/>
      <protection hidden="1"/>
    </xf>
    <xf numFmtId="0" fontId="1" fillId="3" borderId="11" xfId="0" applyFont="1" applyFill="1" applyBorder="1" applyAlignment="1" applyProtection="1">
      <alignment horizontal="center" vertical="center" shrinkToFit="1"/>
      <protection hidden="1"/>
    </xf>
    <xf numFmtId="0" fontId="1" fillId="2" borderId="11" xfId="0" applyFont="1" applyFill="1" applyBorder="1" applyAlignment="1" applyProtection="1">
      <alignment horizontal="center" vertical="center" shrinkToFit="1"/>
      <protection hidden="1"/>
    </xf>
    <xf numFmtId="0" fontId="1" fillId="32" borderId="11" xfId="0" applyFont="1" applyFill="1" applyBorder="1" applyAlignment="1" applyProtection="1">
      <alignment horizontal="center" vertical="center" shrinkToFit="1"/>
      <protection hidden="1"/>
    </xf>
    <xf numFmtId="0" fontId="1" fillId="3" borderId="55" xfId="0" applyFont="1" applyFill="1" applyBorder="1" applyAlignment="1" applyProtection="1">
      <alignment horizontal="center" vertical="center" shrinkToFit="1"/>
      <protection hidden="1"/>
    </xf>
    <xf numFmtId="0" fontId="80" fillId="6" borderId="114" xfId="0" applyFont="1" applyFill="1" applyBorder="1" applyAlignment="1" applyProtection="1">
      <alignment horizontal="center" vertical="center"/>
      <protection hidden="1"/>
    </xf>
    <xf numFmtId="0" fontId="80" fillId="31" borderId="11" xfId="0" applyFont="1" applyFill="1" applyBorder="1" applyAlignment="1" applyProtection="1">
      <alignment horizontal="center" vertical="center" shrinkToFit="1"/>
      <protection hidden="1"/>
    </xf>
    <xf numFmtId="0" fontId="80" fillId="29" borderId="51" xfId="0" applyFont="1" applyFill="1" applyBorder="1" applyAlignment="1" applyProtection="1">
      <alignment horizontal="center" vertical="center"/>
      <protection locked="0"/>
    </xf>
    <xf numFmtId="0" fontId="0" fillId="2" borderId="109" xfId="0" applyFill="1" applyBorder="1" applyProtection="1">
      <protection hidden="1"/>
    </xf>
    <xf numFmtId="0" fontId="23" fillId="0" borderId="1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1" fillId="5" borderId="36" xfId="0" applyFont="1" applyFill="1" applyBorder="1" applyProtection="1">
      <protection hidden="1"/>
    </xf>
    <xf numFmtId="0" fontId="20" fillId="25" borderId="131" xfId="0" applyFont="1" applyFill="1" applyBorder="1" applyAlignment="1" applyProtection="1">
      <alignment horizontal="center" vertical="center"/>
      <protection hidden="1"/>
    </xf>
    <xf numFmtId="0" fontId="80" fillId="29" borderId="131" xfId="0" applyFont="1" applyFill="1" applyBorder="1" applyAlignment="1" applyProtection="1">
      <alignment horizontal="center" vertical="center"/>
      <protection locked="0"/>
    </xf>
    <xf numFmtId="0" fontId="80" fillId="29" borderId="132" xfId="0" applyFont="1" applyFill="1" applyBorder="1" applyAlignment="1" applyProtection="1">
      <alignment horizontal="center" vertical="center" shrinkToFit="1"/>
      <protection locked="0"/>
    </xf>
    <xf numFmtId="0" fontId="38" fillId="5" borderId="38" xfId="0" applyFont="1" applyFill="1" applyBorder="1" applyAlignment="1" applyProtection="1">
      <alignment horizontal="center" vertical="center"/>
      <protection hidden="1"/>
    </xf>
    <xf numFmtId="0" fontId="20" fillId="0" borderId="133" xfId="0" applyFont="1" applyBorder="1" applyAlignment="1" applyProtection="1">
      <alignment horizontal="left" vertical="center" shrinkToFit="1"/>
      <protection hidden="1"/>
    </xf>
    <xf numFmtId="0" fontId="23" fillId="0" borderId="95" xfId="0" applyFont="1" applyBorder="1" applyAlignment="1" applyProtection="1">
      <alignment horizontal="center" vertical="center"/>
      <protection hidden="1"/>
    </xf>
    <xf numFmtId="166" fontId="23" fillId="0" borderId="95" xfId="0" applyNumberFormat="1" applyFont="1" applyBorder="1" applyAlignment="1" applyProtection="1">
      <alignment horizontal="center" vertical="center"/>
      <protection hidden="1"/>
    </xf>
    <xf numFmtId="0" fontId="23" fillId="0" borderId="95" xfId="0" applyFont="1" applyBorder="1" applyAlignment="1" applyProtection="1">
      <alignment horizontal="center" vertical="center"/>
      <protection locked="0"/>
    </xf>
    <xf numFmtId="0" fontId="20" fillId="5" borderId="38" xfId="0" applyFont="1" applyFill="1" applyBorder="1" applyAlignment="1" applyProtection="1">
      <alignment horizontal="center" vertical="center" wrapText="1"/>
      <protection hidden="1"/>
    </xf>
    <xf numFmtId="0" fontId="23" fillId="0" borderId="133" xfId="0" applyFont="1" applyBorder="1" applyAlignment="1" applyProtection="1">
      <alignment horizontal="center" vertical="center"/>
      <protection hidden="1"/>
    </xf>
    <xf numFmtId="0" fontId="23" fillId="0" borderId="134" xfId="0" applyFont="1" applyBorder="1" applyAlignment="1" applyProtection="1">
      <alignment horizontal="center" vertical="center"/>
      <protection hidden="1"/>
    </xf>
    <xf numFmtId="0" fontId="23" fillId="0" borderId="29" xfId="0" applyFont="1" applyBorder="1" applyAlignment="1" applyProtection="1">
      <alignment horizontal="center" vertical="center"/>
      <protection locked="0"/>
    </xf>
    <xf numFmtId="0" fontId="23" fillId="0" borderId="135" xfId="0" applyFont="1" applyBorder="1" applyAlignment="1" applyProtection="1">
      <alignment horizontal="center" vertical="center"/>
      <protection locked="0"/>
    </xf>
    <xf numFmtId="0" fontId="23" fillId="0" borderId="38"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1" fillId="10" borderId="95" xfId="0" applyFont="1" applyFill="1" applyBorder="1" applyAlignment="1" applyProtection="1">
      <alignment horizontal="center" vertical="center"/>
      <protection locked="0"/>
    </xf>
    <xf numFmtId="166" fontId="1" fillId="10" borderId="95" xfId="0" applyNumberFormat="1" applyFont="1" applyFill="1" applyBorder="1" applyAlignment="1" applyProtection="1">
      <alignment horizontal="center" vertical="center"/>
      <protection locked="0"/>
    </xf>
    <xf numFmtId="0" fontId="1" fillId="10" borderId="136" xfId="0" applyFont="1" applyFill="1" applyBorder="1" applyAlignment="1" applyProtection="1">
      <alignment horizontal="center" vertical="center"/>
      <protection locked="0"/>
    </xf>
    <xf numFmtId="0" fontId="20" fillId="18" borderId="133" xfId="0" applyFont="1" applyFill="1" applyBorder="1" applyAlignment="1" applyProtection="1">
      <alignment horizontal="center" vertical="center"/>
      <protection hidden="1"/>
    </xf>
    <xf numFmtId="0" fontId="80" fillId="3" borderId="95" xfId="0" applyFont="1" applyFill="1" applyBorder="1" applyAlignment="1" applyProtection="1">
      <alignment horizontal="center" vertical="center"/>
      <protection hidden="1"/>
    </xf>
    <xf numFmtId="0" fontId="20" fillId="3" borderId="95" xfId="0" applyFont="1" applyFill="1" applyBorder="1" applyAlignment="1" applyProtection="1">
      <alignment horizontal="left" vertical="center" shrinkToFit="1"/>
      <protection hidden="1"/>
    </xf>
    <xf numFmtId="166" fontId="80" fillId="3" borderId="95" xfId="0" applyNumberFormat="1" applyFont="1" applyFill="1" applyBorder="1" applyAlignment="1" applyProtection="1">
      <alignment horizontal="center" vertical="center"/>
      <protection hidden="1"/>
    </xf>
    <xf numFmtId="0" fontId="20" fillId="3" borderId="95" xfId="0" applyFont="1" applyFill="1" applyBorder="1" applyAlignment="1" applyProtection="1">
      <alignment horizontal="center" vertical="center" shrinkToFit="1"/>
      <protection hidden="1"/>
    </xf>
    <xf numFmtId="0" fontId="20" fillId="3" borderId="58" xfId="0" applyFont="1" applyFill="1" applyBorder="1" applyAlignment="1" applyProtection="1">
      <alignment horizontal="center" vertical="center" shrinkToFit="1"/>
      <protection hidden="1"/>
    </xf>
    <xf numFmtId="0" fontId="80" fillId="3" borderId="133" xfId="0" applyFont="1" applyFill="1" applyBorder="1" applyAlignment="1" applyProtection="1">
      <alignment horizontal="center" vertical="center"/>
      <protection hidden="1"/>
    </xf>
    <xf numFmtId="0" fontId="69" fillId="3" borderId="133" xfId="0" applyFont="1" applyFill="1" applyBorder="1" applyAlignment="1" applyProtection="1">
      <alignment vertical="center" shrinkToFit="1"/>
      <protection hidden="1"/>
    </xf>
    <xf numFmtId="0" fontId="80" fillId="30" borderId="115" xfId="0" applyFont="1" applyFill="1" applyBorder="1" applyAlignment="1" applyProtection="1">
      <alignment horizontal="center" vertical="center"/>
      <protection hidden="1"/>
    </xf>
    <xf numFmtId="0" fontId="80" fillId="6" borderId="95" xfId="0" applyFont="1" applyFill="1" applyBorder="1" applyAlignment="1" applyProtection="1">
      <alignment horizontal="center" vertical="center"/>
      <protection hidden="1"/>
    </xf>
    <xf numFmtId="0" fontId="80" fillId="31" borderId="95" xfId="0" applyFont="1" applyFill="1" applyBorder="1" applyAlignment="1" applyProtection="1">
      <alignment horizontal="center" vertical="center"/>
      <protection hidden="1"/>
    </xf>
    <xf numFmtId="0" fontId="0" fillId="4" borderId="115" xfId="0" applyFill="1" applyBorder="1" applyAlignment="1" applyProtection="1">
      <alignment horizontal="center" vertical="center"/>
      <protection hidden="1"/>
    </xf>
    <xf numFmtId="166" fontId="0" fillId="11" borderId="115" xfId="0" applyNumberFormat="1" applyFill="1" applyBorder="1" applyAlignment="1" applyProtection="1">
      <alignment horizontal="center" vertical="center"/>
      <protection hidden="1"/>
    </xf>
    <xf numFmtId="0" fontId="1" fillId="4" borderId="115" xfId="0" applyFont="1" applyFill="1" applyBorder="1" applyAlignment="1" applyProtection="1">
      <alignment horizontal="center" vertical="center"/>
      <protection hidden="1"/>
    </xf>
    <xf numFmtId="166" fontId="0" fillId="11" borderId="95" xfId="0" applyNumberFormat="1" applyFill="1" applyBorder="1" applyAlignment="1" applyProtection="1">
      <alignment horizontal="center" vertical="center"/>
      <protection hidden="1"/>
    </xf>
    <xf numFmtId="0" fontId="0" fillId="11" borderId="115" xfId="0" applyFill="1" applyBorder="1" applyAlignment="1" applyProtection="1">
      <alignment horizontal="center" vertical="center"/>
      <protection hidden="1"/>
    </xf>
    <xf numFmtId="0" fontId="1" fillId="22" borderId="133" xfId="0" applyFont="1" applyFill="1" applyBorder="1" applyAlignment="1" applyProtection="1">
      <alignment horizontal="center" vertical="center" shrinkToFit="1"/>
      <protection hidden="1"/>
    </xf>
    <xf numFmtId="0" fontId="1" fillId="3" borderId="95" xfId="0" applyFont="1" applyFill="1" applyBorder="1" applyAlignment="1" applyProtection="1">
      <alignment horizontal="center" vertical="center" shrinkToFit="1"/>
      <protection hidden="1"/>
    </xf>
    <xf numFmtId="0" fontId="1" fillId="2" borderId="95" xfId="0" applyFont="1" applyFill="1" applyBorder="1" applyAlignment="1" applyProtection="1">
      <alignment horizontal="center" vertical="center" shrinkToFit="1"/>
      <protection hidden="1"/>
    </xf>
    <xf numFmtId="0" fontId="1" fillId="32" borderId="95" xfId="0" applyFont="1" applyFill="1" applyBorder="1" applyAlignment="1" applyProtection="1">
      <alignment horizontal="center" vertical="center" shrinkToFit="1"/>
      <protection hidden="1"/>
    </xf>
    <xf numFmtId="0" fontId="1" fillId="3" borderId="58" xfId="0" applyFont="1" applyFill="1" applyBorder="1" applyAlignment="1" applyProtection="1">
      <alignment horizontal="center" vertical="center" shrinkToFit="1"/>
      <protection hidden="1"/>
    </xf>
    <xf numFmtId="0" fontId="80" fillId="6" borderId="133" xfId="0" applyFont="1" applyFill="1" applyBorder="1" applyAlignment="1" applyProtection="1">
      <alignment horizontal="center" vertical="center"/>
      <protection hidden="1"/>
    </xf>
    <xf numFmtId="0" fontId="80" fillId="31" borderId="95" xfId="0" applyFont="1" applyFill="1" applyBorder="1" applyAlignment="1" applyProtection="1">
      <alignment horizontal="center" vertical="center" shrinkToFit="1"/>
      <protection hidden="1"/>
    </xf>
    <xf numFmtId="0" fontId="8" fillId="0" borderId="133" xfId="0" applyFont="1" applyBorder="1" applyAlignment="1" applyProtection="1">
      <alignment horizontal="center" vertical="center"/>
      <protection hidden="1"/>
    </xf>
    <xf numFmtId="166" fontId="23" fillId="0" borderId="58" xfId="0" applyNumberFormat="1" applyFont="1" applyBorder="1" applyAlignment="1" applyProtection="1">
      <alignment horizontal="center" vertical="center"/>
      <protection hidden="1"/>
    </xf>
    <xf numFmtId="0" fontId="108" fillId="0" borderId="133" xfId="0" applyFont="1" applyBorder="1" applyAlignment="1" applyProtection="1">
      <alignment horizontal="center" vertical="center"/>
      <protection hidden="1"/>
    </xf>
    <xf numFmtId="0" fontId="108" fillId="0" borderId="95" xfId="0" applyFont="1" applyBorder="1" applyAlignment="1" applyProtection="1">
      <alignment horizontal="center" vertical="center"/>
      <protection hidden="1"/>
    </xf>
    <xf numFmtId="0" fontId="99" fillId="10" borderId="95" xfId="0" applyFont="1" applyFill="1" applyBorder="1" applyAlignment="1" applyProtection="1">
      <alignment horizontal="center" vertical="center"/>
      <protection hidden="1"/>
    </xf>
    <xf numFmtId="166" fontId="99" fillId="10" borderId="95" xfId="0" applyNumberFormat="1" applyFont="1" applyFill="1" applyBorder="1" applyAlignment="1" applyProtection="1">
      <alignment horizontal="center" vertical="center"/>
      <protection hidden="1"/>
    </xf>
    <xf numFmtId="0" fontId="109" fillId="5" borderId="0" xfId="0" applyFont="1" applyFill="1" applyProtection="1">
      <protection hidden="1"/>
    </xf>
    <xf numFmtId="0" fontId="20" fillId="5" borderId="0" xfId="0" applyFont="1" applyFill="1" applyAlignment="1" applyProtection="1">
      <alignment horizontal="center" vertical="center"/>
      <protection hidden="1"/>
    </xf>
    <xf numFmtId="0" fontId="8" fillId="5" borderId="0" xfId="0" applyFont="1" applyFill="1" applyAlignment="1" applyProtection="1">
      <alignment horizontal="left" vertical="center" shrinkToFit="1"/>
      <protection hidden="1"/>
    </xf>
    <xf numFmtId="0" fontId="80" fillId="5" borderId="0" xfId="0" applyFont="1" applyFill="1" applyAlignment="1" applyProtection="1">
      <alignment horizontal="center" vertical="center"/>
      <protection locked="0"/>
    </xf>
    <xf numFmtId="0" fontId="80" fillId="5" borderId="138" xfId="0" applyFont="1" applyFill="1" applyBorder="1" applyAlignment="1" applyProtection="1">
      <alignment horizontal="center" vertical="center" shrinkToFit="1"/>
      <protection locked="0"/>
    </xf>
    <xf numFmtId="0" fontId="51" fillId="5" borderId="0" xfId="0" applyFont="1" applyFill="1" applyAlignment="1" applyProtection="1">
      <alignment horizontal="center"/>
      <protection hidden="1"/>
    </xf>
    <xf numFmtId="0" fontId="20" fillId="5" borderId="0" xfId="0" applyFont="1" applyFill="1" applyAlignment="1" applyProtection="1">
      <alignment horizontal="left" vertical="center" shrinkToFit="1"/>
      <protection hidden="1"/>
    </xf>
    <xf numFmtId="0" fontId="23" fillId="5" borderId="0" xfId="0" applyFont="1" applyFill="1" applyAlignment="1" applyProtection="1">
      <alignment horizontal="center" vertical="center"/>
      <protection hidden="1"/>
    </xf>
    <xf numFmtId="0" fontId="20" fillId="5" borderId="0" xfId="0" applyFont="1" applyFill="1" applyAlignment="1" applyProtection="1">
      <alignment horizontal="center" vertical="center" shrinkToFit="1"/>
      <protection hidden="1"/>
    </xf>
    <xf numFmtId="0" fontId="21" fillId="5" borderId="0" xfId="0" applyFont="1" applyFill="1" applyAlignment="1" applyProtection="1">
      <alignment horizontal="center" vertical="center"/>
      <protection hidden="1"/>
    </xf>
    <xf numFmtId="0" fontId="20" fillId="5" borderId="0" xfId="0" applyFont="1" applyFill="1" applyAlignment="1" applyProtection="1">
      <alignment horizontal="center" vertical="center" wrapText="1"/>
      <protection hidden="1"/>
    </xf>
    <xf numFmtId="0" fontId="23" fillId="5" borderId="0" xfId="0" applyFont="1" applyFill="1" applyAlignment="1" applyProtection="1">
      <alignment horizontal="left" vertical="center" shrinkToFit="1"/>
      <protection hidden="1"/>
    </xf>
    <xf numFmtId="0" fontId="46" fillId="5" borderId="0" xfId="0" applyFont="1" applyFill="1" applyAlignment="1" applyProtection="1">
      <alignment horizontal="center" vertical="center"/>
      <protection hidden="1"/>
    </xf>
    <xf numFmtId="0" fontId="100" fillId="5" borderId="48" xfId="1" applyFont="1" applyFill="1" applyBorder="1" applyAlignment="1" applyProtection="1">
      <alignment horizontal="center" vertical="center" wrapText="1"/>
      <protection hidden="1"/>
    </xf>
    <xf numFmtId="0" fontId="23" fillId="0" borderId="0" xfId="0" applyFont="1" applyAlignment="1" applyProtection="1">
      <alignment horizontal="center" vertical="center" shrinkToFit="1"/>
      <protection hidden="1"/>
    </xf>
    <xf numFmtId="0" fontId="51" fillId="0" borderId="0" xfId="0" applyFont="1" applyAlignment="1" applyProtection="1">
      <alignment horizontal="center" vertical="center"/>
      <protection hidden="1"/>
    </xf>
    <xf numFmtId="0" fontId="80" fillId="3" borderId="0" xfId="0" applyFont="1" applyFill="1" applyAlignment="1" applyProtection="1">
      <alignment horizontal="center" vertical="center"/>
      <protection hidden="1"/>
    </xf>
    <xf numFmtId="0" fontId="20" fillId="3" borderId="0" xfId="0" applyFont="1" applyFill="1" applyAlignment="1" applyProtection="1">
      <alignment horizontal="center" vertical="center" shrinkToFit="1"/>
      <protection hidden="1"/>
    </xf>
    <xf numFmtId="0" fontId="69" fillId="3" borderId="0" xfId="0" applyFont="1" applyFill="1" applyAlignment="1" applyProtection="1">
      <alignment vertical="center" shrinkToFit="1"/>
      <protection hidden="1"/>
    </xf>
    <xf numFmtId="0" fontId="80" fillId="30" borderId="0" xfId="0" applyFont="1" applyFill="1" applyAlignment="1" applyProtection="1">
      <alignment horizontal="center" vertical="center"/>
      <protection hidden="1"/>
    </xf>
    <xf numFmtId="0" fontId="80" fillId="6" borderId="0" xfId="0" applyFont="1" applyFill="1" applyAlignment="1" applyProtection="1">
      <alignment horizontal="center" vertical="center"/>
      <protection hidden="1"/>
    </xf>
    <xf numFmtId="0" fontId="80" fillId="31" borderId="0" xfId="0" applyFont="1" applyFill="1" applyAlignment="1" applyProtection="1">
      <alignment horizontal="center" vertical="center"/>
      <protection hidden="1"/>
    </xf>
    <xf numFmtId="0" fontId="0" fillId="4" borderId="0" xfId="0" applyFill="1" applyAlignment="1" applyProtection="1">
      <alignment horizontal="center" vertical="center"/>
      <protection hidden="1"/>
    </xf>
    <xf numFmtId="0" fontId="0" fillId="11" borderId="0" xfId="0" applyFill="1" applyAlignment="1" applyProtection="1">
      <alignment horizontal="center" vertical="center"/>
      <protection hidden="1"/>
    </xf>
    <xf numFmtId="0" fontId="1" fillId="4" borderId="0" xfId="0" applyFont="1" applyFill="1" applyAlignment="1" applyProtection="1">
      <alignment horizontal="center" vertical="center"/>
      <protection hidden="1"/>
    </xf>
    <xf numFmtId="0" fontId="51" fillId="3" borderId="0" xfId="0" applyFont="1" applyFill="1" applyAlignment="1" applyProtection="1">
      <alignment horizontal="center" vertical="center"/>
      <protection hidden="1"/>
    </xf>
    <xf numFmtId="0" fontId="1" fillId="22" borderId="0" xfId="0" applyFont="1" applyFill="1" applyAlignment="1" applyProtection="1">
      <alignment horizontal="center" vertical="center" shrinkToFit="1"/>
      <protection hidden="1"/>
    </xf>
    <xf numFmtId="0" fontId="1" fillId="32" borderId="0" xfId="0" applyFont="1" applyFill="1" applyAlignment="1" applyProtection="1">
      <alignment horizontal="center" vertical="center" shrinkToFit="1"/>
      <protection hidden="1"/>
    </xf>
    <xf numFmtId="0" fontId="80" fillId="31" borderId="0" xfId="0" applyFont="1" applyFill="1" applyAlignment="1" applyProtection="1">
      <alignment horizontal="center" vertical="center" shrinkToFit="1"/>
      <protection hidden="1"/>
    </xf>
    <xf numFmtId="0" fontId="8" fillId="3" borderId="31" xfId="0" applyFont="1" applyFill="1" applyBorder="1" applyAlignment="1" applyProtection="1">
      <alignment horizontal="center" vertical="center"/>
      <protection hidden="1"/>
    </xf>
    <xf numFmtId="0" fontId="23" fillId="3" borderId="0" xfId="0" applyFont="1" applyFill="1" applyAlignment="1" applyProtection="1">
      <alignment horizontal="center" vertical="center"/>
      <protection hidden="1"/>
    </xf>
    <xf numFmtId="0" fontId="21" fillId="3" borderId="0" xfId="0" applyFont="1" applyFill="1" applyAlignment="1" applyProtection="1">
      <alignment horizontal="center" vertical="center"/>
      <protection hidden="1"/>
    </xf>
    <xf numFmtId="0" fontId="0" fillId="3" borderId="0" xfId="0" applyFill="1" applyProtection="1">
      <protection hidden="1"/>
    </xf>
    <xf numFmtId="0" fontId="23" fillId="3" borderId="0" xfId="0" applyFont="1" applyFill="1" applyAlignment="1" applyProtection="1">
      <alignment horizontal="left" vertical="center" shrinkToFit="1"/>
      <protection hidden="1"/>
    </xf>
    <xf numFmtId="14" fontId="1" fillId="0" borderId="0" xfId="0" applyNumberFormat="1" applyFont="1" applyAlignment="1" applyProtection="1">
      <alignment horizontal="left" vertical="center"/>
      <protection locked="0" hidden="1"/>
    </xf>
    <xf numFmtId="0" fontId="21" fillId="0" borderId="0" xfId="0" applyFont="1"/>
    <xf numFmtId="0" fontId="21" fillId="0" borderId="0" xfId="0" applyFont="1" applyAlignment="1">
      <alignment horizontal="left"/>
    </xf>
    <xf numFmtId="0" fontId="10" fillId="3" borderId="49" xfId="0" applyFont="1" applyFill="1" applyBorder="1" applyAlignment="1" applyProtection="1">
      <alignment horizontal="center" vertical="center" wrapText="1" shrinkToFit="1"/>
      <protection hidden="1"/>
    </xf>
    <xf numFmtId="168" fontId="10" fillId="3" borderId="49" xfId="0" applyNumberFormat="1" applyFont="1" applyFill="1" applyBorder="1" applyAlignment="1" applyProtection="1">
      <alignment horizontal="center" vertical="center" wrapText="1" shrinkToFit="1"/>
      <protection hidden="1"/>
    </xf>
    <xf numFmtId="14" fontId="20" fillId="3" borderId="5" xfId="0" applyNumberFormat="1" applyFont="1" applyFill="1" applyBorder="1" applyAlignment="1" applyProtection="1">
      <alignment horizontal="center" vertical="center" wrapText="1"/>
      <protection locked="0"/>
    </xf>
    <xf numFmtId="14" fontId="20" fillId="3" borderId="139" xfId="0" applyNumberFormat="1" applyFont="1" applyFill="1" applyBorder="1" applyAlignment="1" applyProtection="1">
      <alignment horizontal="center" vertical="center" wrapText="1"/>
      <protection locked="0"/>
    </xf>
    <xf numFmtId="0" fontId="20" fillId="2" borderId="0" xfId="0" applyFont="1" applyFill="1" applyAlignment="1">
      <alignment horizontal="center" vertical="center" wrapText="1"/>
    </xf>
    <xf numFmtId="0" fontId="10" fillId="3" borderId="11" xfId="0" applyFont="1" applyFill="1" applyBorder="1" applyAlignment="1" applyProtection="1">
      <alignment horizontal="center" vertical="center" wrapText="1" shrinkToFit="1"/>
      <protection hidden="1"/>
    </xf>
    <xf numFmtId="168" fontId="10" fillId="3" borderId="11" xfId="0" applyNumberFormat="1" applyFont="1" applyFill="1" applyBorder="1" applyAlignment="1" applyProtection="1">
      <alignment horizontal="center" vertical="center" wrapText="1" shrinkToFit="1"/>
      <protection hidden="1"/>
    </xf>
    <xf numFmtId="0" fontId="20" fillId="3" borderId="11" xfId="0" applyFont="1" applyFill="1" applyBorder="1" applyAlignment="1" applyProtection="1">
      <alignment horizontal="center" vertical="center" wrapText="1"/>
      <protection hidden="1"/>
    </xf>
    <xf numFmtId="0" fontId="27" fillId="11" borderId="49" xfId="0" applyFont="1" applyFill="1" applyBorder="1" applyAlignment="1" applyProtection="1">
      <alignment horizontal="center" vertical="center"/>
      <protection hidden="1"/>
    </xf>
    <xf numFmtId="168" fontId="27" fillId="11" borderId="49" xfId="0" applyNumberFormat="1" applyFont="1" applyFill="1" applyBorder="1" applyAlignment="1" applyProtection="1">
      <alignment horizontal="center" vertical="center"/>
      <protection hidden="1"/>
    </xf>
    <xf numFmtId="14" fontId="20" fillId="3" borderId="5" xfId="0" applyNumberFormat="1" applyFont="1" applyFill="1" applyBorder="1" applyAlignment="1" applyProtection="1">
      <alignment horizontal="center" vertical="center"/>
      <protection locked="0"/>
    </xf>
    <xf numFmtId="14" fontId="20" fillId="3" borderId="139" xfId="0" applyNumberFormat="1" applyFont="1" applyFill="1" applyBorder="1" applyAlignment="1" applyProtection="1">
      <alignment horizontal="center" vertical="center"/>
      <protection locked="0"/>
    </xf>
    <xf numFmtId="0" fontId="20" fillId="3" borderId="11" xfId="0" applyFont="1" applyFill="1" applyBorder="1" applyAlignment="1" applyProtection="1">
      <alignment horizontal="center" vertical="center"/>
      <protection hidden="1"/>
    </xf>
    <xf numFmtId="168" fontId="20" fillId="3" borderId="11" xfId="0" applyNumberFormat="1" applyFont="1" applyFill="1" applyBorder="1" applyAlignment="1" applyProtection="1">
      <alignment horizontal="center" vertical="center"/>
      <protection hidden="1"/>
    </xf>
    <xf numFmtId="0" fontId="113" fillId="3" borderId="52" xfId="0" applyFont="1" applyFill="1" applyBorder="1" applyAlignment="1" applyProtection="1">
      <alignment horizontal="center" vertical="center"/>
      <protection hidden="1"/>
    </xf>
    <xf numFmtId="168" fontId="113" fillId="3" borderId="52" xfId="0" applyNumberFormat="1" applyFont="1" applyFill="1" applyBorder="1" applyAlignment="1" applyProtection="1">
      <alignment horizontal="center" vertical="center"/>
      <protection hidden="1"/>
    </xf>
    <xf numFmtId="0" fontId="114" fillId="9" borderId="109" xfId="0" applyFont="1" applyFill="1" applyBorder="1" applyAlignment="1" applyProtection="1">
      <alignment horizontal="center" vertical="top" wrapText="1"/>
      <protection locked="0"/>
    </xf>
    <xf numFmtId="0" fontId="115" fillId="9" borderId="109" xfId="0" applyFont="1" applyFill="1" applyBorder="1" applyAlignment="1" applyProtection="1">
      <alignment horizontal="center" vertical="center"/>
      <protection locked="0"/>
    </xf>
    <xf numFmtId="164" fontId="62" fillId="9" borderId="109" xfId="0" applyNumberFormat="1" applyFont="1" applyFill="1" applyBorder="1" applyAlignment="1" applyProtection="1">
      <alignment horizontal="center" vertical="center" wrapText="1"/>
      <protection locked="0" hidden="1"/>
    </xf>
    <xf numFmtId="0" fontId="62" fillId="3" borderId="0" xfId="0" applyFont="1" applyFill="1" applyAlignment="1" applyProtection="1">
      <alignment horizontal="center" vertical="center"/>
      <protection locked="0"/>
    </xf>
    <xf numFmtId="0" fontId="62" fillId="3" borderId="109" xfId="0" applyFont="1" applyFill="1" applyBorder="1" applyAlignment="1" applyProtection="1">
      <alignment horizontal="center" vertical="center"/>
      <protection locked="0"/>
    </xf>
    <xf numFmtId="0" fontId="21" fillId="3" borderId="11" xfId="0" applyFont="1" applyFill="1" applyBorder="1" applyAlignment="1" applyProtection="1">
      <alignment horizontal="center" vertical="center" wrapText="1"/>
      <protection hidden="1"/>
    </xf>
    <xf numFmtId="0" fontId="113" fillId="3" borderId="11" xfId="0" applyFont="1" applyFill="1" applyBorder="1" applyAlignment="1" applyProtection="1">
      <alignment horizontal="center" vertical="center"/>
      <protection hidden="1"/>
    </xf>
    <xf numFmtId="168" fontId="113" fillId="3" borderId="11" xfId="0" applyNumberFormat="1" applyFont="1" applyFill="1" applyBorder="1" applyAlignment="1" applyProtection="1">
      <alignment horizontal="center" vertical="center"/>
      <protection hidden="1"/>
    </xf>
    <xf numFmtId="0" fontId="116" fillId="3" borderId="11" xfId="0" applyFont="1" applyFill="1" applyBorder="1" applyAlignment="1" applyProtection="1">
      <alignment horizontal="center" vertical="center"/>
      <protection hidden="1"/>
    </xf>
    <xf numFmtId="0" fontId="62" fillId="3" borderId="11" xfId="0" applyFont="1" applyFill="1" applyBorder="1" applyAlignment="1" applyProtection="1">
      <alignment horizontal="center" vertical="center"/>
      <protection hidden="1"/>
    </xf>
    <xf numFmtId="0" fontId="99" fillId="37" borderId="11" xfId="0" applyFont="1" applyFill="1" applyBorder="1" applyAlignment="1" applyProtection="1">
      <alignment horizontal="center" vertical="center" wrapText="1"/>
      <protection hidden="1"/>
    </xf>
    <xf numFmtId="0" fontId="21" fillId="37" borderId="11" xfId="0" applyFont="1" applyFill="1" applyBorder="1" applyAlignment="1" applyProtection="1">
      <alignment horizontal="left" vertical="center" wrapText="1" shrinkToFit="1"/>
      <protection hidden="1"/>
    </xf>
    <xf numFmtId="168" fontId="21" fillId="37" borderId="49" xfId="0" applyNumberFormat="1" applyFont="1" applyFill="1" applyBorder="1" applyAlignment="1" applyProtection="1">
      <alignment horizontal="left" vertical="center" wrapText="1" shrinkToFit="1"/>
      <protection hidden="1"/>
    </xf>
    <xf numFmtId="0" fontId="51" fillId="0" borderId="11" xfId="3" applyFont="1" applyBorder="1" applyAlignment="1" applyProtection="1">
      <alignment horizontal="left" vertical="center" shrinkToFit="1"/>
      <protection locked="0"/>
    </xf>
    <xf numFmtId="0" fontId="117" fillId="0" borderId="11" xfId="3" applyFont="1" applyBorder="1" applyAlignment="1" applyProtection="1">
      <alignment horizontal="left" vertical="center" shrinkToFit="1"/>
      <protection locked="0"/>
    </xf>
    <xf numFmtId="14" fontId="20" fillId="3" borderId="11" xfId="3" applyNumberFormat="1" applyFont="1" applyFill="1" applyBorder="1" applyAlignment="1" applyProtection="1">
      <alignment horizontal="center" vertical="center" shrinkToFit="1"/>
      <protection locked="0"/>
    </xf>
    <xf numFmtId="0" fontId="69" fillId="0" borderId="51" xfId="0" applyFont="1" applyBorder="1" applyAlignment="1" applyProtection="1">
      <alignment horizontal="left" vertical="center" shrinkToFit="1"/>
      <protection locked="0"/>
    </xf>
    <xf numFmtId="0" fontId="69" fillId="37" borderId="11" xfId="0" applyFont="1" applyFill="1" applyBorder="1" applyAlignment="1" applyProtection="1">
      <alignment horizontal="left" vertical="center" shrinkToFit="1"/>
      <protection locked="0"/>
    </xf>
    <xf numFmtId="0" fontId="23" fillId="38" borderId="11" xfId="0" applyFont="1" applyFill="1" applyBorder="1" applyAlignment="1" applyProtection="1">
      <alignment horizontal="center" vertical="center" wrapText="1"/>
      <protection hidden="1"/>
    </xf>
    <xf numFmtId="165" fontId="20" fillId="3" borderId="0" xfId="0" applyNumberFormat="1" applyFont="1" applyFill="1" applyAlignment="1" applyProtection="1">
      <alignment horizontal="center" vertical="center" wrapText="1"/>
      <protection hidden="1"/>
    </xf>
    <xf numFmtId="0" fontId="20" fillId="39" borderId="52" xfId="0" applyFont="1" applyFill="1" applyBorder="1" applyAlignment="1" applyProtection="1">
      <alignment horizontal="center" vertical="center" shrinkToFit="1"/>
      <protection hidden="1"/>
    </xf>
    <xf numFmtId="0" fontId="21" fillId="3" borderId="11" xfId="0" applyFont="1" applyFill="1" applyBorder="1" applyAlignment="1" applyProtection="1">
      <alignment horizontal="left" vertical="center" wrapText="1"/>
      <protection hidden="1"/>
    </xf>
    <xf numFmtId="168" fontId="21" fillId="3" borderId="11" xfId="0" applyNumberFormat="1" applyFont="1" applyFill="1" applyBorder="1" applyAlignment="1" applyProtection="1">
      <alignment horizontal="left" vertical="center" wrapText="1" shrinkToFit="1"/>
      <protection hidden="1"/>
    </xf>
    <xf numFmtId="0" fontId="69" fillId="3" borderId="11" xfId="0" applyFont="1" applyFill="1" applyBorder="1" applyAlignment="1" applyProtection="1">
      <alignment horizontal="left" vertical="center" shrinkToFit="1"/>
      <protection hidden="1"/>
    </xf>
    <xf numFmtId="14" fontId="0" fillId="0" borderId="0" xfId="0" applyNumberFormat="1"/>
    <xf numFmtId="0" fontId="21" fillId="37" borderId="11" xfId="0" applyFont="1" applyFill="1" applyBorder="1" applyAlignment="1" applyProtection="1">
      <alignment horizontal="left" vertical="center" shrinkToFit="1"/>
      <protection hidden="1"/>
    </xf>
    <xf numFmtId="0" fontId="20" fillId="39" borderId="49" xfId="0" applyFont="1" applyFill="1" applyBorder="1" applyAlignment="1" applyProtection="1">
      <alignment horizontal="center" vertical="center" shrinkToFit="1"/>
      <protection hidden="1"/>
    </xf>
    <xf numFmtId="168" fontId="21" fillId="3" borderId="11" xfId="0" applyNumberFormat="1" applyFont="1" applyFill="1" applyBorder="1" applyAlignment="1" applyProtection="1">
      <alignment horizontal="left" vertical="center" shrinkToFit="1"/>
      <protection hidden="1"/>
    </xf>
    <xf numFmtId="0" fontId="99" fillId="22" borderId="11" xfId="0" applyFont="1" applyFill="1" applyBorder="1" applyAlignment="1" applyProtection="1">
      <alignment horizontal="center" vertical="center" wrapText="1"/>
      <protection hidden="1"/>
    </xf>
    <xf numFmtId="0" fontId="21" fillId="13" borderId="11" xfId="0" applyFont="1" applyFill="1" applyBorder="1" applyAlignment="1" applyProtection="1">
      <alignment vertical="center" wrapText="1"/>
      <protection hidden="1"/>
    </xf>
    <xf numFmtId="168" fontId="21" fillId="13" borderId="49" xfId="0" applyNumberFormat="1" applyFont="1" applyFill="1" applyBorder="1" applyAlignment="1" applyProtection="1">
      <alignment vertical="center" wrapText="1"/>
      <protection hidden="1"/>
    </xf>
    <xf numFmtId="0" fontId="20" fillId="39" borderId="49" xfId="0" applyFont="1" applyFill="1" applyBorder="1" applyAlignment="1" applyProtection="1">
      <alignment horizontal="center" vertical="center" wrapText="1"/>
      <protection hidden="1"/>
    </xf>
    <xf numFmtId="0" fontId="21" fillId="3" borderId="11" xfId="0" applyFont="1" applyFill="1" applyBorder="1" applyAlignment="1" applyProtection="1">
      <alignment vertical="center" wrapText="1"/>
      <protection hidden="1"/>
    </xf>
    <xf numFmtId="168" fontId="21" fillId="3" borderId="11" xfId="0" applyNumberFormat="1" applyFont="1" applyFill="1" applyBorder="1" applyAlignment="1" applyProtection="1">
      <alignment vertical="center" wrapText="1"/>
      <protection hidden="1"/>
    </xf>
    <xf numFmtId="0" fontId="21" fillId="13" borderId="11" xfId="0" applyFont="1" applyFill="1" applyBorder="1" applyAlignment="1" applyProtection="1">
      <alignment vertical="center"/>
      <protection hidden="1"/>
    </xf>
    <xf numFmtId="168" fontId="21" fillId="13" borderId="49" xfId="0" applyNumberFormat="1" applyFont="1" applyFill="1" applyBorder="1" applyAlignment="1" applyProtection="1">
      <alignment vertical="center"/>
      <protection hidden="1"/>
    </xf>
    <xf numFmtId="0" fontId="21" fillId="3" borderId="11" xfId="0" applyFont="1" applyFill="1" applyBorder="1" applyAlignment="1" applyProtection="1">
      <alignment vertical="center"/>
      <protection hidden="1"/>
    </xf>
    <xf numFmtId="168" fontId="21" fillId="3" borderId="11" xfId="0" applyNumberFormat="1" applyFont="1" applyFill="1" applyBorder="1" applyAlignment="1" applyProtection="1">
      <alignment vertical="center"/>
      <protection hidden="1"/>
    </xf>
    <xf numFmtId="0" fontId="99" fillId="40" borderId="11" xfId="0" applyFont="1" applyFill="1" applyBorder="1" applyAlignment="1" applyProtection="1">
      <alignment horizontal="center" vertical="center" wrapText="1"/>
      <protection hidden="1"/>
    </xf>
    <xf numFmtId="0" fontId="21" fillId="40" borderId="11" xfId="0" applyFont="1" applyFill="1" applyBorder="1" applyAlignment="1" applyProtection="1">
      <alignment vertical="center" wrapText="1"/>
      <protection hidden="1"/>
    </xf>
    <xf numFmtId="168" fontId="21" fillId="40" borderId="49" xfId="0" applyNumberFormat="1" applyFont="1" applyFill="1" applyBorder="1" applyAlignment="1" applyProtection="1">
      <alignment vertical="center" wrapText="1"/>
      <protection hidden="1"/>
    </xf>
    <xf numFmtId="0" fontId="21" fillId="40" borderId="11" xfId="0" applyFont="1" applyFill="1" applyBorder="1" applyAlignment="1" applyProtection="1">
      <alignment vertical="center"/>
      <protection hidden="1"/>
    </xf>
    <xf numFmtId="168" fontId="21" fillId="40" borderId="49" xfId="0" applyNumberFormat="1" applyFont="1" applyFill="1" applyBorder="1" applyAlignment="1" applyProtection="1">
      <alignment vertical="center"/>
      <protection hidden="1"/>
    </xf>
    <xf numFmtId="0" fontId="43" fillId="2" borderId="0" xfId="1" applyFont="1" applyFill="1" applyBorder="1" applyAlignment="1" applyProtection="1">
      <alignment horizontal="center" vertical="center" wrapText="1"/>
    </xf>
    <xf numFmtId="0" fontId="21" fillId="41" borderId="11" xfId="0" applyFont="1" applyFill="1" applyBorder="1" applyAlignment="1" applyProtection="1">
      <alignment vertical="center" wrapText="1"/>
      <protection hidden="1"/>
    </xf>
    <xf numFmtId="168" fontId="21" fillId="41" borderId="49" xfId="0" applyNumberFormat="1" applyFont="1" applyFill="1" applyBorder="1" applyAlignment="1" applyProtection="1">
      <alignment vertical="center" wrapText="1"/>
      <protection hidden="1"/>
    </xf>
    <xf numFmtId="0" fontId="21" fillId="41" borderId="11" xfId="0" applyFont="1" applyFill="1" applyBorder="1" applyAlignment="1" applyProtection="1">
      <alignment vertical="center"/>
      <protection hidden="1"/>
    </xf>
    <xf numFmtId="168" fontId="21" fillId="41" borderId="49" xfId="0" applyNumberFormat="1" applyFont="1" applyFill="1" applyBorder="1" applyAlignment="1" applyProtection="1">
      <alignment vertical="center"/>
      <protection hidden="1"/>
    </xf>
    <xf numFmtId="0" fontId="49" fillId="2" borderId="0" xfId="1" applyFont="1" applyFill="1" applyBorder="1" applyAlignment="1" applyProtection="1">
      <alignment horizontal="center" vertical="center" wrapText="1"/>
    </xf>
    <xf numFmtId="0" fontId="20" fillId="39" borderId="11" xfId="0" applyFont="1" applyFill="1" applyBorder="1" applyAlignment="1" applyProtection="1">
      <alignment horizontal="center" vertical="center" wrapText="1"/>
      <protection hidden="1"/>
    </xf>
    <xf numFmtId="0" fontId="118" fillId="2" borderId="0" xfId="0" applyFont="1" applyFill="1" applyAlignment="1">
      <alignment horizontal="center" vertical="top" wrapText="1"/>
    </xf>
    <xf numFmtId="0" fontId="21" fillId="37" borderId="11" xfId="0" applyFont="1" applyFill="1" applyBorder="1" applyAlignment="1" applyProtection="1">
      <alignment vertical="center" wrapText="1"/>
      <protection hidden="1"/>
    </xf>
    <xf numFmtId="168" fontId="21" fillId="37" borderId="49" xfId="0" applyNumberFormat="1" applyFont="1" applyFill="1" applyBorder="1" applyAlignment="1" applyProtection="1">
      <alignment vertical="center" wrapText="1"/>
      <protection hidden="1"/>
    </xf>
    <xf numFmtId="0" fontId="20" fillId="39" borderId="11" xfId="0" applyFont="1" applyFill="1" applyBorder="1" applyAlignment="1" applyProtection="1">
      <alignment horizontal="center" vertical="center" shrinkToFit="1"/>
      <protection hidden="1"/>
    </xf>
    <xf numFmtId="0" fontId="21" fillId="37" borderId="11" xfId="0" applyFont="1" applyFill="1" applyBorder="1" applyAlignment="1" applyProtection="1">
      <alignment vertical="center"/>
      <protection hidden="1"/>
    </xf>
    <xf numFmtId="168" fontId="21" fillId="37" borderId="49" xfId="0" applyNumberFormat="1" applyFont="1" applyFill="1" applyBorder="1" applyAlignment="1" applyProtection="1">
      <alignment vertical="center"/>
      <protection hidden="1"/>
    </xf>
    <xf numFmtId="0" fontId="21" fillId="22" borderId="11" xfId="0" applyFont="1" applyFill="1" applyBorder="1" applyAlignment="1" applyProtection="1">
      <alignment horizontal="left" vertical="center" shrinkToFit="1"/>
      <protection hidden="1"/>
    </xf>
    <xf numFmtId="0" fontId="21" fillId="42" borderId="11" xfId="0" applyFont="1" applyFill="1" applyBorder="1" applyAlignment="1" applyProtection="1">
      <alignment horizontal="left" vertical="center" wrapText="1" shrinkToFit="1"/>
      <protection hidden="1"/>
    </xf>
    <xf numFmtId="168" fontId="21" fillId="42" borderId="49" xfId="0" applyNumberFormat="1" applyFont="1" applyFill="1" applyBorder="1" applyAlignment="1" applyProtection="1">
      <alignment horizontal="left" vertical="center" wrapText="1" shrinkToFit="1"/>
      <protection hidden="1"/>
    </xf>
    <xf numFmtId="0" fontId="21" fillId="40" borderId="11" xfId="0" applyFont="1" applyFill="1" applyBorder="1" applyAlignment="1" applyProtection="1">
      <alignment horizontal="left" vertical="center" shrinkToFit="1"/>
      <protection hidden="1"/>
    </xf>
    <xf numFmtId="0" fontId="21" fillId="40" borderId="11" xfId="0" applyFont="1" applyFill="1" applyBorder="1" applyAlignment="1" applyProtection="1">
      <alignment horizontal="left" vertical="center" wrapText="1" shrinkToFit="1"/>
      <protection hidden="1"/>
    </xf>
    <xf numFmtId="168" fontId="21" fillId="40" borderId="49" xfId="0" applyNumberFormat="1" applyFont="1" applyFill="1" applyBorder="1" applyAlignment="1" applyProtection="1">
      <alignment horizontal="left" vertical="center" wrapText="1" shrinkToFit="1"/>
      <protection hidden="1"/>
    </xf>
    <xf numFmtId="0" fontId="99" fillId="41" borderId="11" xfId="0" applyFont="1" applyFill="1" applyBorder="1" applyAlignment="1" applyProtection="1">
      <alignment horizontal="center" vertical="center" wrapText="1"/>
      <protection hidden="1"/>
    </xf>
    <xf numFmtId="0" fontId="21" fillId="41" borderId="11" xfId="0" applyFont="1" applyFill="1" applyBorder="1" applyAlignment="1" applyProtection="1">
      <alignment horizontal="left" vertical="center" shrinkToFit="1"/>
      <protection hidden="1"/>
    </xf>
    <xf numFmtId="0" fontId="21" fillId="41" borderId="11" xfId="0" applyFont="1" applyFill="1" applyBorder="1" applyAlignment="1" applyProtection="1">
      <alignment horizontal="left" vertical="center" wrapText="1" shrinkToFit="1"/>
      <protection hidden="1"/>
    </xf>
    <xf numFmtId="168" fontId="21" fillId="41" borderId="49" xfId="0" applyNumberFormat="1" applyFont="1" applyFill="1" applyBorder="1" applyAlignment="1" applyProtection="1">
      <alignment horizontal="left" vertical="center" wrapText="1" shrinkToFit="1"/>
      <protection hidden="1"/>
    </xf>
    <xf numFmtId="168" fontId="21" fillId="37" borderId="49" xfId="0" applyNumberFormat="1" applyFont="1" applyFill="1" applyBorder="1" applyAlignment="1" applyProtection="1">
      <alignment horizontal="left" vertical="center" shrinkToFit="1"/>
      <protection hidden="1"/>
    </xf>
    <xf numFmtId="168" fontId="1" fillId="9" borderId="0" xfId="0" applyNumberFormat="1" applyFont="1" applyFill="1" applyProtection="1">
      <protection hidden="1"/>
    </xf>
    <xf numFmtId="14" fontId="20" fillId="0" borderId="0" xfId="0" applyNumberFormat="1" applyFont="1" applyAlignment="1" applyProtection="1">
      <alignment horizontal="center" vertical="center" shrinkToFit="1"/>
      <protection locked="0"/>
    </xf>
    <xf numFmtId="0" fontId="1" fillId="3" borderId="51" xfId="0" applyFont="1" applyFill="1" applyBorder="1" applyProtection="1">
      <protection hidden="1"/>
    </xf>
    <xf numFmtId="168" fontId="1" fillId="3" borderId="49" xfId="0" applyNumberFormat="1" applyFont="1" applyFill="1" applyBorder="1" applyProtection="1">
      <protection hidden="1"/>
    </xf>
    <xf numFmtId="0" fontId="1" fillId="2" borderId="0" xfId="0" applyFont="1" applyFill="1" applyProtection="1">
      <protection locked="0"/>
    </xf>
    <xf numFmtId="0" fontId="0" fillId="2" borderId="0" xfId="0" applyFill="1" applyProtection="1">
      <protection locked="0"/>
    </xf>
    <xf numFmtId="14" fontId="1" fillId="2" borderId="0" xfId="0" applyNumberFormat="1" applyFont="1" applyFill="1" applyAlignment="1" applyProtection="1">
      <alignment horizontal="left" vertical="center"/>
      <protection locked="0" hidden="1"/>
    </xf>
    <xf numFmtId="0" fontId="21" fillId="2" borderId="0" xfId="0" applyFont="1" applyFill="1"/>
    <xf numFmtId="0" fontId="21" fillId="2" borderId="0" xfId="0" applyFont="1" applyFill="1" applyAlignment="1">
      <alignment horizontal="left"/>
    </xf>
    <xf numFmtId="0" fontId="0" fillId="9" borderId="0" xfId="0" applyFill="1" applyProtection="1">
      <protection locked="0"/>
    </xf>
    <xf numFmtId="14" fontId="1" fillId="9" borderId="0" xfId="0" applyNumberFormat="1" applyFont="1" applyFill="1" applyAlignment="1" applyProtection="1">
      <alignment horizontal="left" vertical="center"/>
      <protection locked="0" hidden="1"/>
    </xf>
    <xf numFmtId="164" fontId="62" fillId="9" borderId="109" xfId="0" applyNumberFormat="1" applyFont="1" applyFill="1" applyBorder="1" applyAlignment="1" applyProtection="1">
      <alignment horizontal="center" vertical="center" wrapText="1"/>
      <protection locked="0"/>
    </xf>
    <xf numFmtId="0" fontId="21" fillId="22" borderId="11" xfId="0" applyFont="1" applyFill="1" applyBorder="1" applyAlignment="1" applyProtection="1">
      <alignment horizontal="left" vertical="center" wrapText="1" shrinkToFit="1"/>
      <protection hidden="1"/>
    </xf>
    <xf numFmtId="0" fontId="21" fillId="30" borderId="11" xfId="0" applyFont="1" applyFill="1" applyBorder="1" applyAlignment="1" applyProtection="1">
      <alignment horizontal="left" vertical="center" wrapText="1" shrinkToFit="1"/>
      <protection hidden="1"/>
    </xf>
    <xf numFmtId="0" fontId="21" fillId="18" borderId="11" xfId="0" applyFont="1" applyFill="1" applyBorder="1" applyAlignment="1" applyProtection="1">
      <alignment horizontal="left" vertical="center" wrapText="1" shrinkToFit="1"/>
      <protection hidden="1"/>
    </xf>
    <xf numFmtId="0" fontId="21" fillId="43" borderId="11" xfId="0" applyFont="1" applyFill="1" applyBorder="1" applyAlignment="1" applyProtection="1">
      <alignment horizontal="left" vertical="center" wrapText="1" shrinkToFit="1"/>
      <protection hidden="1"/>
    </xf>
    <xf numFmtId="49" fontId="20" fillId="3" borderId="11" xfId="3" applyNumberFormat="1" applyFont="1" applyFill="1" applyBorder="1" applyAlignment="1" applyProtection="1">
      <alignment horizontal="center" vertical="center" shrinkToFit="1"/>
      <protection locked="0"/>
    </xf>
    <xf numFmtId="0" fontId="119" fillId="3" borderId="0" xfId="0" applyFont="1" applyFill="1" applyAlignment="1" applyProtection="1">
      <alignment horizontal="center"/>
      <protection hidden="1"/>
    </xf>
    <xf numFmtId="0" fontId="0" fillId="44" borderId="0" xfId="0" applyFill="1" applyProtection="1">
      <protection hidden="1"/>
    </xf>
    <xf numFmtId="165" fontId="0" fillId="44" borderId="0" xfId="0" applyNumberFormat="1" applyFill="1" applyProtection="1">
      <protection hidden="1"/>
    </xf>
    <xf numFmtId="0" fontId="0" fillId="44" borderId="10" xfId="0" applyFill="1" applyBorder="1" applyProtection="1">
      <protection hidden="1"/>
    </xf>
    <xf numFmtId="0" fontId="0" fillId="44" borderId="0" xfId="0" applyFill="1"/>
    <xf numFmtId="165" fontId="0" fillId="0" borderId="0" xfId="0" applyNumberFormat="1" applyProtection="1">
      <protection hidden="1"/>
    </xf>
    <xf numFmtId="0" fontId="0" fillId="0" borderId="10" xfId="0" applyBorder="1" applyProtection="1">
      <protection hidden="1"/>
    </xf>
    <xf numFmtId="0" fontId="20" fillId="0" borderId="0" xfId="0" applyFont="1" applyAlignment="1" applyProtection="1">
      <alignment horizontal="left" vertical="center"/>
      <protection hidden="1"/>
    </xf>
    <xf numFmtId="165" fontId="0" fillId="0" borderId="21" xfId="0" applyNumberFormat="1" applyBorder="1" applyProtection="1">
      <protection hidden="1"/>
    </xf>
    <xf numFmtId="0" fontId="0" fillId="0" borderId="21" xfId="0" applyBorder="1" applyProtection="1">
      <protection hidden="1"/>
    </xf>
    <xf numFmtId="0" fontId="122" fillId="7" borderId="35" xfId="0" applyFont="1" applyFill="1" applyBorder="1" applyAlignment="1" applyProtection="1">
      <alignment horizontal="center" vertical="center" wrapText="1"/>
      <protection hidden="1"/>
    </xf>
    <xf numFmtId="0" fontId="43" fillId="44" borderId="0" xfId="1" applyFont="1" applyFill="1" applyBorder="1" applyAlignment="1" applyProtection="1">
      <alignment horizontal="center" vertical="center" wrapText="1"/>
      <protection hidden="1"/>
    </xf>
    <xf numFmtId="0" fontId="122" fillId="7" borderId="0" xfId="0" applyFont="1" applyFill="1" applyAlignment="1" applyProtection="1">
      <alignment horizontal="center" vertical="center" wrapText="1"/>
      <protection hidden="1"/>
    </xf>
    <xf numFmtId="0" fontId="59" fillId="44" borderId="0" xfId="1" applyFont="1" applyFill="1" applyBorder="1" applyAlignment="1" applyProtection="1">
      <alignment horizontal="center" vertical="center" wrapText="1"/>
    </xf>
    <xf numFmtId="0" fontId="59" fillId="44" borderId="0" xfId="1" applyFont="1" applyFill="1" applyBorder="1" applyAlignment="1" applyProtection="1">
      <alignment horizontal="center" vertical="center"/>
    </xf>
    <xf numFmtId="0" fontId="0" fillId="44" borderId="21" xfId="0" applyFill="1" applyBorder="1" applyProtection="1">
      <protection hidden="1"/>
    </xf>
    <xf numFmtId="0" fontId="59" fillId="44" borderId="0" xfId="1" applyFont="1" applyFill="1" applyBorder="1" applyAlignment="1" applyProtection="1">
      <alignment horizontal="center" vertical="center" wrapText="1"/>
      <protection hidden="1"/>
    </xf>
    <xf numFmtId="0" fontId="0" fillId="44" borderId="36" xfId="0" applyFill="1" applyBorder="1" applyProtection="1">
      <protection hidden="1"/>
    </xf>
    <xf numFmtId="0" fontId="59" fillId="44" borderId="0" xfId="1" applyFont="1" applyFill="1" applyBorder="1" applyAlignment="1" applyProtection="1">
      <alignment horizontal="center" vertical="center"/>
      <protection hidden="1"/>
    </xf>
    <xf numFmtId="0" fontId="1" fillId="44" borderId="0" xfId="0" applyFont="1" applyFill="1"/>
    <xf numFmtId="0" fontId="1" fillId="39" borderId="0" xfId="0" applyFont="1" applyFill="1" applyAlignment="1">
      <alignment horizontal="left" vertical="center"/>
    </xf>
    <xf numFmtId="165" fontId="1" fillId="39" borderId="0" xfId="0" applyNumberFormat="1" applyFont="1" applyFill="1" applyAlignment="1">
      <alignment horizontal="left" vertical="center"/>
    </xf>
    <xf numFmtId="169" fontId="1" fillId="39" borderId="0" xfId="0" applyNumberFormat="1" applyFont="1" applyFill="1" applyAlignment="1">
      <alignment horizontal="left" vertical="center"/>
    </xf>
    <xf numFmtId="0" fontId="1" fillId="9" borderId="0" xfId="0" applyFont="1" applyFill="1" applyAlignment="1">
      <alignment horizontal="left" vertical="center"/>
    </xf>
    <xf numFmtId="0" fontId="1" fillId="4" borderId="0" xfId="0" applyFont="1" applyFill="1" applyAlignment="1" applyProtection="1">
      <alignment horizontal="left" vertical="center"/>
      <protection hidden="1"/>
    </xf>
    <xf numFmtId="0" fontId="1" fillId="4" borderId="0" xfId="0" applyFont="1" applyFill="1" applyAlignment="1">
      <alignment horizontal="left" vertical="center"/>
    </xf>
    <xf numFmtId="165" fontId="1" fillId="4" borderId="0" xfId="0" applyNumberFormat="1" applyFont="1" applyFill="1" applyAlignment="1">
      <alignment horizontal="left" vertical="center"/>
    </xf>
    <xf numFmtId="0" fontId="1" fillId="4" borderId="141" xfId="0" applyFont="1" applyFill="1" applyBorder="1" applyAlignment="1" applyProtection="1">
      <alignment horizontal="left" vertical="center"/>
      <protection hidden="1"/>
    </xf>
    <xf numFmtId="0" fontId="123" fillId="7" borderId="0" xfId="0" applyFont="1" applyFill="1" applyAlignment="1">
      <alignment horizontal="center" vertical="center" wrapText="1"/>
    </xf>
    <xf numFmtId="0" fontId="127" fillId="44" borderId="21" xfId="0" applyFont="1" applyFill="1" applyBorder="1" applyAlignment="1">
      <alignment horizontal="center" vertical="center"/>
    </xf>
    <xf numFmtId="0" fontId="127" fillId="44" borderId="0" xfId="0" applyFont="1" applyFill="1" applyAlignment="1">
      <alignment horizontal="center" vertical="center"/>
    </xf>
    <xf numFmtId="0" fontId="1" fillId="44" borderId="0" xfId="0" applyFont="1" applyFill="1" applyAlignment="1">
      <alignment horizontal="left" vertical="center"/>
    </xf>
    <xf numFmtId="0" fontId="99" fillId="9" borderId="0" xfId="0" applyFont="1" applyFill="1" applyAlignment="1" applyProtection="1">
      <alignment horizontal="center" vertical="center" wrapText="1"/>
      <protection hidden="1"/>
    </xf>
    <xf numFmtId="0" fontId="99" fillId="0" borderId="0" xfId="0" applyFont="1" applyAlignment="1" applyProtection="1">
      <alignment horizontal="center" vertical="center" wrapText="1"/>
      <protection hidden="1"/>
    </xf>
    <xf numFmtId="0" fontId="71" fillId="0" borderId="0" xfId="0" applyFont="1" applyAlignment="1" applyProtection="1">
      <alignment vertical="center" wrapText="1"/>
      <protection hidden="1"/>
    </xf>
    <xf numFmtId="0" fontId="71" fillId="0" borderId="0" xfId="0" applyFont="1" applyAlignment="1" applyProtection="1">
      <alignment horizontal="center" vertical="center" wrapText="1"/>
      <protection hidden="1"/>
    </xf>
    <xf numFmtId="0" fontId="99" fillId="18" borderId="0" xfId="0" applyFont="1" applyFill="1" applyAlignment="1" applyProtection="1">
      <alignment horizontal="center" vertical="center" wrapText="1"/>
      <protection hidden="1"/>
    </xf>
    <xf numFmtId="0" fontId="49" fillId="13" borderId="144" xfId="1" applyFont="1" applyFill="1" applyBorder="1" applyAlignment="1" applyProtection="1">
      <alignment horizontal="center" vertical="center" wrapText="1"/>
      <protection hidden="1"/>
    </xf>
    <xf numFmtId="0" fontId="49" fillId="18" borderId="144" xfId="1" applyFont="1" applyFill="1" applyBorder="1" applyAlignment="1" applyProtection="1">
      <alignment horizontal="center" vertical="center" wrapText="1"/>
    </xf>
    <xf numFmtId="0" fontId="49" fillId="18" borderId="144" xfId="1" applyFont="1" applyFill="1" applyBorder="1" applyAlignment="1" applyProtection="1">
      <alignment horizontal="center" vertical="center" wrapText="1"/>
      <protection hidden="1"/>
    </xf>
    <xf numFmtId="0" fontId="49" fillId="46" borderId="0" xfId="1" applyFont="1" applyFill="1" applyBorder="1" applyAlignment="1" applyProtection="1">
      <alignment horizontal="center" vertical="center"/>
      <protection hidden="1"/>
    </xf>
    <xf numFmtId="0" fontId="130" fillId="9" borderId="0" xfId="1" applyFont="1" applyFill="1" applyBorder="1" applyAlignment="1" applyProtection="1">
      <alignment horizontal="center" vertical="center" wrapText="1"/>
      <protection hidden="1"/>
    </xf>
    <xf numFmtId="0" fontId="49" fillId="13" borderId="0" xfId="1" applyFont="1" applyFill="1" applyBorder="1" applyAlignment="1" applyProtection="1">
      <alignment horizontal="center" vertical="center" wrapText="1"/>
      <protection hidden="1"/>
    </xf>
    <xf numFmtId="0" fontId="49" fillId="18" borderId="0" xfId="1" applyFont="1" applyFill="1" applyBorder="1" applyAlignment="1" applyProtection="1">
      <alignment horizontal="center" vertical="center" wrapText="1"/>
      <protection hidden="1"/>
    </xf>
    <xf numFmtId="0" fontId="49" fillId="18" borderId="0" xfId="1" applyFont="1" applyFill="1" applyBorder="1" applyAlignment="1" applyProtection="1">
      <alignment horizontal="center" vertical="center" wrapText="1"/>
    </xf>
    <xf numFmtId="0" fontId="129" fillId="18" borderId="0" xfId="0" applyFont="1" applyFill="1" applyAlignment="1" applyProtection="1">
      <alignment horizontal="center" vertical="center" wrapText="1"/>
      <protection hidden="1"/>
    </xf>
    <xf numFmtId="0" fontId="128" fillId="18" borderId="0" xfId="0" applyFont="1" applyFill="1" applyAlignment="1" applyProtection="1">
      <alignment horizontal="center" vertical="center" wrapText="1"/>
      <protection hidden="1"/>
    </xf>
    <xf numFmtId="0" fontId="131" fillId="0" borderId="21" xfId="0" applyFont="1" applyBorder="1" applyAlignment="1" applyProtection="1">
      <alignment horizontal="center" vertical="center" wrapText="1"/>
      <protection hidden="1"/>
    </xf>
    <xf numFmtId="0" fontId="132" fillId="0" borderId="5" xfId="0" applyFont="1" applyBorder="1" applyAlignment="1" applyProtection="1">
      <alignment horizontal="center" vertical="center"/>
      <protection hidden="1"/>
    </xf>
    <xf numFmtId="0" fontId="133" fillId="0" borderId="146" xfId="0" applyFont="1" applyBorder="1" applyAlignment="1" applyProtection="1">
      <alignment horizontal="center" vertical="center" wrapText="1"/>
      <protection hidden="1"/>
    </xf>
    <xf numFmtId="0" fontId="133" fillId="0" borderId="136" xfId="0" applyFont="1" applyBorder="1" applyAlignment="1" applyProtection="1">
      <alignment horizontal="center" vertical="center" wrapText="1"/>
      <protection hidden="1"/>
    </xf>
    <xf numFmtId="0" fontId="133" fillId="0" borderId="137" xfId="0" applyFont="1" applyBorder="1" applyAlignment="1" applyProtection="1">
      <alignment horizontal="center" vertical="center" wrapText="1"/>
      <protection hidden="1"/>
    </xf>
    <xf numFmtId="0" fontId="134" fillId="18" borderId="0" xfId="0" applyFont="1" applyFill="1" applyAlignment="1" applyProtection="1">
      <alignment horizontal="left" vertical="top" wrapText="1"/>
      <protection hidden="1"/>
    </xf>
    <xf numFmtId="0" fontId="135" fillId="0" borderId="37" xfId="0" applyFont="1" applyBorder="1" applyAlignment="1" applyProtection="1">
      <alignment horizontal="left" vertical="center" wrapText="1"/>
      <protection hidden="1"/>
    </xf>
    <xf numFmtId="0" fontId="135" fillId="3" borderId="11" xfId="0" applyFont="1" applyFill="1" applyBorder="1" applyAlignment="1" applyProtection="1">
      <alignment horizontal="left" vertical="center" wrapText="1"/>
      <protection hidden="1"/>
    </xf>
    <xf numFmtId="0" fontId="138" fillId="19" borderId="53" xfId="0" applyFont="1" applyFill="1" applyBorder="1" applyAlignment="1" applyProtection="1">
      <alignment horizontal="center" vertical="center" wrapText="1"/>
      <protection hidden="1"/>
    </xf>
    <xf numFmtId="0" fontId="139" fillId="0" borderId="36" xfId="0" applyFont="1" applyBorder="1" applyAlignment="1" applyProtection="1">
      <alignment horizontal="center" vertical="center" wrapText="1"/>
      <protection hidden="1"/>
    </xf>
    <xf numFmtId="0" fontId="135" fillId="0" borderId="36" xfId="0" applyFont="1" applyBorder="1" applyAlignment="1" applyProtection="1">
      <alignment horizontal="left" vertical="center" shrinkToFit="1"/>
      <protection hidden="1"/>
    </xf>
    <xf numFmtId="0" fontId="140" fillId="3" borderId="95" xfId="0" applyFont="1" applyFill="1" applyBorder="1" applyAlignment="1" applyProtection="1">
      <alignment horizontal="left" vertical="center" shrinkToFit="1"/>
      <protection hidden="1"/>
    </xf>
    <xf numFmtId="0" fontId="138" fillId="19" borderId="51" xfId="0" applyFont="1" applyFill="1" applyBorder="1" applyAlignment="1" applyProtection="1">
      <alignment horizontal="center" vertical="center" shrinkToFit="1"/>
      <protection hidden="1"/>
    </xf>
    <xf numFmtId="0" fontId="140" fillId="0" borderId="18" xfId="0" applyFont="1" applyBorder="1" applyAlignment="1" applyProtection="1">
      <alignment horizontal="center" vertical="center" wrapText="1"/>
      <protection hidden="1"/>
    </xf>
    <xf numFmtId="0" fontId="142" fillId="0" borderId="20" xfId="0" applyFont="1" applyBorder="1" applyAlignment="1" applyProtection="1">
      <alignment horizontal="center" vertical="center" wrapText="1"/>
      <protection hidden="1"/>
    </xf>
    <xf numFmtId="0" fontId="142" fillId="0" borderId="122" xfId="0" applyFont="1" applyBorder="1" applyAlignment="1" applyProtection="1">
      <alignment horizontal="center" vertical="center" shrinkToFit="1"/>
      <protection hidden="1"/>
    </xf>
    <xf numFmtId="0" fontId="57" fillId="3" borderId="10" xfId="0" applyFont="1" applyFill="1" applyBorder="1" applyAlignment="1" applyProtection="1">
      <alignment horizontal="right" vertical="center" wrapText="1"/>
      <protection hidden="1"/>
    </xf>
    <xf numFmtId="0" fontId="57" fillId="0" borderId="21" xfId="0" applyFont="1" applyBorder="1" applyAlignment="1" applyProtection="1">
      <alignment horizontal="right" vertical="center" wrapText="1"/>
      <protection hidden="1"/>
    </xf>
    <xf numFmtId="0" fontId="140" fillId="0" borderId="114" xfId="0" applyFont="1" applyBorder="1" applyAlignment="1" applyProtection="1">
      <alignment horizontal="center" vertical="center" wrapText="1"/>
      <protection hidden="1"/>
    </xf>
    <xf numFmtId="0" fontId="142" fillId="0" borderId="49" xfId="0" applyFont="1" applyBorder="1" applyAlignment="1" applyProtection="1">
      <alignment horizontal="center" vertical="center" wrapText="1"/>
      <protection hidden="1"/>
    </xf>
    <xf numFmtId="0" fontId="142" fillId="0" borderId="55" xfId="0" applyFont="1" applyBorder="1" applyAlignment="1" applyProtection="1">
      <alignment horizontal="center" vertical="center" shrinkToFit="1"/>
      <protection hidden="1"/>
    </xf>
    <xf numFmtId="0" fontId="140" fillId="0" borderId="133" xfId="0" applyFont="1" applyBorder="1" applyAlignment="1" applyProtection="1">
      <alignment horizontal="center" vertical="center" wrapText="1"/>
      <protection hidden="1"/>
    </xf>
    <xf numFmtId="0" fontId="142" fillId="0" borderId="110" xfId="0" applyFont="1" applyBorder="1" applyAlignment="1" applyProtection="1">
      <alignment horizontal="center" vertical="center" wrapText="1"/>
      <protection hidden="1"/>
    </xf>
    <xf numFmtId="0" fontId="142" fillId="0" borderId="58" xfId="0" applyFont="1" applyBorder="1" applyAlignment="1" applyProtection="1">
      <alignment horizontal="center" vertical="center" shrinkToFit="1"/>
      <protection hidden="1"/>
    </xf>
    <xf numFmtId="0" fontId="57" fillId="0" borderId="15" xfId="0" applyFont="1" applyBorder="1" applyAlignment="1" applyProtection="1">
      <alignment horizontal="center" vertical="center" shrinkToFit="1"/>
      <protection hidden="1"/>
    </xf>
    <xf numFmtId="0" fontId="146" fillId="0" borderId="6" xfId="0" applyFont="1" applyBorder="1" applyAlignment="1" applyProtection="1">
      <alignment horizontal="center" vertical="center" shrinkToFit="1"/>
      <protection hidden="1"/>
    </xf>
    <xf numFmtId="0" fontId="57" fillId="0" borderId="6" xfId="0" applyFont="1" applyBorder="1" applyAlignment="1" applyProtection="1">
      <alignment horizontal="center" vertical="center" shrinkToFit="1"/>
      <protection hidden="1"/>
    </xf>
    <xf numFmtId="0" fontId="146" fillId="0" borderId="7" xfId="0" applyFont="1" applyBorder="1" applyAlignment="1" applyProtection="1">
      <alignment horizontal="center" vertical="center" shrinkToFit="1"/>
      <protection hidden="1"/>
    </xf>
    <xf numFmtId="0" fontId="1" fillId="0" borderId="6" xfId="0" applyFont="1" applyBorder="1" applyAlignment="1" applyProtection="1">
      <alignment horizontal="center" vertical="center" shrinkToFit="1"/>
      <protection hidden="1"/>
    </xf>
    <xf numFmtId="0" fontId="103" fillId="0" borderId="122" xfId="0" applyFont="1" applyBorder="1" applyAlignment="1" applyProtection="1">
      <alignment horizontal="center" vertical="center" wrapText="1"/>
      <protection hidden="1"/>
    </xf>
    <xf numFmtId="167" fontId="23" fillId="13" borderId="19" xfId="0" applyNumberFormat="1" applyFont="1" applyFill="1" applyBorder="1" applyAlignment="1" applyProtection="1">
      <alignment horizontal="center" vertical="center" wrapText="1"/>
      <protection hidden="1"/>
    </xf>
    <xf numFmtId="0" fontId="20" fillId="0" borderId="19" xfId="0" applyFont="1" applyBorder="1" applyAlignment="1" applyProtection="1">
      <alignment horizontal="center" vertical="center" wrapText="1"/>
      <protection hidden="1"/>
    </xf>
    <xf numFmtId="167" fontId="39" fillId="13" borderId="19" xfId="0" applyNumberFormat="1" applyFont="1" applyFill="1" applyBorder="1" applyAlignment="1" applyProtection="1">
      <alignment horizontal="center" vertical="center" wrapText="1"/>
      <protection hidden="1"/>
    </xf>
    <xf numFmtId="0" fontId="39" fillId="0" borderId="19" xfId="0" applyFont="1" applyBorder="1" applyAlignment="1" applyProtection="1">
      <alignment horizontal="center" vertical="center" wrapText="1"/>
      <protection hidden="1"/>
    </xf>
    <xf numFmtId="0" fontId="39" fillId="0" borderId="122" xfId="0" applyFont="1" applyBorder="1" applyAlignment="1" applyProtection="1">
      <alignment horizontal="center" vertical="center" wrapText="1"/>
      <protection hidden="1"/>
    </xf>
    <xf numFmtId="0" fontId="147" fillId="0" borderId="51" xfId="0" applyFont="1" applyBorder="1" applyAlignment="1" applyProtection="1">
      <alignment horizontal="center" vertical="center" wrapText="1"/>
      <protection hidden="1"/>
    </xf>
    <xf numFmtId="0" fontId="51" fillId="0" borderId="55" xfId="0" applyFont="1" applyBorder="1" applyAlignment="1" applyProtection="1">
      <alignment horizontal="center" vertical="center" wrapText="1"/>
      <protection hidden="1"/>
    </xf>
    <xf numFmtId="0" fontId="51" fillId="0" borderId="24" xfId="0" applyFont="1" applyBorder="1" applyAlignment="1" applyProtection="1">
      <alignment horizontal="center" vertical="center" shrinkToFit="1"/>
      <protection hidden="1"/>
    </xf>
    <xf numFmtId="0" fontId="51" fillId="0" borderId="58" xfId="0" applyFont="1" applyBorder="1" applyAlignment="1" applyProtection="1">
      <alignment horizontal="center" vertical="center" shrinkToFit="1"/>
      <protection hidden="1"/>
    </xf>
    <xf numFmtId="0" fontId="51" fillId="0" borderId="19" xfId="0" applyFont="1" applyBorder="1" applyAlignment="1" applyProtection="1">
      <alignment horizontal="left" vertical="center" shrinkToFit="1"/>
      <protection hidden="1"/>
    </xf>
    <xf numFmtId="0" fontId="51" fillId="0" borderId="108" xfId="0" applyFont="1" applyBorder="1" applyAlignment="1" applyProtection="1">
      <alignment horizontal="center" vertical="center" shrinkToFit="1"/>
      <protection hidden="1"/>
    </xf>
    <xf numFmtId="0" fontId="39" fillId="0" borderId="11" xfId="0" applyFont="1" applyBorder="1" applyAlignment="1" applyProtection="1">
      <alignment horizontal="center" vertical="center" wrapText="1"/>
      <protection hidden="1"/>
    </xf>
    <xf numFmtId="0" fontId="39" fillId="0" borderId="55" xfId="0" applyFont="1" applyBorder="1" applyAlignment="1" applyProtection="1">
      <alignment horizontal="center" vertical="center" wrapText="1"/>
      <protection hidden="1"/>
    </xf>
    <xf numFmtId="0" fontId="51" fillId="0" borderId="11" xfId="0" applyFont="1" applyBorder="1" applyAlignment="1" applyProtection="1">
      <alignment horizontal="left" vertical="center" shrinkToFit="1"/>
      <protection hidden="1"/>
    </xf>
    <xf numFmtId="167" fontId="39" fillId="13" borderId="11" xfId="0" applyNumberFormat="1" applyFont="1" applyFill="1" applyBorder="1" applyAlignment="1" applyProtection="1">
      <alignment horizontal="center" vertical="center" wrapText="1"/>
      <protection hidden="1"/>
    </xf>
    <xf numFmtId="0" fontId="108" fillId="0" borderId="11" xfId="0" applyFont="1" applyBorder="1" applyAlignment="1" applyProtection="1">
      <alignment horizontal="center" vertical="center" wrapText="1"/>
      <protection hidden="1"/>
    </xf>
    <xf numFmtId="167" fontId="39" fillId="13" borderId="31" xfId="0" applyNumberFormat="1" applyFont="1" applyFill="1" applyBorder="1" applyAlignment="1" applyProtection="1">
      <alignment horizontal="center" vertical="center" wrapText="1"/>
      <protection hidden="1"/>
    </xf>
    <xf numFmtId="0" fontId="39" fillId="0" borderId="31" xfId="0" applyFont="1" applyBorder="1" applyAlignment="1" applyProtection="1">
      <alignment horizontal="center" vertical="center" wrapText="1"/>
      <protection hidden="1"/>
    </xf>
    <xf numFmtId="0" fontId="147" fillId="0" borderId="11" xfId="0" applyFont="1" applyBorder="1" applyAlignment="1" applyProtection="1">
      <alignment horizontal="center" vertical="center" wrapText="1"/>
      <protection hidden="1"/>
    </xf>
    <xf numFmtId="0" fontId="99" fillId="9" borderId="0" xfId="0" applyFont="1" applyFill="1" applyAlignment="1" applyProtection="1">
      <alignment horizontal="center" vertical="center" shrinkToFit="1"/>
      <protection hidden="1"/>
    </xf>
    <xf numFmtId="0" fontId="99" fillId="18" borderId="0" xfId="0" applyFont="1" applyFill="1" applyAlignment="1" applyProtection="1">
      <alignment horizontal="center" vertical="center" shrinkToFit="1"/>
      <protection hidden="1"/>
    </xf>
    <xf numFmtId="0" fontId="51" fillId="0" borderId="11" xfId="0" applyFont="1" applyBorder="1" applyAlignment="1" applyProtection="1">
      <alignment horizontal="right" vertical="center" shrinkToFit="1"/>
      <protection hidden="1"/>
    </xf>
    <xf numFmtId="0" fontId="39" fillId="0" borderId="110" xfId="0" applyFont="1" applyBorder="1" applyAlignment="1" applyProtection="1">
      <alignment horizontal="center" vertical="center" wrapText="1"/>
      <protection hidden="1"/>
    </xf>
    <xf numFmtId="0" fontId="39" fillId="0" borderId="135" xfId="0" applyFont="1" applyBorder="1" applyAlignment="1" applyProtection="1">
      <alignment horizontal="center" vertical="center" wrapText="1"/>
      <protection hidden="1"/>
    </xf>
    <xf numFmtId="0" fontId="39" fillId="0" borderId="57" xfId="0" applyFont="1" applyBorder="1" applyAlignment="1" applyProtection="1">
      <alignment horizontal="center" vertical="center" wrapText="1"/>
      <protection hidden="1"/>
    </xf>
    <xf numFmtId="0" fontId="39" fillId="0" borderId="22" xfId="0" applyFont="1" applyBorder="1" applyAlignment="1" applyProtection="1">
      <alignment horizontal="center" vertical="center" wrapText="1"/>
      <protection hidden="1"/>
    </xf>
    <xf numFmtId="0" fontId="51" fillId="0" borderId="30" xfId="0" applyFont="1" applyBorder="1" applyAlignment="1" applyProtection="1">
      <alignment horizontal="right" vertical="center" shrinkToFit="1"/>
      <protection hidden="1"/>
    </xf>
    <xf numFmtId="0" fontId="39" fillId="0" borderId="0" xfId="0" applyFont="1" applyAlignment="1" applyProtection="1">
      <alignment horizontal="center" vertical="center" wrapText="1"/>
      <protection hidden="1"/>
    </xf>
    <xf numFmtId="0" fontId="39" fillId="0" borderId="109" xfId="0" applyFont="1" applyBorder="1" applyAlignment="1" applyProtection="1">
      <alignment horizontal="center" vertical="center" wrapText="1"/>
      <protection hidden="1"/>
    </xf>
    <xf numFmtId="0" fontId="39" fillId="0" borderId="35" xfId="0" applyFont="1" applyBorder="1" applyAlignment="1" applyProtection="1">
      <alignment horizontal="center" vertical="center" wrapText="1"/>
      <protection hidden="1"/>
    </xf>
    <xf numFmtId="0" fontId="147" fillId="0" borderId="0" xfId="0" applyFont="1" applyAlignment="1" applyProtection="1">
      <alignment horizontal="center" vertical="center" wrapText="1"/>
      <protection hidden="1"/>
    </xf>
    <xf numFmtId="0" fontId="23" fillId="22" borderId="19" xfId="0" applyFont="1" applyFill="1" applyBorder="1" applyAlignment="1" applyProtection="1">
      <alignment horizontal="center" vertical="center" shrinkToFit="1"/>
      <protection hidden="1"/>
    </xf>
    <xf numFmtId="0" fontId="80" fillId="0" borderId="53" xfId="0" applyFont="1" applyBorder="1" applyAlignment="1" applyProtection="1">
      <alignment horizontal="center" vertical="center" shrinkToFit="1"/>
      <protection hidden="1"/>
    </xf>
    <xf numFmtId="0" fontId="80" fillId="0" borderId="31" xfId="0" applyFont="1" applyBorder="1" applyAlignment="1" applyProtection="1">
      <alignment horizontal="center" vertical="center" shrinkToFit="1"/>
      <protection hidden="1"/>
    </xf>
    <xf numFmtId="0" fontId="23" fillId="23" borderId="11" xfId="0" applyFont="1" applyFill="1" applyBorder="1" applyAlignment="1" applyProtection="1">
      <alignment horizontal="center" vertical="center" shrinkToFit="1"/>
      <protection hidden="1"/>
    </xf>
    <xf numFmtId="0" fontId="80" fillId="0" borderId="11" xfId="0" applyFont="1" applyBorder="1" applyAlignment="1" applyProtection="1">
      <alignment horizontal="center" vertical="center" shrinkToFit="1"/>
      <protection hidden="1"/>
    </xf>
    <xf numFmtId="0" fontId="80" fillId="0" borderId="51" xfId="0" applyFont="1" applyBorder="1" applyAlignment="1" applyProtection="1">
      <alignment horizontal="center" vertical="center" shrinkToFit="1"/>
      <protection hidden="1"/>
    </xf>
    <xf numFmtId="0" fontId="23" fillId="32" borderId="11" xfId="0" applyFont="1" applyFill="1" applyBorder="1" applyAlignment="1" applyProtection="1">
      <alignment horizontal="center" vertical="center" shrinkToFit="1"/>
      <protection hidden="1"/>
    </xf>
    <xf numFmtId="0" fontId="80" fillId="0" borderId="57" xfId="0" applyFont="1" applyBorder="1" applyAlignment="1" applyProtection="1">
      <alignment horizontal="center" vertical="center" shrinkToFit="1"/>
      <protection hidden="1"/>
    </xf>
    <xf numFmtId="0" fontId="80" fillId="0" borderId="95" xfId="0" applyFont="1" applyBorder="1" applyAlignment="1" applyProtection="1">
      <alignment horizontal="center" vertical="center" shrinkToFit="1"/>
      <protection hidden="1"/>
    </xf>
    <xf numFmtId="0" fontId="23" fillId="3" borderId="11" xfId="0" applyFont="1" applyFill="1" applyBorder="1" applyAlignment="1" applyProtection="1">
      <alignment horizontal="center" vertical="center" shrinkToFit="1"/>
      <protection hidden="1"/>
    </xf>
    <xf numFmtId="0" fontId="80" fillId="0" borderId="0" xfId="0" applyFont="1" applyAlignment="1" applyProtection="1">
      <alignment horizontal="center" vertical="center" shrinkToFit="1"/>
      <protection hidden="1"/>
    </xf>
    <xf numFmtId="0" fontId="150" fillId="0" borderId="0" xfId="0" applyFont="1" applyAlignment="1" applyProtection="1">
      <alignment horizontal="center" vertical="center" wrapText="1"/>
      <protection hidden="1"/>
    </xf>
    <xf numFmtId="0" fontId="151" fillId="0" borderId="0" xfId="0" applyFont="1" applyAlignment="1" applyProtection="1">
      <alignment vertical="center" wrapText="1"/>
      <protection hidden="1"/>
    </xf>
    <xf numFmtId="0" fontId="151" fillId="0" borderId="0" xfId="0" applyFont="1" applyAlignment="1" applyProtection="1">
      <alignment horizontal="center" vertical="center" wrapText="1"/>
      <protection hidden="1"/>
    </xf>
    <xf numFmtId="0" fontId="57" fillId="0" borderId="0" xfId="0" applyFont="1" applyAlignment="1" applyProtection="1">
      <alignment horizontal="center" vertical="center" shrinkToFit="1"/>
      <protection hidden="1"/>
    </xf>
    <xf numFmtId="0" fontId="71" fillId="9" borderId="0" xfId="0" applyFont="1" applyFill="1" applyAlignment="1" applyProtection="1">
      <alignment horizontal="center" vertical="center" wrapText="1"/>
      <protection hidden="1"/>
    </xf>
    <xf numFmtId="0" fontId="152" fillId="9" borderId="14" xfId="0" applyFont="1" applyFill="1" applyBorder="1" applyAlignment="1" applyProtection="1">
      <alignment horizontal="left" vertical="top" wrapText="1"/>
      <protection hidden="1"/>
    </xf>
    <xf numFmtId="0" fontId="153" fillId="9" borderId="14" xfId="0" applyFont="1" applyFill="1" applyBorder="1" applyAlignment="1" applyProtection="1">
      <alignment horizontal="left" vertical="top" wrapText="1"/>
      <protection hidden="1"/>
    </xf>
    <xf numFmtId="0" fontId="152" fillId="9" borderId="0" xfId="0" applyFont="1" applyFill="1" applyAlignment="1" applyProtection="1">
      <alignment horizontal="left" vertical="top" wrapText="1"/>
      <protection hidden="1"/>
    </xf>
    <xf numFmtId="0" fontId="153" fillId="9" borderId="0" xfId="0" applyFont="1" applyFill="1" applyAlignment="1" applyProtection="1">
      <alignment horizontal="left" vertical="top" wrapText="1"/>
      <protection hidden="1"/>
    </xf>
    <xf numFmtId="0" fontId="154" fillId="9" borderId="50" xfId="0" applyFont="1" applyFill="1" applyBorder="1" applyAlignment="1" applyProtection="1">
      <alignment horizontal="center" vertical="top" wrapText="1"/>
      <protection hidden="1"/>
    </xf>
    <xf numFmtId="0" fontId="153" fillId="9" borderId="50" xfId="0" applyFont="1" applyFill="1" applyBorder="1" applyAlignment="1" applyProtection="1">
      <alignment horizontal="left" vertical="top" wrapText="1"/>
      <protection hidden="1"/>
    </xf>
    <xf numFmtId="0" fontId="152" fillId="9" borderId="50" xfId="0" applyFont="1" applyFill="1" applyBorder="1" applyAlignment="1" applyProtection="1">
      <alignment horizontal="left" vertical="top" wrapText="1"/>
      <protection hidden="1"/>
    </xf>
    <xf numFmtId="0" fontId="154" fillId="0" borderId="50" xfId="0" applyFont="1" applyBorder="1" applyAlignment="1" applyProtection="1">
      <alignment horizontal="center" vertical="top" wrapText="1"/>
      <protection hidden="1"/>
    </xf>
    <xf numFmtId="0" fontId="108" fillId="0" borderId="50" xfId="0" applyFont="1" applyBorder="1" applyAlignment="1" applyProtection="1">
      <alignment vertical="top" wrapText="1"/>
      <protection hidden="1"/>
    </xf>
    <xf numFmtId="0" fontId="108" fillId="0" borderId="50" xfId="0" applyFont="1" applyBorder="1" applyAlignment="1" applyProtection="1">
      <alignment horizontal="center" vertical="top" wrapText="1"/>
      <protection hidden="1"/>
    </xf>
    <xf numFmtId="0" fontId="20" fillId="0" borderId="0" xfId="0" applyFont="1" applyAlignment="1" applyProtection="1">
      <alignment horizontal="left" vertical="top" wrapText="1"/>
      <protection hidden="1"/>
    </xf>
    <xf numFmtId="0" fontId="148" fillId="3" borderId="4" xfId="0" applyFont="1" applyFill="1" applyBorder="1" applyAlignment="1" applyProtection="1">
      <alignment horizontal="center" vertical="center" wrapText="1"/>
      <protection hidden="1"/>
    </xf>
    <xf numFmtId="0" fontId="148" fillId="3" borderId="1" xfId="0" applyFont="1" applyFill="1" applyBorder="1" applyAlignment="1" applyProtection="1">
      <alignment horizontal="center" vertical="center" wrapText="1"/>
      <protection hidden="1"/>
    </xf>
    <xf numFmtId="0" fontId="148" fillId="3" borderId="0" xfId="0" applyFont="1" applyFill="1" applyAlignment="1" applyProtection="1">
      <alignment horizontal="center" vertical="center" wrapText="1"/>
      <protection hidden="1"/>
    </xf>
    <xf numFmtId="0" fontId="156" fillId="9" borderId="0" xfId="0" applyFont="1" applyFill="1" applyAlignment="1" applyProtection="1">
      <alignment horizontal="center" vertical="center" wrapText="1"/>
      <protection hidden="1"/>
    </xf>
    <xf numFmtId="0" fontId="71" fillId="9" borderId="0" xfId="0" applyFont="1" applyFill="1" applyAlignment="1" applyProtection="1">
      <alignment vertical="center" wrapText="1"/>
      <protection hidden="1"/>
    </xf>
    <xf numFmtId="0" fontId="71" fillId="2" borderId="0" xfId="0" applyFont="1" applyFill="1" applyAlignment="1" applyProtection="1">
      <alignment horizontal="center" vertical="center" wrapText="1"/>
      <protection hidden="1"/>
    </xf>
    <xf numFmtId="0" fontId="99" fillId="2" borderId="0" xfId="0" applyFont="1" applyFill="1" applyAlignment="1" applyProtection="1">
      <alignment horizontal="center" vertical="center" wrapText="1"/>
      <protection hidden="1"/>
    </xf>
    <xf numFmtId="0" fontId="158" fillId="2" borderId="0" xfId="0" applyFont="1" applyFill="1" applyAlignment="1" applyProtection="1">
      <alignment horizontal="center" vertical="center" wrapText="1"/>
      <protection hidden="1"/>
    </xf>
    <xf numFmtId="0" fontId="159" fillId="2" borderId="0" xfId="0" applyFont="1" applyFill="1" applyAlignment="1" applyProtection="1">
      <alignment horizontal="center" vertical="center" wrapText="1"/>
      <protection hidden="1"/>
    </xf>
    <xf numFmtId="0" fontId="154" fillId="9" borderId="0" xfId="0" applyFont="1" applyFill="1" applyAlignment="1" applyProtection="1">
      <alignment horizontal="center" vertical="center" wrapText="1"/>
      <protection hidden="1"/>
    </xf>
    <xf numFmtId="0" fontId="108" fillId="9" borderId="0" xfId="0" applyFont="1" applyFill="1" applyAlignment="1" applyProtection="1">
      <alignment vertical="center" wrapText="1"/>
      <protection hidden="1"/>
    </xf>
    <xf numFmtId="0" fontId="108" fillId="9" borderId="0" xfId="0" applyFont="1" applyFill="1" applyAlignment="1" applyProtection="1">
      <alignment horizontal="center" vertical="center" wrapText="1"/>
      <protection hidden="1"/>
    </xf>
    <xf numFmtId="0" fontId="154" fillId="18" borderId="0" xfId="0" applyFont="1" applyFill="1" applyAlignment="1" applyProtection="1">
      <alignment horizontal="center" vertical="center" wrapText="1"/>
      <protection hidden="1"/>
    </xf>
    <xf numFmtId="0" fontId="158" fillId="3" borderId="122" xfId="0" applyFont="1" applyFill="1" applyBorder="1" applyAlignment="1" applyProtection="1">
      <alignment horizontal="center" vertical="center" wrapText="1"/>
      <protection hidden="1"/>
    </xf>
    <xf numFmtId="0" fontId="159" fillId="3" borderId="55" xfId="0" applyFont="1" applyFill="1" applyBorder="1" applyAlignment="1" applyProtection="1">
      <alignment horizontal="center" vertical="center" wrapText="1"/>
      <protection hidden="1"/>
    </xf>
    <xf numFmtId="0" fontId="159" fillId="3" borderId="58" xfId="0" applyFont="1" applyFill="1" applyBorder="1" applyAlignment="1" applyProtection="1">
      <alignment horizontal="center" vertical="center" wrapText="1"/>
      <protection hidden="1"/>
    </xf>
    <xf numFmtId="0" fontId="99" fillId="9" borderId="11" xfId="0" applyFont="1" applyFill="1" applyBorder="1" applyAlignment="1" applyProtection="1">
      <alignment horizontal="center" vertical="center" wrapText="1"/>
      <protection hidden="1"/>
    </xf>
    <xf numFmtId="0" fontId="71" fillId="18" borderId="0" xfId="0" applyFont="1" applyFill="1" applyAlignment="1" applyProtection="1">
      <alignment vertical="center" wrapText="1"/>
      <protection hidden="1"/>
    </xf>
    <xf numFmtId="0" fontId="71" fillId="18" borderId="0" xfId="0" applyFont="1" applyFill="1" applyAlignment="1" applyProtection="1">
      <alignment horizontal="center" vertical="center" wrapText="1"/>
      <protection hidden="1"/>
    </xf>
    <xf numFmtId="0" fontId="154" fillId="18" borderId="11" xfId="0" applyFont="1" applyFill="1" applyBorder="1" applyAlignment="1" applyProtection="1">
      <alignment horizontal="center" vertical="center" wrapText="1"/>
      <protection hidden="1"/>
    </xf>
    <xf numFmtId="0" fontId="108" fillId="18" borderId="11" xfId="0" applyFont="1" applyFill="1" applyBorder="1" applyAlignment="1" applyProtection="1">
      <alignment horizontal="center" vertical="center" wrapText="1"/>
      <protection hidden="1"/>
    </xf>
    <xf numFmtId="167" fontId="71" fillId="18" borderId="11" xfId="0" applyNumberFormat="1" applyFont="1" applyFill="1" applyBorder="1" applyAlignment="1" applyProtection="1">
      <alignment horizontal="center" vertical="center" wrapText="1"/>
      <protection hidden="1"/>
    </xf>
    <xf numFmtId="167" fontId="160" fillId="18" borderId="11" xfId="0" applyNumberFormat="1" applyFont="1" applyFill="1" applyBorder="1" applyAlignment="1" applyProtection="1">
      <alignment horizontal="center" vertical="center" wrapText="1"/>
      <protection hidden="1"/>
    </xf>
    <xf numFmtId="0" fontId="99" fillId="0" borderId="0" xfId="0" applyFont="1" applyAlignment="1" applyProtection="1">
      <alignment horizontal="left" vertical="center" wrapText="1"/>
      <protection hidden="1"/>
    </xf>
    <xf numFmtId="0" fontId="49" fillId="18" borderId="149" xfId="1" applyFont="1" applyFill="1" applyBorder="1" applyAlignment="1" applyProtection="1">
      <alignment horizontal="center" vertical="center" wrapText="1"/>
      <protection hidden="1"/>
    </xf>
    <xf numFmtId="0" fontId="49" fillId="18" borderId="149" xfId="1" applyFont="1" applyFill="1" applyBorder="1" applyAlignment="1" applyProtection="1">
      <alignment horizontal="center" vertical="center" wrapText="1"/>
    </xf>
    <xf numFmtId="0" fontId="49" fillId="18" borderId="0" xfId="1" applyFont="1" applyFill="1" applyBorder="1" applyAlignment="1" applyProtection="1">
      <alignment horizontal="center" vertical="center"/>
      <protection hidden="1"/>
    </xf>
    <xf numFmtId="0" fontId="53" fillId="18" borderId="0" xfId="1" applyFont="1" applyFill="1" applyBorder="1" applyAlignment="1" applyProtection="1">
      <alignment horizontal="center" vertical="center"/>
      <protection hidden="1"/>
    </xf>
    <xf numFmtId="0" fontId="53" fillId="18" borderId="1" xfId="1" applyFont="1" applyFill="1" applyBorder="1" applyAlignment="1" applyProtection="1">
      <alignment horizontal="center" vertical="center"/>
      <protection hidden="1"/>
    </xf>
    <xf numFmtId="0" fontId="54" fillId="4" borderId="0" xfId="1" applyFont="1" applyFill="1" applyBorder="1" applyAlignment="1" applyProtection="1">
      <alignment horizontal="center" vertical="center" wrapText="1"/>
      <protection hidden="1"/>
    </xf>
    <xf numFmtId="0" fontId="132" fillId="0" borderId="51" xfId="0" applyFont="1" applyBorder="1" applyAlignment="1" applyProtection="1">
      <alignment horizontal="center" vertical="center" wrapText="1"/>
      <protection hidden="1"/>
    </xf>
    <xf numFmtId="0" fontId="132" fillId="0" borderId="11" xfId="0" applyFont="1" applyBorder="1" applyAlignment="1" applyProtection="1">
      <alignment horizontal="center" vertical="center" wrapText="1"/>
      <protection hidden="1"/>
    </xf>
    <xf numFmtId="0" fontId="162" fillId="3" borderId="30" xfId="0" applyFont="1" applyFill="1" applyBorder="1" applyAlignment="1" applyProtection="1">
      <alignment horizontal="center" vertical="center" wrapText="1"/>
      <protection hidden="1"/>
    </xf>
    <xf numFmtId="0" fontId="142" fillId="3" borderId="11" xfId="0" applyFont="1" applyFill="1" applyBorder="1" applyAlignment="1" applyProtection="1">
      <alignment horizontal="center" vertical="center" wrapText="1"/>
      <protection hidden="1"/>
    </xf>
    <xf numFmtId="0" fontId="142" fillId="3" borderId="11" xfId="0" applyFont="1" applyFill="1" applyBorder="1" applyAlignment="1" applyProtection="1">
      <alignment horizontal="center" vertical="center" shrinkToFit="1"/>
      <protection hidden="1"/>
    </xf>
    <xf numFmtId="0" fontId="140" fillId="0" borderId="5" xfId="0" applyFont="1" applyBorder="1" applyAlignment="1" applyProtection="1">
      <alignment horizontal="left" vertical="center" wrapText="1"/>
      <protection hidden="1"/>
    </xf>
    <xf numFmtId="0" fontId="140" fillId="3" borderId="7" xfId="0" applyFont="1" applyFill="1" applyBorder="1" applyAlignment="1" applyProtection="1">
      <alignment horizontal="left" vertical="center" shrinkToFit="1"/>
      <protection hidden="1"/>
    </xf>
    <xf numFmtId="0" fontId="138" fillId="0" borderId="51" xfId="0" applyFont="1" applyBorder="1" applyAlignment="1" applyProtection="1">
      <alignment horizontal="center" vertical="center" wrapText="1"/>
      <protection hidden="1"/>
    </xf>
    <xf numFmtId="0" fontId="138" fillId="0" borderId="11" xfId="0" applyFont="1" applyBorder="1" applyAlignment="1" applyProtection="1">
      <alignment horizontal="center" vertical="center" wrapText="1"/>
      <protection hidden="1"/>
    </xf>
    <xf numFmtId="0" fontId="162" fillId="3" borderId="108" xfId="0" applyFont="1" applyFill="1" applyBorder="1" applyAlignment="1" applyProtection="1">
      <alignment horizontal="center" vertical="center" wrapText="1"/>
      <protection hidden="1"/>
    </xf>
    <xf numFmtId="0" fontId="140" fillId="0" borderId="1" xfId="0" applyFont="1" applyBorder="1" applyAlignment="1" applyProtection="1">
      <alignment horizontal="left" vertical="center" shrinkToFit="1"/>
      <protection hidden="1"/>
    </xf>
    <xf numFmtId="0" fontId="140" fillId="3" borderId="36" xfId="0" applyFont="1" applyFill="1" applyBorder="1" applyAlignment="1" applyProtection="1">
      <alignment horizontal="left" vertical="center" shrinkToFit="1"/>
      <protection hidden="1"/>
    </xf>
    <xf numFmtId="0" fontId="138" fillId="0" borderId="51" xfId="0" applyFont="1" applyBorder="1" applyAlignment="1" applyProtection="1">
      <alignment horizontal="center" vertical="center" shrinkToFit="1"/>
      <protection hidden="1"/>
    </xf>
    <xf numFmtId="0" fontId="138" fillId="0" borderId="11" xfId="0" applyFont="1" applyBorder="1" applyAlignment="1" applyProtection="1">
      <alignment horizontal="center" vertical="center" shrinkToFit="1"/>
      <protection hidden="1"/>
    </xf>
    <xf numFmtId="0" fontId="57" fillId="3" borderId="0" xfId="0" applyFont="1" applyFill="1" applyAlignment="1" applyProtection="1">
      <alignment horizontal="right" vertical="center" wrapText="1"/>
      <protection hidden="1"/>
    </xf>
    <xf numFmtId="0" fontId="57" fillId="3" borderId="21" xfId="0" applyFont="1" applyFill="1" applyBorder="1" applyAlignment="1" applyProtection="1">
      <alignment horizontal="right" vertical="center" wrapText="1"/>
      <protection hidden="1"/>
    </xf>
    <xf numFmtId="0" fontId="57" fillId="0" borderId="0" xfId="0" applyFont="1" applyAlignment="1" applyProtection="1">
      <alignment horizontal="right" vertical="center" wrapText="1"/>
      <protection hidden="1"/>
    </xf>
    <xf numFmtId="0" fontId="163" fillId="3" borderId="108" xfId="0" applyFont="1" applyFill="1" applyBorder="1" applyAlignment="1" applyProtection="1">
      <alignment horizontal="center" vertical="center" wrapText="1"/>
      <protection hidden="1"/>
    </xf>
    <xf numFmtId="0" fontId="162" fillId="3" borderId="31" xfId="0" applyFont="1" applyFill="1" applyBorder="1" applyAlignment="1" applyProtection="1">
      <alignment horizontal="center" vertical="center" wrapText="1"/>
      <protection hidden="1"/>
    </xf>
    <xf numFmtId="0" fontId="1" fillId="0" borderId="15" xfId="0" applyFont="1" applyBorder="1" applyAlignment="1" applyProtection="1">
      <alignment horizontal="center" vertical="center" shrinkToFit="1"/>
      <protection hidden="1"/>
    </xf>
    <xf numFmtId="0" fontId="103" fillId="0" borderId="20" xfId="0" applyFont="1" applyBorder="1" applyAlignment="1" applyProtection="1">
      <alignment horizontal="center" vertical="center" wrapText="1"/>
      <protection hidden="1"/>
    </xf>
    <xf numFmtId="167" fontId="20" fillId="13" borderId="18" xfId="0" applyNumberFormat="1" applyFont="1" applyFill="1" applyBorder="1" applyAlignment="1" applyProtection="1">
      <alignment horizontal="center" vertical="center" wrapText="1"/>
      <protection hidden="1"/>
    </xf>
    <xf numFmtId="167" fontId="20" fillId="13" borderId="19" xfId="0" applyNumberFormat="1" applyFont="1" applyFill="1" applyBorder="1" applyAlignment="1" applyProtection="1">
      <alignment horizontal="center" vertical="center" wrapText="1"/>
      <protection hidden="1"/>
    </xf>
    <xf numFmtId="0" fontId="20" fillId="0" borderId="122" xfId="0" applyFont="1" applyBorder="1" applyAlignment="1" applyProtection="1">
      <alignment horizontal="center" vertical="center" wrapText="1"/>
      <protection hidden="1"/>
    </xf>
    <xf numFmtId="167" fontId="39" fillId="13" borderId="123" xfId="0" applyNumberFormat="1" applyFont="1" applyFill="1" applyBorder="1" applyAlignment="1" applyProtection="1">
      <alignment horizontal="center" vertical="center" wrapText="1"/>
      <protection hidden="1"/>
    </xf>
    <xf numFmtId="0" fontId="51" fillId="39" borderId="4" xfId="0" applyFont="1" applyFill="1" applyBorder="1" applyAlignment="1" applyProtection="1">
      <alignment horizontal="left" vertical="top" wrapText="1"/>
      <protection hidden="1"/>
    </xf>
    <xf numFmtId="0" fontId="51" fillId="0" borderId="49" xfId="0" applyFont="1" applyBorder="1" applyAlignment="1" applyProtection="1">
      <alignment horizontal="center" vertical="center" wrapText="1"/>
      <protection hidden="1"/>
    </xf>
    <xf numFmtId="0" fontId="51" fillId="39" borderId="0" xfId="0" applyFont="1" applyFill="1" applyAlignment="1" applyProtection="1">
      <alignment horizontal="left" vertical="top" wrapText="1"/>
      <protection hidden="1"/>
    </xf>
    <xf numFmtId="0" fontId="51" fillId="0" borderId="88" xfId="0" applyFont="1" applyBorder="1" applyAlignment="1" applyProtection="1">
      <alignment horizontal="center" vertical="center" shrinkToFit="1"/>
      <protection hidden="1"/>
    </xf>
    <xf numFmtId="0" fontId="51" fillId="0" borderId="110" xfId="0" applyFont="1" applyBorder="1" applyAlignment="1" applyProtection="1">
      <alignment horizontal="center" vertical="center" shrinkToFit="1"/>
      <protection hidden="1"/>
    </xf>
    <xf numFmtId="0" fontId="51" fillId="0" borderId="20" xfId="0" applyFont="1" applyBorder="1" applyAlignment="1" applyProtection="1">
      <alignment horizontal="left" vertical="center" shrinkToFit="1"/>
      <protection hidden="1"/>
    </xf>
    <xf numFmtId="0" fontId="51" fillId="0" borderId="109" xfId="0" applyFont="1" applyBorder="1" applyAlignment="1" applyProtection="1">
      <alignment horizontal="center" vertical="center" shrinkToFit="1"/>
      <protection hidden="1"/>
    </xf>
    <xf numFmtId="0" fontId="51" fillId="0" borderId="49" xfId="0" applyFont="1" applyBorder="1" applyAlignment="1" applyProtection="1">
      <alignment horizontal="left" vertical="center" shrinkToFit="1"/>
      <protection hidden="1"/>
    </xf>
    <xf numFmtId="167" fontId="39" fillId="13" borderId="51" xfId="0" applyNumberFormat="1" applyFont="1" applyFill="1" applyBorder="1" applyAlignment="1" applyProtection="1">
      <alignment horizontal="center" vertical="center" wrapText="1"/>
      <protection hidden="1"/>
    </xf>
    <xf numFmtId="167" fontId="39" fillId="13" borderId="53" xfId="0" applyNumberFormat="1" applyFont="1" applyFill="1" applyBorder="1" applyAlignment="1" applyProtection="1">
      <alignment horizontal="center" vertical="center" wrapText="1"/>
      <protection hidden="1"/>
    </xf>
    <xf numFmtId="0" fontId="51" fillId="0" borderId="49" xfId="0" applyFont="1" applyBorder="1" applyAlignment="1" applyProtection="1">
      <alignment horizontal="right" vertical="center" shrinkToFit="1"/>
      <protection hidden="1"/>
    </xf>
    <xf numFmtId="0" fontId="51" fillId="0" borderId="88" xfId="0" applyFont="1" applyBorder="1" applyAlignment="1" applyProtection="1">
      <alignment horizontal="right" vertical="center" shrinkToFit="1"/>
      <protection hidden="1"/>
    </xf>
    <xf numFmtId="0" fontId="80" fillId="0" borderId="56" xfId="0" applyFont="1" applyBorder="1" applyAlignment="1" applyProtection="1">
      <alignment horizontal="center" vertical="center" shrinkToFit="1"/>
      <protection hidden="1"/>
    </xf>
    <xf numFmtId="0" fontId="80" fillId="0" borderId="30" xfId="0" applyFont="1" applyBorder="1" applyAlignment="1" applyProtection="1">
      <alignment horizontal="center" vertical="center" shrinkToFit="1"/>
      <protection hidden="1"/>
    </xf>
    <xf numFmtId="0" fontId="23" fillId="3" borderId="95" xfId="0" applyFont="1" applyFill="1" applyBorder="1" applyAlignment="1" applyProtection="1">
      <alignment horizontal="center" vertical="center" shrinkToFit="1"/>
      <protection hidden="1"/>
    </xf>
    <xf numFmtId="0" fontId="148" fillId="3" borderId="10" xfId="0" applyFont="1" applyFill="1" applyBorder="1" applyAlignment="1" applyProtection="1">
      <alignment horizontal="center" vertical="center" wrapText="1"/>
      <protection hidden="1"/>
    </xf>
    <xf numFmtId="0" fontId="148" fillId="3" borderId="36" xfId="0" applyFont="1" applyFill="1" applyBorder="1" applyAlignment="1" applyProtection="1">
      <alignment horizontal="center" vertical="center" wrapText="1"/>
      <protection hidden="1"/>
    </xf>
    <xf numFmtId="0" fontId="99" fillId="18" borderId="0" xfId="0" applyFont="1" applyFill="1" applyAlignment="1" applyProtection="1">
      <alignment horizontal="left" vertical="center" wrapText="1"/>
      <protection hidden="1"/>
    </xf>
    <xf numFmtId="0" fontId="99" fillId="9" borderId="0" xfId="0" applyFont="1" applyFill="1" applyAlignment="1" applyProtection="1">
      <alignment horizontal="left" vertical="center" wrapText="1"/>
      <protection hidden="1"/>
    </xf>
    <xf numFmtId="0" fontId="154" fillId="0" borderId="11" xfId="0" applyFont="1" applyBorder="1" applyAlignment="1" applyProtection="1">
      <alignment horizontal="center" vertical="center" wrapText="1"/>
      <protection hidden="1"/>
    </xf>
    <xf numFmtId="167" fontId="71" fillId="0" borderId="11" xfId="0" applyNumberFormat="1" applyFont="1" applyBorder="1" applyAlignment="1" applyProtection="1">
      <alignment horizontal="center" vertical="center" wrapText="1"/>
      <protection hidden="1"/>
    </xf>
    <xf numFmtId="167" fontId="160" fillId="0" borderId="11" xfId="0" applyNumberFormat="1" applyFont="1" applyBorder="1" applyAlignment="1" applyProtection="1">
      <alignment horizontal="center" vertical="center" wrapText="1"/>
      <protection hidden="1"/>
    </xf>
    <xf numFmtId="0" fontId="54" fillId="46" borderId="0" xfId="1" applyFont="1" applyFill="1" applyBorder="1" applyAlignment="1" applyProtection="1">
      <alignment horizontal="center" vertical="center"/>
      <protection hidden="1"/>
    </xf>
    <xf numFmtId="0" fontId="49" fillId="18" borderId="149" xfId="1" applyFont="1" applyFill="1" applyBorder="1" applyAlignment="1" applyProtection="1">
      <alignment horizontal="center" vertical="center"/>
      <protection hidden="1"/>
    </xf>
    <xf numFmtId="0" fontId="165" fillId="2" borderId="0" xfId="1" applyFont="1" applyFill="1" applyBorder="1" applyAlignment="1" applyProtection="1">
      <alignment horizontal="center" vertical="center" wrapText="1"/>
      <protection hidden="1"/>
    </xf>
    <xf numFmtId="0" fontId="166" fillId="3" borderId="0" xfId="0" applyFont="1" applyFill="1" applyAlignment="1" applyProtection="1">
      <alignment horizontal="center" vertical="top" wrapText="1"/>
      <protection hidden="1"/>
    </xf>
    <xf numFmtId="0" fontId="132" fillId="0" borderId="1" xfId="0" applyFont="1" applyBorder="1" applyAlignment="1" applyProtection="1">
      <alignment horizontal="center" vertical="center" wrapText="1"/>
      <protection hidden="1"/>
    </xf>
    <xf numFmtId="0" fontId="166" fillId="3" borderId="0" xfId="0" applyFont="1" applyFill="1" applyAlignment="1" applyProtection="1">
      <alignment horizontal="right" vertical="top" wrapText="1"/>
      <protection hidden="1"/>
    </xf>
    <xf numFmtId="0" fontId="20" fillId="0" borderId="5" xfId="0" applyFont="1" applyBorder="1" applyAlignment="1" applyProtection="1">
      <alignment horizontal="center" vertical="center" shrinkToFit="1"/>
      <protection hidden="1"/>
    </xf>
    <xf numFmtId="0" fontId="85" fillId="0" borderId="7" xfId="0" applyFont="1" applyBorder="1" applyAlignment="1" applyProtection="1">
      <alignment horizontal="left" vertical="center" shrinkToFit="1"/>
      <protection hidden="1"/>
    </xf>
    <xf numFmtId="0" fontId="85" fillId="3" borderId="7" xfId="0" applyFont="1" applyFill="1" applyBorder="1" applyAlignment="1" applyProtection="1">
      <alignment horizontal="left" vertical="center" shrinkToFit="1"/>
      <protection hidden="1"/>
    </xf>
    <xf numFmtId="0" fontId="20" fillId="0" borderId="1" xfId="0" applyFont="1" applyBorder="1" applyAlignment="1" applyProtection="1">
      <alignment horizontal="center" vertical="center" shrinkToFit="1"/>
      <protection hidden="1"/>
    </xf>
    <xf numFmtId="0" fontId="85" fillId="3" borderId="151" xfId="0" applyFont="1" applyFill="1" applyBorder="1" applyAlignment="1" applyProtection="1">
      <alignment horizontal="left" vertical="center" shrinkToFit="1"/>
      <protection hidden="1"/>
    </xf>
    <xf numFmtId="0" fontId="57" fillId="0" borderId="10" xfId="0" applyFont="1" applyBorder="1" applyAlignment="1" applyProtection="1">
      <alignment horizontal="right" vertical="center" wrapText="1"/>
      <protection hidden="1"/>
    </xf>
    <xf numFmtId="0" fontId="167" fillId="0" borderId="36" xfId="0" applyFont="1" applyBorder="1" applyAlignment="1" applyProtection="1">
      <alignment horizontal="center" vertical="center" wrapText="1"/>
      <protection hidden="1"/>
    </xf>
    <xf numFmtId="0" fontId="168" fillId="0" borderId="1" xfId="0" applyFont="1" applyBorder="1" applyAlignment="1" applyProtection="1">
      <alignment horizontal="center" vertical="center" wrapText="1"/>
      <protection hidden="1"/>
    </xf>
    <xf numFmtId="0" fontId="166" fillId="3" borderId="1" xfId="0" applyFont="1" applyFill="1" applyBorder="1" applyAlignment="1" applyProtection="1">
      <alignment horizontal="center" vertical="center" wrapText="1"/>
      <protection hidden="1"/>
    </xf>
    <xf numFmtId="0" fontId="20" fillId="0" borderId="36" xfId="0" applyFont="1" applyBorder="1" applyAlignment="1" applyProtection="1">
      <alignment horizontal="center" vertical="center" wrapText="1"/>
      <protection hidden="1"/>
    </xf>
    <xf numFmtId="0" fontId="170" fillId="0" borderId="10" xfId="0" applyFont="1" applyBorder="1" applyAlignment="1" applyProtection="1">
      <alignment horizontal="center" vertical="center" wrapText="1"/>
      <protection hidden="1"/>
    </xf>
    <xf numFmtId="167" fontId="23" fillId="13" borderId="123" xfId="0" applyNumberFormat="1" applyFont="1" applyFill="1" applyBorder="1" applyAlignment="1" applyProtection="1">
      <alignment horizontal="center" vertical="center" wrapText="1"/>
      <protection hidden="1"/>
    </xf>
    <xf numFmtId="0" fontId="29" fillId="0" borderId="19" xfId="0" applyFont="1" applyBorder="1" applyAlignment="1" applyProtection="1">
      <alignment horizontal="center" vertical="center" wrapText="1"/>
      <protection hidden="1"/>
    </xf>
    <xf numFmtId="167" fontId="15" fillId="13" borderId="19" xfId="0" applyNumberFormat="1" applyFont="1" applyFill="1" applyBorder="1" applyAlignment="1" applyProtection="1">
      <alignment horizontal="center" vertical="center" wrapText="1"/>
      <protection hidden="1"/>
    </xf>
    <xf numFmtId="0" fontId="79" fillId="2" borderId="0" xfId="0" applyFont="1" applyFill="1"/>
    <xf numFmtId="0" fontId="99" fillId="2" borderId="0" xfId="0" applyFont="1" applyFill="1" applyAlignment="1" applyProtection="1">
      <alignment horizontal="center" vertical="center" shrinkToFit="1"/>
      <protection hidden="1"/>
    </xf>
    <xf numFmtId="0" fontId="172" fillId="47" borderId="123" xfId="0" applyFont="1" applyFill="1" applyBorder="1" applyAlignment="1" applyProtection="1">
      <alignment horizontal="center" vertical="center" wrapText="1"/>
      <protection hidden="1"/>
    </xf>
    <xf numFmtId="0" fontId="172" fillId="47" borderId="19" xfId="0" applyFont="1" applyFill="1" applyBorder="1" applyAlignment="1" applyProtection="1">
      <alignment horizontal="center" vertical="center" wrapText="1"/>
      <protection hidden="1"/>
    </xf>
    <xf numFmtId="0" fontId="172" fillId="47" borderId="51" xfId="0" applyFont="1" applyFill="1" applyBorder="1" applyAlignment="1" applyProtection="1">
      <alignment horizontal="center" vertical="center" wrapText="1"/>
      <protection hidden="1"/>
    </xf>
    <xf numFmtId="0" fontId="172" fillId="47" borderId="11" xfId="0" applyFont="1" applyFill="1" applyBorder="1" applyAlignment="1" applyProtection="1">
      <alignment horizontal="center" vertical="center" wrapText="1"/>
      <protection hidden="1"/>
    </xf>
    <xf numFmtId="0" fontId="174" fillId="47" borderId="51" xfId="0" applyFont="1" applyFill="1" applyBorder="1" applyAlignment="1" applyProtection="1">
      <alignment horizontal="center" vertical="center" wrapText="1"/>
      <protection hidden="1"/>
    </xf>
    <xf numFmtId="0" fontId="174" fillId="47" borderId="11" xfId="0" applyFont="1" applyFill="1" applyBorder="1" applyAlignment="1" applyProtection="1">
      <alignment horizontal="center" vertical="center" wrapText="1"/>
      <protection hidden="1"/>
    </xf>
    <xf numFmtId="0" fontId="57" fillId="3" borderId="11" xfId="0" applyFont="1" applyFill="1" applyBorder="1" applyAlignment="1" applyProtection="1">
      <alignment horizontal="center" vertical="center" shrinkToFit="1"/>
      <protection hidden="1"/>
    </xf>
    <xf numFmtId="0" fontId="172" fillId="47" borderId="57" xfId="0" applyFont="1" applyFill="1" applyBorder="1" applyAlignment="1" applyProtection="1">
      <alignment horizontal="center" vertical="center" wrapText="1"/>
      <protection hidden="1"/>
    </xf>
    <xf numFmtId="0" fontId="172" fillId="47" borderId="95" xfId="0" applyFont="1" applyFill="1" applyBorder="1" applyAlignment="1" applyProtection="1">
      <alignment horizontal="center" vertical="center" wrapText="1"/>
      <protection hidden="1"/>
    </xf>
    <xf numFmtId="0" fontId="57" fillId="3" borderId="95" xfId="0" applyFont="1" applyFill="1" applyBorder="1" applyAlignment="1" applyProtection="1">
      <alignment horizontal="center" vertical="center" shrinkToFit="1"/>
      <protection hidden="1"/>
    </xf>
    <xf numFmtId="0" fontId="154" fillId="0" borderId="0" xfId="0" applyFont="1" applyAlignment="1" applyProtection="1">
      <alignment horizontal="center" vertical="top" wrapText="1"/>
      <protection hidden="1"/>
    </xf>
    <xf numFmtId="0" fontId="23" fillId="0" borderId="0" xfId="0" applyFont="1" applyAlignment="1" applyProtection="1">
      <alignment horizontal="left" vertical="top" wrapText="1"/>
      <protection hidden="1"/>
    </xf>
    <xf numFmtId="0" fontId="103" fillId="3" borderId="21" xfId="0" applyFont="1" applyFill="1" applyBorder="1" applyAlignment="1" applyProtection="1">
      <alignment horizontal="center" vertical="center" wrapText="1"/>
      <protection hidden="1"/>
    </xf>
    <xf numFmtId="0" fontId="103" fillId="3" borderId="36" xfId="0" applyFont="1" applyFill="1" applyBorder="1" applyAlignment="1" applyProtection="1">
      <alignment horizontal="center" vertical="center" wrapText="1"/>
      <protection hidden="1"/>
    </xf>
    <xf numFmtId="0" fontId="103" fillId="3" borderId="10" xfId="0" applyFont="1" applyFill="1" applyBorder="1" applyAlignment="1" applyProtection="1">
      <alignment horizontal="center" vertical="center" wrapText="1"/>
      <protection hidden="1"/>
    </xf>
    <xf numFmtId="0" fontId="49" fillId="2" borderId="0" xfId="1" applyFont="1" applyFill="1" applyBorder="1" applyAlignment="1" applyProtection="1">
      <alignment horizontal="center" vertical="center" wrapText="1"/>
      <protection hidden="1"/>
    </xf>
    <xf numFmtId="0" fontId="99" fillId="2" borderId="0" xfId="0" applyFont="1" applyFill="1" applyAlignment="1" applyProtection="1">
      <alignment horizontal="left" vertical="center" wrapText="1"/>
      <protection hidden="1"/>
    </xf>
    <xf numFmtId="0" fontId="50" fillId="2" borderId="0" xfId="0" applyFont="1" applyFill="1" applyAlignment="1" applyProtection="1">
      <alignment horizontal="left" vertical="top" wrapText="1"/>
      <protection hidden="1"/>
    </xf>
    <xf numFmtId="0" fontId="56" fillId="5" borderId="46" xfId="0" applyFont="1" applyFill="1" applyBorder="1" applyAlignment="1" applyProtection="1">
      <alignment horizontal="center" vertical="top" wrapText="1"/>
      <protection hidden="1"/>
    </xf>
    <xf numFmtId="0" fontId="47" fillId="3" borderId="38" xfId="0" applyFont="1" applyFill="1" applyBorder="1" applyAlignment="1" applyProtection="1">
      <alignment vertical="top" wrapText="1"/>
      <protection hidden="1"/>
    </xf>
    <xf numFmtId="0" fontId="53" fillId="15" borderId="47" xfId="1" applyFont="1" applyFill="1" applyBorder="1" applyAlignment="1" applyProtection="1">
      <alignment horizontal="center" vertical="center"/>
      <protection hidden="1"/>
    </xf>
    <xf numFmtId="0" fontId="57" fillId="5" borderId="0" xfId="0" applyFont="1" applyFill="1" applyAlignment="1" applyProtection="1">
      <alignment horizontal="center" vertical="center"/>
      <protection hidden="1"/>
    </xf>
    <xf numFmtId="0" fontId="49" fillId="3" borderId="45" xfId="1" applyFont="1" applyFill="1" applyBorder="1" applyAlignment="1" applyProtection="1">
      <alignment horizontal="center" vertical="center" wrapText="1"/>
      <protection hidden="1"/>
    </xf>
    <xf numFmtId="0" fontId="47" fillId="3" borderId="13" xfId="0" applyFont="1" applyFill="1" applyBorder="1" applyAlignment="1" applyProtection="1">
      <alignment vertical="top" wrapText="1"/>
      <protection hidden="1"/>
    </xf>
    <xf numFmtId="0" fontId="52" fillId="0" borderId="34" xfId="0" applyFont="1" applyBorder="1" applyAlignment="1">
      <alignment horizontal="right" vertical="center"/>
    </xf>
    <xf numFmtId="0" fontId="54" fillId="16" borderId="25" xfId="1" applyFont="1" applyFill="1" applyBorder="1" applyAlignment="1" applyProtection="1">
      <alignment horizontal="center" vertical="center"/>
      <protection hidden="1"/>
    </xf>
    <xf numFmtId="0" fontId="55" fillId="0" borderId="34" xfId="0" applyFont="1" applyBorder="1" applyAlignment="1">
      <alignment horizontal="left" vertical="center"/>
    </xf>
    <xf numFmtId="0" fontId="38" fillId="3" borderId="29" xfId="0" applyFont="1" applyFill="1" applyBorder="1" applyAlignment="1" applyProtection="1">
      <alignment horizontal="center" vertical="center" wrapText="1"/>
      <protection hidden="1"/>
    </xf>
    <xf numFmtId="0" fontId="37" fillId="3" borderId="6" xfId="0" applyFont="1" applyFill="1" applyBorder="1" applyAlignment="1" applyProtection="1">
      <alignment horizontal="center" vertical="center"/>
      <protection hidden="1"/>
    </xf>
    <xf numFmtId="0" fontId="43" fillId="0" borderId="25" xfId="1" applyFont="1" applyBorder="1" applyAlignment="1" applyProtection="1">
      <alignment horizontal="center" vertical="center" wrapText="1"/>
    </xf>
    <xf numFmtId="0" fontId="20" fillId="3" borderId="5" xfId="0" applyFont="1" applyFill="1" applyBorder="1" applyAlignment="1" applyProtection="1">
      <alignment horizontal="center" vertical="center" textRotation="255"/>
      <protection hidden="1"/>
    </xf>
    <xf numFmtId="0" fontId="47" fillId="3" borderId="13" xfId="0" applyFont="1" applyFill="1" applyBorder="1" applyAlignment="1" applyProtection="1">
      <alignment horizontal="left" vertical="top" wrapText="1"/>
      <protection hidden="1"/>
    </xf>
    <xf numFmtId="0" fontId="25" fillId="0" borderId="40" xfId="1" applyFont="1" applyBorder="1" applyAlignment="1" applyProtection="1">
      <alignment horizontal="center" vertical="center" wrapText="1"/>
    </xf>
    <xf numFmtId="0" fontId="25" fillId="0" borderId="42" xfId="1" applyFont="1" applyBorder="1" applyAlignment="1" applyProtection="1">
      <alignment horizontal="center" vertical="center" wrapText="1"/>
    </xf>
    <xf numFmtId="0" fontId="9" fillId="3" borderId="7" xfId="0" applyFont="1" applyFill="1" applyBorder="1" applyAlignment="1" applyProtection="1">
      <alignment horizontal="center" vertical="center"/>
      <protection hidden="1"/>
    </xf>
    <xf numFmtId="0" fontId="10" fillId="3" borderId="11" xfId="0" applyFont="1" applyFill="1" applyBorder="1" applyAlignment="1" applyProtection="1">
      <alignment horizontal="center" vertical="center" wrapText="1"/>
      <protection hidden="1"/>
    </xf>
    <xf numFmtId="0" fontId="22" fillId="3" borderId="12" xfId="0" applyFont="1" applyFill="1" applyBorder="1" applyAlignment="1" applyProtection="1">
      <alignment horizontal="center" vertical="center" wrapText="1"/>
      <protection hidden="1"/>
    </xf>
    <xf numFmtId="0" fontId="31" fillId="12" borderId="4" xfId="0" applyFont="1" applyFill="1" applyBorder="1" applyAlignment="1" applyProtection="1">
      <alignment horizontal="center" vertical="center" wrapText="1"/>
      <protection hidden="1"/>
    </xf>
    <xf numFmtId="0" fontId="10" fillId="3" borderId="22" xfId="0" applyFont="1" applyFill="1" applyBorder="1" applyAlignment="1" applyProtection="1">
      <alignment horizontal="center" vertical="center" textRotation="255"/>
      <protection hidden="1"/>
    </xf>
    <xf numFmtId="0" fontId="10" fillId="3" borderId="23" xfId="0" applyFont="1" applyFill="1" applyBorder="1" applyAlignment="1" applyProtection="1">
      <alignment horizontal="center" textRotation="255"/>
      <protection hidden="1"/>
    </xf>
    <xf numFmtId="0" fontId="10" fillId="3" borderId="24" xfId="0" applyFont="1" applyFill="1" applyBorder="1" applyAlignment="1" applyProtection="1">
      <alignment horizontal="center" textRotation="255"/>
      <protection hidden="1"/>
    </xf>
    <xf numFmtId="0" fontId="33" fillId="5" borderId="26" xfId="0" applyFont="1" applyFill="1" applyBorder="1" applyAlignment="1" applyProtection="1">
      <alignment horizontal="center" vertical="center" wrapText="1"/>
      <protection hidden="1"/>
    </xf>
    <xf numFmtId="0" fontId="24" fillId="3" borderId="5" xfId="0" applyFont="1" applyFill="1" applyBorder="1" applyAlignment="1" applyProtection="1">
      <alignment vertical="center" shrinkToFit="1"/>
      <protection locked="0"/>
    </xf>
    <xf numFmtId="0" fontId="24" fillId="3" borderId="27" xfId="0" applyFont="1" applyFill="1" applyBorder="1" applyAlignment="1" applyProtection="1">
      <alignment horizontal="left" vertical="center" shrinkToFit="1"/>
      <protection hidden="1"/>
    </xf>
    <xf numFmtId="0" fontId="36" fillId="8" borderId="28" xfId="1" applyFont="1" applyFill="1" applyBorder="1" applyAlignment="1" applyProtection="1">
      <alignment horizontal="center" vertical="center" wrapText="1"/>
      <protection hidden="1"/>
    </xf>
    <xf numFmtId="14" fontId="24" fillId="3" borderId="29" xfId="0" applyNumberFormat="1" applyFont="1" applyFill="1" applyBorder="1" applyAlignment="1" applyProtection="1">
      <alignment horizontal="left" vertical="center" shrinkToFit="1"/>
      <protection hidden="1"/>
    </xf>
    <xf numFmtId="0" fontId="23" fillId="3" borderId="30" xfId="0" applyFont="1" applyFill="1" applyBorder="1" applyAlignment="1" applyProtection="1">
      <alignment horizontal="center" vertical="center" wrapText="1"/>
      <protection hidden="1"/>
    </xf>
    <xf numFmtId="0" fontId="38" fillId="3" borderId="27" xfId="0" applyFont="1" applyFill="1" applyBorder="1" applyAlignment="1" applyProtection="1">
      <alignment horizontal="center" vertical="center" wrapText="1"/>
      <protection hidden="1"/>
    </xf>
    <xf numFmtId="0" fontId="37" fillId="3" borderId="7" xfId="0" applyFont="1" applyFill="1" applyBorder="1" applyAlignment="1" applyProtection="1">
      <alignment horizontal="right" vertical="center"/>
      <protection hidden="1"/>
    </xf>
    <xf numFmtId="0" fontId="23" fillId="3" borderId="11" xfId="0"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164" fontId="8" fillId="0" borderId="1" xfId="0" applyNumberFormat="1" applyFont="1" applyBorder="1" applyAlignment="1" applyProtection="1">
      <alignment horizontal="center" vertical="center"/>
      <protection hidden="1"/>
    </xf>
    <xf numFmtId="0" fontId="9" fillId="3" borderId="2" xfId="0" applyFont="1" applyFill="1" applyBorder="1" applyAlignment="1" applyProtection="1">
      <alignment horizontal="center" vertical="center" wrapText="1"/>
      <protection hidden="1"/>
    </xf>
    <xf numFmtId="0" fontId="8" fillId="5" borderId="3" xfId="0" applyFont="1" applyFill="1" applyBorder="1" applyAlignment="1" applyProtection="1">
      <alignment horizontal="center" vertical="center" wrapText="1"/>
      <protection hidden="1"/>
    </xf>
    <xf numFmtId="0" fontId="10" fillId="6" borderId="4" xfId="0" applyFont="1" applyFill="1" applyBorder="1" applyAlignment="1" applyProtection="1">
      <alignment horizontal="center" vertical="center" wrapText="1"/>
      <protection hidden="1"/>
    </xf>
    <xf numFmtId="0" fontId="12" fillId="6" borderId="6" xfId="0" applyFont="1" applyFill="1" applyBorder="1" applyAlignment="1" applyProtection="1">
      <alignment horizontal="center" vertical="center" wrapText="1"/>
      <protection hidden="1"/>
    </xf>
    <xf numFmtId="0" fontId="10" fillId="3" borderId="7" xfId="0" applyFont="1" applyFill="1" applyBorder="1" applyAlignment="1" applyProtection="1">
      <alignment horizontal="center" vertical="center" wrapText="1"/>
      <protection hidden="1"/>
    </xf>
    <xf numFmtId="0" fontId="16" fillId="6" borderId="6" xfId="0" applyFont="1" applyFill="1" applyBorder="1" applyAlignment="1" applyProtection="1">
      <alignment horizontal="center" vertical="center" wrapText="1"/>
      <protection hidden="1"/>
    </xf>
    <xf numFmtId="0" fontId="19" fillId="8" borderId="5" xfId="0" applyFont="1" applyFill="1" applyBorder="1" applyAlignment="1" applyProtection="1">
      <alignment horizontal="center" vertical="center" wrapText="1"/>
      <protection hidden="1"/>
    </xf>
    <xf numFmtId="0" fontId="25" fillId="13" borderId="32" xfId="1" applyFont="1" applyFill="1" applyBorder="1" applyAlignment="1" applyProtection="1">
      <alignment horizontal="center" vertical="center" wrapText="1"/>
      <protection hidden="1"/>
    </xf>
    <xf numFmtId="0" fontId="25" fillId="14" borderId="34" xfId="1" applyFont="1" applyFill="1" applyBorder="1" applyAlignment="1" applyProtection="1">
      <alignment horizontal="center" vertical="center"/>
      <protection hidden="1"/>
    </xf>
    <xf numFmtId="0" fontId="42" fillId="10" borderId="37" xfId="0" applyFont="1" applyFill="1" applyBorder="1" applyAlignment="1" applyProtection="1">
      <alignment horizontal="center" vertical="center" wrapText="1"/>
      <protection hidden="1"/>
    </xf>
    <xf numFmtId="0" fontId="43" fillId="14" borderId="34" xfId="1" applyFont="1" applyFill="1" applyBorder="1" applyAlignment="1" applyProtection="1">
      <alignment horizontal="center" vertical="center" wrapText="1"/>
      <protection hidden="1"/>
    </xf>
    <xf numFmtId="0" fontId="44" fillId="3" borderId="11" xfId="0" applyFont="1" applyFill="1" applyBorder="1" applyAlignment="1" applyProtection="1">
      <alignment horizontal="left" vertical="center" wrapText="1"/>
      <protection hidden="1"/>
    </xf>
    <xf numFmtId="0" fontId="43" fillId="13" borderId="34" xfId="1" applyFont="1" applyFill="1" applyBorder="1" applyAlignment="1" applyProtection="1">
      <alignment horizontal="center" vertical="center" wrapText="1"/>
      <protection hidden="1"/>
    </xf>
    <xf numFmtId="0" fontId="1" fillId="3" borderId="13" xfId="0" applyFont="1" applyFill="1" applyBorder="1" applyAlignment="1" applyProtection="1">
      <alignment horizontal="left" vertical="center" wrapText="1"/>
      <protection hidden="1"/>
    </xf>
    <xf numFmtId="0" fontId="10" fillId="10" borderId="48" xfId="0" applyFont="1" applyFill="1" applyBorder="1" applyAlignment="1">
      <alignment horizontal="center" vertical="center"/>
    </xf>
    <xf numFmtId="0" fontId="58" fillId="19" borderId="14" xfId="1" applyFont="1" applyFill="1" applyBorder="1" applyAlignment="1" applyProtection="1">
      <alignment horizontal="center" vertical="center" wrapText="1"/>
    </xf>
    <xf numFmtId="0" fontId="0" fillId="18" borderId="0" xfId="0" applyFill="1"/>
    <xf numFmtId="0" fontId="71" fillId="3" borderId="11" xfId="0" applyFont="1" applyFill="1" applyBorder="1" applyAlignment="1" applyProtection="1">
      <alignment horizontal="center" vertical="center" wrapText="1"/>
      <protection hidden="1"/>
    </xf>
    <xf numFmtId="0" fontId="23" fillId="3" borderId="11" xfId="0" applyFont="1" applyFill="1" applyBorder="1" applyAlignment="1" applyProtection="1">
      <alignment vertical="center" wrapText="1"/>
      <protection hidden="1"/>
    </xf>
    <xf numFmtId="0" fontId="71" fillId="3" borderId="30" xfId="0" applyFont="1" applyFill="1" applyBorder="1" applyAlignment="1" applyProtection="1">
      <alignment horizontal="center" vertical="center" wrapText="1"/>
      <protection hidden="1"/>
    </xf>
    <xf numFmtId="0" fontId="23" fillId="3" borderId="30" xfId="0" applyFont="1" applyFill="1" applyBorder="1" applyAlignment="1" applyProtection="1">
      <alignment vertical="center" wrapText="1"/>
      <protection hidden="1"/>
    </xf>
    <xf numFmtId="0" fontId="71" fillId="3" borderId="51" xfId="0" applyFont="1" applyFill="1" applyBorder="1" applyAlignment="1" applyProtection="1">
      <alignment horizontal="center" vertical="center" wrapText="1"/>
      <protection hidden="1"/>
    </xf>
    <xf numFmtId="0" fontId="46" fillId="19" borderId="0" xfId="0" applyFont="1" applyFill="1" applyAlignment="1">
      <alignment horizontal="center" vertical="center" wrapText="1"/>
    </xf>
    <xf numFmtId="0" fontId="72" fillId="3" borderId="6" xfId="0" applyFont="1" applyFill="1" applyBorder="1" applyAlignment="1">
      <alignment horizontal="center" vertical="center" wrapText="1"/>
    </xf>
    <xf numFmtId="0" fontId="37" fillId="3" borderId="11" xfId="1" applyFont="1" applyFill="1" applyBorder="1" applyAlignment="1" applyProtection="1">
      <alignment horizontal="center" vertical="center" wrapText="1"/>
      <protection locked="0" hidden="1"/>
    </xf>
    <xf numFmtId="0" fontId="37" fillId="0" borderId="11" xfId="0" applyFont="1" applyBorder="1" applyAlignment="1">
      <alignment horizontal="center" vertical="center"/>
    </xf>
    <xf numFmtId="14" fontId="51" fillId="3" borderId="11" xfId="0" applyNumberFormat="1" applyFont="1" applyFill="1" applyBorder="1" applyAlignment="1" applyProtection="1">
      <alignment horizontal="center" vertical="center"/>
      <protection hidden="1"/>
    </xf>
    <xf numFmtId="0" fontId="51" fillId="3" borderId="11" xfId="0" applyFont="1" applyFill="1" applyBorder="1" applyAlignment="1" applyProtection="1">
      <alignment horizontal="center" vertical="center"/>
      <protection hidden="1"/>
    </xf>
    <xf numFmtId="0" fontId="51" fillId="0" borderId="11" xfId="0" applyFont="1" applyBorder="1" applyAlignment="1">
      <alignment horizontal="center" vertical="center"/>
    </xf>
    <xf numFmtId="0" fontId="61" fillId="3" borderId="0" xfId="0" applyFont="1" applyFill="1" applyAlignment="1">
      <alignment horizontal="left" vertical="top" wrapText="1"/>
    </xf>
    <xf numFmtId="0" fontId="1" fillId="5" borderId="0" xfId="0" applyFont="1" applyFill="1" applyAlignment="1" applyProtection="1">
      <alignment horizontal="center" vertical="center" shrinkToFit="1"/>
      <protection hidden="1"/>
    </xf>
    <xf numFmtId="0" fontId="88" fillId="27" borderId="107" xfId="0" applyFont="1" applyFill="1" applyBorder="1" applyAlignment="1">
      <alignment horizontal="center" vertical="center" wrapText="1"/>
    </xf>
    <xf numFmtId="0" fontId="90" fillId="3" borderId="21" xfId="0" applyFont="1" applyFill="1" applyBorder="1" applyAlignment="1" applyProtection="1">
      <alignment horizontal="center" vertical="center" wrapText="1"/>
      <protection hidden="1"/>
    </xf>
    <xf numFmtId="0" fontId="88" fillId="15" borderId="107" xfId="0" applyFont="1" applyFill="1" applyBorder="1" applyAlignment="1">
      <alignment horizontal="center" vertical="center" wrapText="1"/>
    </xf>
    <xf numFmtId="0" fontId="88" fillId="27" borderId="5" xfId="0" applyFont="1" applyFill="1" applyBorder="1" applyAlignment="1">
      <alignment horizontal="center" vertical="center" wrapText="1"/>
    </xf>
    <xf numFmtId="0" fontId="51" fillId="7" borderId="5" xfId="0" applyFont="1" applyFill="1" applyBorder="1" applyAlignment="1">
      <alignment horizontal="left" vertical="center" wrapText="1" shrinkToFit="1"/>
    </xf>
    <xf numFmtId="0" fontId="43" fillId="28" borderId="38" xfId="1" applyFont="1" applyFill="1" applyBorder="1" applyAlignment="1" applyProtection="1">
      <alignment horizontal="center" vertical="center" wrapText="1" shrinkToFit="1"/>
      <protection locked="0" hidden="1"/>
    </xf>
    <xf numFmtId="0" fontId="43" fillId="28" borderId="1" xfId="1" applyFont="1" applyFill="1" applyBorder="1" applyAlignment="1" applyProtection="1">
      <alignment horizontal="center" vertical="center" wrapText="1" shrinkToFit="1"/>
      <protection locked="0" hidden="1"/>
    </xf>
    <xf numFmtId="0" fontId="43" fillId="28" borderId="36" xfId="1" applyFont="1" applyFill="1" applyBorder="1" applyAlignment="1" applyProtection="1">
      <alignment horizontal="center" vertical="center" wrapText="1" shrinkToFit="1"/>
      <protection locked="0" hidden="1"/>
    </xf>
    <xf numFmtId="0" fontId="9" fillId="7" borderId="7" xfId="0" applyFont="1" applyFill="1" applyBorder="1" applyAlignment="1">
      <alignment horizontal="left" vertical="center" wrapText="1"/>
    </xf>
    <xf numFmtId="0" fontId="88" fillId="15" borderId="21" xfId="0" applyFont="1" applyFill="1" applyBorder="1" applyAlignment="1">
      <alignment horizontal="center" vertical="center" wrapText="1"/>
    </xf>
    <xf numFmtId="0" fontId="93" fillId="3" borderId="0" xfId="0" applyFont="1" applyFill="1" applyAlignment="1" applyProtection="1">
      <alignment horizontal="center" vertical="top" wrapText="1"/>
      <protection hidden="1"/>
    </xf>
    <xf numFmtId="0" fontId="88" fillId="27" borderId="21" xfId="0" applyFont="1" applyFill="1" applyBorder="1" applyAlignment="1">
      <alignment horizontal="center" vertical="center" wrapText="1"/>
    </xf>
    <xf numFmtId="0" fontId="88" fillId="15" borderId="10" xfId="0" applyFont="1" applyFill="1" applyBorder="1" applyAlignment="1">
      <alignment horizontal="center" vertical="center" wrapText="1"/>
    </xf>
    <xf numFmtId="0" fontId="90" fillId="3" borderId="36" xfId="0" applyFont="1" applyFill="1" applyBorder="1" applyAlignment="1" applyProtection="1">
      <alignment horizontal="center" vertical="center" wrapText="1"/>
      <protection hidden="1"/>
    </xf>
    <xf numFmtId="0" fontId="88" fillId="27" borderId="10" xfId="0" applyFont="1" applyFill="1" applyBorder="1" applyAlignment="1">
      <alignment horizontal="center" vertical="center" wrapText="1"/>
    </xf>
    <xf numFmtId="0" fontId="93" fillId="3" borderId="15" xfId="0" applyFont="1" applyFill="1" applyBorder="1" applyAlignment="1" applyProtection="1">
      <alignment horizontal="center" vertical="top" wrapText="1"/>
      <protection hidden="1"/>
    </xf>
    <xf numFmtId="0" fontId="88" fillId="15" borderId="36" xfId="0" applyFont="1" applyFill="1" applyBorder="1" applyAlignment="1">
      <alignment horizontal="center" vertical="center" wrapText="1"/>
    </xf>
    <xf numFmtId="0" fontId="10" fillId="27" borderId="10" xfId="0" applyFont="1" applyFill="1" applyBorder="1" applyAlignment="1">
      <alignment horizontal="center" vertical="center" wrapText="1"/>
    </xf>
    <xf numFmtId="0" fontId="88" fillId="15" borderId="104" xfId="0" applyFont="1" applyFill="1" applyBorder="1" applyAlignment="1">
      <alignment horizontal="center" vertical="center" shrinkToFit="1"/>
    </xf>
    <xf numFmtId="0" fontId="90" fillId="3" borderId="7" xfId="0" applyFont="1" applyFill="1" applyBorder="1" applyAlignment="1" applyProtection="1">
      <alignment horizontal="center" vertical="center" wrapText="1"/>
      <protection hidden="1"/>
    </xf>
    <xf numFmtId="0" fontId="88" fillId="27" borderId="10" xfId="0" applyFont="1" applyFill="1" applyBorder="1" applyAlignment="1">
      <alignment horizontal="center" vertical="center" shrinkToFit="1"/>
    </xf>
    <xf numFmtId="0" fontId="51" fillId="15" borderId="89" xfId="1" applyFont="1" applyFill="1" applyBorder="1" applyAlignment="1" applyProtection="1">
      <alignment horizontal="center" vertical="center" shrinkToFit="1"/>
    </xf>
    <xf numFmtId="0" fontId="51" fillId="0" borderId="11" xfId="0" applyFont="1" applyBorder="1" applyAlignment="1" applyProtection="1">
      <alignment vertical="center" shrinkToFit="1"/>
      <protection hidden="1"/>
    </xf>
    <xf numFmtId="0" fontId="67" fillId="3" borderId="92" xfId="0" applyFont="1" applyFill="1" applyBorder="1" applyAlignment="1">
      <alignment horizontal="center" vertical="center" shrinkToFit="1"/>
    </xf>
    <xf numFmtId="0" fontId="84" fillId="3" borderId="97" xfId="0" applyFont="1" applyFill="1" applyBorder="1" applyAlignment="1">
      <alignment horizontal="center" vertical="center" shrinkToFit="1"/>
    </xf>
    <xf numFmtId="0" fontId="10" fillId="0" borderId="100" xfId="0" applyFont="1" applyBorder="1" applyAlignment="1">
      <alignment horizontal="center" vertical="center" wrapText="1"/>
    </xf>
    <xf numFmtId="0" fontId="86" fillId="11" borderId="101" xfId="0" applyFont="1" applyFill="1" applyBorder="1" applyAlignment="1">
      <alignment horizontal="center" vertical="center" wrapText="1"/>
    </xf>
    <xf numFmtId="0" fontId="27" fillId="11" borderId="102" xfId="0" applyFont="1" applyFill="1" applyBorder="1" applyAlignment="1">
      <alignment horizontal="center" vertical="center" wrapText="1" shrinkToFit="1"/>
    </xf>
    <xf numFmtId="0" fontId="87" fillId="19" borderId="103" xfId="0" applyFont="1" applyFill="1" applyBorder="1" applyAlignment="1" applyProtection="1">
      <alignment horizontal="center" vertical="center" shrinkToFit="1"/>
      <protection hidden="1"/>
    </xf>
    <xf numFmtId="0" fontId="50" fillId="3" borderId="79" xfId="0" applyFont="1" applyFill="1" applyBorder="1" applyAlignment="1">
      <alignment horizontal="left" vertical="center" shrinkToFit="1"/>
    </xf>
    <xf numFmtId="0" fontId="50" fillId="3" borderId="82" xfId="0" applyFont="1" applyFill="1" applyBorder="1" applyAlignment="1">
      <alignment horizontal="left" vertical="center" shrinkToFit="1"/>
    </xf>
    <xf numFmtId="0" fontId="80" fillId="0" borderId="84" xfId="0" applyFont="1" applyBorder="1" applyAlignment="1">
      <alignment horizontal="center" vertical="center" shrinkToFit="1"/>
    </xf>
    <xf numFmtId="0" fontId="8" fillId="3" borderId="9" xfId="0" applyFont="1" applyFill="1" applyBorder="1" applyAlignment="1" applyProtection="1">
      <alignment horizontal="center" vertical="center" shrinkToFit="1"/>
      <protection locked="0"/>
    </xf>
    <xf numFmtId="0" fontId="73" fillId="7" borderId="59" xfId="0" applyFont="1" applyFill="1" applyBorder="1" applyAlignment="1">
      <alignment horizontal="center" vertical="center" wrapText="1" shrinkToFit="1"/>
    </xf>
    <xf numFmtId="0" fontId="74" fillId="19" borderId="60" xfId="0" applyFont="1" applyFill="1" applyBorder="1" applyAlignment="1">
      <alignment horizontal="center" vertical="center" wrapText="1" shrinkToFit="1"/>
    </xf>
    <xf numFmtId="0" fontId="4" fillId="5" borderId="61" xfId="0" applyFont="1" applyFill="1" applyBorder="1" applyAlignment="1" applyProtection="1">
      <alignment vertical="center" shrinkToFit="1"/>
      <protection hidden="1"/>
    </xf>
    <xf numFmtId="14" fontId="8" fillId="3" borderId="38" xfId="0" applyNumberFormat="1" applyFont="1" applyFill="1" applyBorder="1" applyAlignment="1" applyProtection="1">
      <alignment horizontal="center" vertical="center" shrinkToFit="1"/>
      <protection hidden="1"/>
    </xf>
    <xf numFmtId="0" fontId="10" fillId="3" borderId="62" xfId="0" applyFont="1" applyFill="1" applyBorder="1" applyAlignment="1">
      <alignment horizontal="center" vertical="center" wrapText="1" shrinkToFit="1"/>
    </xf>
    <xf numFmtId="0" fontId="20" fillId="25" borderId="11" xfId="0" applyFont="1" applyFill="1" applyBorder="1" applyAlignment="1" applyProtection="1">
      <alignment horizontal="center" vertical="center" shrinkToFit="1"/>
      <protection hidden="1"/>
    </xf>
    <xf numFmtId="0" fontId="78" fillId="3" borderId="68" xfId="1" applyFont="1" applyFill="1" applyBorder="1" applyAlignment="1" applyProtection="1">
      <alignment horizontal="center" vertical="center" wrapText="1"/>
      <protection hidden="1"/>
    </xf>
    <xf numFmtId="0" fontId="69" fillId="0" borderId="69" xfId="0" applyFont="1" applyBorder="1" applyAlignment="1">
      <alignment horizontal="center" vertical="center" shrinkToFit="1"/>
    </xf>
    <xf numFmtId="0" fontId="50" fillId="3" borderId="70" xfId="1" applyFont="1" applyFill="1" applyBorder="1" applyAlignment="1" applyProtection="1">
      <alignment horizontal="center" vertical="center" wrapText="1"/>
      <protection hidden="1"/>
    </xf>
    <xf numFmtId="0" fontId="50" fillId="3" borderId="71" xfId="1" applyFont="1" applyFill="1" applyBorder="1" applyAlignment="1" applyProtection="1">
      <alignment horizontal="center" vertical="center" wrapText="1"/>
      <protection hidden="1"/>
    </xf>
    <xf numFmtId="0" fontId="50" fillId="3" borderId="72" xfId="1" applyFont="1" applyFill="1" applyBorder="1" applyAlignment="1" applyProtection="1">
      <alignment horizontal="center" vertical="center" wrapText="1"/>
      <protection hidden="1"/>
    </xf>
    <xf numFmtId="0" fontId="50" fillId="3" borderId="72" xfId="0" applyFont="1" applyFill="1" applyBorder="1" applyAlignment="1" applyProtection="1">
      <alignment horizontal="center" vertical="center" wrapText="1"/>
      <protection hidden="1"/>
    </xf>
    <xf numFmtId="0" fontId="50" fillId="3" borderId="73" xfId="0" applyFont="1" applyFill="1" applyBorder="1" applyAlignment="1" applyProtection="1">
      <alignment horizontal="center" vertical="center" wrapText="1"/>
      <protection hidden="1"/>
    </xf>
    <xf numFmtId="49" fontId="20" fillId="2" borderId="0" xfId="0" applyNumberFormat="1" applyFont="1" applyFill="1" applyAlignment="1" applyProtection="1">
      <alignment horizontal="center" vertical="center" shrinkToFit="1"/>
      <protection hidden="1"/>
    </xf>
    <xf numFmtId="0" fontId="50" fillId="3" borderId="76" xfId="0" applyFont="1" applyFill="1" applyBorder="1" applyAlignment="1">
      <alignment horizontal="left" vertical="center" shrinkToFit="1"/>
    </xf>
    <xf numFmtId="0" fontId="20" fillId="3" borderId="38" xfId="0" applyFont="1" applyFill="1" applyBorder="1" applyAlignment="1" applyProtection="1">
      <alignment horizontal="center" vertical="center"/>
      <protection hidden="1"/>
    </xf>
    <xf numFmtId="0" fontId="97" fillId="5" borderId="13" xfId="0" applyFont="1" applyFill="1" applyBorder="1" applyAlignment="1">
      <alignment horizontal="center" vertical="center"/>
    </xf>
    <xf numFmtId="0" fontId="25" fillId="0" borderId="6" xfId="1" applyFont="1" applyBorder="1" applyAlignment="1" applyProtection="1">
      <alignment horizontal="center" vertical="center" wrapText="1"/>
    </xf>
    <xf numFmtId="0" fontId="41" fillId="13" borderId="6" xfId="1" applyFont="1" applyFill="1" applyBorder="1" applyAlignment="1" applyProtection="1">
      <alignment horizontal="center" vertical="center" wrapText="1"/>
    </xf>
    <xf numFmtId="0" fontId="96" fillId="3" borderId="6" xfId="0" applyFont="1" applyFill="1" applyBorder="1" applyAlignment="1" applyProtection="1">
      <alignment horizontal="center" vertical="center"/>
      <protection hidden="1"/>
    </xf>
    <xf numFmtId="0" fontId="31" fillId="19" borderId="35" xfId="0" applyFont="1" applyFill="1" applyBorder="1" applyAlignment="1" applyProtection="1">
      <alignment horizontal="center" vertical="center" wrapText="1"/>
      <protection hidden="1"/>
    </xf>
    <xf numFmtId="0" fontId="29" fillId="3" borderId="9" xfId="1" applyFont="1" applyFill="1" applyBorder="1" applyAlignment="1" applyProtection="1">
      <alignment horizontal="center" vertical="center" wrapText="1"/>
    </xf>
    <xf numFmtId="0" fontId="0" fillId="23" borderId="0" xfId="0" applyFill="1"/>
    <xf numFmtId="0" fontId="0" fillId="3" borderId="21" xfId="0" applyFill="1" applyBorder="1" applyProtection="1">
      <protection hidden="1"/>
    </xf>
    <xf numFmtId="0" fontId="43" fillId="27" borderId="6" xfId="1" applyFont="1" applyFill="1" applyBorder="1" applyAlignment="1" applyProtection="1">
      <alignment horizontal="center" vertical="center" wrapText="1"/>
      <protection locked="0" hidden="1"/>
    </xf>
    <xf numFmtId="0" fontId="43" fillId="14" borderId="6" xfId="1" applyFont="1" applyFill="1" applyBorder="1" applyAlignment="1" applyProtection="1">
      <alignment horizontal="center" vertical="center" wrapText="1"/>
      <protection hidden="1"/>
    </xf>
    <xf numFmtId="0" fontId="98" fillId="19" borderId="21" xfId="0" applyFont="1" applyFill="1" applyBorder="1" applyAlignment="1" applyProtection="1">
      <alignment horizontal="center" vertical="center"/>
      <protection hidden="1"/>
    </xf>
    <xf numFmtId="0" fontId="23" fillId="3" borderId="21" xfId="1" applyFont="1" applyFill="1" applyBorder="1" applyAlignment="1" applyProtection="1">
      <alignment horizontal="center" vertical="center" wrapText="1"/>
      <protection hidden="1"/>
    </xf>
    <xf numFmtId="0" fontId="1" fillId="10" borderId="122" xfId="0" applyFont="1" applyFill="1" applyBorder="1" applyAlignment="1" applyProtection="1">
      <alignment vertical="center" shrinkToFit="1"/>
      <protection locked="0"/>
    </xf>
    <xf numFmtId="0" fontId="23" fillId="0" borderId="27" xfId="0" applyFont="1" applyBorder="1" applyAlignment="1" applyProtection="1">
      <alignment horizontal="center" vertical="center"/>
      <protection locked="0"/>
    </xf>
    <xf numFmtId="0" fontId="100" fillId="24" borderId="42" xfId="1" applyFont="1" applyFill="1" applyBorder="1" applyAlignment="1" applyProtection="1">
      <alignment horizontal="center" vertical="center" wrapText="1"/>
      <protection hidden="1"/>
    </xf>
    <xf numFmtId="0" fontId="69" fillId="3" borderId="55" xfId="0" applyFont="1" applyFill="1" applyBorder="1" applyAlignment="1" applyProtection="1">
      <alignment vertical="center" shrinkToFit="1"/>
      <protection hidden="1"/>
    </xf>
    <xf numFmtId="0" fontId="7" fillId="0" borderId="11" xfId="0" applyFont="1" applyBorder="1" applyAlignment="1" applyProtection="1">
      <alignment horizontal="left" vertical="center" shrinkToFit="1"/>
      <protection hidden="1"/>
    </xf>
    <xf numFmtId="0" fontId="23" fillId="0" borderId="11" xfId="0" applyFont="1" applyBorder="1" applyAlignment="1" applyProtection="1">
      <alignment horizontal="center" vertical="center"/>
      <protection hidden="1"/>
    </xf>
    <xf numFmtId="166" fontId="23" fillId="0" borderId="11" xfId="0" applyNumberFormat="1" applyFont="1" applyBorder="1" applyAlignment="1" applyProtection="1">
      <alignment horizontal="center" vertical="center"/>
      <protection hidden="1"/>
    </xf>
    <xf numFmtId="0" fontId="99" fillId="10" borderId="11" xfId="0" applyFont="1" applyFill="1" applyBorder="1" applyAlignment="1" applyProtection="1">
      <alignment vertical="center" shrinkToFit="1"/>
      <protection hidden="1"/>
    </xf>
    <xf numFmtId="0" fontId="108" fillId="0" borderId="55" xfId="0" applyFont="1" applyBorder="1" applyAlignment="1" applyProtection="1">
      <alignment horizontal="left" vertical="center" shrinkToFit="1"/>
      <protection hidden="1"/>
    </xf>
    <xf numFmtId="0" fontId="1" fillId="10" borderId="137" xfId="0" applyFont="1" applyFill="1" applyBorder="1" applyAlignment="1" applyProtection="1">
      <alignment vertical="center" shrinkToFit="1"/>
      <protection locked="0"/>
    </xf>
    <xf numFmtId="0" fontId="23" fillId="0" borderId="6" xfId="0" applyFont="1" applyBorder="1" applyAlignment="1" applyProtection="1">
      <alignment horizontal="center" vertical="center"/>
      <protection locked="0"/>
    </xf>
    <xf numFmtId="0" fontId="69" fillId="3" borderId="58" xfId="0" applyFont="1" applyFill="1" applyBorder="1" applyAlignment="1" applyProtection="1">
      <alignment vertical="center" shrinkToFit="1"/>
      <protection hidden="1"/>
    </xf>
    <xf numFmtId="0" fontId="23" fillId="0" borderId="95" xfId="0" applyFont="1" applyBorder="1" applyAlignment="1" applyProtection="1">
      <alignment horizontal="center" vertical="center"/>
      <protection hidden="1"/>
    </xf>
    <xf numFmtId="0" fontId="99" fillId="10" borderId="95" xfId="0" applyFont="1" applyFill="1" applyBorder="1" applyAlignment="1" applyProtection="1">
      <alignment vertical="center" shrinkToFit="1"/>
      <protection hidden="1"/>
    </xf>
    <xf numFmtId="0" fontId="108" fillId="0" borderId="58" xfId="0" applyFont="1" applyBorder="1" applyAlignment="1" applyProtection="1">
      <alignment horizontal="left" vertical="center" shrinkToFit="1"/>
      <protection hidden="1"/>
    </xf>
    <xf numFmtId="0" fontId="107" fillId="3" borderId="55" xfId="0" applyFont="1" applyFill="1" applyBorder="1" applyAlignment="1" applyProtection="1">
      <alignment horizontal="center" vertical="center" wrapText="1"/>
      <protection hidden="1"/>
    </xf>
    <xf numFmtId="0" fontId="15" fillId="3" borderId="6" xfId="0" applyFont="1" applyFill="1" applyBorder="1" applyAlignment="1" applyProtection="1">
      <alignment horizontal="center" vertical="center" wrapText="1"/>
      <protection hidden="1"/>
    </xf>
    <xf numFmtId="0" fontId="1" fillId="0" borderId="109" xfId="0" applyFont="1" applyBorder="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0" fontId="37" fillId="3" borderId="11" xfId="0" applyFont="1" applyFill="1" applyBorder="1" applyAlignment="1" applyProtection="1">
      <alignment horizontal="center" vertical="center"/>
      <protection hidden="1"/>
    </xf>
    <xf numFmtId="0" fontId="10" fillId="3" borderId="119" xfId="0" applyFont="1" applyFill="1" applyBorder="1" applyAlignment="1" applyProtection="1">
      <alignment horizontal="center" vertical="center" wrapText="1"/>
      <protection hidden="1"/>
    </xf>
    <xf numFmtId="0" fontId="10" fillId="3" borderId="121" xfId="0" applyFont="1" applyFill="1" applyBorder="1" applyAlignment="1" applyProtection="1">
      <alignment horizontal="center" vertical="center" wrapText="1"/>
      <protection hidden="1"/>
    </xf>
    <xf numFmtId="0" fontId="105" fillId="3" borderId="6" xfId="0" applyFont="1" applyFill="1" applyBorder="1" applyAlignment="1" applyProtection="1">
      <alignment horizontal="center" vertical="center" wrapText="1"/>
      <protection hidden="1"/>
    </xf>
    <xf numFmtId="0" fontId="16" fillId="3" borderId="9" xfId="0" applyFont="1" applyFill="1" applyBorder="1" applyAlignment="1" applyProtection="1">
      <alignment horizontal="center" vertical="center" wrapText="1"/>
      <protection hidden="1"/>
    </xf>
    <xf numFmtId="0" fontId="96" fillId="3" borderId="122" xfId="0" applyFont="1" applyFill="1" applyBorder="1" applyAlignment="1" applyProtection="1">
      <alignment horizontal="center" vertical="center"/>
      <protection hidden="1"/>
    </xf>
    <xf numFmtId="0" fontId="10" fillId="10" borderId="11" xfId="0" applyFont="1" applyFill="1" applyBorder="1" applyAlignment="1" applyProtection="1">
      <alignment horizontal="center" vertical="center" wrapText="1"/>
      <protection hidden="1"/>
    </xf>
    <xf numFmtId="0" fontId="10" fillId="6" borderId="11" xfId="0" applyFont="1" applyFill="1" applyBorder="1" applyAlignment="1" applyProtection="1">
      <alignment horizontal="center" vertical="center" wrapText="1"/>
      <protection hidden="1"/>
    </xf>
    <xf numFmtId="0" fontId="1" fillId="10" borderId="54" xfId="0" applyFont="1" applyFill="1" applyBorder="1" applyAlignment="1" applyProtection="1">
      <alignment vertical="center" shrinkToFit="1"/>
      <protection locked="0"/>
    </xf>
    <xf numFmtId="0" fontId="100" fillId="13" borderId="42" xfId="1" applyFont="1" applyFill="1" applyBorder="1" applyAlignment="1" applyProtection="1">
      <alignment horizontal="center" vertical="center" wrapText="1"/>
      <protection hidden="1"/>
    </xf>
    <xf numFmtId="0" fontId="69" fillId="3" borderId="122" xfId="0" applyFont="1" applyFill="1" applyBorder="1" applyAlignment="1" applyProtection="1">
      <alignment vertical="center" shrinkToFit="1"/>
      <protection hidden="1"/>
    </xf>
    <xf numFmtId="0" fontId="100" fillId="14" borderId="42" xfId="1" applyFont="1" applyFill="1" applyBorder="1" applyAlignment="1" applyProtection="1">
      <alignment horizontal="center" vertical="center" wrapText="1"/>
      <protection hidden="1"/>
    </xf>
    <xf numFmtId="0" fontId="23" fillId="3" borderId="11" xfId="0" applyFont="1" applyFill="1" applyBorder="1" applyAlignment="1" applyProtection="1">
      <alignment horizontal="center" vertical="center"/>
      <protection hidden="1"/>
    </xf>
    <xf numFmtId="0" fontId="23" fillId="3" borderId="55" xfId="0" applyFont="1" applyFill="1" applyBorder="1" applyAlignment="1" applyProtection="1">
      <alignment horizontal="center" vertical="center"/>
      <protection hidden="1"/>
    </xf>
    <xf numFmtId="0" fontId="23" fillId="3" borderId="115" xfId="0" applyFont="1" applyFill="1" applyBorder="1" applyAlignment="1" applyProtection="1">
      <alignment horizontal="center" vertical="center"/>
      <protection hidden="1"/>
    </xf>
    <xf numFmtId="0" fontId="23" fillId="0" borderId="108" xfId="0" applyFont="1" applyBorder="1" applyAlignment="1" applyProtection="1">
      <alignment horizontal="center" vertical="center"/>
      <protection hidden="1"/>
    </xf>
    <xf numFmtId="0" fontId="23" fillId="3" borderId="88" xfId="0" applyFont="1" applyFill="1" applyBorder="1" applyAlignment="1" applyProtection="1">
      <alignment horizontal="center" vertical="center"/>
      <protection hidden="1"/>
    </xf>
    <xf numFmtId="0" fontId="23" fillId="3" borderId="23" xfId="0" applyFont="1" applyFill="1" applyBorder="1" applyAlignment="1" applyProtection="1">
      <alignment horizontal="center" vertical="center" shrinkToFit="1"/>
      <protection hidden="1"/>
    </xf>
    <xf numFmtId="14" fontId="20" fillId="3" borderId="58" xfId="0" applyNumberFormat="1" applyFont="1" applyFill="1" applyBorder="1" applyAlignment="1" applyProtection="1">
      <alignment horizontal="center" vertical="center"/>
      <protection hidden="1"/>
    </xf>
    <xf numFmtId="0" fontId="23" fillId="3" borderId="13" xfId="0" applyFont="1" applyFill="1" applyBorder="1" applyAlignment="1" applyProtection="1">
      <alignment horizontal="center" vertical="center"/>
      <protection hidden="1"/>
    </xf>
    <xf numFmtId="14" fontId="23" fillId="3" borderId="38" xfId="0" applyNumberFormat="1" applyFont="1" applyFill="1" applyBorder="1" applyAlignment="1" applyProtection="1">
      <alignment horizontal="center" vertical="center"/>
      <protection hidden="1"/>
    </xf>
    <xf numFmtId="0" fontId="23" fillId="3" borderId="23" xfId="0" applyFont="1" applyFill="1" applyBorder="1" applyAlignment="1" applyProtection="1">
      <alignment horizontal="center" vertical="center"/>
      <protection hidden="1"/>
    </xf>
    <xf numFmtId="0" fontId="23" fillId="3" borderId="30" xfId="0" applyFont="1" applyFill="1" applyBorder="1" applyAlignment="1" applyProtection="1">
      <alignment horizontal="center" vertical="center"/>
      <protection hidden="1"/>
    </xf>
    <xf numFmtId="0" fontId="23" fillId="0" borderId="30" xfId="0" applyFont="1" applyBorder="1" applyAlignment="1" applyProtection="1">
      <alignment horizontal="center" vertical="center"/>
      <protection hidden="1"/>
    </xf>
    <xf numFmtId="0" fontId="23" fillId="3" borderId="30" xfId="0" applyFont="1" applyFill="1" applyBorder="1" applyAlignment="1" applyProtection="1">
      <alignment horizontal="center" vertical="center" shrinkToFit="1"/>
      <protection hidden="1"/>
    </xf>
    <xf numFmtId="14" fontId="20" fillId="3" borderId="24" xfId="0" applyNumberFormat="1" applyFont="1" applyFill="1" applyBorder="1" applyAlignment="1" applyProtection="1">
      <alignment horizontal="center" vertical="center"/>
      <protection hidden="1"/>
    </xf>
    <xf numFmtId="0" fontId="46" fillId="5" borderId="5" xfId="0" applyFont="1" applyFill="1" applyBorder="1" applyAlignment="1" applyProtection="1">
      <alignment horizontal="center" vertical="center"/>
      <protection hidden="1"/>
    </xf>
    <xf numFmtId="0" fontId="23" fillId="3" borderId="9" xfId="0" applyFont="1" applyFill="1" applyBorder="1" applyAlignment="1" applyProtection="1">
      <alignment horizontal="center" vertical="center"/>
      <protection hidden="1"/>
    </xf>
    <xf numFmtId="0" fontId="103" fillId="3" borderId="27" xfId="0" applyFont="1" applyFill="1" applyBorder="1" applyAlignment="1" applyProtection="1">
      <alignment horizontal="center" vertical="center" wrapText="1"/>
      <protection hidden="1"/>
    </xf>
    <xf numFmtId="0" fontId="8" fillId="3" borderId="6" xfId="0" applyFont="1" applyFill="1" applyBorder="1" applyAlignment="1" applyProtection="1">
      <alignment horizontal="center" vertical="center" wrapText="1"/>
      <protection hidden="1"/>
    </xf>
    <xf numFmtId="0" fontId="23" fillId="3" borderId="114" xfId="0" applyFont="1" applyFill="1" applyBorder="1" applyAlignment="1" applyProtection="1">
      <alignment horizontal="center" vertical="center"/>
      <protection hidden="1"/>
    </xf>
    <xf numFmtId="0" fontId="25" fillId="2" borderId="109" xfId="1" applyFont="1" applyFill="1" applyBorder="1" applyAlignment="1" applyProtection="1">
      <alignment horizontal="center" vertical="center" wrapText="1"/>
      <protection hidden="1"/>
    </xf>
    <xf numFmtId="0" fontId="9" fillId="3" borderId="118" xfId="0" applyFont="1" applyFill="1" applyBorder="1" applyAlignment="1" applyProtection="1">
      <alignment horizontal="center" vertical="center" wrapText="1"/>
      <protection hidden="1"/>
    </xf>
    <xf numFmtId="0" fontId="61" fillId="3" borderId="9" xfId="0" applyFont="1" applyFill="1" applyBorder="1" applyAlignment="1" applyProtection="1">
      <alignment horizontal="center" vertical="center"/>
      <protection hidden="1"/>
    </xf>
    <xf numFmtId="0" fontId="102" fillId="3" borderId="9" xfId="0" applyFont="1" applyFill="1" applyBorder="1" applyAlignment="1" applyProtection="1">
      <alignment horizontal="center" vertical="center" wrapText="1"/>
      <protection hidden="1"/>
    </xf>
    <xf numFmtId="0" fontId="37" fillId="3" borderId="27" xfId="0" applyFont="1" applyFill="1" applyBorder="1" applyAlignment="1" applyProtection="1">
      <alignment horizontal="center" vertical="center" wrapText="1"/>
      <protection hidden="1"/>
    </xf>
    <xf numFmtId="0" fontId="31" fillId="19" borderId="1" xfId="0" applyFont="1" applyFill="1" applyBorder="1" applyAlignment="1" applyProtection="1">
      <alignment horizontal="center" vertical="center"/>
      <protection hidden="1"/>
    </xf>
    <xf numFmtId="0" fontId="8" fillId="3" borderId="7" xfId="0" applyFont="1" applyFill="1" applyBorder="1" applyAlignment="1" applyProtection="1">
      <alignment horizontal="center" vertical="center"/>
      <protection hidden="1"/>
    </xf>
    <xf numFmtId="14" fontId="8" fillId="19" borderId="2" xfId="0" applyNumberFormat="1" applyFont="1" applyFill="1" applyBorder="1" applyAlignment="1" applyProtection="1">
      <alignment horizontal="left" vertical="center"/>
      <protection hidden="1"/>
    </xf>
    <xf numFmtId="0" fontId="10" fillId="3" borderId="112" xfId="0" applyFont="1" applyFill="1" applyBorder="1" applyAlignment="1" applyProtection="1">
      <alignment horizontal="center" vertical="center" wrapText="1"/>
      <protection hidden="1"/>
    </xf>
    <xf numFmtId="0" fontId="23" fillId="8" borderId="108" xfId="0" applyFont="1" applyFill="1" applyBorder="1" applyAlignment="1" applyProtection="1">
      <alignment horizontal="center" vertical="center"/>
      <protection hidden="1"/>
    </xf>
    <xf numFmtId="0" fontId="23" fillId="8" borderId="52" xfId="0" applyFont="1" applyFill="1" applyBorder="1" applyAlignment="1" applyProtection="1">
      <alignment horizontal="center" vertical="center"/>
      <protection hidden="1"/>
    </xf>
    <xf numFmtId="0" fontId="23" fillId="8" borderId="18" xfId="0" applyFont="1" applyFill="1" applyBorder="1" applyAlignment="1" applyProtection="1">
      <alignment horizontal="center" vertical="center"/>
      <protection hidden="1"/>
    </xf>
    <xf numFmtId="0" fontId="23" fillId="8" borderId="55" xfId="0" applyFont="1" applyFill="1" applyBorder="1" applyAlignment="1" applyProtection="1">
      <alignment horizontal="center" vertical="center"/>
      <protection hidden="1"/>
    </xf>
    <xf numFmtId="0" fontId="99" fillId="37" borderId="30" xfId="0" applyFont="1" applyFill="1" applyBorder="1" applyAlignment="1" applyProtection="1">
      <alignment horizontal="center" vertical="center" wrapText="1"/>
      <protection hidden="1"/>
    </xf>
    <xf numFmtId="0" fontId="21" fillId="37" borderId="30" xfId="0" applyFont="1" applyFill="1" applyBorder="1" applyAlignment="1" applyProtection="1">
      <alignment vertical="center" wrapText="1"/>
      <protection hidden="1"/>
    </xf>
    <xf numFmtId="0" fontId="21" fillId="3" borderId="11" xfId="0" applyFont="1" applyFill="1" applyBorder="1" applyAlignment="1" applyProtection="1">
      <alignment horizontal="center" vertical="center" wrapText="1"/>
      <protection hidden="1"/>
    </xf>
    <xf numFmtId="0" fontId="21" fillId="3" borderId="11" xfId="0" applyFont="1" applyFill="1" applyBorder="1" applyAlignment="1" applyProtection="1">
      <alignment horizontal="left" vertical="center" wrapText="1"/>
      <protection hidden="1"/>
    </xf>
    <xf numFmtId="0" fontId="99" fillId="4" borderId="11" xfId="0" applyFont="1" applyFill="1" applyBorder="1" applyAlignment="1" applyProtection="1">
      <alignment horizontal="center" vertical="center" wrapText="1"/>
      <protection hidden="1"/>
    </xf>
    <xf numFmtId="0" fontId="21" fillId="4" borderId="51" xfId="0" applyFont="1" applyFill="1" applyBorder="1" applyAlignment="1" applyProtection="1">
      <alignment vertical="center" wrapText="1"/>
      <protection hidden="1"/>
    </xf>
    <xf numFmtId="0" fontId="99" fillId="41" borderId="11" xfId="0" applyFont="1" applyFill="1" applyBorder="1" applyAlignment="1" applyProtection="1">
      <alignment horizontal="center" vertical="center" wrapText="1"/>
      <protection hidden="1"/>
    </xf>
    <xf numFmtId="0" fontId="21" fillId="41" borderId="11" xfId="0" applyFont="1" applyFill="1" applyBorder="1" applyAlignment="1" applyProtection="1">
      <alignment vertical="center" wrapText="1"/>
      <protection hidden="1"/>
    </xf>
    <xf numFmtId="0" fontId="99" fillId="37" borderId="11" xfId="0" applyFont="1" applyFill="1" applyBorder="1" applyAlignment="1" applyProtection="1">
      <alignment horizontal="center" vertical="center" wrapText="1"/>
      <protection hidden="1"/>
    </xf>
    <xf numFmtId="0" fontId="21" fillId="37" borderId="11" xfId="0" applyFont="1" applyFill="1" applyBorder="1" applyAlignment="1" applyProtection="1">
      <alignment vertical="center" wrapText="1"/>
      <protection hidden="1"/>
    </xf>
    <xf numFmtId="0" fontId="99" fillId="40" borderId="11" xfId="0" applyFont="1" applyFill="1" applyBorder="1" applyAlignment="1" applyProtection="1">
      <alignment horizontal="center" vertical="center" wrapText="1"/>
      <protection hidden="1"/>
    </xf>
    <xf numFmtId="0" fontId="21" fillId="40" borderId="11" xfId="0" applyFont="1" applyFill="1" applyBorder="1" applyAlignment="1" applyProtection="1">
      <alignment vertical="center" wrapText="1"/>
      <protection hidden="1"/>
    </xf>
    <xf numFmtId="0" fontId="99" fillId="22" borderId="11" xfId="0" applyFont="1" applyFill="1" applyBorder="1" applyAlignment="1" applyProtection="1">
      <alignment horizontal="center" vertical="center" wrapText="1"/>
      <protection hidden="1"/>
    </xf>
    <xf numFmtId="0" fontId="21" fillId="22" borderId="11" xfId="0" applyFont="1" applyFill="1" applyBorder="1" applyAlignment="1" applyProtection="1">
      <alignment vertical="center" wrapText="1"/>
      <protection hidden="1"/>
    </xf>
    <xf numFmtId="0" fontId="99" fillId="41" borderId="51" xfId="0" applyFont="1" applyFill="1" applyBorder="1" applyAlignment="1" applyProtection="1">
      <alignment horizontal="center" vertical="center" wrapText="1"/>
      <protection hidden="1"/>
    </xf>
    <xf numFmtId="0" fontId="46" fillId="19" borderId="0" xfId="0" applyFont="1" applyFill="1" applyAlignment="1">
      <alignment horizontal="center" vertical="center"/>
    </xf>
    <xf numFmtId="0" fontId="43" fillId="2" borderId="42" xfId="1" applyFont="1" applyFill="1" applyBorder="1" applyAlignment="1" applyProtection="1">
      <alignment horizontal="center" vertical="center" wrapText="1"/>
    </xf>
    <xf numFmtId="0" fontId="53" fillId="2" borderId="0" xfId="1" applyFont="1" applyFill="1" applyBorder="1" applyAlignment="1" applyProtection="1">
      <alignment horizontal="center" vertical="center" wrapText="1"/>
    </xf>
    <xf numFmtId="0" fontId="8" fillId="3" borderId="19" xfId="0" applyFont="1" applyFill="1" applyBorder="1" applyAlignment="1" applyProtection="1">
      <alignment horizontal="center" vertical="center" wrapText="1"/>
      <protection hidden="1"/>
    </xf>
    <xf numFmtId="0" fontId="62" fillId="3" borderId="7" xfId="0" applyFont="1" applyFill="1" applyBorder="1" applyAlignment="1" applyProtection="1">
      <alignment horizontal="center" vertical="center"/>
      <protection hidden="1"/>
    </xf>
    <xf numFmtId="0" fontId="38" fillId="3" borderId="11" xfId="0" applyFont="1" applyFill="1" applyBorder="1" applyAlignment="1" applyProtection="1">
      <alignment horizontal="center" vertical="center" shrinkToFit="1"/>
      <protection hidden="1"/>
    </xf>
    <xf numFmtId="14" fontId="10" fillId="3" borderId="11" xfId="0" applyNumberFormat="1" applyFont="1" applyFill="1" applyBorder="1" applyAlignment="1" applyProtection="1">
      <alignment horizontal="center" vertical="center" wrapText="1"/>
      <protection hidden="1"/>
    </xf>
    <xf numFmtId="14" fontId="8" fillId="3" borderId="1" xfId="0" applyNumberFormat="1" applyFont="1" applyFill="1" applyBorder="1" applyAlignment="1" applyProtection="1">
      <alignment horizontal="center" vertical="center" shrinkToFit="1"/>
      <protection hidden="1"/>
    </xf>
    <xf numFmtId="0" fontId="57" fillId="2" borderId="100" xfId="0" applyFont="1" applyFill="1" applyBorder="1" applyAlignment="1">
      <alignment horizontal="center" vertical="top" wrapText="1"/>
    </xf>
    <xf numFmtId="0" fontId="20" fillId="2" borderId="0" xfId="0" applyFont="1" applyFill="1" applyAlignment="1">
      <alignment horizontal="center" vertical="center" wrapText="1"/>
    </xf>
    <xf numFmtId="0" fontId="110" fillId="36" borderId="7" xfId="0" applyFont="1" applyFill="1" applyBorder="1" applyAlignment="1" applyProtection="1">
      <alignment horizontal="right" vertical="center" wrapText="1" shrinkToFit="1"/>
      <protection hidden="1"/>
    </xf>
    <xf numFmtId="0" fontId="38" fillId="3" borderId="6" xfId="0" applyFont="1" applyFill="1" applyBorder="1" applyAlignment="1" applyProtection="1">
      <alignment horizontal="center" vertical="center" shrinkToFit="1"/>
      <protection locked="0"/>
    </xf>
    <xf numFmtId="0" fontId="20" fillId="3" borderId="0" xfId="0" applyFont="1" applyFill="1" applyAlignment="1" applyProtection="1">
      <alignment horizontal="center" vertical="center" wrapText="1"/>
      <protection hidden="1"/>
    </xf>
    <xf numFmtId="0" fontId="98" fillId="19" borderId="0" xfId="0" applyFont="1" applyFill="1" applyAlignment="1">
      <alignment horizontal="center" vertical="center"/>
    </xf>
    <xf numFmtId="0" fontId="10" fillId="3" borderId="11" xfId="0" applyFont="1" applyFill="1" applyBorder="1" applyAlignment="1" applyProtection="1">
      <alignment horizontal="center" vertical="center" wrapText="1" shrinkToFit="1"/>
      <protection hidden="1"/>
    </xf>
    <xf numFmtId="0" fontId="21" fillId="43" borderId="11" xfId="0" applyFont="1" applyFill="1" applyBorder="1" applyAlignment="1" applyProtection="1">
      <alignment horizontal="left" vertical="center" wrapText="1" shrinkToFit="1"/>
      <protection hidden="1"/>
    </xf>
    <xf numFmtId="0" fontId="21" fillId="18" borderId="11" xfId="0" applyFont="1" applyFill="1" applyBorder="1" applyAlignment="1" applyProtection="1">
      <alignment horizontal="left" vertical="center" wrapText="1" shrinkToFit="1"/>
      <protection hidden="1"/>
    </xf>
    <xf numFmtId="0" fontId="21" fillId="30" borderId="11" xfId="0" applyFont="1" applyFill="1" applyBorder="1" applyAlignment="1" applyProtection="1">
      <alignment horizontal="left" vertical="center" wrapText="1" shrinkToFit="1"/>
      <protection hidden="1"/>
    </xf>
    <xf numFmtId="0" fontId="21" fillId="22" borderId="11" xfId="0" applyFont="1" applyFill="1" applyBorder="1" applyAlignment="1" applyProtection="1">
      <alignment horizontal="left" vertical="center" wrapText="1" shrinkToFit="1"/>
      <protection hidden="1"/>
    </xf>
    <xf numFmtId="0" fontId="122" fillId="7" borderId="35" xfId="0" applyFont="1" applyFill="1" applyBorder="1" applyAlignment="1" applyProtection="1">
      <alignment horizontal="center" vertical="center" wrapText="1"/>
      <protection hidden="1"/>
    </xf>
    <xf numFmtId="0" fontId="123" fillId="7" borderId="13" xfId="0" applyFont="1" applyFill="1" applyBorder="1" applyAlignment="1" applyProtection="1">
      <alignment horizontal="center" vertical="center" wrapText="1"/>
      <protection hidden="1"/>
    </xf>
    <xf numFmtId="0" fontId="1" fillId="4" borderId="55" xfId="0" applyFont="1" applyFill="1" applyBorder="1" applyAlignment="1" applyProtection="1">
      <alignment horizontal="center" vertical="center" wrapText="1"/>
      <protection hidden="1"/>
    </xf>
    <xf numFmtId="0" fontId="26" fillId="3" borderId="12" xfId="1" applyFill="1" applyBorder="1" applyAlignment="1" applyProtection="1">
      <alignment horizontal="center" vertical="center" wrapText="1"/>
      <protection hidden="1"/>
    </xf>
    <xf numFmtId="0" fontId="74" fillId="19" borderId="4" xfId="0" applyFont="1" applyFill="1" applyBorder="1" applyAlignment="1" applyProtection="1">
      <alignment horizontal="center" vertical="center" wrapText="1"/>
      <protection hidden="1"/>
    </xf>
    <xf numFmtId="0" fontId="66" fillId="3" borderId="12" xfId="0" applyFont="1" applyFill="1" applyBorder="1" applyAlignment="1" applyProtection="1">
      <alignment horizontal="center" wrapText="1"/>
      <protection hidden="1"/>
    </xf>
    <xf numFmtId="0" fontId="59" fillId="13" borderId="118" xfId="1" applyFont="1" applyFill="1" applyBorder="1" applyAlignment="1" applyProtection="1">
      <alignment horizontal="center" vertical="center" wrapText="1"/>
    </xf>
    <xf numFmtId="0" fontId="120" fillId="7" borderId="6" xfId="0" applyFont="1" applyFill="1" applyBorder="1" applyAlignment="1" applyProtection="1">
      <alignment horizontal="center" vertical="center" wrapText="1"/>
      <protection hidden="1"/>
    </xf>
    <xf numFmtId="0" fontId="121" fillId="11" borderId="6" xfId="0" applyFont="1" applyFill="1" applyBorder="1" applyAlignment="1" applyProtection="1">
      <alignment horizontal="left" vertical="center"/>
      <protection hidden="1"/>
    </xf>
    <xf numFmtId="0" fontId="59" fillId="14" borderId="130" xfId="1" applyFont="1" applyFill="1" applyBorder="1" applyAlignment="1" applyProtection="1">
      <alignment horizontal="center" vertical="center" wrapText="1"/>
      <protection hidden="1"/>
    </xf>
    <xf numFmtId="0" fontId="122" fillId="7" borderId="2" xfId="0" applyFont="1" applyFill="1" applyBorder="1" applyAlignment="1" applyProtection="1">
      <alignment horizontal="center" vertical="center" wrapText="1"/>
      <protection hidden="1"/>
    </xf>
    <xf numFmtId="0" fontId="59" fillId="45" borderId="140" xfId="1" applyFont="1" applyFill="1" applyBorder="1" applyAlignment="1" applyProtection="1">
      <alignment horizontal="center" vertical="center" wrapText="1"/>
      <protection hidden="1"/>
    </xf>
    <xf numFmtId="0" fontId="126" fillId="19" borderId="6" xfId="1" applyFont="1" applyFill="1" applyBorder="1" applyAlignment="1" applyProtection="1">
      <alignment horizontal="center" vertical="center" wrapText="1"/>
    </xf>
    <xf numFmtId="0" fontId="123" fillId="7" borderId="0" xfId="0" applyFont="1" applyFill="1" applyAlignment="1">
      <alignment horizontal="center" vertical="center" wrapText="1"/>
    </xf>
    <xf numFmtId="0" fontId="20" fillId="39" borderId="0" xfId="0" applyFont="1" applyFill="1" applyAlignment="1">
      <alignment horizontal="center" vertical="center" wrapText="1"/>
    </xf>
    <xf numFmtId="0" fontId="41" fillId="3" borderId="143" xfId="1" applyFont="1" applyFill="1" applyBorder="1" applyAlignment="1" applyProtection="1">
      <alignment horizontal="center" vertical="center"/>
    </xf>
    <xf numFmtId="0" fontId="59" fillId="13" borderId="6" xfId="1" applyFont="1" applyFill="1" applyBorder="1" applyAlignment="1" applyProtection="1">
      <alignment horizontal="center" vertical="center" wrapText="1"/>
    </xf>
    <xf numFmtId="0" fontId="59" fillId="14" borderId="6" xfId="1" applyFont="1" applyFill="1" applyBorder="1" applyAlignment="1" applyProtection="1">
      <alignment horizontal="center" vertical="center" wrapText="1"/>
    </xf>
    <xf numFmtId="0" fontId="59" fillId="45" borderId="6" xfId="1" applyFont="1" applyFill="1" applyBorder="1" applyAlignment="1" applyProtection="1">
      <alignment horizontal="center" vertical="center" wrapText="1"/>
    </xf>
    <xf numFmtId="0" fontId="124" fillId="5" borderId="21" xfId="0" applyFont="1" applyFill="1" applyBorder="1" applyAlignment="1">
      <alignment horizontal="center" vertical="center"/>
    </xf>
    <xf numFmtId="0" fontId="69" fillId="5" borderId="21" xfId="0" applyFont="1" applyFill="1" applyBorder="1" applyAlignment="1">
      <alignment horizontal="center" vertical="center" wrapText="1"/>
    </xf>
    <xf numFmtId="0" fontId="122" fillId="7" borderId="21" xfId="0" applyFont="1" applyFill="1" applyBorder="1" applyAlignment="1">
      <alignment horizontal="center" vertical="center" wrapText="1"/>
    </xf>
    <xf numFmtId="0" fontId="125" fillId="7" borderId="0" xfId="0" applyFont="1" applyFill="1" applyAlignment="1">
      <alignment horizontal="center" vertical="center" wrapText="1"/>
    </xf>
    <xf numFmtId="0" fontId="123" fillId="7" borderId="142" xfId="0" applyFont="1" applyFill="1" applyBorder="1" applyAlignment="1">
      <alignment horizontal="center" vertical="center" wrapText="1"/>
    </xf>
    <xf numFmtId="0" fontId="99" fillId="9" borderId="11" xfId="0" applyFont="1" applyFill="1" applyBorder="1" applyAlignment="1" applyProtection="1">
      <alignment horizontal="center" vertical="center" wrapText="1"/>
      <protection hidden="1"/>
    </xf>
    <xf numFmtId="0" fontId="154" fillId="9" borderId="50" xfId="0" applyFont="1" applyFill="1" applyBorder="1" applyAlignment="1" applyProtection="1">
      <alignment horizontal="center" vertical="center" wrapText="1"/>
      <protection hidden="1"/>
    </xf>
    <xf numFmtId="0" fontId="159" fillId="3" borderId="133" xfId="0" applyFont="1" applyFill="1" applyBorder="1" applyAlignment="1" applyProtection="1">
      <alignment horizontal="center" vertical="center" wrapText="1"/>
      <protection hidden="1"/>
    </xf>
    <xf numFmtId="0" fontId="159" fillId="3" borderId="114" xfId="0" applyFont="1" applyFill="1" applyBorder="1" applyAlignment="1" applyProtection="1">
      <alignment horizontal="center" vertical="center" wrapText="1"/>
      <protection hidden="1"/>
    </xf>
    <xf numFmtId="0" fontId="108" fillId="9" borderId="21" xfId="0" applyFont="1" applyFill="1" applyBorder="1" applyAlignment="1" applyProtection="1">
      <alignment horizontal="left" vertical="center" wrapText="1"/>
      <protection hidden="1"/>
    </xf>
    <xf numFmtId="0" fontId="154" fillId="2" borderId="0" xfId="0" applyFont="1" applyFill="1" applyAlignment="1" applyProtection="1">
      <alignment horizontal="center" vertical="center" wrapText="1"/>
      <protection hidden="1"/>
    </xf>
    <xf numFmtId="0" fontId="154" fillId="9" borderId="0" xfId="0" applyFont="1" applyFill="1" applyAlignment="1" applyProtection="1">
      <alignment horizontal="center" vertical="center" wrapText="1"/>
      <protection hidden="1"/>
    </xf>
    <xf numFmtId="0" fontId="159" fillId="2" borderId="0" xfId="0" applyFont="1" applyFill="1" applyAlignment="1" applyProtection="1">
      <alignment horizontal="center" vertical="center" wrapText="1"/>
      <protection hidden="1"/>
    </xf>
    <xf numFmtId="0" fontId="108" fillId="9" borderId="0" xfId="0" applyFont="1" applyFill="1" applyAlignment="1" applyProtection="1">
      <alignment horizontal="center" vertical="center" wrapText="1"/>
      <protection hidden="1"/>
    </xf>
    <xf numFmtId="0" fontId="158" fillId="3" borderId="18" xfId="0" applyFont="1" applyFill="1" applyBorder="1" applyAlignment="1" applyProtection="1">
      <alignment horizontal="center" vertical="center" wrapText="1"/>
      <protection hidden="1"/>
    </xf>
    <xf numFmtId="0" fontId="148" fillId="3" borderId="146" xfId="0" applyFont="1" applyFill="1" applyBorder="1" applyAlignment="1" applyProtection="1">
      <alignment horizontal="center" wrapText="1"/>
      <protection hidden="1"/>
    </xf>
    <xf numFmtId="0" fontId="156" fillId="0" borderId="11" xfId="0" applyFont="1" applyBorder="1" applyAlignment="1" applyProtection="1">
      <alignment horizontal="center" vertical="center" wrapText="1"/>
      <protection hidden="1"/>
    </xf>
    <xf numFmtId="0" fontId="156" fillId="46" borderId="11" xfId="0" applyFont="1" applyFill="1" applyBorder="1" applyAlignment="1" applyProtection="1">
      <alignment horizontal="center" vertical="center" wrapText="1"/>
      <protection hidden="1"/>
    </xf>
    <xf numFmtId="0" fontId="49" fillId="13" borderId="5" xfId="1" applyFont="1" applyFill="1" applyBorder="1" applyAlignment="1" applyProtection="1">
      <alignment horizontal="center" vertical="center" wrapText="1"/>
      <protection hidden="1"/>
    </xf>
    <xf numFmtId="0" fontId="156" fillId="9" borderId="0" xfId="0" applyFont="1" applyFill="1" applyAlignment="1" applyProtection="1">
      <alignment horizontal="center" vertical="center" wrapText="1"/>
      <protection hidden="1"/>
    </xf>
    <xf numFmtId="0" fontId="157" fillId="2" borderId="0" xfId="0" applyFont="1" applyFill="1" applyAlignment="1" applyProtection="1">
      <alignment horizontal="center" vertical="center" wrapText="1"/>
      <protection hidden="1"/>
    </xf>
    <xf numFmtId="0" fontId="158" fillId="2" borderId="0" xfId="0" applyFont="1" applyFill="1" applyAlignment="1" applyProtection="1">
      <alignment horizontal="center" vertical="center" wrapText="1"/>
      <protection hidden="1"/>
    </xf>
    <xf numFmtId="0" fontId="20" fillId="0" borderId="11" xfId="0" applyFont="1" applyBorder="1" applyAlignment="1" applyProtection="1">
      <alignment horizontal="center" vertical="center" wrapText="1"/>
      <protection hidden="1"/>
    </xf>
    <xf numFmtId="0" fontId="155" fillId="0" borderId="11" xfId="0" applyFont="1" applyBorder="1" applyAlignment="1" applyProtection="1">
      <alignment horizontal="center" vertical="center" shrinkToFit="1"/>
      <protection hidden="1"/>
    </xf>
    <xf numFmtId="0" fontId="155" fillId="0" borderId="11" xfId="0" applyFont="1" applyBorder="1" applyAlignment="1" applyProtection="1">
      <alignment horizontal="center" vertical="center" wrapText="1"/>
      <protection hidden="1"/>
    </xf>
    <xf numFmtId="0" fontId="80" fillId="0" borderId="11" xfId="0" applyFont="1" applyBorder="1" applyAlignment="1" applyProtection="1">
      <alignment horizontal="center" vertical="center" shrinkToFit="1"/>
      <protection hidden="1"/>
    </xf>
    <xf numFmtId="0" fontId="39" fillId="9" borderId="0" xfId="0" applyFont="1" applyFill="1" applyAlignment="1" applyProtection="1">
      <alignment horizontal="center" vertical="center" wrapText="1"/>
      <protection hidden="1"/>
    </xf>
    <xf numFmtId="0" fontId="154" fillId="9" borderId="50" xfId="0" applyFont="1" applyFill="1" applyBorder="1" applyAlignment="1" applyProtection="1">
      <alignment horizontal="center" vertical="top" wrapText="1"/>
      <protection hidden="1"/>
    </xf>
    <xf numFmtId="0" fontId="20" fillId="0" borderId="50" xfId="0" applyFont="1" applyBorder="1" applyAlignment="1" applyProtection="1">
      <alignment horizontal="left" vertical="top" wrapText="1"/>
      <protection hidden="1"/>
    </xf>
    <xf numFmtId="0" fontId="49" fillId="10" borderId="57" xfId="1" applyFont="1" applyFill="1" applyBorder="1" applyAlignment="1" applyProtection="1">
      <alignment horizontal="center" vertical="center" wrapText="1"/>
      <protection hidden="1"/>
    </xf>
    <xf numFmtId="0" fontId="20" fillId="10" borderId="11" xfId="0" applyFont="1" applyFill="1" applyBorder="1" applyAlignment="1" applyProtection="1">
      <alignment horizontal="center" vertical="center" wrapText="1"/>
      <protection hidden="1"/>
    </xf>
    <xf numFmtId="0" fontId="80" fillId="0" borderId="52" xfId="0" applyFont="1" applyBorder="1" applyAlignment="1" applyProtection="1">
      <alignment horizontal="center" vertical="center" shrinkToFit="1"/>
      <protection hidden="1"/>
    </xf>
    <xf numFmtId="0" fontId="80" fillId="0" borderId="54" xfId="0" applyFont="1" applyBorder="1" applyAlignment="1" applyProtection="1">
      <alignment horizontal="center" vertical="center" shrinkToFit="1"/>
      <protection hidden="1"/>
    </xf>
    <xf numFmtId="0" fontId="80" fillId="0" borderId="49" xfId="0" applyFont="1" applyBorder="1" applyAlignment="1" applyProtection="1">
      <alignment horizontal="center" vertical="center" shrinkToFit="1"/>
      <protection hidden="1"/>
    </xf>
    <xf numFmtId="0" fontId="80" fillId="0" borderId="55" xfId="0" applyFont="1" applyBorder="1" applyAlignment="1" applyProtection="1">
      <alignment horizontal="center" vertical="center" shrinkToFit="1"/>
      <protection hidden="1"/>
    </xf>
    <xf numFmtId="0" fontId="80" fillId="0" borderId="110" xfId="0" applyFont="1" applyBorder="1" applyAlignment="1" applyProtection="1">
      <alignment horizontal="center" vertical="center" shrinkToFit="1"/>
      <protection hidden="1"/>
    </xf>
    <xf numFmtId="0" fontId="80" fillId="0" borderId="58" xfId="0" applyFont="1" applyBorder="1" applyAlignment="1" applyProtection="1">
      <alignment horizontal="center" vertical="center" shrinkToFit="1"/>
      <protection hidden="1"/>
    </xf>
    <xf numFmtId="0" fontId="148" fillId="0" borderId="11" xfId="0" applyFont="1" applyBorder="1" applyAlignment="1" applyProtection="1">
      <alignment horizontal="center" vertical="center" wrapText="1"/>
      <protection hidden="1"/>
    </xf>
    <xf numFmtId="0" fontId="23" fillId="0" borderId="11" xfId="0" applyFont="1" applyBorder="1" applyAlignment="1" applyProtection="1">
      <alignment vertical="center" shrinkToFit="1"/>
      <protection hidden="1"/>
    </xf>
    <xf numFmtId="0" fontId="39" fillId="0" borderId="56" xfId="0" applyFont="1" applyBorder="1" applyAlignment="1" applyProtection="1">
      <alignment horizontal="center" vertical="center" wrapText="1"/>
      <protection hidden="1"/>
    </xf>
    <xf numFmtId="0" fontId="149" fillId="0" borderId="6" xfId="0" applyFont="1" applyBorder="1" applyAlignment="1" applyProtection="1">
      <alignment horizontal="center" vertical="center" wrapText="1"/>
      <protection hidden="1"/>
    </xf>
    <xf numFmtId="0" fontId="80" fillId="0" borderId="19" xfId="0" applyFont="1" applyBorder="1" applyAlignment="1" applyProtection="1">
      <alignment horizontal="center" vertical="center" shrinkToFit="1"/>
      <protection hidden="1"/>
    </xf>
    <xf numFmtId="0" fontId="148" fillId="0" borderId="130" xfId="0" applyFont="1" applyBorder="1" applyAlignment="1" applyProtection="1">
      <alignment horizontal="center" vertical="center" wrapText="1"/>
      <protection hidden="1"/>
    </xf>
    <xf numFmtId="0" fontId="23" fillId="0" borderId="11" xfId="0" applyFont="1" applyBorder="1" applyAlignment="1" applyProtection="1">
      <alignment horizontal="center" vertical="center" shrinkToFit="1"/>
      <protection hidden="1"/>
    </xf>
    <xf numFmtId="0" fontId="20" fillId="0" borderId="57" xfId="0" applyFont="1" applyBorder="1" applyAlignment="1" applyProtection="1">
      <alignment horizontal="center" vertical="center" wrapText="1"/>
      <protection hidden="1"/>
    </xf>
    <xf numFmtId="0" fontId="39" fillId="0" borderId="11" xfId="0" applyFont="1" applyBorder="1" applyAlignment="1" applyProtection="1">
      <alignment horizontal="center" vertical="center" wrapText="1"/>
      <protection hidden="1"/>
    </xf>
    <xf numFmtId="0" fontId="39" fillId="0" borderId="55" xfId="0" applyFont="1" applyBorder="1" applyAlignment="1" applyProtection="1">
      <alignment horizontal="center" vertical="center" wrapText="1"/>
      <protection hidden="1"/>
    </xf>
    <xf numFmtId="0" fontId="148" fillId="0" borderId="140" xfId="0" applyFont="1" applyBorder="1" applyAlignment="1" applyProtection="1">
      <alignment horizontal="center" vertical="center" wrapText="1"/>
      <protection hidden="1"/>
    </xf>
    <xf numFmtId="0" fontId="23" fillId="0" borderId="11" xfId="0" applyFont="1" applyBorder="1" applyAlignment="1" applyProtection="1">
      <alignment vertical="center" wrapText="1" shrinkToFit="1"/>
      <protection hidden="1"/>
    </xf>
    <xf numFmtId="0" fontId="23" fillId="0" borderId="30" xfId="0" applyFont="1" applyBorder="1" applyAlignment="1" applyProtection="1">
      <alignment horizontal="center" vertical="center" shrinkToFit="1"/>
      <protection hidden="1"/>
    </xf>
    <xf numFmtId="0" fontId="39" fillId="0" borderId="95" xfId="0" applyFont="1" applyBorder="1" applyAlignment="1" applyProtection="1">
      <alignment horizontal="center" vertical="center" wrapText="1"/>
      <protection hidden="1"/>
    </xf>
    <xf numFmtId="0" fontId="39" fillId="0" borderId="58" xfId="0" applyFont="1" applyBorder="1" applyAlignment="1" applyProtection="1">
      <alignment horizontal="center" vertical="center" wrapText="1"/>
      <protection hidden="1"/>
    </xf>
    <xf numFmtId="0" fontId="148" fillId="0" borderId="118" xfId="0" applyFont="1" applyBorder="1" applyAlignment="1" applyProtection="1">
      <alignment horizontal="center" vertical="center" wrapText="1"/>
      <protection hidden="1"/>
    </xf>
    <xf numFmtId="16" fontId="23" fillId="0" borderId="11" xfId="0" applyNumberFormat="1" applyFont="1" applyBorder="1" applyAlignment="1" applyProtection="1">
      <alignment horizontal="center" vertical="center" wrapText="1" shrinkToFit="1"/>
      <protection hidden="1"/>
    </xf>
    <xf numFmtId="0" fontId="148" fillId="0" borderId="7" xfId="0" applyFont="1" applyBorder="1" applyAlignment="1" applyProtection="1">
      <alignment horizontal="center" vertical="center" wrapText="1"/>
      <protection hidden="1"/>
    </xf>
    <xf numFmtId="0" fontId="51" fillId="0" borderId="11" xfId="0" applyFont="1" applyBorder="1" applyAlignment="1" applyProtection="1">
      <alignment horizontal="left" vertical="center" shrinkToFit="1"/>
      <protection hidden="1"/>
    </xf>
    <xf numFmtId="14" fontId="20" fillId="0" borderId="51" xfId="0" applyNumberFormat="1" applyFont="1" applyBorder="1" applyAlignment="1" applyProtection="1">
      <alignment horizontal="center" vertical="center" shrinkToFit="1"/>
      <protection hidden="1"/>
    </xf>
    <xf numFmtId="0" fontId="148" fillId="0" borderId="148" xfId="0" applyFont="1" applyBorder="1" applyAlignment="1" applyProtection="1">
      <alignment horizontal="center" vertical="center" wrapText="1"/>
      <protection hidden="1"/>
    </xf>
    <xf numFmtId="0" fontId="39" fillId="0" borderId="30" xfId="0" applyFont="1" applyBorder="1" applyAlignment="1" applyProtection="1">
      <alignment horizontal="center" vertical="center" wrapText="1"/>
      <protection hidden="1"/>
    </xf>
    <xf numFmtId="0" fontId="39" fillId="0" borderId="24" xfId="0" applyFont="1" applyBorder="1" applyAlignment="1" applyProtection="1">
      <alignment horizontal="center" vertical="center" wrapText="1"/>
      <protection hidden="1"/>
    </xf>
    <xf numFmtId="0" fontId="148" fillId="0" borderId="109" xfId="0" applyFont="1" applyBorder="1" applyAlignment="1" applyProtection="1">
      <alignment horizontal="center" vertical="center" wrapText="1"/>
      <protection hidden="1"/>
    </xf>
    <xf numFmtId="0" fontId="10" fillId="0" borderId="57" xfId="0" applyFont="1" applyBorder="1" applyAlignment="1" applyProtection="1">
      <alignment horizontal="center" vertical="center" wrapText="1"/>
      <protection hidden="1"/>
    </xf>
    <xf numFmtId="0" fontId="20" fillId="0" borderId="51" xfId="0" applyFont="1" applyBorder="1" applyAlignment="1" applyProtection="1">
      <alignment horizontal="center" vertical="center" shrinkToFit="1"/>
      <protection hidden="1"/>
    </xf>
    <xf numFmtId="0" fontId="23" fillId="0" borderId="108" xfId="0" applyFont="1" applyBorder="1" applyAlignment="1" applyProtection="1">
      <alignment vertical="center" shrinkToFit="1"/>
      <protection hidden="1"/>
    </xf>
    <xf numFmtId="0" fontId="148" fillId="0" borderId="134" xfId="0" applyFont="1" applyBorder="1" applyAlignment="1" applyProtection="1">
      <alignment horizontal="center" vertical="center" wrapText="1"/>
      <protection hidden="1"/>
    </xf>
    <xf numFmtId="0" fontId="108" fillId="0" borderId="11" xfId="0" applyFont="1" applyBorder="1" applyAlignment="1" applyProtection="1">
      <alignment vertical="center" wrapText="1"/>
      <protection hidden="1"/>
    </xf>
    <xf numFmtId="0" fontId="108" fillId="0" borderId="11" xfId="0" applyFont="1" applyBorder="1" applyAlignment="1" applyProtection="1">
      <alignment horizontal="center" vertical="center" wrapText="1"/>
      <protection hidden="1"/>
    </xf>
    <xf numFmtId="0" fontId="148" fillId="0" borderId="113" xfId="0" applyFont="1" applyBorder="1" applyAlignment="1" applyProtection="1">
      <alignment horizontal="center" vertical="center" wrapText="1"/>
      <protection hidden="1"/>
    </xf>
    <xf numFmtId="16" fontId="23" fillId="0" borderId="108" xfId="0" applyNumberFormat="1" applyFont="1" applyBorder="1" applyAlignment="1" applyProtection="1">
      <alignment horizontal="center" vertical="center" wrapText="1" shrinkToFit="1"/>
      <protection hidden="1"/>
    </xf>
    <xf numFmtId="0" fontId="148" fillId="0" borderId="147" xfId="0" applyFont="1" applyBorder="1" applyAlignment="1" applyProtection="1">
      <alignment horizontal="center" vertical="center" wrapText="1"/>
      <protection hidden="1"/>
    </xf>
    <xf numFmtId="0" fontId="23" fillId="0" borderId="136" xfId="0" applyFont="1" applyBorder="1" applyAlignment="1" applyProtection="1">
      <alignment vertical="center" wrapText="1" shrinkToFit="1"/>
      <protection hidden="1"/>
    </xf>
    <xf numFmtId="0" fontId="23" fillId="0" borderId="136" xfId="0" applyFont="1" applyBorder="1" applyAlignment="1" applyProtection="1">
      <alignment horizontal="center" vertical="center" shrinkToFit="1"/>
      <protection hidden="1"/>
    </xf>
    <xf numFmtId="0" fontId="20" fillId="0" borderId="95" xfId="0" applyFont="1" applyBorder="1" applyAlignment="1" applyProtection="1">
      <alignment horizontal="center" vertical="center" wrapText="1"/>
      <protection hidden="1"/>
    </xf>
    <xf numFmtId="0" fontId="20" fillId="0" borderId="58" xfId="0" applyFont="1" applyBorder="1" applyAlignment="1" applyProtection="1">
      <alignment horizontal="center" vertical="center" wrapText="1"/>
      <protection hidden="1"/>
    </xf>
    <xf numFmtId="0" fontId="129" fillId="0" borderId="147" xfId="0" applyFont="1" applyBorder="1" applyAlignment="1" applyProtection="1">
      <alignment horizontal="center" vertical="center" wrapText="1"/>
      <protection hidden="1"/>
    </xf>
    <xf numFmtId="0" fontId="51" fillId="0" borderId="6" xfId="0" applyFont="1" applyBorder="1" applyAlignment="1" applyProtection="1">
      <alignment horizontal="center" vertical="center"/>
      <protection hidden="1"/>
    </xf>
    <xf numFmtId="0" fontId="23" fillId="0" borderId="8" xfId="0" applyFont="1" applyBorder="1" applyAlignment="1" applyProtection="1">
      <alignment vertical="center" shrinkToFit="1"/>
      <protection hidden="1"/>
    </xf>
    <xf numFmtId="0" fontId="23" fillId="0" borderId="116" xfId="0" applyFont="1" applyBorder="1" applyAlignment="1" applyProtection="1">
      <alignment horizontal="center" vertical="center" shrinkToFit="1"/>
      <protection hidden="1"/>
    </xf>
    <xf numFmtId="0" fontId="20" fillId="0" borderId="11" xfId="0" applyFont="1" applyBorder="1" applyAlignment="1" applyProtection="1">
      <alignment horizontal="center" vertical="center" shrinkToFit="1"/>
      <protection hidden="1"/>
    </xf>
    <xf numFmtId="0" fontId="20" fillId="0" borderId="55" xfId="0" applyFont="1" applyBorder="1" applyAlignment="1" applyProtection="1">
      <alignment horizontal="center" vertical="center" shrinkToFit="1"/>
      <protection hidden="1"/>
    </xf>
    <xf numFmtId="0" fontId="20" fillId="0" borderId="95" xfId="0" applyFont="1" applyBorder="1" applyAlignment="1" applyProtection="1">
      <alignment horizontal="center" vertical="center" shrinkToFit="1"/>
      <protection hidden="1"/>
    </xf>
    <xf numFmtId="0" fontId="20" fillId="0" borderId="58" xfId="0" applyFont="1" applyBorder="1" applyAlignment="1" applyProtection="1">
      <alignment horizontal="center" vertical="center" shrinkToFit="1"/>
      <protection hidden="1"/>
    </xf>
    <xf numFmtId="0" fontId="144" fillId="0" borderId="15" xfId="0" applyFont="1" applyBorder="1" applyAlignment="1" applyProtection="1">
      <alignment horizontal="center" vertical="center" wrapText="1"/>
      <protection hidden="1"/>
    </xf>
    <xf numFmtId="0" fontId="57" fillId="0" borderId="7" xfId="0" applyFont="1" applyBorder="1" applyAlignment="1" applyProtection="1">
      <alignment horizontal="right" vertical="center" wrapText="1"/>
      <protection hidden="1"/>
    </xf>
    <xf numFmtId="0" fontId="57" fillId="0" borderId="7" xfId="0" applyFont="1" applyBorder="1" applyAlignment="1" applyProtection="1">
      <alignment horizontal="right" vertical="center" shrinkToFit="1"/>
      <protection hidden="1"/>
    </xf>
    <xf numFmtId="0" fontId="145" fillId="0" borderId="15" xfId="0" applyFont="1" applyBorder="1" applyAlignment="1" applyProtection="1">
      <alignment horizontal="center" vertical="center" shrinkToFit="1"/>
      <protection hidden="1"/>
    </xf>
    <xf numFmtId="0" fontId="69" fillId="3" borderId="2" xfId="0" applyFont="1" applyFill="1" applyBorder="1" applyAlignment="1" applyProtection="1">
      <alignment horizontal="center" vertical="center" shrinkToFit="1"/>
      <protection hidden="1"/>
    </xf>
    <xf numFmtId="0" fontId="80" fillId="3" borderId="2" xfId="0" applyFont="1" applyFill="1" applyBorder="1" applyAlignment="1" applyProtection="1">
      <alignment horizontal="center" vertical="center" wrapText="1"/>
      <protection hidden="1"/>
    </xf>
    <xf numFmtId="0" fontId="80" fillId="0" borderId="35" xfId="0" applyFont="1" applyBorder="1" applyAlignment="1" applyProtection="1">
      <alignment horizontal="center" vertical="center" wrapText="1"/>
      <protection hidden="1"/>
    </xf>
    <xf numFmtId="0" fontId="99" fillId="0" borderId="51" xfId="0" applyFont="1" applyBorder="1" applyAlignment="1" applyProtection="1">
      <alignment horizontal="center" vertical="center" wrapText="1"/>
      <protection hidden="1"/>
    </xf>
    <xf numFmtId="0" fontId="71" fillId="0" borderId="38" xfId="0" applyFont="1" applyBorder="1" applyAlignment="1" applyProtection="1">
      <alignment horizontal="center" vertical="center" wrapText="1"/>
      <protection hidden="1"/>
    </xf>
    <xf numFmtId="0" fontId="71" fillId="0" borderId="12" xfId="0" applyFont="1" applyBorder="1" applyAlignment="1" applyProtection="1">
      <alignment horizontal="center" vertical="center" wrapText="1"/>
      <protection hidden="1"/>
    </xf>
    <xf numFmtId="0" fontId="143" fillId="19" borderId="13" xfId="0" applyFont="1" applyFill="1" applyBorder="1" applyAlignment="1" applyProtection="1">
      <alignment horizontal="center" vertical="center" shrinkToFit="1"/>
      <protection hidden="1"/>
    </xf>
    <xf numFmtId="0" fontId="143" fillId="19" borderId="36" xfId="0" applyFont="1" applyFill="1" applyBorder="1" applyAlignment="1" applyProtection="1">
      <alignment horizontal="center" vertical="center" shrinkToFit="1"/>
      <protection hidden="1"/>
    </xf>
    <xf numFmtId="0" fontId="143" fillId="19" borderId="1" xfId="0" applyFont="1" applyFill="1" applyBorder="1" applyAlignment="1" applyProtection="1">
      <alignment horizontal="center" vertical="center" shrinkToFit="1"/>
      <protection hidden="1"/>
    </xf>
    <xf numFmtId="0" fontId="128" fillId="19" borderId="9" xfId="0" applyFont="1" applyFill="1" applyBorder="1" applyAlignment="1" applyProtection="1">
      <alignment horizontal="center" vertical="center" wrapText="1"/>
      <protection hidden="1"/>
    </xf>
    <xf numFmtId="0" fontId="49" fillId="18" borderId="4" xfId="1" applyFont="1" applyFill="1" applyBorder="1" applyAlignment="1" applyProtection="1">
      <alignment horizontal="center" vertical="center" wrapText="1"/>
      <protection hidden="1"/>
    </xf>
    <xf numFmtId="0" fontId="129" fillId="18" borderId="4" xfId="0" applyFont="1" applyFill="1" applyBorder="1" applyAlignment="1" applyProtection="1">
      <alignment horizontal="center" vertical="center" wrapText="1"/>
      <protection hidden="1"/>
    </xf>
    <xf numFmtId="0" fontId="49" fillId="18" borderId="4" xfId="1" applyFont="1" applyFill="1" applyBorder="1" applyAlignment="1" applyProtection="1">
      <alignment horizontal="center" vertical="center"/>
    </xf>
    <xf numFmtId="0" fontId="49" fillId="18" borderId="4" xfId="1" applyFont="1" applyFill="1" applyBorder="1" applyAlignment="1" applyProtection="1">
      <alignment horizontal="center" vertical="center"/>
      <protection hidden="1"/>
    </xf>
    <xf numFmtId="0" fontId="49" fillId="18" borderId="2" xfId="1" applyFont="1" applyFill="1" applyBorder="1" applyAlignment="1" applyProtection="1">
      <alignment horizontal="center" vertical="center"/>
      <protection hidden="1"/>
    </xf>
    <xf numFmtId="0" fontId="128" fillId="18" borderId="145" xfId="0" applyFont="1" applyFill="1" applyBorder="1" applyAlignment="1" applyProtection="1">
      <alignment horizontal="center" vertical="center" wrapText="1"/>
      <protection hidden="1"/>
    </xf>
    <xf numFmtId="0" fontId="131" fillId="0" borderId="135" xfId="0" applyFont="1" applyBorder="1" applyAlignment="1" applyProtection="1">
      <alignment horizontal="center" vertical="center" wrapText="1"/>
      <protection hidden="1"/>
    </xf>
    <xf numFmtId="0" fontId="132" fillId="0" borderId="35" xfId="0" applyFont="1" applyBorder="1" applyAlignment="1" applyProtection="1">
      <alignment horizontal="center" vertical="center"/>
      <protection hidden="1"/>
    </xf>
    <xf numFmtId="0" fontId="136" fillId="3" borderId="53" xfId="0" applyFont="1" applyFill="1" applyBorder="1" applyAlignment="1" applyProtection="1">
      <alignment horizontal="center" vertical="center" shrinkToFit="1"/>
      <protection hidden="1"/>
    </xf>
    <xf numFmtId="0" fontId="135" fillId="3" borderId="52" xfId="0" applyFont="1" applyFill="1" applyBorder="1" applyAlignment="1" applyProtection="1">
      <alignment horizontal="center" vertical="center" shrinkToFit="1"/>
      <protection hidden="1"/>
    </xf>
    <xf numFmtId="0" fontId="136" fillId="3" borderId="50" xfId="0" applyFont="1" applyFill="1" applyBorder="1" applyAlignment="1" applyProtection="1">
      <alignment horizontal="center" vertical="center" shrinkToFit="1"/>
      <protection hidden="1"/>
    </xf>
    <xf numFmtId="0" fontId="136" fillId="3" borderId="11" xfId="0" applyFont="1" applyFill="1" applyBorder="1" applyAlignment="1" applyProtection="1">
      <alignment horizontal="center" vertical="center" shrinkToFit="1"/>
      <protection hidden="1"/>
    </xf>
    <xf numFmtId="0" fontId="137" fillId="3" borderId="11" xfId="0" applyFont="1" applyFill="1" applyBorder="1" applyAlignment="1" applyProtection="1">
      <alignment horizontal="center" vertical="center" wrapText="1" shrinkToFit="1"/>
      <protection hidden="1"/>
    </xf>
    <xf numFmtId="0" fontId="136" fillId="3" borderId="55" xfId="0" applyFont="1" applyFill="1" applyBorder="1" applyAlignment="1" applyProtection="1">
      <alignment horizontal="center" vertical="center" shrinkToFit="1"/>
      <protection hidden="1"/>
    </xf>
    <xf numFmtId="0" fontId="20" fillId="0" borderId="31" xfId="0" applyFont="1" applyBorder="1" applyAlignment="1" applyProtection="1">
      <alignment horizontal="center" vertical="center" wrapText="1"/>
      <protection hidden="1"/>
    </xf>
    <xf numFmtId="0" fontId="138" fillId="19" borderId="31" xfId="0" applyFont="1" applyFill="1" applyBorder="1" applyAlignment="1" applyProtection="1">
      <alignment horizontal="center" vertical="center" wrapText="1"/>
      <protection hidden="1"/>
    </xf>
    <xf numFmtId="0" fontId="136" fillId="3" borderId="135" xfId="0" applyFont="1" applyFill="1" applyBorder="1" applyAlignment="1" applyProtection="1">
      <alignment horizontal="center" vertical="center" shrinkToFit="1"/>
      <protection hidden="1"/>
    </xf>
    <xf numFmtId="14" fontId="136" fillId="3" borderId="95" xfId="0" applyNumberFormat="1" applyFont="1" applyFill="1" applyBorder="1" applyAlignment="1" applyProtection="1">
      <alignment horizontal="center" vertical="center" shrinkToFit="1"/>
      <protection hidden="1"/>
    </xf>
    <xf numFmtId="0" fontId="141" fillId="0" borderId="95" xfId="0" applyFont="1" applyBorder="1" applyAlignment="1" applyProtection="1">
      <alignment horizontal="center" vertical="center" wrapText="1"/>
      <protection hidden="1"/>
    </xf>
    <xf numFmtId="0" fontId="141" fillId="3" borderId="58" xfId="0" applyFont="1" applyFill="1" applyBorder="1" applyAlignment="1" applyProtection="1">
      <alignment horizontal="center" vertical="center" shrinkToFit="1"/>
      <protection hidden="1"/>
    </xf>
    <xf numFmtId="14" fontId="138" fillId="19" borderId="11" xfId="0" applyNumberFormat="1" applyFont="1" applyFill="1" applyBorder="1" applyAlignment="1" applyProtection="1">
      <alignment horizontal="center" vertical="center" wrapText="1"/>
      <protection hidden="1"/>
    </xf>
    <xf numFmtId="0" fontId="148" fillId="3" borderId="15" xfId="0" applyFont="1" applyFill="1" applyBorder="1" applyAlignment="1" applyProtection="1">
      <alignment horizontal="center" wrapText="1"/>
      <protection hidden="1"/>
    </xf>
    <xf numFmtId="0" fontId="156" fillId="0" borderId="51" xfId="0" applyFont="1" applyBorder="1" applyAlignment="1" applyProtection="1">
      <alignment horizontal="center" vertical="center" wrapText="1"/>
      <protection hidden="1"/>
    </xf>
    <xf numFmtId="0" fontId="0" fillId="18" borderId="0" xfId="0" applyFill="1" applyProtection="1">
      <protection hidden="1"/>
    </xf>
    <xf numFmtId="0" fontId="50" fillId="18" borderId="109" xfId="0" applyFont="1" applyFill="1" applyBorder="1" applyAlignment="1" applyProtection="1">
      <alignment horizontal="left" vertical="top" wrapText="1"/>
      <protection hidden="1"/>
    </xf>
    <xf numFmtId="0" fontId="49" fillId="13" borderId="6" xfId="1" applyFont="1" applyFill="1" applyBorder="1" applyAlignment="1" applyProtection="1">
      <alignment horizontal="center" vertical="center" wrapText="1"/>
      <protection hidden="1"/>
    </xf>
    <xf numFmtId="0" fontId="20" fillId="0" borderId="51" xfId="0" applyFont="1" applyBorder="1" applyAlignment="1" applyProtection="1">
      <alignment horizontal="center" vertical="center" wrapText="1"/>
      <protection hidden="1"/>
    </xf>
    <xf numFmtId="0" fontId="49" fillId="3" borderId="6" xfId="1" applyFont="1" applyFill="1" applyBorder="1" applyAlignment="1" applyProtection="1">
      <alignment horizontal="center" vertical="center" wrapText="1"/>
      <protection hidden="1"/>
    </xf>
    <xf numFmtId="0" fontId="80" fillId="0" borderId="88" xfId="0" applyFont="1" applyBorder="1" applyAlignment="1" applyProtection="1">
      <alignment horizontal="center" vertical="center" shrinkToFit="1"/>
      <protection hidden="1"/>
    </xf>
    <xf numFmtId="0" fontId="80" fillId="0" borderId="24" xfId="0" applyFont="1" applyBorder="1" applyAlignment="1" applyProtection="1">
      <alignment horizontal="center" vertical="center" shrinkToFit="1"/>
      <protection hidden="1"/>
    </xf>
    <xf numFmtId="0" fontId="20" fillId="0" borderId="150" xfId="0" applyFont="1" applyBorder="1" applyAlignment="1" applyProtection="1">
      <alignment horizontal="center" vertical="center" wrapText="1"/>
      <protection hidden="1"/>
    </xf>
    <xf numFmtId="0" fontId="20" fillId="0" borderId="23" xfId="0" applyFont="1" applyBorder="1" applyAlignment="1" applyProtection="1">
      <alignment horizontal="center" vertical="center" wrapText="1"/>
      <protection hidden="1"/>
    </xf>
    <xf numFmtId="0" fontId="164" fillId="0" borderId="147" xfId="0" applyFont="1" applyBorder="1" applyAlignment="1" applyProtection="1">
      <alignment horizontal="center" vertical="center" wrapText="1"/>
      <protection hidden="1"/>
    </xf>
    <xf numFmtId="0" fontId="51" fillId="0" borderId="11" xfId="0" applyFont="1" applyBorder="1" applyAlignment="1" applyProtection="1">
      <alignment horizontal="center" vertical="center" shrinkToFit="1"/>
      <protection hidden="1"/>
    </xf>
    <xf numFmtId="0" fontId="20" fillId="0" borderId="133" xfId="0" applyFont="1" applyBorder="1" applyAlignment="1" applyProtection="1">
      <alignment horizontal="center" vertical="center" wrapText="1"/>
      <protection hidden="1"/>
    </xf>
    <xf numFmtId="0" fontId="39" fillId="0" borderId="51" xfId="0" applyFont="1" applyBorder="1" applyAlignment="1" applyProtection="1">
      <alignment horizontal="center" vertical="center" wrapText="1"/>
      <protection hidden="1"/>
    </xf>
    <xf numFmtId="0" fontId="51" fillId="0" borderId="30" xfId="0" applyFont="1" applyBorder="1" applyAlignment="1" applyProtection="1">
      <alignment horizontal="center" vertical="center" shrinkToFit="1"/>
      <protection hidden="1"/>
    </xf>
    <xf numFmtId="0" fontId="39" fillId="0" borderId="57" xfId="0" applyFont="1" applyBorder="1" applyAlignment="1" applyProtection="1">
      <alignment horizontal="center" vertical="center" wrapText="1"/>
      <protection hidden="1"/>
    </xf>
    <xf numFmtId="16" fontId="51" fillId="0" borderId="11" xfId="0" applyNumberFormat="1" applyFont="1" applyBorder="1" applyAlignment="1" applyProtection="1">
      <alignment horizontal="center" vertical="center" wrapText="1" shrinkToFit="1"/>
      <protection hidden="1"/>
    </xf>
    <xf numFmtId="0" fontId="51" fillId="0" borderId="49" xfId="0" applyFont="1" applyBorder="1" applyAlignment="1" applyProtection="1">
      <alignment horizontal="left" vertical="center" shrinkToFit="1"/>
      <protection hidden="1"/>
    </xf>
    <xf numFmtId="14" fontId="20" fillId="0" borderId="114" xfId="0" applyNumberFormat="1" applyFont="1" applyBorder="1" applyAlignment="1" applyProtection="1">
      <alignment horizontal="center" vertical="center" shrinkToFit="1"/>
      <protection hidden="1"/>
    </xf>
    <xf numFmtId="16" fontId="51" fillId="0" borderId="108" xfId="0" applyNumberFormat="1" applyFont="1" applyBorder="1" applyAlignment="1" applyProtection="1">
      <alignment horizontal="center" vertical="center" wrapText="1" shrinkToFit="1"/>
      <protection hidden="1"/>
    </xf>
    <xf numFmtId="0" fontId="129" fillId="0" borderId="36" xfId="0" applyFont="1" applyBorder="1" applyAlignment="1" applyProtection="1">
      <alignment horizontal="center" vertical="center" wrapText="1"/>
      <protection hidden="1"/>
    </xf>
    <xf numFmtId="0" fontId="148" fillId="0" borderId="111" xfId="0" applyFont="1" applyBorder="1" applyAlignment="1" applyProtection="1">
      <alignment horizontal="center" vertical="center" wrapText="1"/>
      <protection hidden="1"/>
    </xf>
    <xf numFmtId="0" fontId="51" fillId="0" borderId="116" xfId="0" applyFont="1" applyBorder="1" applyAlignment="1" applyProtection="1">
      <alignment horizontal="center" vertical="center" shrinkToFit="1"/>
      <protection hidden="1"/>
    </xf>
    <xf numFmtId="0" fontId="134" fillId="18" borderId="0" xfId="0" applyFont="1" applyFill="1" applyAlignment="1" applyProtection="1">
      <alignment horizontal="center" vertical="center" wrapText="1"/>
      <protection hidden="1"/>
    </xf>
    <xf numFmtId="0" fontId="20" fillId="0" borderId="57" xfId="0" applyFont="1" applyBorder="1" applyAlignment="1" applyProtection="1">
      <alignment horizontal="center" vertical="center" shrinkToFit="1"/>
      <protection hidden="1"/>
    </xf>
    <xf numFmtId="0" fontId="51" fillId="0" borderId="136" xfId="0" applyFont="1" applyBorder="1" applyAlignment="1" applyProtection="1">
      <alignment horizontal="center" vertical="center" shrinkToFit="1"/>
      <protection hidden="1"/>
    </xf>
    <xf numFmtId="0" fontId="57" fillId="0" borderId="5" xfId="0" applyFont="1" applyBorder="1" applyAlignment="1" applyProtection="1">
      <alignment horizontal="right" vertical="center" shrinkToFit="1"/>
      <protection hidden="1"/>
    </xf>
    <xf numFmtId="0" fontId="39" fillId="3" borderId="13" xfId="0" applyFont="1" applyFill="1" applyBorder="1" applyAlignment="1" applyProtection="1">
      <alignment horizontal="center" vertical="center" shrinkToFit="1"/>
      <protection hidden="1"/>
    </xf>
    <xf numFmtId="0" fontId="57" fillId="0" borderId="5" xfId="0" applyFont="1" applyBorder="1" applyAlignment="1" applyProtection="1">
      <alignment horizontal="right" vertical="center" wrapText="1"/>
      <protection hidden="1"/>
    </xf>
    <xf numFmtId="0" fontId="128" fillId="19" borderId="35" xfId="0" applyFont="1" applyFill="1" applyBorder="1" applyAlignment="1" applyProtection="1">
      <alignment horizontal="center" vertical="center" wrapText="1"/>
      <protection hidden="1"/>
    </xf>
    <xf numFmtId="0" fontId="49" fillId="18" borderId="0" xfId="1" applyFont="1" applyFill="1" applyBorder="1" applyAlignment="1" applyProtection="1">
      <alignment horizontal="center" vertical="center" wrapText="1"/>
      <protection hidden="1"/>
    </xf>
    <xf numFmtId="0" fontId="129" fillId="18" borderId="0" xfId="0" applyFont="1" applyFill="1" applyAlignment="1" applyProtection="1">
      <alignment horizontal="center" vertical="center" wrapText="1"/>
      <protection hidden="1"/>
    </xf>
    <xf numFmtId="0" fontId="49" fillId="18" borderId="0" xfId="1" applyFont="1" applyFill="1" applyBorder="1" applyAlignment="1" applyProtection="1">
      <alignment horizontal="center" vertical="center"/>
    </xf>
    <xf numFmtId="0" fontId="49" fillId="18" borderId="0" xfId="1" applyFont="1" applyFill="1" applyBorder="1" applyAlignment="1" applyProtection="1">
      <alignment horizontal="center" vertical="center"/>
      <protection hidden="1"/>
    </xf>
    <xf numFmtId="0" fontId="161" fillId="18" borderId="0" xfId="0" applyFont="1" applyFill="1" applyAlignment="1" applyProtection="1">
      <alignment horizontal="center" vertical="center" textRotation="255" wrapText="1"/>
      <protection hidden="1"/>
    </xf>
    <xf numFmtId="0" fontId="131" fillId="0" borderId="0" xfId="0" applyFont="1" applyAlignment="1" applyProtection="1">
      <alignment horizontal="center" vertical="center" wrapText="1"/>
      <protection hidden="1"/>
    </xf>
    <xf numFmtId="0" fontId="132" fillId="0" borderId="6" xfId="0" applyFont="1" applyBorder="1" applyAlignment="1" applyProtection="1">
      <alignment horizontal="center" vertical="center"/>
      <protection hidden="1"/>
    </xf>
    <xf numFmtId="0" fontId="136" fillId="3" borderId="15" xfId="0" applyFont="1" applyFill="1" applyBorder="1" applyAlignment="1" applyProtection="1">
      <alignment horizontal="center" vertical="center" shrinkToFit="1"/>
      <protection hidden="1"/>
    </xf>
    <xf numFmtId="0" fontId="136" fillId="3" borderId="5" xfId="0" applyFont="1" applyFill="1" applyBorder="1" applyAlignment="1" applyProtection="1">
      <alignment horizontal="center" vertical="center" shrinkToFit="1"/>
      <protection hidden="1"/>
    </xf>
    <xf numFmtId="0" fontId="141" fillId="3" borderId="7" xfId="0" applyFont="1" applyFill="1" applyBorder="1" applyAlignment="1" applyProtection="1">
      <alignment horizontal="left" vertical="center" shrinkToFit="1"/>
      <protection hidden="1"/>
    </xf>
    <xf numFmtId="0" fontId="51" fillId="6" borderId="1" xfId="0" applyFont="1" applyFill="1" applyBorder="1" applyAlignment="1" applyProtection="1">
      <alignment horizontal="left" vertical="top" wrapText="1"/>
      <protection hidden="1"/>
    </xf>
    <xf numFmtId="14" fontId="136" fillId="3" borderId="5" xfId="0" applyNumberFormat="1" applyFont="1" applyFill="1" applyBorder="1" applyAlignment="1" applyProtection="1">
      <alignment horizontal="center" vertical="center" shrinkToFit="1"/>
      <protection hidden="1"/>
    </xf>
    <xf numFmtId="14" fontId="136" fillId="3" borderId="15" xfId="0" applyNumberFormat="1" applyFont="1" applyFill="1" applyBorder="1" applyAlignment="1" applyProtection="1">
      <alignment horizontal="center" vertical="center" shrinkToFit="1"/>
      <protection hidden="1"/>
    </xf>
    <xf numFmtId="0" fontId="80" fillId="3" borderId="35" xfId="0" applyFont="1" applyFill="1" applyBorder="1" applyAlignment="1" applyProtection="1">
      <alignment horizontal="center" vertical="center" wrapText="1"/>
      <protection hidden="1"/>
    </xf>
    <xf numFmtId="0" fontId="39" fillId="3" borderId="35" xfId="0" applyFont="1" applyFill="1" applyBorder="1" applyAlignment="1" applyProtection="1">
      <alignment horizontal="center" vertical="center" shrinkToFit="1"/>
      <protection hidden="1"/>
    </xf>
    <xf numFmtId="0" fontId="53" fillId="13" borderId="5" xfId="1" applyFont="1" applyFill="1" applyBorder="1" applyAlignment="1" applyProtection="1">
      <alignment horizontal="center" vertical="center" wrapText="1"/>
      <protection hidden="1"/>
    </xf>
    <xf numFmtId="0" fontId="156" fillId="2" borderId="0" xfId="0" applyFont="1" applyFill="1" applyAlignment="1" applyProtection="1">
      <alignment horizontal="center" vertical="center" wrapText="1"/>
      <protection hidden="1"/>
    </xf>
    <xf numFmtId="0" fontId="165" fillId="2" borderId="0" xfId="1" applyFont="1" applyFill="1" applyBorder="1" applyAlignment="1" applyProtection="1">
      <alignment horizontal="center" vertical="center" wrapText="1"/>
      <protection hidden="1"/>
    </xf>
    <xf numFmtId="0" fontId="50" fillId="2" borderId="0" xfId="0" applyFont="1" applyFill="1" applyAlignment="1" applyProtection="1">
      <alignment horizontal="left" vertical="top" wrapText="1"/>
      <protection hidden="1"/>
    </xf>
    <xf numFmtId="0" fontId="53" fillId="13" borderId="38" xfId="1" applyFont="1" applyFill="1" applyBorder="1" applyAlignment="1" applyProtection="1">
      <alignment horizontal="center" vertical="center" wrapText="1"/>
      <protection hidden="1"/>
    </xf>
    <xf numFmtId="0" fontId="20" fillId="0" borderId="51" xfId="0" applyFont="1" applyBorder="1" applyAlignment="1" applyProtection="1">
      <alignment horizontal="center" vertical="center" wrapText="1" shrinkToFit="1"/>
      <protection hidden="1"/>
    </xf>
    <xf numFmtId="0" fontId="20" fillId="0" borderId="11" xfId="0" applyFont="1" applyBorder="1" applyAlignment="1" applyProtection="1">
      <alignment horizontal="center" vertical="center" wrapText="1" shrinkToFit="1"/>
      <protection hidden="1"/>
    </xf>
    <xf numFmtId="0" fontId="103" fillId="3" borderId="15" xfId="0" applyFont="1" applyFill="1" applyBorder="1" applyAlignment="1" applyProtection="1">
      <alignment horizontal="center" wrapText="1"/>
      <protection hidden="1"/>
    </xf>
    <xf numFmtId="0" fontId="53" fillId="13" borderId="6" xfId="1" applyFont="1" applyFill="1" applyBorder="1" applyAlignment="1" applyProtection="1">
      <alignment horizontal="center" vertical="center" wrapText="1"/>
      <protection hidden="1"/>
    </xf>
    <xf numFmtId="0" fontId="175" fillId="0" borderId="11" xfId="0" applyFont="1" applyBorder="1" applyAlignment="1" applyProtection="1">
      <alignment horizontal="center" vertical="center" wrapText="1"/>
      <protection hidden="1"/>
    </xf>
    <xf numFmtId="0" fontId="20" fillId="0" borderId="0" xfId="0" applyFont="1" applyAlignment="1" applyProtection="1">
      <alignment horizontal="left" vertical="top" wrapText="1"/>
      <protection hidden="1"/>
    </xf>
    <xf numFmtId="0" fontId="53" fillId="10" borderId="147" xfId="1" applyFont="1" applyFill="1" applyBorder="1" applyAlignment="1" applyProtection="1">
      <alignment horizontal="center" vertical="center" wrapText="1"/>
      <protection hidden="1"/>
    </xf>
    <xf numFmtId="0" fontId="20" fillId="10" borderId="136" xfId="0" applyFont="1" applyFill="1" applyBorder="1" applyAlignment="1" applyProtection="1">
      <alignment horizontal="center" vertical="center" wrapText="1"/>
      <protection hidden="1"/>
    </xf>
    <xf numFmtId="0" fontId="20" fillId="10" borderId="137" xfId="0" applyFont="1" applyFill="1" applyBorder="1" applyAlignment="1" applyProtection="1">
      <alignment horizontal="center" vertical="center" wrapText="1"/>
      <protection hidden="1"/>
    </xf>
    <xf numFmtId="0" fontId="103" fillId="3" borderId="12" xfId="0" applyFont="1" applyFill="1" applyBorder="1" applyAlignment="1" applyProtection="1">
      <alignment horizontal="center" wrapText="1"/>
      <protection hidden="1"/>
    </xf>
    <xf numFmtId="0" fontId="156" fillId="0" borderId="53" xfId="0" applyFont="1" applyBorder="1" applyAlignment="1" applyProtection="1">
      <alignment horizontal="center" vertical="center" wrapText="1"/>
      <protection hidden="1"/>
    </xf>
    <xf numFmtId="0" fontId="156" fillId="0" borderId="31" xfId="0" applyFont="1" applyBorder="1" applyAlignment="1" applyProtection="1">
      <alignment horizontal="center" vertical="center" wrapText="1"/>
      <protection hidden="1"/>
    </xf>
    <xf numFmtId="0" fontId="80" fillId="3" borderId="11" xfId="0" applyFont="1" applyFill="1" applyBorder="1" applyAlignment="1" applyProtection="1">
      <alignment horizontal="center" vertical="center" shrinkToFit="1"/>
      <protection hidden="1"/>
    </xf>
    <xf numFmtId="0" fontId="80" fillId="3" borderId="95" xfId="0" applyFont="1" applyFill="1" applyBorder="1" applyAlignment="1" applyProtection="1">
      <alignment horizontal="center" vertical="center" shrinkToFit="1"/>
      <protection hidden="1"/>
    </xf>
    <xf numFmtId="0" fontId="173" fillId="47" borderId="11" xfId="0" applyFont="1" applyFill="1" applyBorder="1" applyAlignment="1" applyProtection="1">
      <alignment horizontal="center" vertical="center" shrinkToFit="1"/>
      <protection hidden="1"/>
    </xf>
    <xf numFmtId="0" fontId="164" fillId="3" borderId="38" xfId="0" applyFont="1" applyFill="1" applyBorder="1" applyAlignment="1" applyProtection="1">
      <alignment horizontal="center" vertical="center" wrapText="1"/>
      <protection hidden="1"/>
    </xf>
    <xf numFmtId="0" fontId="173" fillId="47" borderId="19" xfId="0" applyFont="1" applyFill="1" applyBorder="1" applyAlignment="1" applyProtection="1">
      <alignment horizontal="center" vertical="center" shrinkToFit="1"/>
      <protection hidden="1"/>
    </xf>
    <xf numFmtId="0" fontId="23" fillId="0" borderId="30" xfId="0" applyFont="1" applyBorder="1" applyAlignment="1" applyProtection="1">
      <alignment vertical="center" wrapText="1" shrinkToFit="1"/>
      <protection hidden="1"/>
    </xf>
    <xf numFmtId="0" fontId="134" fillId="2" borderId="0" xfId="0" applyFont="1" applyFill="1" applyAlignment="1" applyProtection="1">
      <alignment horizontal="center" vertical="center" wrapText="1"/>
      <protection hidden="1"/>
    </xf>
    <xf numFmtId="0" fontId="51" fillId="2" borderId="0" xfId="0" applyFont="1" applyFill="1" applyAlignment="1" applyProtection="1">
      <alignment horizontal="left" vertical="top" wrapText="1"/>
      <protection hidden="1"/>
    </xf>
    <xf numFmtId="1" fontId="171" fillId="0" borderId="36" xfId="0" applyNumberFormat="1" applyFont="1" applyBorder="1" applyAlignment="1" applyProtection="1">
      <alignment horizontal="center" vertical="center" wrapText="1"/>
      <protection hidden="1"/>
    </xf>
    <xf numFmtId="0" fontId="69" fillId="0" borderId="38" xfId="0" applyFont="1" applyBorder="1" applyAlignment="1" applyProtection="1">
      <alignment horizontal="center" vertical="center" shrinkToFit="1"/>
      <protection hidden="1"/>
    </xf>
    <xf numFmtId="0" fontId="32" fillId="0" borderId="12" xfId="0" applyFont="1" applyBorder="1" applyAlignment="1" applyProtection="1">
      <alignment horizontal="center" vertical="center" wrapText="1"/>
      <protection hidden="1"/>
    </xf>
    <xf numFmtId="0" fontId="57" fillId="0" borderId="36" xfId="0" applyFont="1" applyBorder="1" applyAlignment="1" applyProtection="1">
      <alignment horizontal="right" vertical="center" wrapText="1"/>
      <protection hidden="1"/>
    </xf>
    <xf numFmtId="0" fontId="144" fillId="0" borderId="12" xfId="0" applyFont="1" applyBorder="1" applyAlignment="1" applyProtection="1">
      <alignment horizontal="center" vertical="center" wrapText="1"/>
      <protection hidden="1"/>
    </xf>
    <xf numFmtId="0" fontId="169" fillId="0" borderId="6" xfId="0" applyFont="1" applyBorder="1" applyAlignment="1" applyProtection="1">
      <alignment horizontal="center" vertical="center" wrapText="1"/>
      <protection hidden="1"/>
    </xf>
    <xf numFmtId="0" fontId="128" fillId="19" borderId="0" xfId="0" applyFont="1" applyFill="1" applyAlignment="1" applyProtection="1">
      <alignment horizontal="center" vertical="center" wrapText="1"/>
      <protection hidden="1"/>
    </xf>
    <xf numFmtId="0" fontId="161" fillId="2" borderId="0" xfId="0" applyFont="1" applyFill="1" applyAlignment="1" applyProtection="1">
      <alignment horizontal="center" vertical="center" textRotation="255" wrapText="1"/>
      <protection hidden="1"/>
    </xf>
    <xf numFmtId="0" fontId="54" fillId="2" borderId="0" xfId="1" applyFont="1" applyFill="1" applyBorder="1" applyAlignment="1" applyProtection="1">
      <alignment horizontal="center" vertical="center" wrapText="1"/>
      <protection hidden="1"/>
    </xf>
    <xf numFmtId="0" fontId="85" fillId="3" borderId="7" xfId="0" applyFont="1" applyFill="1" applyBorder="1" applyAlignment="1" applyProtection="1">
      <alignment horizontal="left" vertical="center" shrinkToFit="1"/>
      <protection hidden="1"/>
    </xf>
    <xf numFmtId="0" fontId="85" fillId="3" borderId="5" xfId="0" applyFont="1" applyFill="1" applyBorder="1" applyAlignment="1" applyProtection="1">
      <alignment horizontal="left" vertical="center" shrinkToFit="1"/>
      <protection hidden="1"/>
    </xf>
    <xf numFmtId="0" fontId="85" fillId="0" borderId="10" xfId="0" applyFont="1" applyBorder="1" applyAlignment="1" applyProtection="1">
      <alignment horizontal="left" vertical="center" shrinkToFit="1"/>
      <protection hidden="1"/>
    </xf>
    <xf numFmtId="0" fontId="136" fillId="3" borderId="4" xfId="0" applyFont="1" applyFill="1" applyBorder="1" applyAlignment="1" applyProtection="1">
      <alignment horizontal="center" vertical="center" shrinkToFit="1"/>
      <protection hidden="1"/>
    </xf>
    <xf numFmtId="14" fontId="136" fillId="3" borderId="152" xfId="0" applyNumberFormat="1" applyFont="1" applyFill="1" applyBorder="1" applyAlignment="1" applyProtection="1">
      <alignment horizontal="center" vertical="center" shrinkToFit="1"/>
      <protection hidden="1"/>
    </xf>
    <xf numFmtId="0" fontId="82" fillId="3" borderId="2" xfId="0" applyFont="1" applyFill="1" applyBorder="1" applyAlignment="1" applyProtection="1">
      <alignment horizontal="center" vertical="center" wrapText="1"/>
      <protection hidden="1"/>
    </xf>
    <xf numFmtId="0" fontId="80" fillId="0" borderId="2" xfId="0" applyFont="1" applyBorder="1" applyAlignment="1" applyProtection="1">
      <alignment horizontal="center" vertical="center" wrapText="1"/>
      <protection hidden="1"/>
    </xf>
    <xf numFmtId="0" fontId="125" fillId="3" borderId="2" xfId="0" applyFont="1" applyFill="1" applyBorder="1" applyAlignment="1" applyProtection="1">
      <alignment horizontal="center" vertical="center" wrapText="1"/>
      <protection hidden="1"/>
    </xf>
    <xf numFmtId="0" fontId="8" fillId="3" borderId="2" xfId="0" applyFont="1" applyFill="1" applyBorder="1" applyAlignment="1" applyProtection="1">
      <alignment horizontal="center" vertical="center" wrapText="1"/>
      <protection hidden="1"/>
    </xf>
  </cellXfs>
  <cellStyles count="6">
    <cellStyle name="Hyperlink" xfId="1" builtinId="8"/>
    <cellStyle name="Normal" xfId="0" builtinId="0"/>
    <cellStyle name="Normal 2" xfId="2" xr:uid="{00000000-0005-0000-0000-000006000000}"/>
    <cellStyle name="Normal 2 2" xfId="3" xr:uid="{00000000-0005-0000-0000-000007000000}"/>
    <cellStyle name="Normal 3" xfId="4" xr:uid="{00000000-0005-0000-0000-000008000000}"/>
    <cellStyle name="Normal 4" xfId="5" xr:uid="{00000000-0005-0000-0000-000009000000}"/>
  </cellStyles>
  <dxfs count="645">
    <dxf>
      <fill>
        <patternFill>
          <bgColor rgb="FF7FD7A7"/>
        </patternFill>
      </fill>
    </dxf>
    <dxf>
      <fill>
        <patternFill>
          <bgColor rgb="FFAAC7EA"/>
        </patternFill>
      </fill>
    </dxf>
    <dxf>
      <fill>
        <patternFill>
          <bgColor rgb="FFA7C0DE"/>
        </patternFill>
      </fill>
    </dxf>
    <dxf>
      <fill>
        <patternFill>
          <bgColor rgb="FFAAC6EA"/>
        </patternFill>
      </fill>
    </dxf>
    <dxf>
      <fill>
        <patternFill>
          <bgColor rgb="FFAAC6EA"/>
        </patternFill>
      </fill>
    </dxf>
    <dxf>
      <fill>
        <patternFill>
          <bgColor rgb="FF7FD7A7"/>
        </patternFill>
      </fill>
    </dxf>
    <dxf>
      <fill>
        <patternFill>
          <bgColor rgb="FFAAC6EA"/>
        </patternFill>
      </fill>
    </dxf>
    <dxf>
      <fill>
        <patternFill>
          <bgColor rgb="FFA7C0DE"/>
        </patternFill>
      </fill>
    </dxf>
    <dxf>
      <font>
        <color rgb="FFFFFFFF"/>
      </font>
    </dxf>
    <dxf>
      <fill>
        <patternFill>
          <bgColor rgb="FFFFCCCC"/>
        </patternFill>
      </fill>
    </dxf>
    <dxf>
      <fill>
        <patternFill>
          <bgColor rgb="FFABFB84"/>
        </patternFill>
      </fill>
    </dxf>
    <dxf>
      <fill>
        <patternFill>
          <bgColor rgb="FFC9E6EE"/>
        </patternFill>
      </fill>
    </dxf>
    <dxf>
      <fill>
        <patternFill>
          <bgColor rgb="FFAAC6EA"/>
        </patternFill>
      </fill>
    </dxf>
    <dxf>
      <fill>
        <patternFill>
          <bgColor rgb="FFC9E6EE"/>
        </patternFill>
      </fill>
    </dxf>
    <dxf>
      <font>
        <b/>
        <i val="0"/>
        <color rgb="FFFFFFFF"/>
      </font>
      <fill>
        <patternFill>
          <bgColor rgb="FFFFFF00"/>
        </patternFill>
      </fill>
    </dxf>
    <dxf>
      <font>
        <color rgb="FFFFFFFF"/>
        <name val="Cambria"/>
        <charset val="1"/>
      </font>
      <fill>
        <patternFill>
          <bgColor rgb="FFFF0000"/>
        </patternFill>
      </fill>
    </dxf>
    <dxf>
      <fill>
        <patternFill>
          <bgColor rgb="FFFFFFFF"/>
        </patternFill>
      </fill>
    </dxf>
    <dxf>
      <font>
        <color rgb="FFD7E4BD"/>
      </font>
    </dxf>
    <dxf>
      <fill>
        <patternFill>
          <bgColor rgb="FFFFFF00"/>
        </patternFill>
      </fill>
    </dxf>
    <dxf>
      <font>
        <color rgb="FFFFFFFF"/>
      </font>
      <fill>
        <patternFill>
          <bgColor rgb="FFFF0000"/>
        </patternFill>
      </fill>
    </dxf>
    <dxf>
      <font>
        <color rgb="FFFFFFFF"/>
      </font>
      <fill>
        <patternFill>
          <bgColor rgb="FFFF0000"/>
        </patternFill>
      </fill>
    </dxf>
    <dxf>
      <font>
        <color rgb="FF00FFFF"/>
      </font>
    </dxf>
    <dxf>
      <font>
        <color rgb="FFFFFFFF"/>
        <name val="Cambria"/>
        <charset val="1"/>
      </font>
    </dxf>
    <dxf>
      <font>
        <color rgb="FFFFFFFF"/>
      </font>
    </dxf>
    <dxf>
      <fill>
        <patternFill>
          <bgColor rgb="FFFFCCCC"/>
        </patternFill>
      </fill>
    </dxf>
    <dxf>
      <fill>
        <patternFill>
          <bgColor rgb="FFABFB84"/>
        </patternFill>
      </fill>
    </dxf>
    <dxf>
      <fill>
        <patternFill>
          <bgColor rgb="FFC9E6EE"/>
        </patternFill>
      </fill>
    </dxf>
    <dxf>
      <fill>
        <patternFill>
          <bgColor rgb="FFAAC6EA"/>
        </patternFill>
      </fill>
    </dxf>
    <dxf>
      <fill>
        <patternFill>
          <bgColor rgb="FFC9E6EE"/>
        </patternFill>
      </fill>
    </dxf>
    <dxf>
      <font>
        <b/>
        <i val="0"/>
        <color rgb="FFFFFFFF"/>
      </font>
      <fill>
        <patternFill>
          <bgColor rgb="FFFFFF00"/>
        </patternFill>
      </fill>
    </dxf>
    <dxf>
      <font>
        <color rgb="FFFFFFFF"/>
        <name val="Cambria"/>
        <charset val="1"/>
      </font>
      <fill>
        <patternFill>
          <bgColor rgb="FFFF0000"/>
        </patternFill>
      </fill>
    </dxf>
    <dxf>
      <fill>
        <patternFill>
          <bgColor rgb="FFFFFFFF"/>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name val="Cambria"/>
        <charset val="1"/>
      </font>
    </dxf>
    <dxf>
      <font>
        <color rgb="FFFFFFFF"/>
      </font>
    </dxf>
    <dxf>
      <fill>
        <patternFill>
          <bgColor rgb="FFFFCCCC"/>
        </patternFill>
      </fill>
    </dxf>
    <dxf>
      <fill>
        <patternFill>
          <bgColor rgb="FFABFB84"/>
        </patternFill>
      </fill>
    </dxf>
    <dxf>
      <fill>
        <patternFill>
          <bgColor rgb="FFC9E6EE"/>
        </patternFill>
      </fill>
    </dxf>
    <dxf>
      <fill>
        <patternFill>
          <bgColor rgb="FFAAC6EA"/>
        </patternFill>
      </fill>
    </dxf>
    <dxf>
      <fill>
        <patternFill>
          <bgColor rgb="FFC9E6EE"/>
        </patternFill>
      </fill>
    </dxf>
    <dxf>
      <font>
        <b/>
        <i val="0"/>
        <color rgb="FFFFFFFF"/>
      </font>
      <fill>
        <patternFill>
          <bgColor rgb="FFFFFF00"/>
        </patternFill>
      </fill>
    </dxf>
    <dxf>
      <font>
        <color rgb="FFFFFFFF"/>
        <name val="Cambria"/>
        <charset val="1"/>
      </font>
      <fill>
        <patternFill>
          <bgColor rgb="FFFF0000"/>
        </patternFill>
      </fill>
    </dxf>
    <dxf>
      <fill>
        <patternFill>
          <bgColor rgb="FFFFFFFF"/>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name val="Cambria"/>
        <charset val="1"/>
      </font>
    </dxf>
    <dxf>
      <font>
        <color rgb="FFFFFFFF"/>
      </font>
    </dxf>
    <dxf>
      <fill>
        <patternFill>
          <bgColor rgb="FFFFCCCC"/>
        </patternFill>
      </fill>
    </dxf>
    <dxf>
      <fill>
        <patternFill>
          <bgColor rgb="FFABFB84"/>
        </patternFill>
      </fill>
    </dxf>
    <dxf>
      <fill>
        <patternFill>
          <bgColor rgb="FFC9E6EE"/>
        </patternFill>
      </fill>
    </dxf>
    <dxf>
      <fill>
        <patternFill>
          <bgColor rgb="FFAAC6EA"/>
        </patternFill>
      </fill>
    </dxf>
    <dxf>
      <fill>
        <patternFill>
          <bgColor rgb="FFC9E6EE"/>
        </patternFill>
      </fill>
    </dxf>
    <dxf>
      <font>
        <b/>
        <i val="0"/>
        <color rgb="FFFFFFFF"/>
      </font>
      <fill>
        <patternFill>
          <bgColor rgb="FFFFFF00"/>
        </patternFill>
      </fill>
    </dxf>
    <dxf>
      <font>
        <color rgb="FFFFFFFF"/>
        <name val="Cambria"/>
        <charset val="1"/>
      </font>
      <fill>
        <patternFill>
          <bgColor rgb="FFFF0000"/>
        </patternFill>
      </fill>
    </dxf>
    <dxf>
      <fill>
        <patternFill>
          <bgColor rgb="FFFFFFFF"/>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name val="Cambria"/>
        <charset val="1"/>
      </font>
    </dxf>
    <dxf>
      <font>
        <color rgb="FFFFFFFF"/>
      </font>
    </dxf>
    <dxf>
      <fill>
        <patternFill>
          <bgColor rgb="FFFFCCCC"/>
        </patternFill>
      </fill>
    </dxf>
    <dxf>
      <fill>
        <patternFill>
          <bgColor rgb="FFABFB84"/>
        </patternFill>
      </fill>
    </dxf>
    <dxf>
      <fill>
        <patternFill>
          <bgColor rgb="FFC9E6EE"/>
        </patternFill>
      </fill>
    </dxf>
    <dxf>
      <fill>
        <patternFill>
          <bgColor rgb="FFAAC6EA"/>
        </patternFill>
      </fill>
    </dxf>
    <dxf>
      <fill>
        <patternFill>
          <bgColor rgb="FFC9E6EE"/>
        </patternFill>
      </fill>
    </dxf>
    <dxf>
      <font>
        <b/>
        <i val="0"/>
        <color rgb="FFFFFFFF"/>
      </font>
      <fill>
        <patternFill>
          <bgColor rgb="FFFFFF00"/>
        </patternFill>
      </fill>
    </dxf>
    <dxf>
      <font>
        <color rgb="FFFFFFFF"/>
        <name val="Cambria"/>
        <charset val="1"/>
      </font>
      <fill>
        <patternFill>
          <bgColor rgb="FFFF0000"/>
        </patternFill>
      </fill>
    </dxf>
    <dxf>
      <fill>
        <patternFill>
          <bgColor rgb="FFFFFFFF"/>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name val="Cambria"/>
        <charset val="1"/>
      </font>
    </dxf>
    <dxf>
      <font>
        <color rgb="FFFFFFFF"/>
      </font>
    </dxf>
    <dxf>
      <fill>
        <patternFill>
          <bgColor rgb="FFFFCCCC"/>
        </patternFill>
      </fill>
    </dxf>
    <dxf>
      <fill>
        <patternFill>
          <bgColor rgb="FFABFB84"/>
        </patternFill>
      </fill>
    </dxf>
    <dxf>
      <fill>
        <patternFill>
          <bgColor rgb="FFC9E6EE"/>
        </patternFill>
      </fill>
    </dxf>
    <dxf>
      <fill>
        <patternFill>
          <bgColor rgb="FFAAC6EA"/>
        </patternFill>
      </fill>
    </dxf>
    <dxf>
      <fill>
        <patternFill>
          <bgColor rgb="FFC9E6EE"/>
        </patternFill>
      </fill>
    </dxf>
    <dxf>
      <font>
        <b/>
        <i val="0"/>
        <color rgb="FFFFFFFF"/>
      </font>
      <fill>
        <patternFill>
          <bgColor rgb="FFFFFF00"/>
        </patternFill>
      </fill>
    </dxf>
    <dxf>
      <font>
        <color rgb="FFFFFFFF"/>
        <name val="Cambria"/>
        <charset val="1"/>
      </font>
      <fill>
        <patternFill>
          <bgColor rgb="FFFF0000"/>
        </patternFill>
      </fill>
    </dxf>
    <dxf>
      <fill>
        <patternFill>
          <bgColor rgb="FFFFFFFF"/>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name val="Cambria"/>
        <charset val="1"/>
      </font>
    </dxf>
    <dxf>
      <font>
        <color rgb="FFFFFFFF"/>
      </font>
    </dxf>
    <dxf>
      <fill>
        <patternFill>
          <bgColor rgb="FFFFCCCC"/>
        </patternFill>
      </fill>
    </dxf>
    <dxf>
      <fill>
        <patternFill>
          <bgColor rgb="FFABFB84"/>
        </patternFill>
      </fill>
    </dxf>
    <dxf>
      <fill>
        <patternFill>
          <bgColor rgb="FFC9E6EE"/>
        </patternFill>
      </fill>
    </dxf>
    <dxf>
      <fill>
        <patternFill>
          <bgColor rgb="FFAAC6EA"/>
        </patternFill>
      </fill>
    </dxf>
    <dxf>
      <fill>
        <patternFill>
          <bgColor rgb="FFC9E6EE"/>
        </patternFill>
      </fill>
    </dxf>
    <dxf>
      <font>
        <b/>
        <i val="0"/>
        <color rgb="FFFFFFFF"/>
      </font>
      <fill>
        <patternFill>
          <bgColor rgb="FFFFFF00"/>
        </patternFill>
      </fill>
    </dxf>
    <dxf>
      <font>
        <color rgb="FFFFFFFF"/>
        <name val="Cambria"/>
        <charset val="1"/>
      </font>
      <fill>
        <patternFill>
          <bgColor rgb="FFFF0000"/>
        </patternFill>
      </fill>
    </dxf>
    <dxf>
      <fill>
        <patternFill>
          <bgColor rgb="FFFFFFFF"/>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name val="Cambria"/>
        <charset val="1"/>
      </font>
    </dxf>
    <dxf>
      <font>
        <color rgb="FFFFFFFF"/>
      </font>
    </dxf>
    <dxf>
      <fill>
        <patternFill>
          <bgColor rgb="FFFFCCCC"/>
        </patternFill>
      </fill>
    </dxf>
    <dxf>
      <fill>
        <patternFill>
          <bgColor rgb="FFABFB84"/>
        </patternFill>
      </fill>
    </dxf>
    <dxf>
      <fill>
        <patternFill>
          <bgColor rgb="FFC9E6EE"/>
        </patternFill>
      </fill>
    </dxf>
    <dxf>
      <fill>
        <patternFill>
          <bgColor rgb="FFAAC6EA"/>
        </patternFill>
      </fill>
    </dxf>
    <dxf>
      <fill>
        <patternFill>
          <bgColor rgb="FFC9E6EE"/>
        </patternFill>
      </fill>
    </dxf>
    <dxf>
      <font>
        <b/>
        <i val="0"/>
        <color rgb="FFFFFFFF"/>
      </font>
      <fill>
        <patternFill>
          <bgColor rgb="FFFFFF00"/>
        </patternFill>
      </fill>
    </dxf>
    <dxf>
      <font>
        <color rgb="FFFFFFFF"/>
        <name val="Cambria"/>
        <charset val="1"/>
      </font>
      <fill>
        <patternFill>
          <bgColor rgb="FFFF0000"/>
        </patternFill>
      </fill>
    </dxf>
    <dxf>
      <fill>
        <patternFill>
          <bgColor rgb="FFFFFFFF"/>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name val="Cambria"/>
        <charset val="1"/>
      </font>
    </dxf>
    <dxf>
      <font>
        <color rgb="FFFFFFFF"/>
      </font>
    </dxf>
    <dxf>
      <fill>
        <patternFill>
          <bgColor rgb="FFFFCCCC"/>
        </patternFill>
      </fill>
    </dxf>
    <dxf>
      <fill>
        <patternFill>
          <bgColor rgb="FFABFB84"/>
        </patternFill>
      </fill>
    </dxf>
    <dxf>
      <fill>
        <patternFill>
          <bgColor rgb="FFC9E6EE"/>
        </patternFill>
      </fill>
    </dxf>
    <dxf>
      <fill>
        <patternFill>
          <bgColor rgb="FFAAC6EA"/>
        </patternFill>
      </fill>
    </dxf>
    <dxf>
      <fill>
        <patternFill>
          <bgColor rgb="FFC9E6EE"/>
        </patternFill>
      </fill>
    </dxf>
    <dxf>
      <font>
        <b/>
        <i val="0"/>
        <color rgb="FFFFFFFF"/>
      </font>
      <fill>
        <patternFill>
          <bgColor rgb="FFFFFF00"/>
        </patternFill>
      </fill>
    </dxf>
    <dxf>
      <font>
        <color rgb="FFFFFFFF"/>
        <name val="Cambria"/>
        <charset val="1"/>
      </font>
      <fill>
        <patternFill>
          <bgColor rgb="FFFF0000"/>
        </patternFill>
      </fill>
    </dxf>
    <dxf>
      <fill>
        <patternFill>
          <bgColor rgb="FFFFFFFF"/>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name val="Cambria"/>
        <charset val="1"/>
      </font>
    </dxf>
    <dxf>
      <font>
        <color rgb="FFFFFFFF"/>
      </font>
    </dxf>
    <dxf>
      <fill>
        <patternFill>
          <bgColor rgb="FFFFCCCC"/>
        </patternFill>
      </fill>
    </dxf>
    <dxf>
      <fill>
        <patternFill>
          <bgColor rgb="FFABFB84"/>
        </patternFill>
      </fill>
    </dxf>
    <dxf>
      <fill>
        <patternFill>
          <bgColor rgb="FFC9E6EE"/>
        </patternFill>
      </fill>
    </dxf>
    <dxf>
      <fill>
        <patternFill>
          <bgColor rgb="FFAAC6EA"/>
        </patternFill>
      </fill>
    </dxf>
    <dxf>
      <fill>
        <patternFill>
          <bgColor rgb="FFC9E6EE"/>
        </patternFill>
      </fill>
    </dxf>
    <dxf>
      <font>
        <b/>
        <i val="0"/>
        <color rgb="FFFFFFFF"/>
      </font>
      <fill>
        <patternFill>
          <bgColor rgb="FFFFFF00"/>
        </patternFill>
      </fill>
    </dxf>
    <dxf>
      <font>
        <color rgb="FFFFFFFF"/>
        <name val="Cambria"/>
        <charset val="1"/>
      </font>
      <fill>
        <patternFill>
          <bgColor rgb="FFFF0000"/>
        </patternFill>
      </fill>
    </dxf>
    <dxf>
      <fill>
        <patternFill>
          <bgColor rgb="FFFFFFFF"/>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name val="Cambria"/>
        <charset val="1"/>
      </font>
    </dxf>
    <dxf>
      <font>
        <color rgb="FFFFFFFF"/>
      </font>
    </dxf>
    <dxf>
      <fill>
        <patternFill>
          <bgColor rgb="FFFFDF7F"/>
        </patternFill>
      </fill>
    </dxf>
    <dxf>
      <font>
        <color rgb="FFFFFFFF"/>
      </font>
      <fill>
        <patternFill>
          <bgColor rgb="FFBFBFBF"/>
        </patternFill>
      </fill>
    </dxf>
    <dxf>
      <font>
        <color rgb="FFFFFFFF"/>
      </font>
      <fill>
        <patternFill>
          <bgColor rgb="FFC9844B"/>
        </patternFill>
      </fill>
    </dxf>
    <dxf>
      <fill>
        <patternFill>
          <bgColor rgb="FFFFC000"/>
        </patternFill>
      </fill>
    </dxf>
    <dxf>
      <font>
        <color rgb="FFFFFFFF"/>
      </font>
      <fill>
        <patternFill>
          <bgColor theme="0" tint="-0.34998626667073579"/>
        </patternFill>
      </fill>
    </dxf>
    <dxf>
      <font>
        <color rgb="FFFFFFFF"/>
      </font>
      <fill>
        <patternFill>
          <bgColor theme="9" tint="-0.499984740745262"/>
        </patternFill>
      </fill>
    </dxf>
    <dxf>
      <fill>
        <patternFill>
          <bgColor theme="0"/>
        </patternFill>
      </fill>
    </dxf>
    <dxf>
      <font>
        <color rgb="FFFFFFFF"/>
      </font>
      <fill>
        <patternFill>
          <bgColor theme="0" tint="-0.34998626667073579"/>
        </patternFill>
      </fill>
    </dxf>
    <dxf>
      <font>
        <color rgb="FFFFFFFF"/>
      </font>
      <fill>
        <patternFill>
          <bgColor theme="9" tint="-0.499984740745262"/>
        </patternFill>
      </fill>
    </dxf>
    <dxf>
      <fill>
        <patternFill>
          <bgColor rgb="FFFFC000"/>
        </patternFill>
      </fill>
    </dxf>
    <dxf>
      <fill>
        <patternFill>
          <bgColor theme="0"/>
        </patternFill>
      </fill>
    </dxf>
    <dxf>
      <font>
        <color rgb="FFFFFFFF"/>
      </font>
      <fill>
        <patternFill>
          <bgColor theme="9" tint="-0.499984740745262"/>
        </patternFill>
      </fill>
    </dxf>
    <dxf>
      <fill>
        <patternFill>
          <bgColor rgb="FFFFC000"/>
        </patternFill>
      </fill>
    </dxf>
    <dxf>
      <font>
        <color rgb="FFFFFFFF"/>
      </font>
      <fill>
        <patternFill>
          <bgColor theme="0" tint="-0.34998626667073579"/>
        </patternFill>
      </fill>
    </dxf>
    <dxf>
      <fill>
        <patternFill>
          <bgColor theme="0"/>
        </patternFill>
      </fill>
    </dxf>
    <dxf>
      <font>
        <color rgb="FFFFFFFF"/>
      </font>
      <fill>
        <patternFill>
          <bgColor theme="0" tint="-0.34998626667073579"/>
        </patternFill>
      </fill>
    </dxf>
    <dxf>
      <font>
        <color rgb="FFFFFFFF"/>
      </font>
      <fill>
        <patternFill>
          <bgColor theme="9" tint="-0.499984740745262"/>
        </patternFill>
      </fill>
    </dxf>
    <dxf>
      <fill>
        <patternFill>
          <bgColor rgb="FFFFC000"/>
        </patternFill>
      </fill>
    </dxf>
    <dxf>
      <fill>
        <patternFill>
          <bgColor theme="0"/>
        </patternFill>
      </fill>
    </dxf>
    <dxf>
      <font>
        <color rgb="FFFFFFFF"/>
      </font>
      <fill>
        <patternFill>
          <bgColor theme="9" tint="-0.499984740745262"/>
        </patternFill>
      </fill>
    </dxf>
    <dxf>
      <font>
        <color rgb="FFFFFFFF"/>
      </font>
      <fill>
        <patternFill>
          <bgColor theme="0" tint="-0.34998626667073579"/>
        </patternFill>
      </fill>
    </dxf>
    <dxf>
      <fill>
        <patternFill>
          <bgColor rgb="FFFFC000"/>
        </patternFill>
      </fill>
    </dxf>
    <dxf>
      <fill>
        <patternFill>
          <bgColor theme="0"/>
        </patternFill>
      </fill>
    </dxf>
    <dxf>
      <font>
        <color rgb="FFFFFFFF"/>
      </font>
      <fill>
        <patternFill>
          <bgColor theme="0" tint="-0.34998626667073579"/>
        </patternFill>
      </fill>
    </dxf>
    <dxf>
      <fill>
        <patternFill>
          <bgColor rgb="FFFFC000"/>
        </patternFill>
      </fill>
    </dxf>
    <dxf>
      <font>
        <color rgb="FFFFFFFF"/>
      </font>
      <fill>
        <patternFill>
          <bgColor theme="9" tint="-0.499984740745262"/>
        </patternFill>
      </fill>
    </dxf>
    <dxf>
      <fill>
        <patternFill>
          <bgColor theme="0"/>
        </patternFill>
      </fill>
    </dxf>
    <dxf>
      <fill>
        <patternFill>
          <bgColor theme="0"/>
        </patternFill>
      </fill>
    </dxf>
    <dxf>
      <font>
        <color rgb="FFFFFFFF"/>
      </font>
      <fill>
        <patternFill>
          <bgColor theme="9" tint="-0.499984740745262"/>
        </patternFill>
      </fill>
    </dxf>
    <dxf>
      <fill>
        <patternFill>
          <bgColor rgb="FFFFC000"/>
        </patternFill>
      </fill>
    </dxf>
    <dxf>
      <font>
        <color rgb="FFFFFFFF"/>
      </font>
      <fill>
        <patternFill>
          <bgColor theme="0" tint="-0.34998626667073579"/>
        </patternFill>
      </fill>
    </dxf>
    <dxf>
      <fill>
        <patternFill>
          <bgColor theme="0"/>
        </patternFill>
      </fill>
    </dxf>
    <dxf>
      <font>
        <color rgb="FFFFFFFF"/>
      </font>
      <fill>
        <patternFill>
          <bgColor theme="9" tint="-0.499984740745262"/>
        </patternFill>
      </fill>
    </dxf>
    <dxf>
      <font>
        <color rgb="FFFFFFFF"/>
      </font>
      <fill>
        <patternFill>
          <bgColor theme="0" tint="-0.34998626667073579"/>
        </patternFill>
      </fill>
    </dxf>
    <dxf>
      <fill>
        <patternFill>
          <bgColor rgb="FFFFC000"/>
        </patternFill>
      </fill>
    </dxf>
    <dxf>
      <fill>
        <patternFill>
          <bgColor theme="0"/>
        </patternFill>
      </fill>
    </dxf>
    <dxf>
      <font>
        <color rgb="FFFFFFFF"/>
      </font>
      <fill>
        <patternFill>
          <bgColor theme="0" tint="-0.34998626667073579"/>
        </patternFill>
      </fill>
    </dxf>
    <dxf>
      <fill>
        <patternFill>
          <bgColor rgb="FFFFC000"/>
        </patternFill>
      </fill>
    </dxf>
    <dxf>
      <font>
        <color rgb="FFFFFFFF"/>
      </font>
      <fill>
        <patternFill>
          <bgColor theme="9" tint="-0.499984740745262"/>
        </patternFill>
      </fill>
    </dxf>
    <dxf>
      <fill>
        <patternFill>
          <bgColor theme="0"/>
        </patternFill>
      </fill>
    </dxf>
    <dxf>
      <font>
        <color rgb="FFFFFFFF"/>
      </font>
      <fill>
        <patternFill>
          <bgColor theme="0" tint="-0.34998626667073579"/>
        </patternFill>
      </fill>
    </dxf>
    <dxf>
      <font>
        <color rgb="FFFFFFFF"/>
      </font>
      <fill>
        <patternFill>
          <bgColor theme="9" tint="-0.499984740745262"/>
        </patternFill>
      </fill>
    </dxf>
    <dxf>
      <fill>
        <patternFill>
          <bgColor rgb="FFFFC000"/>
        </patternFill>
      </fill>
    </dxf>
    <dxf>
      <font>
        <color rgb="FFFFFFFF"/>
      </font>
      <fill>
        <patternFill>
          <bgColor theme="9" tint="-0.499984740745262"/>
        </patternFill>
      </fill>
    </dxf>
    <dxf>
      <font>
        <color rgb="FFFFFFFF"/>
      </font>
      <fill>
        <patternFill>
          <bgColor theme="0" tint="-0.34998626667073579"/>
        </patternFill>
      </fill>
    </dxf>
    <dxf>
      <fill>
        <patternFill>
          <bgColor rgb="FFFFC000"/>
        </patternFill>
      </fill>
    </dxf>
    <dxf>
      <fill>
        <patternFill>
          <bgColor rgb="FFFFC000"/>
        </patternFill>
      </fill>
    </dxf>
    <dxf>
      <font>
        <color rgb="FFFFFFFF"/>
      </font>
      <fill>
        <patternFill>
          <bgColor theme="0" tint="-0.499984740745262"/>
        </patternFill>
      </fill>
    </dxf>
    <dxf>
      <fill>
        <patternFill>
          <bgColor theme="9" tint="-0.499984740745262"/>
        </patternFill>
      </fill>
    </dxf>
    <dxf>
      <fill>
        <patternFill>
          <bgColor rgb="FFFFC000"/>
        </patternFill>
      </fill>
    </dxf>
    <dxf>
      <font>
        <name val="Arial"/>
        <charset val="1"/>
      </font>
    </dxf>
    <dxf>
      <fill>
        <patternFill>
          <bgColor rgb="FF7FD7A7"/>
        </patternFill>
      </fill>
    </dxf>
    <dxf>
      <fill>
        <patternFill>
          <bgColor rgb="FFAAC6EA"/>
        </patternFill>
      </fill>
    </dxf>
    <dxf>
      <fill>
        <patternFill>
          <bgColor rgb="FFAAC6EA"/>
        </patternFill>
      </fill>
    </dxf>
    <dxf>
      <font>
        <color rgb="FFFFFFFF"/>
      </font>
    </dxf>
    <dxf>
      <fill>
        <patternFill>
          <bgColor rgb="FFFF0000"/>
        </patternFill>
      </fill>
    </dxf>
    <dxf>
      <fill>
        <patternFill>
          <bgColor rgb="FFFF0000"/>
        </patternFill>
      </fill>
    </dxf>
    <dxf>
      <fill>
        <patternFill>
          <bgColor rgb="FFC7DAF1"/>
        </patternFill>
      </fill>
    </dxf>
    <dxf>
      <fill>
        <patternFill>
          <bgColor rgb="FFC6D9F1"/>
        </patternFill>
      </fill>
    </dxf>
    <dxf>
      <fill>
        <patternFill>
          <bgColor rgb="FFFF0000"/>
        </patternFill>
      </fill>
    </dxf>
    <dxf>
      <font>
        <color rgb="FFFFFFFF"/>
      </font>
    </dxf>
    <dxf>
      <fill>
        <patternFill>
          <bgColor rgb="FFC6D9F1"/>
        </patternFill>
      </fill>
    </dxf>
    <dxf>
      <fill>
        <patternFill>
          <bgColor rgb="FFC7DAF1"/>
        </patternFill>
      </fill>
    </dxf>
    <dxf>
      <fill>
        <patternFill>
          <bgColor rgb="FFFF0000"/>
        </patternFill>
      </fill>
    </dxf>
    <dxf>
      <font>
        <color rgb="FFFFFFFF"/>
      </font>
    </dxf>
    <dxf>
      <fill>
        <patternFill>
          <bgColor rgb="FFFB8189"/>
        </patternFill>
      </fill>
    </dxf>
    <dxf>
      <font>
        <color rgb="FFFFFFFF"/>
      </font>
    </dxf>
    <dxf>
      <font>
        <color rgb="FFFFFFFF"/>
      </font>
    </dxf>
    <dxf>
      <fill>
        <patternFill>
          <bgColor rgb="FFC6D9F1"/>
        </patternFill>
      </fill>
    </dxf>
    <dxf>
      <fill>
        <patternFill>
          <bgColor rgb="FF76FA8C"/>
        </patternFill>
      </fill>
    </dxf>
    <dxf>
      <fill>
        <patternFill>
          <bgColor theme="8" tint="0.59978026673177287"/>
        </patternFill>
      </fill>
    </dxf>
    <dxf>
      <fill>
        <patternFill>
          <bgColor rgb="FFAAC7EA"/>
        </patternFill>
      </fill>
    </dxf>
    <dxf>
      <font>
        <color rgb="FFFFFFFF"/>
      </font>
    </dxf>
    <dxf>
      <font>
        <color rgb="FFD9D9D9"/>
      </font>
      <fill>
        <patternFill>
          <bgColor theme="0" tint="-0.14999847407452621"/>
        </patternFill>
      </fill>
    </dxf>
    <dxf>
      <fill>
        <patternFill>
          <bgColor rgb="FFAAC6EA"/>
        </patternFill>
      </fill>
    </dxf>
    <dxf>
      <fill>
        <patternFill>
          <bgColor rgb="FFAAC7EA"/>
        </patternFill>
      </fill>
    </dxf>
    <dxf>
      <font>
        <color rgb="FFFFFFFF"/>
      </font>
    </dxf>
    <dxf>
      <font>
        <color rgb="FFDCE6F2"/>
      </font>
    </dxf>
    <dxf>
      <font>
        <color rgb="FFFFFFFF"/>
      </font>
    </dxf>
    <dxf>
      <font>
        <color rgb="FFDCE6F2"/>
      </font>
    </dxf>
    <dxf>
      <fill>
        <patternFill>
          <bgColor rgb="FFA7C0DE"/>
        </patternFill>
      </fill>
    </dxf>
    <dxf>
      <font>
        <color rgb="FFFFFFFF"/>
      </font>
    </dxf>
    <dxf>
      <fill>
        <patternFill>
          <bgColor rgb="FFF9FEC0"/>
        </patternFill>
      </fill>
    </dxf>
    <dxf>
      <fill>
        <patternFill>
          <bgColor rgb="FFFF8080"/>
        </patternFill>
      </fill>
    </dxf>
    <dxf>
      <fill>
        <patternFill>
          <bgColor rgb="FFAAC6EA"/>
        </patternFill>
      </fill>
    </dxf>
    <dxf>
      <fill>
        <patternFill>
          <bgColor rgb="FFA7C0DE"/>
        </patternFill>
      </fill>
    </dxf>
    <dxf>
      <fill>
        <patternFill>
          <bgColor rgb="FFC6D9F1"/>
        </patternFill>
      </fill>
    </dxf>
    <dxf>
      <fill>
        <patternFill>
          <bgColor rgb="FFC6D9F1"/>
        </patternFill>
      </fill>
    </dxf>
    <dxf>
      <fill>
        <patternFill>
          <bgColor rgb="FF7FD7A7"/>
        </patternFill>
      </fill>
    </dxf>
    <dxf>
      <fill>
        <patternFill>
          <bgColor rgb="FFFF0000"/>
        </patternFill>
      </fill>
    </dxf>
    <dxf>
      <fill>
        <patternFill>
          <bgColor rgb="FFDBEFF4"/>
        </patternFill>
      </fill>
    </dxf>
    <dxf>
      <fill>
        <patternFill>
          <bgColor rgb="FFFB8189"/>
        </patternFill>
      </fill>
    </dxf>
    <dxf>
      <font>
        <color rgb="FFFFFFFF"/>
      </font>
    </dxf>
    <dxf>
      <fill>
        <patternFill>
          <bgColor rgb="FFFF8080"/>
        </patternFill>
      </fill>
    </dxf>
    <dxf>
      <font>
        <color rgb="FFFFFFFF"/>
      </font>
      <fill>
        <patternFill>
          <bgColor rgb="FFFF0000"/>
        </patternFill>
      </fill>
    </dxf>
    <dxf>
      <font>
        <b/>
        <i val="0"/>
      </font>
      <fill>
        <patternFill>
          <bgColor theme="9" tint="0.39979247413556324"/>
        </patternFill>
      </fill>
    </dxf>
    <dxf>
      <font>
        <b/>
        <i val="0"/>
        <color rgb="FFFFFFFF"/>
        <name val="Cambria"/>
        <charset val="1"/>
      </font>
      <fill>
        <patternFill>
          <bgColor rgb="FFFFFF00"/>
        </patternFill>
      </fill>
    </dxf>
    <dxf>
      <font>
        <color rgb="FFFFFFFF"/>
      </font>
      <fill>
        <patternFill>
          <bgColor rgb="FF0070C0"/>
        </patternFill>
      </fill>
    </dxf>
    <dxf>
      <fill>
        <patternFill>
          <bgColor rgb="FFA7C0DE"/>
        </patternFill>
      </fill>
    </dxf>
    <dxf>
      <fill>
        <patternFill>
          <bgColor rgb="FFAAC6EA"/>
        </patternFill>
      </fill>
    </dxf>
    <dxf>
      <fill>
        <patternFill>
          <bgColor rgb="FFFF0000"/>
        </patternFill>
      </fill>
    </dxf>
    <dxf>
      <fill>
        <patternFill>
          <bgColor theme="0"/>
        </patternFill>
      </fill>
    </dxf>
    <dxf>
      <fill>
        <patternFill>
          <bgColor rgb="FFFFDF7F"/>
        </patternFill>
      </fill>
    </dxf>
    <dxf>
      <fill>
        <patternFill>
          <bgColor rgb="FFAAC7EA"/>
        </patternFill>
      </fill>
    </dxf>
    <dxf>
      <fill>
        <patternFill>
          <bgColor rgb="FFDBEFF4"/>
        </patternFill>
      </fill>
    </dxf>
    <dxf>
      <font>
        <color rgb="FFFFFFFF"/>
      </font>
    </dxf>
    <dxf>
      <fill>
        <patternFill>
          <bgColor rgb="FFA7C0DE"/>
        </patternFill>
      </fill>
    </dxf>
    <dxf>
      <fill>
        <patternFill>
          <bgColor rgb="FFFFDF7F"/>
        </patternFill>
      </fill>
    </dxf>
    <dxf>
      <fill>
        <patternFill>
          <bgColor rgb="FFAAC7EA"/>
        </patternFill>
      </fill>
    </dxf>
    <dxf>
      <fill>
        <patternFill>
          <bgColor rgb="FFAAC7EA"/>
        </patternFill>
      </fill>
    </dxf>
    <dxf>
      <fill>
        <patternFill>
          <bgColor rgb="FFFF0000"/>
        </patternFill>
      </fill>
    </dxf>
    <dxf>
      <fill>
        <patternFill>
          <bgColor rgb="FFAAC7EA"/>
        </patternFill>
      </fill>
    </dxf>
    <dxf>
      <fill>
        <patternFill>
          <bgColor rgb="FFFF7F7F"/>
        </patternFill>
      </fill>
    </dxf>
    <dxf>
      <fill>
        <patternFill>
          <bgColor rgb="FFCAD9EB"/>
        </patternFill>
      </fill>
    </dxf>
    <dxf>
      <fill>
        <patternFill>
          <bgColor rgb="FFA7C0DE"/>
        </patternFill>
      </fill>
    </dxf>
    <dxf>
      <font>
        <color rgb="FFFFFFFF"/>
      </font>
    </dxf>
    <dxf>
      <fill>
        <patternFill>
          <bgColor rgb="FFFF0000"/>
        </patternFill>
      </fill>
    </dxf>
    <dxf>
      <font>
        <color rgb="FFFFFFFF"/>
      </font>
    </dxf>
    <dxf>
      <fill>
        <patternFill>
          <bgColor rgb="FFFF0000"/>
        </patternFill>
      </fill>
    </dxf>
    <dxf>
      <font>
        <color rgb="FFFFFFFF"/>
      </font>
    </dxf>
    <dxf>
      <font>
        <name val="Arial"/>
        <charset val="1"/>
      </font>
      <alignment horizontal="general" vertical="bottom" textRotation="0" wrapText="0" indent="0" shrinkToFit="0"/>
    </dxf>
    <dxf>
      <font>
        <color rgb="FFFFFFFF"/>
        <name val="Cambria"/>
        <charset val="1"/>
      </font>
    </dxf>
    <dxf>
      <font>
        <color rgb="FFFFFFFF"/>
      </font>
    </dxf>
    <dxf>
      <font>
        <color rgb="FFFFFFFF"/>
      </font>
    </dxf>
    <dxf>
      <font>
        <color rgb="FFFFFFFF"/>
      </font>
    </dxf>
    <dxf>
      <font>
        <color rgb="FFFFFFFF"/>
      </font>
    </dxf>
    <dxf>
      <font>
        <color rgb="FFFFFFFF"/>
      </font>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font>
    </dxf>
    <dxf>
      <font>
        <color rgb="FFFFFFFF"/>
        <name val="Cambria"/>
        <charset val="1"/>
      </font>
    </dxf>
    <dxf>
      <font>
        <color rgb="FFFFFFFF"/>
        <name val="Cambria"/>
        <charset val="1"/>
      </font>
    </dxf>
    <dxf>
      <font>
        <color rgb="FFFFFFFF"/>
        <name val="Cambria"/>
        <charset val="1"/>
      </font>
    </dxf>
    <dxf>
      <font>
        <color rgb="FFFFFFFF"/>
        <name val="Cambria"/>
        <charset val="1"/>
      </font>
    </dxf>
    <dxf>
      <font>
        <color rgb="FFFFFFFF"/>
        <name val="Cambria"/>
        <charset val="1"/>
      </font>
    </dxf>
    <dxf>
      <font>
        <color rgb="FFFFFFFF"/>
        <name val="Cambria"/>
        <charset val="1"/>
      </font>
    </dxf>
    <dxf>
      <font>
        <color rgb="FFFFFFFF"/>
        <name val="Cambria"/>
        <charset val="1"/>
      </font>
    </dxf>
    <dxf>
      <font>
        <color rgb="FFFFFFFF"/>
      </font>
    </dxf>
    <dxf>
      <font>
        <name val="Arial"/>
        <charset val="1"/>
      </font>
      <alignment horizontal="general" vertical="bottom" textRotation="0" wrapText="0" indent="0" shrinkToFit="0"/>
    </dxf>
    <dxf>
      <font>
        <color rgb="FFFFFFFF"/>
      </font>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font>
    </dxf>
    <dxf>
      <font>
        <name val="Arial"/>
        <charset val="1"/>
      </font>
      <alignment horizontal="general" vertical="bottom" textRotation="0" wrapText="0" indent="0" shrinkToFit="0"/>
    </dxf>
    <dxf>
      <font>
        <color rgb="FFFFFFFF"/>
      </font>
    </dxf>
    <dxf>
      <font>
        <color rgb="FFFFFFFF"/>
      </font>
    </dxf>
    <dxf>
      <font>
        <name val="Arial"/>
        <charset val="1"/>
      </font>
      <alignment horizontal="general" vertical="bottom" textRotation="0" wrapText="0" indent="0" shrinkToFit="0"/>
    </dxf>
    <dxf>
      <font>
        <color rgb="FFFFFFFF"/>
      </font>
    </dxf>
    <dxf>
      <font>
        <color rgb="FFFFFFFF"/>
      </font>
    </dxf>
    <dxf>
      <font>
        <color rgb="FFFFFFFF"/>
      </font>
    </dxf>
    <dxf>
      <font>
        <name val="Arial"/>
        <charset val="1"/>
      </font>
      <alignment horizontal="general" vertical="bottom" textRotation="0" wrapText="0" indent="0" shrinkToFit="0"/>
    </dxf>
    <dxf>
      <font>
        <color rgb="FFFFFFFF"/>
      </font>
    </dxf>
    <dxf>
      <font>
        <color rgb="FFFFFFFF"/>
        <name val="Cambria"/>
        <charset val="1"/>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name val="Arial"/>
        <charset val="1"/>
      </font>
      <alignment horizontal="general" vertical="bottom" textRotation="0" wrapText="0" indent="0" shrinkToFit="0"/>
    </dxf>
    <dxf>
      <font>
        <color rgb="FFFFFFFF"/>
      </font>
    </dxf>
    <dxf>
      <font>
        <color rgb="FFFFFFFF"/>
        <name val="Cambria"/>
        <charset val="1"/>
      </font>
    </dxf>
    <dxf>
      <font>
        <color rgb="FFFFFFFF"/>
        <name val="Cambria"/>
        <charset val="1"/>
      </font>
    </dxf>
    <dxf>
      <font>
        <name val="Arial"/>
        <charset val="1"/>
      </font>
      <alignment horizontal="general" vertical="bottom" textRotation="0" wrapText="0" indent="0" shrinkToFit="0"/>
    </dxf>
    <dxf>
      <font>
        <color rgb="FFFFFFFF"/>
      </font>
    </dxf>
    <dxf>
      <font>
        <name val="Arial"/>
        <charset val="1"/>
      </font>
      <alignment horizontal="general" vertical="bottom" textRotation="0" wrapText="0" indent="0" shrinkToFit="0"/>
    </dxf>
    <dxf>
      <font>
        <color rgb="FFFFFFFF"/>
      </font>
    </dxf>
    <dxf>
      <font>
        <name val="Arial"/>
        <charset val="1"/>
      </font>
      <alignment horizontal="general" vertical="bottom" textRotation="0" wrapText="0" indent="0" shrinkToFit="0"/>
    </dxf>
    <dxf>
      <font>
        <color rgb="FFFFFFFF"/>
      </font>
    </dxf>
    <dxf>
      <font>
        <color rgb="FFFFFFFF"/>
        <name val="Cambria"/>
        <charset val="1"/>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name val="Arial"/>
        <charset val="1"/>
      </font>
      <alignment horizontal="general" vertical="bottom" textRotation="0" wrapText="0" indent="0" shrinkToFit="0"/>
    </dxf>
    <dxf>
      <font>
        <color rgb="FFFFFFFF"/>
      </font>
    </dxf>
    <dxf>
      <font>
        <color rgb="FFFFFFFF"/>
        <name val="Cambria"/>
        <charset val="1"/>
      </font>
    </dxf>
    <dxf>
      <font>
        <color rgb="FFFFFFFF"/>
        <name val="Cambria"/>
        <charset val="1"/>
      </font>
    </dxf>
    <dxf>
      <font>
        <color rgb="FFFFFFFF"/>
      </font>
    </dxf>
    <dxf>
      <font>
        <color rgb="FFFFFFFF"/>
      </font>
    </dxf>
    <dxf>
      <font>
        <color rgb="FFFFFFFF"/>
      </font>
    </dxf>
    <dxf>
      <font>
        <color rgb="FFFFFFFF"/>
      </font>
    </dxf>
    <dxf>
      <font>
        <color rgb="FFFFFFFF"/>
      </font>
    </dxf>
    <dxf>
      <font>
        <color rgb="FFFFFFFF"/>
      </font>
    </dxf>
    <dxf>
      <font>
        <color rgb="FFFFFFFF"/>
      </font>
    </dxf>
    <dxf>
      <fill>
        <patternFill>
          <bgColor rgb="FFAAC7EA"/>
        </patternFill>
      </fill>
    </dxf>
    <dxf>
      <fill>
        <patternFill>
          <bgColor rgb="FFAAC6EA"/>
        </patternFill>
      </fill>
    </dxf>
    <dxf>
      <fill>
        <patternFill>
          <bgColor rgb="FFAAC6EA"/>
        </patternFill>
      </fill>
    </dxf>
    <dxf>
      <fill>
        <patternFill>
          <bgColor rgb="FFAAC6EA"/>
        </patternFill>
      </fill>
    </dxf>
    <dxf>
      <fill>
        <patternFill>
          <bgColor rgb="FFC6D9F1"/>
        </patternFill>
      </fill>
    </dxf>
    <dxf>
      <fill>
        <patternFill>
          <bgColor rgb="FFAAC6EA"/>
        </patternFill>
      </fill>
    </dxf>
    <dxf>
      <fill>
        <patternFill>
          <bgColor rgb="FFAAC6EA"/>
        </patternFill>
      </fill>
    </dxf>
    <dxf>
      <fill>
        <patternFill>
          <bgColor rgb="FF7FD7A7"/>
        </patternFill>
      </fill>
    </dxf>
    <dxf>
      <font>
        <name val="Arial"/>
        <charset val="1"/>
      </font>
      <alignment horizontal="general" vertical="bottom" textRotation="0" wrapText="0" indent="0" shrinkToFit="0"/>
    </dxf>
    <dxf>
      <font>
        <color rgb="FFFFFFFF"/>
      </font>
    </dxf>
    <dxf>
      <font>
        <color rgb="FFFFFFFF"/>
      </font>
    </dxf>
    <dxf>
      <font>
        <color rgb="FFFFFFFF"/>
      </font>
    </dxf>
    <dxf>
      <fill>
        <patternFill>
          <bgColor rgb="FFFF0000"/>
        </patternFill>
      </fill>
    </dxf>
    <dxf>
      <font>
        <color rgb="FFFFFFFF"/>
      </font>
    </dxf>
    <dxf>
      <font>
        <color rgb="FFFFFFFF"/>
      </font>
    </dxf>
    <dxf>
      <font>
        <name val="Arial"/>
        <charset val="1"/>
      </font>
      <alignment horizontal="general" vertical="bottom" textRotation="0" wrapText="0" indent="0" shrinkToFit="0"/>
    </dxf>
    <dxf>
      <fill>
        <patternFill>
          <bgColor rgb="FFFF0000"/>
        </patternFill>
      </fill>
    </dxf>
    <dxf>
      <font>
        <color rgb="FFFFFFFF"/>
      </font>
    </dxf>
    <dxf>
      <font>
        <color rgb="FF69FFFF"/>
      </font>
    </dxf>
    <dxf>
      <font>
        <color rgb="FFFFFFFF"/>
        <name val="Cambria"/>
        <charset val="1"/>
      </font>
    </dxf>
    <dxf>
      <font>
        <name val="Arial"/>
        <charset val="1"/>
      </font>
      <alignment horizontal="general" vertical="bottom" textRotation="0" wrapText="0" indent="0" shrinkToFit="0"/>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ill>
        <patternFill>
          <bgColor rgb="FFFF0000"/>
        </patternFill>
      </fill>
    </dxf>
    <dxf>
      <font>
        <color rgb="FFFFFFFF"/>
      </font>
    </dxf>
    <dxf>
      <font>
        <name val="Arial"/>
        <charset val="1"/>
      </font>
      <alignment horizontal="general" vertical="bottom" textRotation="0" wrapText="0" indent="0" shrinkToFit="0"/>
    </dxf>
    <dxf>
      <font>
        <color rgb="FFFFFFFF"/>
        <name val="Cambria"/>
        <charset val="1"/>
      </font>
    </dxf>
    <dxf>
      <font>
        <color rgb="FFFFFFFF"/>
      </font>
    </dxf>
    <dxf>
      <fill>
        <patternFill>
          <bgColor rgb="FFFF0000"/>
        </patternFill>
      </fill>
    </dxf>
    <dxf>
      <font>
        <color rgb="FFFFFFFF"/>
      </font>
    </dxf>
    <dxf>
      <font>
        <name val="Arial"/>
        <charset val="1"/>
      </font>
      <alignment horizontal="general" vertical="bottom" textRotation="0" wrapText="0" indent="0" shrinkToFit="0"/>
    </dxf>
    <dxf>
      <font>
        <color rgb="FFFFFFFF"/>
        <name val="Cambria"/>
        <charset val="1"/>
      </font>
    </dxf>
    <dxf>
      <font>
        <color rgb="FFFFFFFF"/>
      </font>
    </dxf>
    <dxf>
      <fill>
        <patternFill>
          <bgColor rgb="FFFF0000"/>
        </patternFill>
      </fill>
    </dxf>
    <dxf>
      <font>
        <color rgb="FFFFFFFF"/>
      </font>
    </dxf>
    <dxf>
      <font>
        <name val="Arial"/>
        <charset val="1"/>
      </font>
      <alignment horizontal="general" vertical="bottom" textRotation="0" wrapText="0" indent="0" shrinkToFit="0"/>
    </dxf>
    <dxf>
      <font>
        <color rgb="FFFFFFFF"/>
        <name val="Cambria"/>
        <charset val="1"/>
      </font>
    </dxf>
    <dxf>
      <font>
        <color rgb="FFFFFFFF"/>
      </font>
    </dxf>
    <dxf>
      <fill>
        <patternFill>
          <bgColor rgb="FFFF0000"/>
        </patternFill>
      </fill>
    </dxf>
    <dxf>
      <font>
        <color rgb="FFFFFFFF"/>
      </font>
    </dxf>
    <dxf>
      <font>
        <name val="Arial"/>
        <charset val="1"/>
      </font>
      <alignment horizontal="general" vertical="bottom" textRotation="0" wrapText="0" indent="0" shrinkToFit="0"/>
    </dxf>
    <dxf>
      <font>
        <color rgb="FFFFFFFF"/>
        <name val="Cambria"/>
        <charset val="1"/>
      </font>
    </dxf>
    <dxf>
      <font>
        <color rgb="FFFFFFFF"/>
      </font>
    </dxf>
    <dxf>
      <fill>
        <patternFill>
          <bgColor rgb="FFFF0000"/>
        </patternFill>
      </fill>
    </dxf>
    <dxf>
      <font>
        <color rgb="FFFFFFFF"/>
      </font>
    </dxf>
    <dxf>
      <font>
        <name val="Arial"/>
        <charset val="1"/>
      </font>
      <alignment horizontal="general" vertical="bottom" textRotation="0" wrapText="0" indent="0" shrinkToFit="0"/>
    </dxf>
    <dxf>
      <font>
        <color rgb="FFFFFFFF"/>
        <name val="Cambria"/>
        <charset val="1"/>
      </font>
    </dxf>
    <dxf>
      <font>
        <color rgb="FFFFFFFF"/>
      </font>
    </dxf>
    <dxf>
      <font>
        <color rgb="FFFFFFFF"/>
        <name val="Cambria"/>
        <charset val="1"/>
      </font>
    </dxf>
    <dxf>
      <font>
        <color rgb="FFFFFFFF"/>
      </font>
    </dxf>
    <dxf>
      <fill>
        <patternFill>
          <bgColor rgb="FFFF0000"/>
        </patternFill>
      </fill>
    </dxf>
    <dxf>
      <font>
        <color rgb="FFFFFFFF"/>
      </font>
    </dxf>
    <dxf>
      <font>
        <name val="Arial"/>
        <charset val="1"/>
      </font>
      <alignment horizontal="general" vertical="bottom" textRotation="0" wrapText="0" indent="0" shrinkToFit="0"/>
    </dxf>
    <dxf>
      <font>
        <color rgb="FFFFFFFF"/>
      </font>
    </dxf>
    <dxf>
      <font>
        <color rgb="FFFFFFFF"/>
      </font>
    </dxf>
    <dxf>
      <font>
        <color rgb="FFFFFFFF"/>
      </font>
    </dxf>
    <dxf>
      <font>
        <color rgb="FFFFFFFF"/>
      </font>
    </dxf>
    <dxf>
      <fill>
        <patternFill>
          <bgColor rgb="FFFF0000"/>
        </patternFill>
      </fill>
    </dxf>
    <dxf>
      <font>
        <color rgb="FFFFFFFF"/>
      </font>
    </dxf>
    <dxf>
      <font>
        <name val="Arial"/>
        <charset val="1"/>
      </font>
      <alignment horizontal="general" vertical="bottom" textRotation="0" wrapText="0" indent="0" shrinkToFit="0"/>
    </dxf>
    <dxf>
      <font>
        <color rgb="FFFFFFFF"/>
        <name val="Cambria"/>
        <charset val="1"/>
      </font>
    </dxf>
    <dxf>
      <font>
        <color rgb="FFFFFFFF"/>
      </font>
    </dxf>
    <dxf>
      <font>
        <color rgb="FFFFFFFF"/>
      </font>
    </dxf>
    <dxf>
      <font>
        <color rgb="FFFFFFFF"/>
      </font>
    </dxf>
    <dxf>
      <font>
        <color rgb="FFFFFFFF"/>
      </font>
    </dxf>
    <dxf>
      <fill>
        <patternFill>
          <bgColor rgb="FFAAC7EA"/>
        </patternFill>
      </fill>
    </dxf>
    <dxf>
      <fill>
        <patternFill>
          <bgColor rgb="FFC6D9F1"/>
        </patternFill>
      </fill>
    </dxf>
    <dxf>
      <fill>
        <patternFill>
          <bgColor rgb="FFC6D9F1"/>
        </patternFill>
      </fill>
    </dxf>
    <dxf>
      <fill>
        <patternFill>
          <bgColor rgb="FFC6D9F1"/>
        </patternFill>
      </fill>
    </dxf>
    <dxf>
      <fill>
        <patternFill>
          <bgColor rgb="FF7FD7A7"/>
        </patternFill>
      </fill>
    </dxf>
    <dxf>
      <fill>
        <patternFill>
          <bgColor rgb="FFAAC6EA"/>
        </patternFill>
      </fill>
    </dxf>
    <dxf>
      <fill>
        <patternFill>
          <bgColor rgb="FFAAC6EA"/>
        </patternFill>
      </fill>
    </dxf>
    <dxf>
      <fill>
        <patternFill>
          <bgColor rgb="FFC6D9F1"/>
        </patternFill>
      </fill>
    </dxf>
    <dxf>
      <font>
        <color rgb="FFFFFFFF"/>
      </font>
    </dxf>
    <dxf>
      <fill>
        <patternFill>
          <bgColor rgb="FFFF0000"/>
        </patternFill>
      </fill>
    </dxf>
    <dxf>
      <font>
        <color rgb="FFFFFFFF"/>
      </font>
    </dxf>
    <dxf>
      <font>
        <name val="Arial"/>
        <charset val="1"/>
      </font>
      <alignment horizontal="general" vertical="bottom" textRotation="0" wrapText="0" indent="0" shrinkToFit="0"/>
    </dxf>
    <dxf>
      <font>
        <color rgb="FFFFFFFF"/>
      </font>
    </dxf>
    <dxf>
      <font>
        <color rgb="FFFFFFFF"/>
      </font>
    </dxf>
    <dxf>
      <font>
        <color rgb="FFFFFFFF"/>
      </font>
    </dxf>
    <dxf>
      <font>
        <name val="Arial"/>
        <charset val="1"/>
      </font>
      <alignment horizontal="general" vertical="bottom" textRotation="0" wrapText="0" indent="0" shrinkToFit="0"/>
    </dxf>
    <dxf>
      <fill>
        <patternFill>
          <bgColor rgb="FFB7ECA2"/>
        </patternFill>
      </fill>
    </dxf>
    <dxf>
      <fill>
        <patternFill>
          <bgColor rgb="FFC6D9F1"/>
        </patternFill>
      </fill>
    </dxf>
    <dxf>
      <font>
        <name val="Arial"/>
        <charset val="1"/>
      </font>
      <alignment horizontal="general" vertical="bottom" textRotation="0" wrapText="0" indent="0" shrinkToFit="0"/>
    </dxf>
    <dxf>
      <fill>
        <patternFill>
          <bgColor rgb="FFAAC7EA"/>
        </patternFill>
      </fill>
    </dxf>
    <dxf>
      <fill>
        <patternFill>
          <bgColor rgb="FFC6D9F1"/>
        </patternFill>
      </fill>
    </dxf>
    <dxf>
      <font>
        <color rgb="FFFFFFFF"/>
      </font>
    </dxf>
    <dxf>
      <fill>
        <patternFill>
          <bgColor rgb="FFC6D9F1"/>
        </patternFill>
      </fill>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69FFFF"/>
      </font>
    </dxf>
    <dxf>
      <fill>
        <patternFill>
          <bgColor rgb="FFFF0000"/>
        </patternFill>
      </fill>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name val="Arial"/>
        <charset val="1"/>
      </font>
      <alignment horizontal="general" vertical="bottom" textRotation="0" wrapText="0" indent="0" shrinkToFit="0"/>
    </dxf>
    <dxf>
      <font>
        <name val="Arial"/>
        <charset val="1"/>
      </font>
      <alignment horizontal="general" vertical="bottom" textRotation="0" wrapText="0" indent="0" shrinkToFit="0"/>
    </dxf>
    <dxf>
      <font>
        <name val="Arial"/>
        <charset val="1"/>
      </font>
      <alignment horizontal="general" vertical="bottom" textRotation="0" wrapText="0" indent="0" shrinkToFit="0"/>
    </dxf>
    <dxf>
      <font>
        <name val="Arial"/>
        <charset val="1"/>
      </font>
      <alignment horizontal="general" vertical="bottom" textRotation="0" wrapText="0" indent="0" shrinkToFit="0"/>
    </dxf>
    <dxf>
      <font>
        <name val="Arial"/>
        <charset val="1"/>
      </font>
      <alignment horizontal="general" vertical="bottom" textRotation="0" wrapText="0" indent="0" shrinkToFit="0"/>
    </dxf>
    <dxf>
      <fill>
        <patternFill>
          <bgColor rgb="FFC6D9F1"/>
        </patternFill>
      </fill>
    </dxf>
    <dxf>
      <font>
        <color rgb="FFFFFFFF"/>
      </font>
    </dxf>
    <dxf>
      <font>
        <color rgb="FFFFFFFF"/>
      </font>
    </dxf>
    <dxf>
      <font>
        <color rgb="FFFFFFFF"/>
      </font>
    </dxf>
    <dxf>
      <font>
        <color rgb="FFFFFFFF"/>
        <name val="Cambria"/>
        <charset val="1"/>
      </font>
    </dxf>
    <dxf>
      <font>
        <color rgb="FFFFFFFF"/>
      </font>
    </dxf>
    <dxf>
      <font>
        <color rgb="FFFFFFFF"/>
      </font>
    </dxf>
    <dxf>
      <font>
        <color rgb="FFFFFFFF"/>
      </font>
    </dxf>
    <dxf>
      <font>
        <color rgb="FFDBEEF4"/>
      </font>
    </dxf>
    <dxf>
      <font>
        <color rgb="FFFFFFFF"/>
      </font>
      <fill>
        <patternFill>
          <bgColor theme="0"/>
        </patternFill>
      </fill>
    </dxf>
    <dxf>
      <font>
        <color rgb="FFFFFFCC"/>
      </font>
      <fill>
        <patternFill>
          <bgColor rgb="FFFFFFCC"/>
        </patternFill>
      </fill>
    </dxf>
    <dxf>
      <font>
        <color rgb="FFDBEEF4"/>
      </font>
    </dxf>
    <dxf>
      <font>
        <color rgb="FFF4FD81"/>
      </font>
    </dxf>
    <dxf>
      <font>
        <color rgb="FFFDEADA"/>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8EB4E3"/>
      </font>
    </dxf>
    <dxf>
      <font>
        <color rgb="FFFFFFFF"/>
      </font>
    </dxf>
    <dxf>
      <font>
        <color rgb="FFFFFFFF"/>
      </font>
    </dxf>
    <dxf>
      <font>
        <color rgb="FFFFFFFF"/>
      </font>
    </dxf>
    <dxf>
      <font>
        <color rgb="FFFFFFFF"/>
      </font>
    </dxf>
    <dxf>
      <font>
        <color rgb="FFFFFFFF"/>
      </font>
    </dxf>
    <dxf>
      <font>
        <color rgb="FFDBEEF4"/>
      </font>
    </dxf>
    <dxf>
      <font>
        <color rgb="FFF4FD81"/>
      </font>
    </dxf>
    <dxf>
      <font>
        <color rgb="FFDBEEF4"/>
      </font>
    </dxf>
    <dxf>
      <font>
        <color rgb="FFF4FD81"/>
      </font>
    </dxf>
    <dxf>
      <font>
        <color rgb="FFF4FD81"/>
      </font>
    </dxf>
    <dxf>
      <font>
        <color rgb="FFDBEEF4"/>
      </font>
    </dxf>
    <dxf>
      <font>
        <color rgb="FFF4FD81"/>
      </font>
    </dxf>
    <dxf>
      <font>
        <color rgb="FFDBEEF4"/>
      </font>
    </dxf>
    <dxf>
      <font>
        <color rgb="FFF4FD81"/>
      </font>
    </dxf>
    <dxf>
      <font>
        <color rgb="FFDBEEF4"/>
      </font>
    </dxf>
    <dxf>
      <font>
        <color rgb="FFDBEEF4"/>
      </font>
    </dxf>
    <dxf>
      <font>
        <color rgb="FFF4FD81"/>
      </font>
    </dxf>
    <dxf>
      <font>
        <color rgb="FFDBEEF4"/>
      </font>
    </dxf>
    <dxf>
      <font>
        <color rgb="FFF4FD81"/>
      </font>
    </dxf>
    <dxf>
      <font>
        <color rgb="FFF4FD81"/>
      </font>
    </dxf>
    <dxf>
      <font>
        <color rgb="FFDBEEF4"/>
      </font>
    </dxf>
    <dxf>
      <font>
        <color rgb="FFDBEEF4"/>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DBEEF4"/>
      </font>
    </dxf>
    <dxf>
      <font>
        <color rgb="FFDBEEF4"/>
      </font>
    </dxf>
    <dxf>
      <font>
        <color rgb="FFDBEEF4"/>
      </font>
    </dxf>
    <dxf>
      <font>
        <color rgb="FFDBEEF4"/>
      </font>
    </dxf>
    <dxf>
      <font>
        <color rgb="FFDBEEF4"/>
      </font>
    </dxf>
    <dxf>
      <font>
        <color rgb="FFDBEEF4"/>
      </font>
    </dxf>
    <dxf>
      <font>
        <color rgb="FFDBEEF4"/>
      </font>
    </dxf>
    <dxf>
      <font>
        <color rgb="FFDBEEF4"/>
      </font>
    </dxf>
    <dxf>
      <font>
        <color rgb="FFDBEEF4"/>
      </font>
    </dxf>
    <dxf>
      <font>
        <color rgb="FFDBEEF4"/>
      </font>
    </dxf>
    <dxf>
      <font>
        <color rgb="FFDBEEF4"/>
      </font>
    </dxf>
    <dxf>
      <font>
        <color rgb="FFDBEEF4"/>
      </font>
    </dxf>
    <dxf>
      <font>
        <color rgb="FFDBEEF4"/>
      </font>
    </dxf>
    <dxf>
      <font>
        <color rgb="FFF4FD81"/>
      </font>
    </dxf>
    <dxf>
      <font>
        <color rgb="FFF4FD81"/>
      </font>
    </dxf>
    <dxf>
      <font>
        <color rgb="FFF4FD81"/>
      </font>
    </dxf>
    <dxf>
      <font>
        <color rgb="FFF4FD81"/>
      </font>
    </dxf>
    <dxf>
      <font>
        <color rgb="FFDBEEF4"/>
      </font>
    </dxf>
    <dxf>
      <font>
        <color rgb="FFDBEEF4"/>
      </font>
    </dxf>
    <dxf>
      <font>
        <color rgb="FFDBEEF4"/>
      </font>
    </dxf>
    <dxf>
      <font>
        <color rgb="FFFFFFFF"/>
      </font>
    </dxf>
    <dxf>
      <font>
        <color rgb="FFFFFFFF"/>
      </font>
    </dxf>
    <dxf>
      <fill>
        <patternFill>
          <bgColor rgb="FFAAC7EA"/>
        </patternFill>
      </fill>
    </dxf>
    <dxf>
      <fill>
        <patternFill>
          <bgColor rgb="FFAAC7EA"/>
        </patternFill>
      </fill>
    </dxf>
    <dxf>
      <fill>
        <patternFill>
          <bgColor rgb="FFC6D9F1"/>
        </patternFill>
      </fill>
    </dxf>
    <dxf>
      <fill>
        <patternFill>
          <bgColor rgb="FFFFDF7F"/>
        </patternFill>
      </fill>
    </dxf>
    <dxf>
      <fill>
        <patternFill>
          <bgColor rgb="FFC6D9F1"/>
        </patternFill>
      </fill>
    </dxf>
    <dxf>
      <fill>
        <patternFill>
          <bgColor rgb="FF7FD7A7"/>
        </patternFill>
      </fill>
    </dxf>
    <dxf>
      <fill>
        <patternFill>
          <bgColor rgb="FF7FFFFF"/>
        </patternFill>
      </fill>
    </dxf>
    <dxf>
      <font>
        <color rgb="FFFFFFFF"/>
      </font>
      <fill>
        <patternFill>
          <bgColor rgb="FFFFE080"/>
        </patternFill>
      </fill>
    </dxf>
    <dxf>
      <font>
        <color rgb="FFFFFFFF"/>
      </font>
      <fill>
        <patternFill>
          <bgColor theme="0"/>
        </patternFill>
      </fill>
    </dxf>
    <dxf>
      <font>
        <color rgb="FF000000"/>
      </font>
    </dxf>
    <dxf>
      <fill>
        <patternFill>
          <bgColor rgb="FFC0C0C0"/>
        </patternFill>
      </fill>
    </dxf>
    <dxf>
      <fill>
        <patternFill>
          <bgColor rgb="FFF1AB72"/>
        </patternFill>
      </fill>
    </dxf>
    <dxf>
      <font>
        <color rgb="FFFFFFFF"/>
      </font>
    </dxf>
    <dxf>
      <font>
        <color rgb="FFFFFFFF"/>
      </font>
    </dxf>
    <dxf>
      <fill>
        <patternFill>
          <bgColor rgb="FFFFDF7F"/>
        </patternFill>
      </fill>
    </dxf>
    <dxf>
      <fill>
        <patternFill>
          <bgColor rgb="FFA7C0DE"/>
        </patternFill>
      </fill>
    </dxf>
    <dxf>
      <fill>
        <patternFill>
          <bgColor rgb="FFF9FEC0"/>
        </patternFill>
      </fill>
    </dxf>
    <dxf>
      <fill>
        <patternFill>
          <bgColor rgb="FFDCE6F2"/>
        </patternFill>
      </fill>
    </dxf>
    <dxf>
      <font>
        <color rgb="FFB7DEE8"/>
      </font>
      <fill>
        <patternFill>
          <bgColor theme="8" tint="0.59978026673177287"/>
        </patternFill>
      </fill>
    </dxf>
    <dxf>
      <fill>
        <patternFill>
          <bgColor rgb="FFCAD9EB"/>
        </patternFill>
      </fill>
    </dxf>
    <dxf>
      <fill>
        <patternFill>
          <bgColor rgb="FFCAD9EB"/>
        </patternFill>
      </fill>
    </dxf>
    <dxf>
      <fill>
        <patternFill>
          <bgColor rgb="FFCAD9EB"/>
        </patternFill>
      </fill>
    </dxf>
    <dxf>
      <fill>
        <patternFill>
          <bgColor rgb="FFCAD9EB"/>
        </patternFill>
      </fill>
    </dxf>
    <dxf>
      <fill>
        <patternFill>
          <bgColor rgb="FFCAD9EB"/>
        </patternFill>
      </fill>
    </dxf>
    <dxf>
      <fill>
        <patternFill>
          <bgColor rgb="FFCAD9EB"/>
        </patternFill>
      </fill>
    </dxf>
    <dxf>
      <fill>
        <patternFill>
          <bgColor rgb="FFCAD9EB"/>
        </patternFill>
      </fill>
    </dxf>
    <dxf>
      <fill>
        <patternFill>
          <bgColor rgb="FFCAD9EB"/>
        </patternFill>
      </fill>
    </dxf>
    <dxf>
      <fill>
        <patternFill>
          <bgColor rgb="FFCAD9EB"/>
        </patternFill>
      </fill>
    </dxf>
    <dxf>
      <font>
        <color rgb="FFFFFFFF"/>
      </font>
    </dxf>
    <dxf>
      <fill>
        <patternFill>
          <bgColor rgb="FFC9E6EE"/>
        </patternFill>
      </fill>
    </dxf>
    <dxf>
      <fill>
        <patternFill>
          <bgColor rgb="FFC9E6EE"/>
        </patternFill>
      </fill>
    </dxf>
    <dxf>
      <font>
        <color rgb="FFFFFFFF"/>
      </font>
    </dxf>
    <dxf>
      <font>
        <color rgb="FFFFFFFF"/>
      </font>
    </dxf>
    <dxf>
      <font>
        <color rgb="FFF4FD81"/>
      </font>
    </dxf>
  </dxfs>
  <tableStyles count="0" defaultTableStyle="TableStyleMedium2" defaultPivotStyle="PivotStyleLight16"/>
  <colors>
    <indexedColors>
      <rgbColor rgb="FF000000"/>
      <rgbColor rgb="FFFFFFFF"/>
      <rgbColor rgb="FFFF0000"/>
      <rgbColor rgb="FF00FF00"/>
      <rgbColor rgb="FF0000FF"/>
      <rgbColor rgb="FFFFFF00"/>
      <rgbColor rgb="FFD9D9D9"/>
      <rgbColor rgb="FF00FFFF"/>
      <rgbColor rgb="FFF70314"/>
      <rgbColor rgb="FF13F808"/>
      <rgbColor rgb="FFF8FEAC"/>
      <rgbColor rgb="FF7FD7A7"/>
      <rgbColor rgb="FFC9E6EE"/>
      <rgbColor rgb="FF00B050"/>
      <rgbColor rgb="FFBFBFBF"/>
      <rgbColor rgb="FF808080"/>
      <rgbColor rgb="FFA6C0DF"/>
      <rgbColor rgb="FFFF5050"/>
      <rgbColor rgb="FFFFFFCC"/>
      <rgbColor rgb="FFCCFFFF"/>
      <rgbColor rgb="FFDCE6F2"/>
      <rgbColor rgb="FFFF8080"/>
      <rgbColor rgb="FF0063CC"/>
      <rgbColor rgb="FFC6D9F1"/>
      <rgbColor rgb="FFF9FEC0"/>
      <rgbColor rgb="FFC7DAF1"/>
      <rgbColor rgb="FFF4FD81"/>
      <rgbColor rgb="FF69FFFF"/>
      <rgbColor rgb="FFFFDF7F"/>
      <rgbColor rgb="FFEEE7F2"/>
      <rgbColor rgb="FFAAC6EA"/>
      <rgbColor rgb="FFDBEEF4"/>
      <rgbColor rgb="FF00CCFF"/>
      <rgbColor rgb="FFDBEFF4"/>
      <rgbColor rgb="FFCCFFCC"/>
      <rgbColor rgb="FFFFFF99"/>
      <rgbColor rgb="FFAAC7EA"/>
      <rgbColor rgb="FFFB8189"/>
      <rgbColor rgb="FFC6C0C0"/>
      <rgbColor rgb="FFFFCDCB"/>
      <rgbColor rgb="FF558ED5"/>
      <rgbColor rgb="FF00B0F0"/>
      <rgbColor rgb="FF58F709"/>
      <rgbColor rgb="FFFFC000"/>
      <rgbColor rgb="FFF8B981"/>
      <rgbColor rgb="FFE2700D"/>
      <rgbColor rgb="FF996666"/>
      <rgbColor rgb="FFA6A6A6"/>
      <rgbColor rgb="FF80FFFF"/>
      <rgbColor rgb="FF31859C"/>
      <rgbColor rgb="FFDBEEF3"/>
      <rgbColor rgb="FFACFB87"/>
      <rgbColor rgb="FF984807"/>
      <rgbColor rgb="FFCAD9EB"/>
      <rgbColor rgb="FFB7DEE8"/>
      <rgbColor rgb="FF76FA8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781200</xdr:colOff>
      <xdr:row>1</xdr:row>
      <xdr:rowOff>3960</xdr:rowOff>
    </xdr:from>
    <xdr:to>
      <xdr:col>25</xdr:col>
      <xdr:colOff>7200</xdr:colOff>
      <xdr:row>2</xdr:row>
      <xdr:rowOff>289080</xdr:rowOff>
    </xdr:to>
    <xdr:pic>
      <xdr:nvPicPr>
        <xdr:cNvPr id="2" name="Picture 3" descr="C:\Users\brian\AppData\Local\Microsoft\Windows\INetCacheContent.Word\NASL Horiz.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9863640" y="708840"/>
          <a:ext cx="2589480" cy="761400"/>
        </a:xfrm>
        <a:prstGeom prst="rect">
          <a:avLst/>
        </a:prstGeom>
        <a:ln w="0">
          <a:noFill/>
        </a:ln>
      </xdr:spPr>
    </xdr:pic>
    <xdr:clientData/>
  </xdr:twoCellAnchor>
  <xdr:twoCellAnchor>
    <xdr:from>
      <xdr:col>9</xdr:col>
      <xdr:colOff>415440</xdr:colOff>
      <xdr:row>0</xdr:row>
      <xdr:rowOff>137160</xdr:rowOff>
    </xdr:from>
    <xdr:to>
      <xdr:col>9</xdr:col>
      <xdr:colOff>1389600</xdr:colOff>
      <xdr:row>0</xdr:row>
      <xdr:rowOff>617400</xdr:rowOff>
    </xdr:to>
    <xdr:sp macro="" textlink="">
      <xdr:nvSpPr>
        <xdr:cNvPr id="3" name="Arrow: Right 1">
          <a:extLst>
            <a:ext uri="{FF2B5EF4-FFF2-40B4-BE49-F238E27FC236}">
              <a16:creationId xmlns:a16="http://schemas.microsoft.com/office/drawing/2014/main" id="{00000000-0008-0000-0000-000003000000}"/>
            </a:ext>
          </a:extLst>
        </xdr:cNvPr>
        <xdr:cNvSpPr/>
      </xdr:nvSpPr>
      <xdr:spPr>
        <a:xfrm>
          <a:off x="4191120" y="137160"/>
          <a:ext cx="974160" cy="480240"/>
        </a:xfrm>
        <a:prstGeom prst="rightArrow">
          <a:avLst>
            <a:gd name="adj1" fmla="val 50000"/>
            <a:gd name="adj2" fmla="val 50000"/>
          </a:avLst>
        </a:prstGeom>
        <a:solidFill>
          <a:srgbClr val="4F81BD"/>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xdr:col>
      <xdr:colOff>148680</xdr:colOff>
      <xdr:row>0</xdr:row>
      <xdr:rowOff>141120</xdr:rowOff>
    </xdr:from>
    <xdr:to>
      <xdr:col>9</xdr:col>
      <xdr:colOff>82800</xdr:colOff>
      <xdr:row>0</xdr:row>
      <xdr:rowOff>621360</xdr:rowOff>
    </xdr:to>
    <xdr:sp macro="" textlink="">
      <xdr:nvSpPr>
        <xdr:cNvPr id="4" name="Arrow: Right 5">
          <a:extLst>
            <a:ext uri="{FF2B5EF4-FFF2-40B4-BE49-F238E27FC236}">
              <a16:creationId xmlns:a16="http://schemas.microsoft.com/office/drawing/2014/main" id="{00000000-0008-0000-0000-000004000000}"/>
            </a:ext>
          </a:extLst>
        </xdr:cNvPr>
        <xdr:cNvSpPr/>
      </xdr:nvSpPr>
      <xdr:spPr>
        <a:xfrm>
          <a:off x="2856960" y="141120"/>
          <a:ext cx="1001520" cy="480240"/>
        </a:xfrm>
        <a:prstGeom prst="rightArrow">
          <a:avLst>
            <a:gd name="adj1" fmla="val 50000"/>
            <a:gd name="adj2" fmla="val 50000"/>
          </a:avLst>
        </a:prstGeom>
        <a:solidFill>
          <a:srgbClr val="4F81BD"/>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300960</xdr:colOff>
      <xdr:row>0</xdr:row>
      <xdr:rowOff>156240</xdr:rowOff>
    </xdr:from>
    <xdr:to>
      <xdr:col>7</xdr:col>
      <xdr:colOff>1275120</xdr:colOff>
      <xdr:row>0</xdr:row>
      <xdr:rowOff>636480</xdr:rowOff>
    </xdr:to>
    <xdr:sp macro="" textlink="">
      <xdr:nvSpPr>
        <xdr:cNvPr id="5" name="Arrow: Right 7">
          <a:extLst>
            <a:ext uri="{FF2B5EF4-FFF2-40B4-BE49-F238E27FC236}">
              <a16:creationId xmlns:a16="http://schemas.microsoft.com/office/drawing/2014/main" id="{00000000-0008-0000-0000-000005000000}"/>
            </a:ext>
          </a:extLst>
        </xdr:cNvPr>
        <xdr:cNvSpPr/>
      </xdr:nvSpPr>
      <xdr:spPr>
        <a:xfrm>
          <a:off x="1418400" y="156240"/>
          <a:ext cx="974160" cy="480240"/>
        </a:xfrm>
        <a:prstGeom prst="rightArrow">
          <a:avLst>
            <a:gd name="adj1" fmla="val 50000"/>
            <a:gd name="adj2" fmla="val 50000"/>
          </a:avLst>
        </a:prstGeom>
        <a:solidFill>
          <a:srgbClr val="4F81BD"/>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xdr:col>
      <xdr:colOff>102960</xdr:colOff>
      <xdr:row>0</xdr:row>
      <xdr:rowOff>152280</xdr:rowOff>
    </xdr:from>
    <xdr:to>
      <xdr:col>6</xdr:col>
      <xdr:colOff>920880</xdr:colOff>
      <xdr:row>0</xdr:row>
      <xdr:rowOff>632520</xdr:rowOff>
    </xdr:to>
    <xdr:sp macro="" textlink="">
      <xdr:nvSpPr>
        <xdr:cNvPr id="6" name="Arrow: Right 9">
          <a:extLst>
            <a:ext uri="{FF2B5EF4-FFF2-40B4-BE49-F238E27FC236}">
              <a16:creationId xmlns:a16="http://schemas.microsoft.com/office/drawing/2014/main" id="{00000000-0008-0000-0000-000006000000}"/>
            </a:ext>
          </a:extLst>
        </xdr:cNvPr>
        <xdr:cNvSpPr/>
      </xdr:nvSpPr>
      <xdr:spPr>
        <a:xfrm>
          <a:off x="102960" y="152280"/>
          <a:ext cx="979200" cy="480240"/>
        </a:xfrm>
        <a:prstGeom prst="rightArrow">
          <a:avLst>
            <a:gd name="adj1" fmla="val 50000"/>
            <a:gd name="adj2" fmla="val 50000"/>
          </a:avLst>
        </a:prstGeom>
        <a:solidFill>
          <a:srgbClr val="4F81BD"/>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57240</xdr:rowOff>
    </xdr:from>
    <xdr:to>
      <xdr:col>3</xdr:col>
      <xdr:colOff>7560</xdr:colOff>
      <xdr:row>0</xdr:row>
      <xdr:rowOff>925560</xdr:rowOff>
    </xdr:to>
    <xdr:pic>
      <xdr:nvPicPr>
        <xdr:cNvPr id="5" name="Picture 2" descr="C:\Users\brian\AppData\Local\Microsoft\Windows\INetCacheContent.Word\NASL Horiz.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tretch/>
      </xdr:blipFill>
      <xdr:spPr>
        <a:xfrm>
          <a:off x="0" y="57240"/>
          <a:ext cx="2736000" cy="8683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209880</xdr:colOff>
      <xdr:row>0</xdr:row>
      <xdr:rowOff>48960</xdr:rowOff>
    </xdr:from>
    <xdr:to>
      <xdr:col>17</xdr:col>
      <xdr:colOff>703800</xdr:colOff>
      <xdr:row>2</xdr:row>
      <xdr:rowOff>322920</xdr:rowOff>
    </xdr:to>
    <xdr:pic>
      <xdr:nvPicPr>
        <xdr:cNvPr id="6" name="Picture 16" descr="C:\Users\brian\AppData\Local\Microsoft\Windows\INetCacheContent.Word\NASL Horiz.jpg">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1"/>
        <a:stretch/>
      </xdr:blipFill>
      <xdr:spPr>
        <a:xfrm>
          <a:off x="15069600" y="48960"/>
          <a:ext cx="3736080" cy="1055160"/>
        </a:xfrm>
        <a:prstGeom prst="rect">
          <a:avLst/>
        </a:prstGeom>
        <a:ln w="0">
          <a:noFill/>
        </a:ln>
      </xdr:spPr>
    </xdr:pic>
    <xdr:clientData/>
  </xdr:twoCellAnchor>
  <xdr:twoCellAnchor editAs="oneCell">
    <xdr:from>
      <xdr:col>13</xdr:col>
      <xdr:colOff>196200</xdr:colOff>
      <xdr:row>44</xdr:row>
      <xdr:rowOff>16920</xdr:rowOff>
    </xdr:from>
    <xdr:to>
      <xdr:col>17</xdr:col>
      <xdr:colOff>690120</xdr:colOff>
      <xdr:row>48</xdr:row>
      <xdr:rowOff>22320</xdr:rowOff>
    </xdr:to>
    <xdr:pic>
      <xdr:nvPicPr>
        <xdr:cNvPr id="7" name="Picture 11" descr="C:\Users\brian\AppData\Local\Microsoft\Windows\INetCacheContent.Word\NASL Horiz.jpg">
          <a:extLst>
            <a:ext uri="{FF2B5EF4-FFF2-40B4-BE49-F238E27FC236}">
              <a16:creationId xmlns:a16="http://schemas.microsoft.com/office/drawing/2014/main" id="{00000000-0008-0000-0300-000007000000}"/>
            </a:ext>
          </a:extLst>
        </xdr:cNvPr>
        <xdr:cNvPicPr/>
      </xdr:nvPicPr>
      <xdr:blipFill>
        <a:blip xmlns:r="http://schemas.openxmlformats.org/officeDocument/2006/relationships" r:embed="rId1"/>
        <a:stretch/>
      </xdr:blipFill>
      <xdr:spPr>
        <a:xfrm>
          <a:off x="15055920" y="8741880"/>
          <a:ext cx="3736080" cy="1129320"/>
        </a:xfrm>
        <a:prstGeom prst="rect">
          <a:avLst/>
        </a:prstGeom>
        <a:ln w="0">
          <a:noFill/>
        </a:ln>
      </xdr:spPr>
    </xdr:pic>
    <xdr:clientData/>
  </xdr:twoCellAnchor>
  <xdr:twoCellAnchor editAs="oneCell">
    <xdr:from>
      <xdr:col>14</xdr:col>
      <xdr:colOff>19440</xdr:colOff>
      <xdr:row>63</xdr:row>
      <xdr:rowOff>48960</xdr:rowOff>
    </xdr:from>
    <xdr:to>
      <xdr:col>17</xdr:col>
      <xdr:colOff>728280</xdr:colOff>
      <xdr:row>66</xdr:row>
      <xdr:rowOff>224280</xdr:rowOff>
    </xdr:to>
    <xdr:pic>
      <xdr:nvPicPr>
        <xdr:cNvPr id="8" name="Picture 18" descr="C:\Users\brian\AppData\Local\Microsoft\Windows\INetCacheContent.Word\NASL Horiz.jpg">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1"/>
        <a:stretch/>
      </xdr:blipFill>
      <xdr:spPr>
        <a:xfrm>
          <a:off x="15100560" y="14365080"/>
          <a:ext cx="3729600" cy="1127880"/>
        </a:xfrm>
        <a:prstGeom prst="rect">
          <a:avLst/>
        </a:prstGeom>
        <a:ln w="0">
          <a:noFill/>
        </a:ln>
      </xdr:spPr>
    </xdr:pic>
    <xdr:clientData/>
  </xdr:twoCellAnchor>
  <xdr:twoCellAnchor editAs="oneCell">
    <xdr:from>
      <xdr:col>14</xdr:col>
      <xdr:colOff>0</xdr:colOff>
      <xdr:row>83</xdr:row>
      <xdr:rowOff>0</xdr:rowOff>
    </xdr:from>
    <xdr:to>
      <xdr:col>17</xdr:col>
      <xdr:colOff>708840</xdr:colOff>
      <xdr:row>86</xdr:row>
      <xdr:rowOff>176400</xdr:rowOff>
    </xdr:to>
    <xdr:pic>
      <xdr:nvPicPr>
        <xdr:cNvPr id="9" name="Picture 20" descr="C:\Users\brian\AppData\Local\Microsoft\Windows\INetCacheContent.Word\NASL Horiz.jpg">
          <a:extLst>
            <a:ext uri="{FF2B5EF4-FFF2-40B4-BE49-F238E27FC236}">
              <a16:creationId xmlns:a16="http://schemas.microsoft.com/office/drawing/2014/main" id="{00000000-0008-0000-0300-000009000000}"/>
            </a:ext>
          </a:extLst>
        </xdr:cNvPr>
        <xdr:cNvPicPr/>
      </xdr:nvPicPr>
      <xdr:blipFill>
        <a:blip xmlns:r="http://schemas.openxmlformats.org/officeDocument/2006/relationships" r:embed="rId1"/>
        <a:stretch/>
      </xdr:blipFill>
      <xdr:spPr>
        <a:xfrm>
          <a:off x="15081120" y="20221560"/>
          <a:ext cx="3729600" cy="1128960"/>
        </a:xfrm>
        <a:prstGeom prst="rect">
          <a:avLst/>
        </a:prstGeom>
        <a:ln w="0">
          <a:noFill/>
        </a:ln>
      </xdr:spPr>
    </xdr:pic>
    <xdr:clientData/>
  </xdr:twoCellAnchor>
  <xdr:twoCellAnchor editAs="oneCell">
    <xdr:from>
      <xdr:col>14</xdr:col>
      <xdr:colOff>14760</xdr:colOff>
      <xdr:row>103</xdr:row>
      <xdr:rowOff>14760</xdr:rowOff>
    </xdr:from>
    <xdr:to>
      <xdr:col>17</xdr:col>
      <xdr:colOff>723600</xdr:colOff>
      <xdr:row>106</xdr:row>
      <xdr:rowOff>191160</xdr:rowOff>
    </xdr:to>
    <xdr:pic>
      <xdr:nvPicPr>
        <xdr:cNvPr id="10" name="Picture 21" descr="C:\Users\brian\AppData\Local\Microsoft\Windows\INetCacheContent.Word\NASL Horiz.jpg">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1"/>
        <a:stretch/>
      </xdr:blipFill>
      <xdr:spPr>
        <a:xfrm>
          <a:off x="15095880" y="26141760"/>
          <a:ext cx="3729600" cy="1128960"/>
        </a:xfrm>
        <a:prstGeom prst="rect">
          <a:avLst/>
        </a:prstGeom>
        <a:ln w="0">
          <a:noFill/>
        </a:ln>
      </xdr:spPr>
    </xdr:pic>
    <xdr:clientData/>
  </xdr:twoCellAnchor>
  <xdr:twoCellAnchor editAs="oneCell">
    <xdr:from>
      <xdr:col>14</xdr:col>
      <xdr:colOff>0</xdr:colOff>
      <xdr:row>123</xdr:row>
      <xdr:rowOff>0</xdr:rowOff>
    </xdr:from>
    <xdr:to>
      <xdr:col>17</xdr:col>
      <xdr:colOff>708840</xdr:colOff>
      <xdr:row>126</xdr:row>
      <xdr:rowOff>176400</xdr:rowOff>
    </xdr:to>
    <xdr:pic>
      <xdr:nvPicPr>
        <xdr:cNvPr id="11" name="Picture 23" descr="C:\Users\brian\AppData\Local\Microsoft\Windows\INetCacheContent.Word\NASL Horiz.jpg">
          <a:extLst>
            <a:ext uri="{FF2B5EF4-FFF2-40B4-BE49-F238E27FC236}">
              <a16:creationId xmlns:a16="http://schemas.microsoft.com/office/drawing/2014/main" id="{00000000-0008-0000-0300-00000B000000}"/>
            </a:ext>
          </a:extLst>
        </xdr:cNvPr>
        <xdr:cNvPicPr/>
      </xdr:nvPicPr>
      <xdr:blipFill>
        <a:blip xmlns:r="http://schemas.openxmlformats.org/officeDocument/2006/relationships" r:embed="rId1"/>
        <a:stretch/>
      </xdr:blipFill>
      <xdr:spPr>
        <a:xfrm>
          <a:off x="15081120" y="32032440"/>
          <a:ext cx="3729600" cy="1128960"/>
        </a:xfrm>
        <a:prstGeom prst="rect">
          <a:avLst/>
        </a:prstGeom>
        <a:ln w="0">
          <a:noFill/>
        </a:ln>
      </xdr:spPr>
    </xdr:pic>
    <xdr:clientData/>
  </xdr:twoCellAnchor>
  <xdr:twoCellAnchor editAs="oneCell">
    <xdr:from>
      <xdr:col>14</xdr:col>
      <xdr:colOff>0</xdr:colOff>
      <xdr:row>143</xdr:row>
      <xdr:rowOff>0</xdr:rowOff>
    </xdr:from>
    <xdr:to>
      <xdr:col>17</xdr:col>
      <xdr:colOff>708840</xdr:colOff>
      <xdr:row>146</xdr:row>
      <xdr:rowOff>176400</xdr:rowOff>
    </xdr:to>
    <xdr:pic>
      <xdr:nvPicPr>
        <xdr:cNvPr id="12" name="Picture 24" descr="C:\Users\brian\AppData\Local\Microsoft\Windows\INetCacheContent.Word\NASL Horiz.jpg">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1"/>
        <a:stretch/>
      </xdr:blipFill>
      <xdr:spPr>
        <a:xfrm>
          <a:off x="15081120" y="37938240"/>
          <a:ext cx="3729600" cy="1128600"/>
        </a:xfrm>
        <a:prstGeom prst="rect">
          <a:avLst/>
        </a:prstGeom>
        <a:ln w="0">
          <a:noFill/>
        </a:ln>
      </xdr:spPr>
    </xdr:pic>
    <xdr:clientData/>
  </xdr:twoCellAnchor>
  <xdr:twoCellAnchor editAs="oneCell">
    <xdr:from>
      <xdr:col>14</xdr:col>
      <xdr:colOff>0</xdr:colOff>
      <xdr:row>163</xdr:row>
      <xdr:rowOff>0</xdr:rowOff>
    </xdr:from>
    <xdr:to>
      <xdr:col>17</xdr:col>
      <xdr:colOff>708840</xdr:colOff>
      <xdr:row>166</xdr:row>
      <xdr:rowOff>176400</xdr:rowOff>
    </xdr:to>
    <xdr:pic>
      <xdr:nvPicPr>
        <xdr:cNvPr id="13" name="Picture 25" descr="C:\Users\brian\AppData\Local\Microsoft\Windows\INetCacheContent.Word\NASL Horiz.jpg">
          <a:extLst>
            <a:ext uri="{FF2B5EF4-FFF2-40B4-BE49-F238E27FC236}">
              <a16:creationId xmlns:a16="http://schemas.microsoft.com/office/drawing/2014/main" id="{00000000-0008-0000-0300-00000D000000}"/>
            </a:ext>
          </a:extLst>
        </xdr:cNvPr>
        <xdr:cNvPicPr/>
      </xdr:nvPicPr>
      <xdr:blipFill>
        <a:blip xmlns:r="http://schemas.openxmlformats.org/officeDocument/2006/relationships" r:embed="rId1"/>
        <a:stretch/>
      </xdr:blipFill>
      <xdr:spPr>
        <a:xfrm>
          <a:off x="15081120" y="43843680"/>
          <a:ext cx="3729600" cy="1128960"/>
        </a:xfrm>
        <a:prstGeom prst="rect">
          <a:avLst/>
        </a:prstGeom>
        <a:ln w="0">
          <a:noFill/>
        </a:ln>
      </xdr:spPr>
    </xdr:pic>
    <xdr:clientData/>
  </xdr:twoCellAnchor>
  <xdr:twoCellAnchor editAs="oneCell">
    <xdr:from>
      <xdr:col>14</xdr:col>
      <xdr:colOff>0</xdr:colOff>
      <xdr:row>183</xdr:row>
      <xdr:rowOff>0</xdr:rowOff>
    </xdr:from>
    <xdr:to>
      <xdr:col>17</xdr:col>
      <xdr:colOff>708840</xdr:colOff>
      <xdr:row>186</xdr:row>
      <xdr:rowOff>176400</xdr:rowOff>
    </xdr:to>
    <xdr:pic>
      <xdr:nvPicPr>
        <xdr:cNvPr id="14" name="Picture 27" descr="C:\Users\brian\AppData\Local\Microsoft\Windows\INetCacheContent.Word\NASL Horiz.jpg">
          <a:extLst>
            <a:ext uri="{FF2B5EF4-FFF2-40B4-BE49-F238E27FC236}">
              <a16:creationId xmlns:a16="http://schemas.microsoft.com/office/drawing/2014/main" id="{00000000-0008-0000-0300-00000E000000}"/>
            </a:ext>
          </a:extLst>
        </xdr:cNvPr>
        <xdr:cNvPicPr/>
      </xdr:nvPicPr>
      <xdr:blipFill>
        <a:blip xmlns:r="http://schemas.openxmlformats.org/officeDocument/2006/relationships" r:embed="rId1"/>
        <a:stretch/>
      </xdr:blipFill>
      <xdr:spPr>
        <a:xfrm>
          <a:off x="15081120" y="49749120"/>
          <a:ext cx="3729600" cy="1128960"/>
        </a:xfrm>
        <a:prstGeom prst="rect">
          <a:avLst/>
        </a:prstGeom>
        <a:ln w="0">
          <a:noFill/>
        </a:ln>
      </xdr:spPr>
    </xdr:pic>
    <xdr:clientData/>
  </xdr:twoCellAnchor>
  <xdr:twoCellAnchor editAs="oneCell">
    <xdr:from>
      <xdr:col>14</xdr:col>
      <xdr:colOff>0</xdr:colOff>
      <xdr:row>202</xdr:row>
      <xdr:rowOff>0</xdr:rowOff>
    </xdr:from>
    <xdr:to>
      <xdr:col>17</xdr:col>
      <xdr:colOff>708840</xdr:colOff>
      <xdr:row>206</xdr:row>
      <xdr:rowOff>5400</xdr:rowOff>
    </xdr:to>
    <xdr:pic>
      <xdr:nvPicPr>
        <xdr:cNvPr id="15" name="Picture 28" descr="C:\Users\brian\AppData\Local\Microsoft\Windows\INetCacheContent.Word\NASL Horiz.jpg">
          <a:extLst>
            <a:ext uri="{FF2B5EF4-FFF2-40B4-BE49-F238E27FC236}">
              <a16:creationId xmlns:a16="http://schemas.microsoft.com/office/drawing/2014/main" id="{00000000-0008-0000-0300-00000F000000}"/>
            </a:ext>
          </a:extLst>
        </xdr:cNvPr>
        <xdr:cNvPicPr/>
      </xdr:nvPicPr>
      <xdr:blipFill>
        <a:blip xmlns:r="http://schemas.openxmlformats.org/officeDocument/2006/relationships" r:embed="rId1"/>
        <a:stretch/>
      </xdr:blipFill>
      <xdr:spPr>
        <a:xfrm>
          <a:off x="15081120" y="55464120"/>
          <a:ext cx="3729600" cy="11293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29520</xdr:colOff>
      <xdr:row>0</xdr:row>
      <xdr:rowOff>46440</xdr:rowOff>
    </xdr:from>
    <xdr:to>
      <xdr:col>2</xdr:col>
      <xdr:colOff>1921680</xdr:colOff>
      <xdr:row>0</xdr:row>
      <xdr:rowOff>757440</xdr:rowOff>
    </xdr:to>
    <xdr:pic>
      <xdr:nvPicPr>
        <xdr:cNvPr id="16" name="Picture 2" descr="C:\Users\brian\AppData\Local\Microsoft\Windows\INetCacheContent.Word\NASL Horiz.jpg">
          <a:extLst>
            <a:ext uri="{FF2B5EF4-FFF2-40B4-BE49-F238E27FC236}">
              <a16:creationId xmlns:a16="http://schemas.microsoft.com/office/drawing/2014/main" id="{00000000-0008-0000-0400-000010000000}"/>
            </a:ext>
          </a:extLst>
        </xdr:cNvPr>
        <xdr:cNvPicPr/>
      </xdr:nvPicPr>
      <xdr:blipFill>
        <a:blip xmlns:r="http://schemas.openxmlformats.org/officeDocument/2006/relationships" r:embed="rId1"/>
        <a:stretch/>
      </xdr:blipFill>
      <xdr:spPr>
        <a:xfrm>
          <a:off x="230760" y="46440"/>
          <a:ext cx="2626920" cy="71100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28440</xdr:colOff>
      <xdr:row>0</xdr:row>
      <xdr:rowOff>128520</xdr:rowOff>
    </xdr:from>
    <xdr:to>
      <xdr:col>2</xdr:col>
      <xdr:colOff>2752200</xdr:colOff>
      <xdr:row>3</xdr:row>
      <xdr:rowOff>343440</xdr:rowOff>
    </xdr:to>
    <xdr:pic>
      <xdr:nvPicPr>
        <xdr:cNvPr id="17" name="Picture 3" descr="C:\Users\brian\AppData\Local\Microsoft\Windows\INetCacheContent.Word\NASL Horiz.jpg">
          <a:extLst>
            <a:ext uri="{FF2B5EF4-FFF2-40B4-BE49-F238E27FC236}">
              <a16:creationId xmlns:a16="http://schemas.microsoft.com/office/drawing/2014/main" id="{00000000-0008-0000-0500-000011000000}"/>
            </a:ext>
          </a:extLst>
        </xdr:cNvPr>
        <xdr:cNvPicPr/>
      </xdr:nvPicPr>
      <xdr:blipFill>
        <a:blip xmlns:r="http://schemas.openxmlformats.org/officeDocument/2006/relationships" r:embed="rId1"/>
        <a:stretch/>
      </xdr:blipFill>
      <xdr:spPr>
        <a:xfrm>
          <a:off x="239760" y="128520"/>
          <a:ext cx="3026160" cy="111024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24</xdr:col>
      <xdr:colOff>197280</xdr:colOff>
      <xdr:row>0</xdr:row>
      <xdr:rowOff>15480</xdr:rowOff>
    </xdr:from>
    <xdr:to>
      <xdr:col>70</xdr:col>
      <xdr:colOff>18720</xdr:colOff>
      <xdr:row>0</xdr:row>
      <xdr:rowOff>714600</xdr:rowOff>
    </xdr:to>
    <xdr:pic>
      <xdr:nvPicPr>
        <xdr:cNvPr id="18" name="Picture 2" descr="C:\Users\brian\AppData\Local\Microsoft\Windows\INetCacheContent.Word\NASL Horiz.jpg">
          <a:extLst>
            <a:ext uri="{FF2B5EF4-FFF2-40B4-BE49-F238E27FC236}">
              <a16:creationId xmlns:a16="http://schemas.microsoft.com/office/drawing/2014/main" id="{00000000-0008-0000-0600-000012000000}"/>
            </a:ext>
          </a:extLst>
        </xdr:cNvPr>
        <xdr:cNvPicPr/>
      </xdr:nvPicPr>
      <xdr:blipFill>
        <a:blip xmlns:r="http://schemas.openxmlformats.org/officeDocument/2006/relationships" r:embed="rId1"/>
        <a:stretch/>
      </xdr:blipFill>
      <xdr:spPr>
        <a:xfrm>
          <a:off x="12207600" y="15480"/>
          <a:ext cx="2831400" cy="69912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2463840</xdr:colOff>
      <xdr:row>0</xdr:row>
      <xdr:rowOff>965160</xdr:rowOff>
    </xdr:from>
    <xdr:to>
      <xdr:col>10</xdr:col>
      <xdr:colOff>383040</xdr:colOff>
      <xdr:row>3</xdr:row>
      <xdr:rowOff>414720</xdr:rowOff>
    </xdr:to>
    <xdr:pic>
      <xdr:nvPicPr>
        <xdr:cNvPr id="19" name="Picture 3" descr="C:\Users\brian\AppData\Local\Microsoft\Windows\INetCacheContent.Word\NASL Horiz.jpg">
          <a:extLst>
            <a:ext uri="{FF2B5EF4-FFF2-40B4-BE49-F238E27FC236}">
              <a16:creationId xmlns:a16="http://schemas.microsoft.com/office/drawing/2014/main" id="{00000000-0008-0000-1300-000013000000}"/>
            </a:ext>
          </a:extLst>
        </xdr:cNvPr>
        <xdr:cNvPicPr/>
      </xdr:nvPicPr>
      <xdr:blipFill>
        <a:blip xmlns:r="http://schemas.openxmlformats.org/officeDocument/2006/relationships" r:embed="rId1"/>
        <a:stretch/>
      </xdr:blipFill>
      <xdr:spPr>
        <a:xfrm>
          <a:off x="4407120" y="965160"/>
          <a:ext cx="4281840" cy="129744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590400</xdr:colOff>
      <xdr:row>1</xdr:row>
      <xdr:rowOff>120600</xdr:rowOff>
    </xdr:from>
    <xdr:to>
      <xdr:col>11</xdr:col>
      <xdr:colOff>1030680</xdr:colOff>
      <xdr:row>1</xdr:row>
      <xdr:rowOff>1341720</xdr:rowOff>
    </xdr:to>
    <xdr:pic>
      <xdr:nvPicPr>
        <xdr:cNvPr id="20" name="Picture 2" descr="C:\Users\brian\AppData\Local\Microsoft\Windows\INetCacheContent.Word\NASL Horiz.jpg">
          <a:extLst>
            <a:ext uri="{FF2B5EF4-FFF2-40B4-BE49-F238E27FC236}">
              <a16:creationId xmlns:a16="http://schemas.microsoft.com/office/drawing/2014/main" id="{00000000-0008-0000-1400-000014000000}"/>
            </a:ext>
          </a:extLst>
        </xdr:cNvPr>
        <xdr:cNvPicPr/>
      </xdr:nvPicPr>
      <xdr:blipFill>
        <a:blip xmlns:r="http://schemas.openxmlformats.org/officeDocument/2006/relationships" r:embed="rId1"/>
        <a:stretch/>
      </xdr:blipFill>
      <xdr:spPr>
        <a:xfrm>
          <a:off x="5342760" y="1111320"/>
          <a:ext cx="4618080" cy="122112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190440</xdr:rowOff>
    </xdr:from>
    <xdr:to>
      <xdr:col>4</xdr:col>
      <xdr:colOff>2755440</xdr:colOff>
      <xdr:row>4</xdr:row>
      <xdr:rowOff>353880</xdr:rowOff>
    </xdr:to>
    <xdr:pic>
      <xdr:nvPicPr>
        <xdr:cNvPr id="21" name="Picture 2" descr="C:\Users\brian\AppData\Local\Microsoft\Windows\INetCacheContent.Word\NASL Horiz.jpg">
          <a:extLst>
            <a:ext uri="{FF2B5EF4-FFF2-40B4-BE49-F238E27FC236}">
              <a16:creationId xmlns:a16="http://schemas.microsoft.com/office/drawing/2014/main" id="{00000000-0008-0000-1500-000015000000}"/>
            </a:ext>
          </a:extLst>
        </xdr:cNvPr>
        <xdr:cNvPicPr/>
      </xdr:nvPicPr>
      <xdr:blipFill>
        <a:blip xmlns:r="http://schemas.openxmlformats.org/officeDocument/2006/relationships" r:embed="rId1"/>
        <a:stretch/>
      </xdr:blipFill>
      <xdr:spPr>
        <a:xfrm>
          <a:off x="0" y="1171440"/>
          <a:ext cx="4718880" cy="1496880"/>
        </a:xfrm>
        <a:prstGeom prst="rect">
          <a:avLst/>
        </a:prstGeom>
        <a:ln w="0">
          <a:noFill/>
        </a:ln>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briansmithbsc@gmail.com"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briansmithbsc@gmail.com"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21"/>
  <sheetViews>
    <sheetView showGridLines="0" showRowColHeaders="0" topLeftCell="F1" zoomScale="94" zoomScaleNormal="94" workbookViewId="0">
      <selection activeCell="S13" sqref="S13:V13"/>
    </sheetView>
  </sheetViews>
  <sheetFormatPr defaultColWidth="8.88671875" defaultRowHeight="13.2" x14ac:dyDescent="0.25"/>
  <cols>
    <col min="1" max="1" width="30" style="3" hidden="1" customWidth="1"/>
    <col min="2" max="2" width="22.6640625" style="3" hidden="1" customWidth="1"/>
    <col min="3" max="3" width="14.44140625" style="3" hidden="1" customWidth="1"/>
    <col min="4" max="4" width="10.44140625" style="3" hidden="1" customWidth="1"/>
    <col min="5" max="5" width="9.33203125" style="3" hidden="1" customWidth="1"/>
    <col min="6" max="6" width="2.33203125" style="3" customWidth="1"/>
    <col min="7" max="7" width="13.5546875" style="3" customWidth="1"/>
    <col min="8" max="8" width="22.5546875" style="3" customWidth="1"/>
    <col min="9" max="9" width="15.109375" style="3" customWidth="1"/>
    <col min="10" max="10" width="21" style="3" customWidth="1"/>
    <col min="11" max="11" width="5" style="3" customWidth="1"/>
    <col min="12" max="12" width="10.33203125" style="3" customWidth="1"/>
    <col min="13" max="13" width="7.6640625" style="3" hidden="1" customWidth="1"/>
    <col min="14" max="14" width="9.6640625" style="3" customWidth="1"/>
    <col min="15" max="15" width="0.33203125" style="3" hidden="1" customWidth="1"/>
    <col min="16" max="16" width="29.33203125" style="3" customWidth="1"/>
    <col min="17" max="17" width="11.5546875" style="4" customWidth="1"/>
    <col min="18" max="18" width="0.33203125" style="3" hidden="1" customWidth="1"/>
    <col min="19" max="22" width="4.33203125" style="3" customWidth="1"/>
    <col min="23" max="23" width="3" style="3" customWidth="1"/>
    <col min="24" max="25" width="8" style="3" customWidth="1"/>
    <col min="26" max="26" width="3.109375" style="3" customWidth="1"/>
    <col min="27" max="28" width="8.88671875" style="3"/>
    <col min="29" max="29" width="54.44140625" style="3" customWidth="1"/>
    <col min="30" max="33" width="20.6640625" style="3" customWidth="1"/>
    <col min="34" max="34" width="8.5546875" style="3" customWidth="1"/>
    <col min="35" max="35" width="30.5546875" style="3" customWidth="1"/>
    <col min="36" max="36" width="30.6640625" style="3" hidden="1" customWidth="1"/>
    <col min="37" max="37" width="11.33203125" style="3" hidden="1" customWidth="1"/>
    <col min="38" max="40" width="4.109375" style="3" customWidth="1"/>
    <col min="41" max="16384" width="8.88671875" style="3"/>
  </cols>
  <sheetData>
    <row r="1" spans="1:40" ht="55.5" customHeight="1" x14ac:dyDescent="0.4">
      <c r="A1" s="5"/>
      <c r="B1" s="6"/>
      <c r="C1" s="6"/>
      <c r="D1" s="6"/>
      <c r="E1" s="6"/>
      <c r="F1" s="6"/>
      <c r="G1" s="7"/>
      <c r="H1" s="8" t="s">
        <v>0</v>
      </c>
      <c r="I1" s="9" t="s">
        <v>1</v>
      </c>
      <c r="J1" s="10"/>
      <c r="K1" s="1085" t="s">
        <v>2</v>
      </c>
      <c r="L1" s="1085"/>
      <c r="M1" s="1085"/>
      <c r="N1" s="1085"/>
      <c r="O1" s="1085"/>
      <c r="P1" s="1085"/>
      <c r="Q1" s="1085"/>
      <c r="R1" s="1085"/>
      <c r="S1" s="1085"/>
      <c r="T1" s="1085"/>
      <c r="U1" s="1085"/>
      <c r="V1" s="1085"/>
      <c r="W1" s="1085"/>
      <c r="X1" s="1085"/>
      <c r="Y1" s="1085"/>
      <c r="Z1" s="11"/>
      <c r="AA1" s="11"/>
      <c r="AB1" s="11"/>
      <c r="AC1" s="11"/>
      <c r="AD1" s="11"/>
      <c r="AE1" s="11"/>
      <c r="AF1" s="11"/>
      <c r="AG1" s="11"/>
      <c r="AH1" s="7"/>
      <c r="AI1" s="12"/>
      <c r="AJ1" s="11"/>
      <c r="AK1" s="11"/>
      <c r="AL1" s="11"/>
      <c r="AM1" s="11"/>
      <c r="AN1" s="11"/>
    </row>
    <row r="2" spans="1:40" ht="37.5" customHeight="1" x14ac:dyDescent="0.3">
      <c r="A2" s="13"/>
      <c r="B2" s="14"/>
      <c r="C2" s="14"/>
      <c r="D2" s="15" t="str">
        <f>'Gala Setup'!J7</f>
        <v>3ER231478</v>
      </c>
      <c r="E2" s="14"/>
      <c r="F2" s="14"/>
      <c r="G2" s="1086">
        <f ca="1">DATE(YEAR(NOW()),12,31)</f>
        <v>45291</v>
      </c>
      <c r="H2" s="1087" t="s">
        <v>3</v>
      </c>
      <c r="I2" s="1087"/>
      <c r="J2" s="1087"/>
      <c r="K2" s="1088"/>
      <c r="L2" s="1089" t="s">
        <v>4</v>
      </c>
      <c r="M2" s="16"/>
      <c r="N2" s="1090" t="s">
        <v>5</v>
      </c>
      <c r="O2" s="17"/>
      <c r="P2" s="1091" t="s">
        <v>6</v>
      </c>
      <c r="Q2" s="1092" t="s">
        <v>7</v>
      </c>
      <c r="R2" s="18"/>
      <c r="S2" s="1093"/>
      <c r="T2" s="1093"/>
      <c r="U2" s="1093"/>
      <c r="V2" s="1093"/>
      <c r="W2" s="1093"/>
      <c r="X2" s="1093"/>
      <c r="Y2" s="1093"/>
      <c r="Z2" s="19"/>
      <c r="AA2" s="20"/>
      <c r="AB2" s="20"/>
      <c r="AC2" s="20"/>
      <c r="AD2" s="1069" t="str">
        <f>H2</f>
        <v>National Arena Swimming League</v>
      </c>
      <c r="AE2" s="1069"/>
      <c r="AF2" s="1069"/>
      <c r="AG2" s="21" t="str">
        <f>S4</f>
        <v>NASL.2023 V6</v>
      </c>
      <c r="AH2" s="22" t="s">
        <v>8</v>
      </c>
      <c r="AI2" s="1070" t="s">
        <v>9</v>
      </c>
      <c r="AJ2" s="1070"/>
      <c r="AK2" s="1070"/>
      <c r="AL2" s="1070"/>
      <c r="AM2" s="1070"/>
      <c r="AN2" s="1070"/>
    </row>
    <row r="3" spans="1:40" ht="24" customHeight="1" x14ac:dyDescent="0.25">
      <c r="A3" s="13"/>
      <c r="B3" s="14"/>
      <c r="C3" s="14"/>
      <c r="D3" s="14"/>
      <c r="E3" s="14"/>
      <c r="F3" s="14"/>
      <c r="G3" s="1086"/>
      <c r="H3" s="1071" t="s">
        <v>10</v>
      </c>
      <c r="I3" s="1071"/>
      <c r="J3" s="1071"/>
      <c r="K3" s="1088"/>
      <c r="L3" s="1089"/>
      <c r="M3" s="23"/>
      <c r="N3" s="1090"/>
      <c r="O3" s="24"/>
      <c r="P3" s="1091"/>
      <c r="Q3" s="1092"/>
      <c r="R3" s="24"/>
      <c r="S3" s="1093"/>
      <c r="T3" s="1093"/>
      <c r="U3" s="1093"/>
      <c r="V3" s="1093"/>
      <c r="W3" s="1093"/>
      <c r="X3" s="1093"/>
      <c r="Y3" s="1093"/>
      <c r="Z3" s="25"/>
      <c r="AA3" s="20"/>
      <c r="AB3" s="20"/>
      <c r="AC3" s="20"/>
      <c r="AD3" s="2"/>
      <c r="AE3" s="26"/>
      <c r="AF3" s="26"/>
      <c r="AG3" s="27"/>
      <c r="AH3" s="22"/>
      <c r="AI3" s="28"/>
      <c r="AJ3" s="28"/>
      <c r="AK3" s="28"/>
      <c r="AL3" s="29"/>
      <c r="AM3" s="29"/>
      <c r="AN3" s="29"/>
    </row>
    <row r="4" spans="1:40" ht="28.5" customHeight="1" x14ac:dyDescent="0.25">
      <c r="A4" s="13"/>
      <c r="B4" s="13" t="str">
        <f>H2</f>
        <v>National Arena Swimming League</v>
      </c>
      <c r="C4" s="13" t="str">
        <f>H6</f>
        <v>AQUA VALE S &amp; F CENTRE AYLESBURY</v>
      </c>
      <c r="D4" s="13" t="str">
        <f>H6</f>
        <v>AQUA VALE S &amp; F CENTRE AYLESBURY</v>
      </c>
      <c r="E4" s="30">
        <f>H7</f>
        <v>45269</v>
      </c>
      <c r="F4" s="13">
        <f>IF(J8=25,31,IF(J8=50,11))</f>
        <v>31</v>
      </c>
      <c r="G4" s="31" t="s">
        <v>11</v>
      </c>
      <c r="H4" s="32" t="s">
        <v>12</v>
      </c>
      <c r="I4" s="33" t="s">
        <v>13</v>
      </c>
      <c r="J4" s="34" t="s">
        <v>14</v>
      </c>
      <c r="K4" s="1088"/>
      <c r="L4" s="35" t="s">
        <v>15</v>
      </c>
      <c r="M4" s="36"/>
      <c r="N4" s="37">
        <v>1</v>
      </c>
      <c r="O4" s="38">
        <f t="shared" ref="O4:O13" si="0">IF(P4=0,"No Team Sheet",IF(M4=0,0,IF(M4=P4,"OK","ERROR")))</f>
        <v>0</v>
      </c>
      <c r="P4" s="39" t="str">
        <f>IF('Team 1'!E1=0,"The team in the lowest numbered lane must show here",'Team 1'!E1)</f>
        <v>HARINGEY AQUATICS</v>
      </c>
      <c r="Q4" s="40" t="s">
        <v>16</v>
      </c>
      <c r="R4" s="41"/>
      <c r="S4" s="1072" t="s">
        <v>17</v>
      </c>
      <c r="T4" s="1072"/>
      <c r="U4" s="1072"/>
      <c r="V4" s="1072"/>
      <c r="W4" s="1072"/>
      <c r="X4" s="1072"/>
      <c r="Y4" s="1072"/>
      <c r="Z4" s="25"/>
      <c r="AA4" s="20"/>
      <c r="AB4" s="20"/>
      <c r="AC4" s="20"/>
      <c r="AD4" s="42" t="s">
        <v>11</v>
      </c>
      <c r="AE4" s="43" t="str">
        <f>H4</f>
        <v>LONDON</v>
      </c>
      <c r="AF4" s="44" t="s">
        <v>18</v>
      </c>
      <c r="AG4" s="45" t="str">
        <f>J4</f>
        <v>ONE</v>
      </c>
      <c r="AH4" s="46" t="s">
        <v>19</v>
      </c>
      <c r="AI4" s="47" t="str">
        <f t="shared" ref="AI4:AI13" si="1">P4</f>
        <v>HARINGEY AQUATICS</v>
      </c>
      <c r="AJ4" s="48">
        <f t="shared" ref="AJ4:AJ13" si="2">M4</f>
        <v>0</v>
      </c>
      <c r="AK4" s="49" t="str">
        <f t="shared" ref="AK4:AK13" si="3">IF(AJ4=0,"No Team Sheet",IF(AI4=0,0,IF(AI4=AJ4,"OK","ERROR")))</f>
        <v>No Team Sheet</v>
      </c>
      <c r="AL4" s="1073" t="s">
        <v>20</v>
      </c>
      <c r="AM4" s="1074" t="s">
        <v>21</v>
      </c>
      <c r="AN4" s="1075" t="s">
        <v>22</v>
      </c>
    </row>
    <row r="5" spans="1:40" ht="28.5" customHeight="1" x14ac:dyDescent="0.25">
      <c r="A5" s="13"/>
      <c r="B5" s="13"/>
      <c r="C5" s="13"/>
      <c r="D5" s="13"/>
      <c r="E5" s="13" t="str">
        <f>TEXT(E4,"DD/MM/YY")</f>
        <v>09/12/23</v>
      </c>
      <c r="F5" s="13"/>
      <c r="G5" s="31" t="s">
        <v>23</v>
      </c>
      <c r="H5" s="32" t="s">
        <v>24</v>
      </c>
      <c r="I5" s="50" t="s">
        <v>25</v>
      </c>
      <c r="J5" s="34" t="s">
        <v>26</v>
      </c>
      <c r="K5" s="1088"/>
      <c r="L5" s="51" t="s">
        <v>27</v>
      </c>
      <c r="M5" s="36"/>
      <c r="N5" s="37">
        <v>2</v>
      </c>
      <c r="O5" s="38">
        <f t="shared" si="0"/>
        <v>0</v>
      </c>
      <c r="P5" s="52" t="str">
        <f>'Team 2'!E$1</f>
        <v>STEVENAGE</v>
      </c>
      <c r="Q5" s="40" t="s">
        <v>28</v>
      </c>
      <c r="R5" s="41"/>
      <c r="S5" s="1072"/>
      <c r="T5" s="1072"/>
      <c r="U5" s="1072"/>
      <c r="V5" s="1072"/>
      <c r="W5" s="1072"/>
      <c r="X5" s="1072"/>
      <c r="Y5" s="1072"/>
      <c r="Z5" s="1076"/>
      <c r="AA5" s="20"/>
      <c r="AB5" s="20"/>
      <c r="AC5" s="20"/>
      <c r="AD5" s="53" t="s">
        <v>23</v>
      </c>
      <c r="AE5" s="54" t="str">
        <f>H5</f>
        <v>THREE</v>
      </c>
      <c r="AF5" s="55" t="s">
        <v>25</v>
      </c>
      <c r="AG5" s="54" t="str">
        <f>J5</f>
        <v>TWO</v>
      </c>
      <c r="AH5" s="56" t="s">
        <v>29</v>
      </c>
      <c r="AI5" s="47" t="str">
        <f t="shared" si="1"/>
        <v>STEVENAGE</v>
      </c>
      <c r="AJ5" s="48">
        <f t="shared" si="2"/>
        <v>0</v>
      </c>
      <c r="AK5" s="49" t="str">
        <f t="shared" si="3"/>
        <v>No Team Sheet</v>
      </c>
      <c r="AL5" s="1073"/>
      <c r="AM5" s="1074"/>
      <c r="AN5" s="1075"/>
    </row>
    <row r="6" spans="1:40" ht="28.5" customHeight="1" x14ac:dyDescent="0.25">
      <c r="A6" s="13"/>
      <c r="B6" s="13"/>
      <c r="C6" s="13"/>
      <c r="D6" s="13"/>
      <c r="E6" s="57" t="str">
        <f>LEFT(E5,2)&amp;MID(E5,4,2)&amp;RIGHT(E5,2)</f>
        <v>091223</v>
      </c>
      <c r="F6" s="13"/>
      <c r="G6" s="58" t="s">
        <v>30</v>
      </c>
      <c r="H6" s="1077" t="s">
        <v>31</v>
      </c>
      <c r="I6" s="1077"/>
      <c r="J6" s="1077"/>
      <c r="K6" s="1088"/>
      <c r="L6" s="35" t="s">
        <v>32</v>
      </c>
      <c r="M6" s="36"/>
      <c r="N6" s="37">
        <v>3</v>
      </c>
      <c r="O6" s="38">
        <f t="shared" si="0"/>
        <v>0</v>
      </c>
      <c r="P6" s="52" t="str">
        <f>'Team 3'!E$1</f>
        <v>BORO OF BROXBOURNE</v>
      </c>
      <c r="Q6" s="40" t="s">
        <v>33</v>
      </c>
      <c r="R6" s="41"/>
      <c r="S6" s="1072"/>
      <c r="T6" s="1072"/>
      <c r="U6" s="1072"/>
      <c r="V6" s="1072"/>
      <c r="W6" s="1072"/>
      <c r="X6" s="1072"/>
      <c r="Y6" s="1072"/>
      <c r="Z6" s="1076"/>
      <c r="AA6" s="20"/>
      <c r="AB6" s="20"/>
      <c r="AC6" s="20"/>
      <c r="AD6" s="42" t="s">
        <v>34</v>
      </c>
      <c r="AE6" s="1078" t="str">
        <f>H6</f>
        <v>AQUA VALE S &amp; F CENTRE AYLESBURY</v>
      </c>
      <c r="AF6" s="1078"/>
      <c r="AG6" s="1078"/>
      <c r="AH6" s="56" t="s">
        <v>35</v>
      </c>
      <c r="AI6" s="47" t="str">
        <f t="shared" si="1"/>
        <v>BORO OF BROXBOURNE</v>
      </c>
      <c r="AJ6" s="48">
        <f t="shared" si="2"/>
        <v>0</v>
      </c>
      <c r="AK6" s="49" t="str">
        <f t="shared" si="3"/>
        <v>No Team Sheet</v>
      </c>
      <c r="AL6" s="1073"/>
      <c r="AM6" s="1074"/>
      <c r="AN6" s="1075"/>
    </row>
    <row r="7" spans="1:40" ht="28.5" customHeight="1" x14ac:dyDescent="0.25">
      <c r="A7" s="13"/>
      <c r="B7" s="13"/>
      <c r="C7" s="13"/>
      <c r="D7" s="13"/>
      <c r="E7" s="13"/>
      <c r="F7" s="13"/>
      <c r="G7" s="59" t="s">
        <v>36</v>
      </c>
      <c r="H7" s="60">
        <v>45269</v>
      </c>
      <c r="I7" s="61" t="s">
        <v>37</v>
      </c>
      <c r="J7" s="62" t="s">
        <v>38</v>
      </c>
      <c r="K7" s="1088"/>
      <c r="L7" s="35" t="s">
        <v>39</v>
      </c>
      <c r="M7" s="36"/>
      <c r="N7" s="37">
        <v>4</v>
      </c>
      <c r="O7" s="38">
        <f t="shared" si="0"/>
        <v>0</v>
      </c>
      <c r="P7" s="52" t="str">
        <f>'Team 4'!E$1</f>
        <v>AYLESBURY</v>
      </c>
      <c r="Q7" s="40" t="s">
        <v>40</v>
      </c>
      <c r="R7" s="41"/>
      <c r="S7" s="1079" t="str">
        <f>'Club Names &amp; Codes'!A1</f>
        <v xml:space="preserve"> CLUB CODE LIST</v>
      </c>
      <c r="T7" s="1079"/>
      <c r="U7" s="1079"/>
      <c r="V7" s="1079"/>
      <c r="W7" s="1079"/>
      <c r="X7" s="1079"/>
      <c r="Y7" s="1079"/>
      <c r="Z7" s="1076"/>
      <c r="AA7" s="63"/>
      <c r="AB7" s="63"/>
      <c r="AC7" s="63"/>
      <c r="AD7" s="42" t="s">
        <v>36</v>
      </c>
      <c r="AE7" s="1080">
        <f>H7</f>
        <v>45269</v>
      </c>
      <c r="AF7" s="1080"/>
      <c r="AG7" s="1080"/>
      <c r="AH7" s="56" t="s">
        <v>41</v>
      </c>
      <c r="AI7" s="47" t="str">
        <f t="shared" si="1"/>
        <v>AYLESBURY</v>
      </c>
      <c r="AJ7" s="48">
        <f t="shared" si="2"/>
        <v>0</v>
      </c>
      <c r="AK7" s="49" t="str">
        <f t="shared" si="3"/>
        <v>No Team Sheet</v>
      </c>
      <c r="AL7" s="1073"/>
      <c r="AM7" s="1074"/>
      <c r="AN7" s="1075"/>
    </row>
    <row r="8" spans="1:40" ht="28.5" customHeight="1" x14ac:dyDescent="0.25">
      <c r="A8" s="13"/>
      <c r="B8" s="13"/>
      <c r="C8" s="13"/>
      <c r="D8" s="13"/>
      <c r="E8" s="13"/>
      <c r="F8" s="13"/>
      <c r="G8" s="1081" t="s">
        <v>42</v>
      </c>
      <c r="H8" s="1081"/>
      <c r="I8" s="1081"/>
      <c r="J8" s="64">
        <v>25</v>
      </c>
      <c r="K8" s="1088"/>
      <c r="L8" s="35" t="s">
        <v>43</v>
      </c>
      <c r="M8" s="36"/>
      <c r="N8" s="37">
        <v>5</v>
      </c>
      <c r="O8" s="38">
        <f t="shared" si="0"/>
        <v>0</v>
      </c>
      <c r="P8" s="65" t="str">
        <f>'Team 5'!E$1</f>
        <v>BRAINTREE &amp; BOCKING</v>
      </c>
      <c r="Q8" s="40" t="s">
        <v>44</v>
      </c>
      <c r="R8" s="41"/>
      <c r="S8" s="1079"/>
      <c r="T8" s="1079"/>
      <c r="U8" s="1079"/>
      <c r="V8" s="1079"/>
      <c r="W8" s="1079"/>
      <c r="X8" s="1079"/>
      <c r="Y8" s="1079"/>
      <c r="Z8" s="1076"/>
      <c r="AA8" s="66"/>
      <c r="AB8" s="66"/>
      <c r="AC8" s="63"/>
      <c r="AD8" s="1082" t="s">
        <v>45</v>
      </c>
      <c r="AE8" s="1082"/>
      <c r="AF8" s="1083">
        <f>J8</f>
        <v>25</v>
      </c>
      <c r="AG8" s="67"/>
      <c r="AH8" s="56" t="s">
        <v>46</v>
      </c>
      <c r="AI8" s="47" t="str">
        <f t="shared" si="1"/>
        <v>BRAINTREE &amp; BOCKING</v>
      </c>
      <c r="AJ8" s="48">
        <f t="shared" si="2"/>
        <v>0</v>
      </c>
      <c r="AK8" s="49" t="str">
        <f t="shared" si="3"/>
        <v>No Team Sheet</v>
      </c>
      <c r="AL8" s="1073"/>
      <c r="AM8" s="1074"/>
      <c r="AN8" s="1075"/>
    </row>
    <row r="9" spans="1:40" ht="28.5" customHeight="1" x14ac:dyDescent="0.25">
      <c r="A9" s="68"/>
      <c r="B9" s="68"/>
      <c r="C9" s="68"/>
      <c r="D9" s="68"/>
      <c r="E9" s="68"/>
      <c r="F9" s="68"/>
      <c r="G9" s="1084" t="s">
        <v>47</v>
      </c>
      <c r="H9" s="1084"/>
      <c r="I9" s="1084"/>
      <c r="J9" s="69" t="s">
        <v>48</v>
      </c>
      <c r="K9" s="1088"/>
      <c r="L9" s="35" t="s">
        <v>49</v>
      </c>
      <c r="M9" s="36"/>
      <c r="N9" s="37">
        <v>6</v>
      </c>
      <c r="O9" s="38">
        <f t="shared" si="0"/>
        <v>0</v>
      </c>
      <c r="P9" s="65" t="str">
        <f>'Team 6'!E$1</f>
        <v>Bo of Harrow</v>
      </c>
      <c r="Q9" s="40" t="s">
        <v>50</v>
      </c>
      <c r="R9" s="41"/>
      <c r="S9" s="1094" t="s">
        <v>51</v>
      </c>
      <c r="T9" s="1094"/>
      <c r="U9" s="1094"/>
      <c r="V9" s="1094"/>
      <c r="W9" s="70"/>
      <c r="X9" s="1095" t="s">
        <v>52</v>
      </c>
      <c r="Y9" s="1095"/>
      <c r="Z9" s="1076"/>
      <c r="AA9" s="66"/>
      <c r="AB9" s="66"/>
      <c r="AC9" s="71"/>
      <c r="AD9" s="1082"/>
      <c r="AE9" s="1082"/>
      <c r="AF9" s="1083"/>
      <c r="AG9" s="72" t="s">
        <v>53</v>
      </c>
      <c r="AH9" s="73" t="s">
        <v>54</v>
      </c>
      <c r="AI9" s="74" t="str">
        <f t="shared" si="1"/>
        <v>Bo of Harrow</v>
      </c>
      <c r="AJ9" s="75">
        <f t="shared" si="2"/>
        <v>0</v>
      </c>
      <c r="AK9" s="76" t="str">
        <f t="shared" si="3"/>
        <v>No Team Sheet</v>
      </c>
      <c r="AL9" s="1073"/>
      <c r="AM9" s="1074"/>
      <c r="AN9" s="1075"/>
    </row>
    <row r="10" spans="1:40" ht="28.5" customHeight="1" x14ac:dyDescent="0.25">
      <c r="A10" s="68"/>
      <c r="B10" s="68"/>
      <c r="C10" s="68"/>
      <c r="D10" s="68"/>
      <c r="E10" s="68"/>
      <c r="F10" s="68"/>
      <c r="G10" s="1096" t="s">
        <v>55</v>
      </c>
      <c r="H10" s="1096"/>
      <c r="I10" s="1096"/>
      <c r="J10" s="1096"/>
      <c r="K10" s="1088"/>
      <c r="L10" s="35" t="s">
        <v>56</v>
      </c>
      <c r="M10" s="77"/>
      <c r="N10" s="37">
        <v>7</v>
      </c>
      <c r="O10" s="38">
        <f t="shared" si="0"/>
        <v>0</v>
      </c>
      <c r="P10" s="65" t="str">
        <f>'Team 7'!E1</f>
        <v>Hillingdon 'B'</v>
      </c>
      <c r="Q10" s="40" t="s">
        <v>57</v>
      </c>
      <c r="R10" s="1097" t="s">
        <v>58</v>
      </c>
      <c r="S10" s="1097"/>
      <c r="T10" s="1097"/>
      <c r="U10" s="1097"/>
      <c r="V10" s="1097"/>
      <c r="W10" s="1097"/>
      <c r="X10" s="1097"/>
      <c r="Y10" s="1097"/>
      <c r="Z10" s="1076"/>
      <c r="AA10" s="66"/>
      <c r="AB10" s="66"/>
      <c r="AC10" s="71"/>
      <c r="AD10" s="1082"/>
      <c r="AE10" s="1082"/>
      <c r="AF10" s="1083"/>
      <c r="AG10" s="78"/>
      <c r="AH10" s="79" t="s">
        <v>59</v>
      </c>
      <c r="AI10" s="47" t="str">
        <f t="shared" si="1"/>
        <v>Hillingdon 'B'</v>
      </c>
      <c r="AJ10" s="48">
        <f t="shared" si="2"/>
        <v>0</v>
      </c>
      <c r="AK10" s="49" t="str">
        <f t="shared" si="3"/>
        <v>No Team Sheet</v>
      </c>
      <c r="AL10" s="80"/>
      <c r="AM10" s="81"/>
      <c r="AN10" s="1075"/>
    </row>
    <row r="11" spans="1:40" ht="28.5" customHeight="1" x14ac:dyDescent="0.25">
      <c r="A11" s="68"/>
      <c r="B11" s="68"/>
      <c r="C11" s="68"/>
      <c r="D11" s="68"/>
      <c r="E11" s="68"/>
      <c r="F11" s="68"/>
      <c r="G11" s="1098" t="s">
        <v>60</v>
      </c>
      <c r="H11" s="1098"/>
      <c r="I11" s="1098"/>
      <c r="J11" s="1098"/>
      <c r="K11" s="1088"/>
      <c r="L11" s="35" t="s">
        <v>61</v>
      </c>
      <c r="M11" s="36"/>
      <c r="N11" s="37"/>
      <c r="O11" s="38" t="str">
        <f t="shared" si="0"/>
        <v>No Team Sheet</v>
      </c>
      <c r="P11" s="65">
        <f>'Team 8'!E1</f>
        <v>0</v>
      </c>
      <c r="Q11" s="40"/>
      <c r="R11" s="1099" t="s">
        <v>62</v>
      </c>
      <c r="S11" s="1099"/>
      <c r="T11" s="1099"/>
      <c r="U11" s="1099"/>
      <c r="V11" s="1099"/>
      <c r="W11" s="1099"/>
      <c r="X11" s="1099"/>
      <c r="Y11" s="1099"/>
      <c r="Z11" s="1076"/>
      <c r="AA11" s="66"/>
      <c r="AB11" s="66"/>
      <c r="AC11" s="66"/>
      <c r="AD11" s="1062" t="s">
        <v>63</v>
      </c>
      <c r="AE11" s="1062"/>
      <c r="AF11" s="1063" t="str">
        <f>J9</f>
        <v>200M</v>
      </c>
      <c r="AG11" s="1063"/>
      <c r="AH11" s="82" t="s">
        <v>64</v>
      </c>
      <c r="AI11" s="47">
        <f t="shared" si="1"/>
        <v>0</v>
      </c>
      <c r="AJ11" s="48">
        <f t="shared" si="2"/>
        <v>0</v>
      </c>
      <c r="AK11" s="49" t="str">
        <f t="shared" si="3"/>
        <v>No Team Sheet</v>
      </c>
      <c r="AL11" s="80"/>
      <c r="AM11" s="81"/>
      <c r="AN11" s="1075"/>
    </row>
    <row r="12" spans="1:40" ht="28.5" customHeight="1" x14ac:dyDescent="0.25">
      <c r="A12" s="68"/>
      <c r="B12" s="68"/>
      <c r="C12" s="68"/>
      <c r="D12" s="68"/>
      <c r="E12" s="68"/>
      <c r="F12" s="68"/>
      <c r="G12" s="1098"/>
      <c r="H12" s="1098"/>
      <c r="I12" s="1098"/>
      <c r="J12" s="1098"/>
      <c r="K12" s="1088"/>
      <c r="L12" s="83" t="s">
        <v>65</v>
      </c>
      <c r="M12" s="36"/>
      <c r="N12" s="37"/>
      <c r="O12" s="38" t="str">
        <f t="shared" si="0"/>
        <v>No Team Sheet</v>
      </c>
      <c r="P12" s="65">
        <f>'Team 9'!E1</f>
        <v>0</v>
      </c>
      <c r="Q12" s="40"/>
      <c r="R12" s="84"/>
      <c r="S12" s="1064" t="s">
        <v>66</v>
      </c>
      <c r="T12" s="1064"/>
      <c r="U12" s="1064"/>
      <c r="V12" s="1064"/>
      <c r="W12" s="1064"/>
      <c r="X12" s="1064"/>
      <c r="Y12" s="1064"/>
      <c r="Z12" s="1076"/>
      <c r="AA12" s="66"/>
      <c r="AB12" s="66"/>
      <c r="AC12" s="71"/>
      <c r="AD12" s="1062"/>
      <c r="AE12" s="1062"/>
      <c r="AF12" s="1063"/>
      <c r="AG12" s="1063"/>
      <c r="AH12" s="56" t="s">
        <v>67</v>
      </c>
      <c r="AI12" s="85">
        <f t="shared" si="1"/>
        <v>0</v>
      </c>
      <c r="AJ12" s="86">
        <f t="shared" si="2"/>
        <v>0</v>
      </c>
      <c r="AK12" s="87" t="str">
        <f t="shared" si="3"/>
        <v>No Team Sheet</v>
      </c>
      <c r="AL12" s="1065"/>
      <c r="AM12" s="1065"/>
      <c r="AN12" s="88"/>
    </row>
    <row r="13" spans="1:40" ht="28.5" customHeight="1" x14ac:dyDescent="0.25">
      <c r="A13" s="68"/>
      <c r="B13" s="68"/>
      <c r="C13" s="68"/>
      <c r="D13" s="68"/>
      <c r="E13" s="68"/>
      <c r="F13" s="68"/>
      <c r="G13" s="1066" t="s">
        <v>68</v>
      </c>
      <c r="H13" s="1066"/>
      <c r="I13" s="1066"/>
      <c r="J13" s="1066"/>
      <c r="K13" s="1088"/>
      <c r="L13" s="35" t="s">
        <v>69</v>
      </c>
      <c r="M13" s="89"/>
      <c r="N13" s="90"/>
      <c r="O13" s="91" t="str">
        <f t="shared" si="0"/>
        <v>No Team Sheet</v>
      </c>
      <c r="P13" s="92">
        <f>'Team 10'!E1</f>
        <v>0</v>
      </c>
      <c r="Q13" s="40"/>
      <c r="R13" s="93"/>
      <c r="S13" s="1067" t="s">
        <v>70</v>
      </c>
      <c r="T13" s="1067"/>
      <c r="U13" s="1067"/>
      <c r="V13" s="1067"/>
      <c r="W13" s="94"/>
      <c r="X13" s="1068" t="s">
        <v>71</v>
      </c>
      <c r="Y13" s="1068"/>
      <c r="Z13" s="1076"/>
      <c r="AA13" s="66"/>
      <c r="AB13" s="66"/>
      <c r="AC13" s="71"/>
      <c r="AD13" s="1062"/>
      <c r="AE13" s="1062"/>
      <c r="AF13" s="1063"/>
      <c r="AG13" s="1063"/>
      <c r="AH13" s="73" t="s">
        <v>72</v>
      </c>
      <c r="AI13" s="74">
        <f t="shared" si="1"/>
        <v>0</v>
      </c>
      <c r="AJ13" s="75">
        <f t="shared" si="2"/>
        <v>0</v>
      </c>
      <c r="AK13" s="76" t="str">
        <f t="shared" si="3"/>
        <v>No Team Sheet</v>
      </c>
      <c r="AL13" s="1065"/>
      <c r="AM13" s="1065"/>
      <c r="AN13" s="95"/>
    </row>
    <row r="14" spans="1:40" ht="27" customHeight="1" x14ac:dyDescent="0.25">
      <c r="A14" s="68"/>
      <c r="B14" s="68"/>
      <c r="C14" s="68"/>
      <c r="D14" s="68"/>
      <c r="E14" s="68"/>
      <c r="F14" s="68"/>
      <c r="G14" s="1100" t="s">
        <v>73</v>
      </c>
      <c r="H14" s="1100"/>
      <c r="I14" s="1100"/>
      <c r="J14" s="1100"/>
      <c r="K14" s="1088"/>
      <c r="L14" s="96"/>
      <c r="M14" s="97"/>
      <c r="N14" s="98" t="s">
        <v>74</v>
      </c>
      <c r="O14" s="99"/>
      <c r="P14" s="1057" t="s">
        <v>75</v>
      </c>
      <c r="Q14" s="1057"/>
      <c r="R14" s="1057"/>
      <c r="S14" s="1057"/>
      <c r="T14" s="1057"/>
      <c r="U14" s="1057"/>
      <c r="V14" s="1057"/>
      <c r="W14" s="1057"/>
      <c r="X14" s="100" t="s">
        <v>76</v>
      </c>
      <c r="Y14" s="101"/>
      <c r="Z14" s="102"/>
      <c r="AA14" s="71"/>
      <c r="AB14" s="71"/>
      <c r="AC14" s="71"/>
      <c r="AD14" s="103"/>
      <c r="AE14" s="103"/>
      <c r="AF14" s="103"/>
      <c r="AG14" s="104"/>
      <c r="AH14" s="105"/>
      <c r="AI14" s="63"/>
      <c r="AJ14" s="105"/>
      <c r="AK14" s="105"/>
      <c r="AL14" s="71"/>
      <c r="AM14" s="71"/>
      <c r="AN14" s="71"/>
    </row>
    <row r="15" spans="1:40" ht="34.5" customHeight="1" x14ac:dyDescent="0.25">
      <c r="A15" s="68"/>
      <c r="B15" s="68"/>
      <c r="C15" s="68"/>
      <c r="D15" s="68"/>
      <c r="E15" s="68"/>
      <c r="F15" s="68"/>
      <c r="G15" s="1058" t="s">
        <v>77</v>
      </c>
      <c r="H15" s="1058"/>
      <c r="I15" s="1058"/>
      <c r="J15" s="1058"/>
      <c r="K15" s="1088"/>
      <c r="L15" s="1059" t="s">
        <v>74</v>
      </c>
      <c r="M15" s="106"/>
      <c r="N15" s="1060" t="s">
        <v>78</v>
      </c>
      <c r="O15" s="1060"/>
      <c r="P15" s="1060"/>
      <c r="Q15" s="1060"/>
      <c r="R15" s="1060"/>
      <c r="S15" s="1060"/>
      <c r="T15" s="1060"/>
      <c r="U15" s="1060"/>
      <c r="V15" s="1060"/>
      <c r="W15" s="1060"/>
      <c r="X15" s="1060"/>
      <c r="Y15" s="1061" t="s">
        <v>76</v>
      </c>
      <c r="Z15" s="107"/>
      <c r="AA15" s="71"/>
      <c r="AB15" s="71"/>
      <c r="AC15" s="71"/>
      <c r="AD15" s="71"/>
      <c r="AE15" s="108"/>
      <c r="AF15" s="108"/>
      <c r="AG15" s="108"/>
      <c r="AH15" s="108"/>
      <c r="AI15" s="108"/>
      <c r="AJ15" s="108"/>
      <c r="AK15" s="108"/>
      <c r="AL15" s="108"/>
      <c r="AM15" s="108"/>
      <c r="AN15" s="108"/>
    </row>
    <row r="16" spans="1:40" ht="24.6" x14ac:dyDescent="0.3">
      <c r="A16" s="68"/>
      <c r="B16" s="68"/>
      <c r="C16" s="68"/>
      <c r="D16" s="68"/>
      <c r="E16" s="68"/>
      <c r="F16" s="68"/>
      <c r="G16" s="1058"/>
      <c r="H16" s="1058"/>
      <c r="I16" s="1058"/>
      <c r="J16" s="1058"/>
      <c r="K16" s="1088"/>
      <c r="L16" s="1059"/>
      <c r="M16" s="109"/>
      <c r="N16" s="1060"/>
      <c r="O16" s="1060"/>
      <c r="P16" s="1060"/>
      <c r="Q16" s="1060"/>
      <c r="R16" s="1060"/>
      <c r="S16" s="1060"/>
      <c r="T16" s="1060"/>
      <c r="U16" s="1060"/>
      <c r="V16" s="1060"/>
      <c r="W16" s="1060"/>
      <c r="X16" s="1060"/>
      <c r="Y16" s="1061"/>
      <c r="Z16" s="1053"/>
      <c r="AA16" s="71"/>
      <c r="AB16" s="71"/>
      <c r="AC16" s="71"/>
      <c r="AD16" s="103"/>
      <c r="AE16" s="103"/>
      <c r="AF16" s="103"/>
      <c r="AG16" s="104"/>
      <c r="AH16" s="110"/>
      <c r="AI16" s="63"/>
      <c r="AJ16" s="104"/>
      <c r="AK16" s="71"/>
      <c r="AL16" s="71"/>
      <c r="AM16" s="71"/>
      <c r="AN16" s="71"/>
    </row>
    <row r="17" spans="1:40" ht="27" customHeight="1" x14ac:dyDescent="0.3">
      <c r="A17" s="68"/>
      <c r="B17" s="68"/>
      <c r="C17" s="68"/>
      <c r="D17" s="68"/>
      <c r="E17" s="68"/>
      <c r="F17" s="68"/>
      <c r="G17" s="1054" t="s">
        <v>79</v>
      </c>
      <c r="H17" s="1054"/>
      <c r="I17" s="1054"/>
      <c r="J17" s="1054"/>
      <c r="K17" s="1088"/>
      <c r="L17" s="1059"/>
      <c r="M17" s="109"/>
      <c r="N17" s="1060"/>
      <c r="O17" s="1060"/>
      <c r="P17" s="1060"/>
      <c r="Q17" s="1060"/>
      <c r="R17" s="1060"/>
      <c r="S17" s="1060"/>
      <c r="T17" s="1060"/>
      <c r="U17" s="1060"/>
      <c r="V17" s="1060"/>
      <c r="W17" s="1060"/>
      <c r="X17" s="1060"/>
      <c r="Y17" s="1061"/>
      <c r="Z17" s="1053"/>
      <c r="AA17" s="71"/>
      <c r="AB17" s="71"/>
      <c r="AC17" s="71"/>
      <c r="AD17" s="103"/>
      <c r="AE17" s="103"/>
      <c r="AF17" s="103"/>
      <c r="AG17" s="104"/>
      <c r="AH17" s="110"/>
      <c r="AI17" s="63"/>
      <c r="AJ17" s="104"/>
      <c r="AK17" s="71"/>
      <c r="AL17" s="71"/>
      <c r="AM17" s="71"/>
      <c r="AN17" s="71"/>
    </row>
    <row r="18" spans="1:40" ht="12.75" hidden="1" customHeight="1" x14ac:dyDescent="0.3">
      <c r="A18" s="68"/>
      <c r="B18" s="68"/>
      <c r="C18" s="68"/>
      <c r="D18" s="68"/>
      <c r="E18" s="68"/>
      <c r="F18" s="68"/>
      <c r="K18" s="1088"/>
      <c r="L18" s="1059"/>
      <c r="M18" s="109"/>
      <c r="N18" s="1060"/>
      <c r="O18" s="1060"/>
      <c r="P18" s="1060"/>
      <c r="Q18" s="1060"/>
      <c r="R18" s="1060"/>
      <c r="S18" s="1060"/>
      <c r="T18" s="1060"/>
      <c r="U18" s="1060"/>
      <c r="V18" s="1060"/>
      <c r="W18" s="1060"/>
      <c r="X18" s="1060"/>
      <c r="Y18" s="1061"/>
      <c r="Z18" s="1053"/>
      <c r="AA18" s="71"/>
      <c r="AB18" s="71"/>
      <c r="AC18" s="71"/>
      <c r="AD18" s="103"/>
      <c r="AE18" s="103"/>
      <c r="AF18" s="103"/>
      <c r="AG18" s="104"/>
      <c r="AH18" s="110"/>
      <c r="AI18" s="63"/>
      <c r="AJ18" s="104"/>
      <c r="AK18" s="71"/>
      <c r="AL18" s="71"/>
      <c r="AM18" s="71"/>
      <c r="AN18" s="71"/>
    </row>
    <row r="19" spans="1:40" ht="30" customHeight="1" x14ac:dyDescent="0.3">
      <c r="A19" s="68"/>
      <c r="B19" s="68"/>
      <c r="C19" s="68"/>
      <c r="D19" s="68"/>
      <c r="E19" s="68"/>
      <c r="F19" s="68"/>
      <c r="K19" s="1088"/>
      <c r="L19" s="111" t="s">
        <v>80</v>
      </c>
      <c r="M19" s="109"/>
      <c r="N19" s="1055"/>
      <c r="O19" s="1055"/>
      <c r="P19" s="1055"/>
      <c r="Q19" s="1055"/>
      <c r="R19" s="1055"/>
      <c r="S19" s="1055"/>
      <c r="T19" s="1055"/>
      <c r="U19" s="1055"/>
      <c r="V19" s="1055"/>
      <c r="W19" s="1055"/>
      <c r="X19" s="1055"/>
      <c r="Y19" s="112" t="s">
        <v>81</v>
      </c>
      <c r="Z19" s="1053"/>
      <c r="AA19" s="71"/>
      <c r="AB19" s="71"/>
      <c r="AC19" s="71"/>
      <c r="AD19" s="103"/>
      <c r="AE19" s="103"/>
      <c r="AF19" s="103"/>
      <c r="AG19" s="104"/>
      <c r="AH19" s="110"/>
      <c r="AI19" s="63"/>
      <c r="AJ19" s="104"/>
      <c r="AK19" s="71"/>
      <c r="AL19" s="71"/>
      <c r="AM19" s="71"/>
      <c r="AN19" s="71"/>
    </row>
    <row r="20" spans="1:40" ht="24" customHeight="1" x14ac:dyDescent="0.25">
      <c r="A20" s="13"/>
      <c r="B20" s="13"/>
      <c r="C20" s="13"/>
      <c r="D20" s="13"/>
      <c r="E20" s="13"/>
      <c r="F20" s="13"/>
      <c r="G20" s="1056" t="s">
        <v>82</v>
      </c>
      <c r="H20" s="1056"/>
      <c r="I20" s="1056"/>
      <c r="J20" s="1056"/>
      <c r="K20" s="1056"/>
      <c r="L20" s="1056"/>
      <c r="M20" s="1056"/>
      <c r="N20" s="1056"/>
      <c r="O20" s="1056"/>
      <c r="P20" s="1056"/>
      <c r="Q20" s="1056"/>
      <c r="R20" s="1056"/>
      <c r="S20" s="1056"/>
      <c r="T20" s="1056"/>
      <c r="U20" s="1056"/>
      <c r="V20" s="1056"/>
      <c r="W20" s="1056"/>
      <c r="X20" s="1056"/>
      <c r="Y20" s="1056"/>
      <c r="Z20" s="13"/>
      <c r="AA20" s="63"/>
      <c r="AB20" s="63"/>
      <c r="AC20" s="63"/>
      <c r="AD20" s="63"/>
      <c r="AE20" s="63"/>
      <c r="AF20" s="63"/>
      <c r="AG20" s="63"/>
      <c r="AH20" s="113"/>
      <c r="AI20" s="114"/>
      <c r="AJ20" s="63"/>
      <c r="AK20" s="63"/>
      <c r="AL20" s="63"/>
      <c r="AM20" s="63"/>
      <c r="AN20" s="63"/>
    </row>
    <row r="21" spans="1:40" ht="282.75" customHeight="1" x14ac:dyDescent="0.25">
      <c r="A21" s="5"/>
      <c r="B21" s="63"/>
      <c r="C21" s="63"/>
      <c r="D21" s="63"/>
      <c r="E21" s="63"/>
      <c r="F21" s="63"/>
      <c r="G21" s="113"/>
      <c r="H21" s="113"/>
      <c r="I21" s="63"/>
      <c r="J21" s="63"/>
      <c r="K21" s="63"/>
      <c r="L21" s="113"/>
      <c r="M21" s="114"/>
      <c r="N21" s="63"/>
      <c r="O21" s="63"/>
      <c r="P21" s="63"/>
      <c r="Q21" s="113"/>
      <c r="R21" s="63"/>
      <c r="S21" s="63"/>
      <c r="T21" s="63"/>
      <c r="U21" s="63"/>
      <c r="V21" s="63"/>
      <c r="W21" s="63"/>
      <c r="X21" s="63"/>
      <c r="Y21" s="63"/>
      <c r="Z21" s="63"/>
      <c r="AA21" s="63"/>
      <c r="AB21" s="63"/>
      <c r="AC21" s="63"/>
      <c r="AD21" s="63"/>
      <c r="AE21" s="63"/>
      <c r="AF21" s="63"/>
      <c r="AG21" s="63"/>
      <c r="AH21" s="113"/>
      <c r="AI21" s="114"/>
      <c r="AJ21" s="63"/>
      <c r="AK21" s="63"/>
      <c r="AL21" s="63"/>
      <c r="AM21" s="63"/>
      <c r="AN21" s="63"/>
    </row>
  </sheetData>
  <sheetProtection algorithmName="SHA-512" hashValue="GanR5CNuKRToghwPP6xxfw+BSOTGeQgXKAueFuIH0zWna2Ugay5Ga8mh3iri8uHByBdfnL1tOrTSWeCUtvxPBA==" saltValue="SgLPn63MNKcNz9jHLWLN7g==" spinCount="100000" sheet="1" objects="1" scenarios="1"/>
  <mergeCells count="48">
    <mergeCell ref="K1:Y1"/>
    <mergeCell ref="G2:G3"/>
    <mergeCell ref="H2:J2"/>
    <mergeCell ref="K2:K19"/>
    <mergeCell ref="L2:L3"/>
    <mergeCell ref="N2:N3"/>
    <mergeCell ref="P2:P3"/>
    <mergeCell ref="Q2:Q3"/>
    <mergeCell ref="S2:Y3"/>
    <mergeCell ref="S9:V9"/>
    <mergeCell ref="X9:Y9"/>
    <mergeCell ref="G10:J10"/>
    <mergeCell ref="R10:Y10"/>
    <mergeCell ref="G11:J12"/>
    <mergeCell ref="R11:Y11"/>
    <mergeCell ref="G14:J14"/>
    <mergeCell ref="AD2:AF2"/>
    <mergeCell ref="AI2:AN2"/>
    <mergeCell ref="H3:J3"/>
    <mergeCell ref="S4:Y6"/>
    <mergeCell ref="AL4:AL9"/>
    <mergeCell ref="AM4:AM9"/>
    <mergeCell ref="AN4:AN11"/>
    <mergeCell ref="Z5:Z13"/>
    <mergeCell ref="H6:J6"/>
    <mergeCell ref="AE6:AG6"/>
    <mergeCell ref="S7:Y8"/>
    <mergeCell ref="AE7:AG7"/>
    <mergeCell ref="G8:I8"/>
    <mergeCell ref="AD8:AE10"/>
    <mergeCell ref="AF8:AF10"/>
    <mergeCell ref="G9:I9"/>
    <mergeCell ref="AD11:AE13"/>
    <mergeCell ref="AF11:AG13"/>
    <mergeCell ref="S12:Y12"/>
    <mergeCell ref="AL12:AM13"/>
    <mergeCell ref="G13:J13"/>
    <mergeCell ref="S13:V13"/>
    <mergeCell ref="X13:Y13"/>
    <mergeCell ref="Z16:Z19"/>
    <mergeCell ref="G17:J17"/>
    <mergeCell ref="N19:X19"/>
    <mergeCell ref="G20:Y20"/>
    <mergeCell ref="P14:W14"/>
    <mergeCell ref="G15:J16"/>
    <mergeCell ref="L15:L18"/>
    <mergeCell ref="N15:X18"/>
    <mergeCell ref="Y15:Y18"/>
  </mergeCells>
  <conditionalFormatting sqref="G2:G3">
    <cfRule type="cellIs" dxfId="255" priority="8" operator="greaterThan">
      <formula>0</formula>
    </cfRule>
  </conditionalFormatting>
  <conditionalFormatting sqref="G10">
    <cfRule type="cellIs" dxfId="254" priority="26" operator="greaterThan">
      <formula>0</formula>
    </cfRule>
  </conditionalFormatting>
  <conditionalFormatting sqref="G20:Y20">
    <cfRule type="cellIs" dxfId="253" priority="9" operator="greaterThan">
      <formula>0</formula>
    </cfRule>
  </conditionalFormatting>
  <conditionalFormatting sqref="H2 K2">
    <cfRule type="cellIs" dxfId="252" priority="25" operator="greaterThan">
      <formula>0</formula>
    </cfRule>
  </conditionalFormatting>
  <conditionalFormatting sqref="H4:H5 J4:J5 H6:J6 H7 J7:J9">
    <cfRule type="cellIs" dxfId="251" priority="5" operator="equal">
      <formula>0</formula>
    </cfRule>
  </conditionalFormatting>
  <conditionalFormatting sqref="I4:I5 G4:G9">
    <cfRule type="cellIs" dxfId="250" priority="24" operator="greaterThan">
      <formula>0</formula>
    </cfRule>
  </conditionalFormatting>
  <conditionalFormatting sqref="I7">
    <cfRule type="cellIs" dxfId="249" priority="10" operator="greaterThan">
      <formula>0</formula>
    </cfRule>
  </conditionalFormatting>
  <conditionalFormatting sqref="L4:L13">
    <cfRule type="cellIs" dxfId="248" priority="19" operator="greaterThan">
      <formula>0</formula>
    </cfRule>
  </conditionalFormatting>
  <conditionalFormatting sqref="L15:L19">
    <cfRule type="cellIs" dxfId="247" priority="15" operator="greaterThan">
      <formula>0</formula>
    </cfRule>
  </conditionalFormatting>
  <conditionalFormatting sqref="L4:M13 O4:O13">
    <cfRule type="cellIs" dxfId="246" priority="27" operator="equal">
      <formula>0</formula>
    </cfRule>
  </conditionalFormatting>
  <conditionalFormatting sqref="L2:O3">
    <cfRule type="cellIs" dxfId="245" priority="12" operator="greaterThanOrEqual">
      <formula>0</formula>
    </cfRule>
  </conditionalFormatting>
  <conditionalFormatting sqref="M2:M3">
    <cfRule type="cellIs" dxfId="244" priority="21" operator="greaterThan">
      <formula>0</formula>
    </cfRule>
  </conditionalFormatting>
  <conditionalFormatting sqref="M14:P14 X14">
    <cfRule type="cellIs" dxfId="243" priority="11" operator="greaterThan">
      <formula>0</formula>
    </cfRule>
  </conditionalFormatting>
  <conditionalFormatting sqref="N4:N13">
    <cfRule type="cellIs" dxfId="242" priority="22" operator="greaterThan">
      <formula>0</formula>
    </cfRule>
    <cfRule type="cellIs" dxfId="241" priority="23" operator="lessThan">
      <formula>0</formula>
    </cfRule>
  </conditionalFormatting>
  <conditionalFormatting sqref="N15:X18">
    <cfRule type="cellIs" dxfId="240" priority="13" operator="greaterThan">
      <formula>0</formula>
    </cfRule>
  </conditionalFormatting>
  <conditionalFormatting sqref="N19:X19">
    <cfRule type="cellIs" dxfId="239" priority="20" operator="equal">
      <formula>0</formula>
    </cfRule>
  </conditionalFormatting>
  <conditionalFormatting sqref="O4:O9">
    <cfRule type="cellIs" dxfId="238" priority="29" operator="equal">
      <formula>"ok"</formula>
    </cfRule>
  </conditionalFormatting>
  <conditionalFormatting sqref="O4:O13">
    <cfRule type="cellIs" dxfId="237" priority="31" operator="equal">
      <formula>"ERROR"</formula>
    </cfRule>
  </conditionalFormatting>
  <conditionalFormatting sqref="O10:O11">
    <cfRule type="cellIs" dxfId="236" priority="30" operator="equal">
      <formula>"OK"</formula>
    </cfRule>
  </conditionalFormatting>
  <conditionalFormatting sqref="O12:O13">
    <cfRule type="cellIs" dxfId="235" priority="28" operator="equal">
      <formula>"ok"</formula>
    </cfRule>
  </conditionalFormatting>
  <conditionalFormatting sqref="P4">
    <cfRule type="cellIs" dxfId="234" priority="2" operator="equal">
      <formula>"The team in the lowest numbered lane must show here"</formula>
    </cfRule>
  </conditionalFormatting>
  <conditionalFormatting sqref="P5:P13">
    <cfRule type="cellIs" dxfId="233" priority="4" operator="equal">
      <formula>0</formula>
    </cfRule>
  </conditionalFormatting>
  <conditionalFormatting sqref="P7">
    <cfRule type="cellIs" dxfId="232" priority="3" operator="equal">
      <formula>"The team in the lowest numbered lane must show here"</formula>
    </cfRule>
  </conditionalFormatting>
  <conditionalFormatting sqref="Q2:Q3">
    <cfRule type="cellIs" dxfId="231" priority="6" operator="greaterThanOrEqual">
      <formula>0</formula>
    </cfRule>
  </conditionalFormatting>
  <conditionalFormatting sqref="Q4:Q13">
    <cfRule type="cellIs" dxfId="230" priority="7" operator="equal">
      <formula>0</formula>
    </cfRule>
  </conditionalFormatting>
  <conditionalFormatting sqref="S13 X13">
    <cfRule type="cellIs" dxfId="229" priority="16" operator="greaterThan">
      <formula>0</formula>
    </cfRule>
  </conditionalFormatting>
  <conditionalFormatting sqref="S9:V9">
    <cfRule type="cellIs" dxfId="228" priority="17" operator="greaterThan">
      <formula>0</formula>
    </cfRule>
  </conditionalFormatting>
  <conditionalFormatting sqref="X9 R10:R11 S12">
    <cfRule type="cellIs" dxfId="227" priority="18" operator="greaterThan">
      <formula>0</formula>
    </cfRule>
  </conditionalFormatting>
  <conditionalFormatting sqref="Y15:Y19">
    <cfRule type="cellIs" dxfId="226" priority="14" operator="greaterThan">
      <formula>0</formula>
    </cfRule>
  </conditionalFormatting>
  <dataValidations count="9">
    <dataValidation type="whole" allowBlank="1" showInputMessage="1" showErrorMessage="1" errorTitle="DAT INPUT ERROR" error="YOU MAY ONLY ENTER 25 or 50" promptTitle="Pool length" prompt="Please enter 25 or 50" sqref="J8" xr:uid="{00000000-0002-0000-0000-000000000000}">
      <formula1>25</formula1>
      <formula2>50</formula2>
    </dataValidation>
    <dataValidation type="date" operator="greaterThan" allowBlank="1" showInputMessage="1" showErrorMessage="1" error="Date format is dd/mm/yyyy  _x000a_ie 11/12/2013" sqref="H7" xr:uid="{00000000-0002-0000-0000-000001000000}">
      <formula1>36892</formula1>
      <formula2>0</formula2>
    </dataValidation>
    <dataValidation allowBlank="1" showInputMessage="1" showErrorMessage="1" promptTitle="IF GALA IS LICENSED" prompt="Only enter a single name eg WOKING _x000a_--Pool in the park, Woking is too long for rankings--_x000a__x000a_" sqref="H6:J6" xr:uid="{00000000-0002-0000-0000-000002000000}">
      <formula1>0</formula1>
      <formula2>0</formula2>
    </dataValidation>
    <dataValidation allowBlank="1" showInputMessage="1" showErrorMessage="1" promptTitle="League name" prompt="This should be your league._x000a_ie  North, South etc" sqref="H4" xr:uid="{00000000-0002-0000-0000-000003000000}">
      <formula1>0</formula1>
      <formula2>0</formula2>
    </dataValidation>
    <dataValidation allowBlank="1" showInputMessage="1" showErrorMessage="1" promptTitle="Lane number" prompt="This must be the lowest number lane being used." sqref="N4" xr:uid="{00000000-0002-0000-0000-000004000000}">
      <formula1>0</formula1>
      <formula2>0</formula2>
    </dataValidation>
    <dataValidation allowBlank="1" showInputMessage="1" showErrorMessage="1" promptTitle="PLEASE CHECK" prompt="This must be the 2nd lowest numbered lane" sqref="N5" xr:uid="{00000000-0002-0000-0000-000005000000}">
      <formula1>0</formula1>
      <formula2>0</formula2>
    </dataValidation>
    <dataValidation allowBlank="1" showInputMessage="1" showErrorMessage="1" promptTitle="PLEASE CHECK" prompt="This must be the 3rd lowest numbered lane." sqref="N6" xr:uid="{00000000-0002-0000-0000-000006000000}">
      <formula1>0</formula1>
      <formula2>0</formula2>
    </dataValidation>
    <dataValidation allowBlank="1" showInputMessage="1" showErrorMessage="1" prompt="4th lowest numbered lane" sqref="N7" xr:uid="{00000000-0002-0000-0000-000007000000}">
      <formula1>0</formula1>
      <formula2>0</formula2>
    </dataValidation>
    <dataValidation allowBlank="1" showInputMessage="1" showErrorMessage="1" prompt="5th lowest numbered lane" sqref="N8" xr:uid="{00000000-0002-0000-0000-000008000000}">
      <formula1>0</formula1>
      <formula2>0</formula2>
    </dataValidation>
  </dataValidations>
  <hyperlinks>
    <hyperlink ref="L4" location="'Team 1'!A1" display="TEAM 1" xr:uid="{00000000-0004-0000-0000-000000000000}"/>
    <hyperlink ref="L5" location="'Team 2'!A1" display="TEAM 2" xr:uid="{00000000-0004-0000-0000-000001000000}"/>
    <hyperlink ref="L6" location="'Team 3'!A1" display="TEAM 3" xr:uid="{00000000-0004-0000-0000-000002000000}"/>
    <hyperlink ref="L7" location="'Team 4'!A1" display="TEAM 4" xr:uid="{00000000-0004-0000-0000-000003000000}"/>
    <hyperlink ref="S7" location="'Club Names &amp; Codes'!A1" display="#'Club Names &amp; Codes'.A1" xr:uid="{00000000-0004-0000-0000-000004000000}"/>
    <hyperlink ref="L8" location="'Team 5'!A1" display="TEAM 5" xr:uid="{00000000-0004-0000-0000-000005000000}"/>
    <hyperlink ref="L9" location="'Team 6'!A1" display="TEAM 6" xr:uid="{00000000-0004-0000-0000-000006000000}"/>
    <hyperlink ref="S9" location="Eligibility!E3" display="Swimmer _x000a_Eligibilty " xr:uid="{00000000-0004-0000-0000-000007000000}"/>
    <hyperlink ref="X9" location="'Quick Check'!F1" display="Check a Result" xr:uid="{00000000-0004-0000-0000-000008000000}"/>
    <hyperlink ref="L10" location="'Team 7'!A1" display="TEAM 7" xr:uid="{00000000-0004-0000-0000-000009000000}"/>
    <hyperlink ref="R10" location="'Print 6 Lane'!F12" display="Results Printout 6 Lane " xr:uid="{00000000-0004-0000-0000-00000A000000}"/>
    <hyperlink ref="L11" location="'Team 8'!A1" display="TEAM 8" xr:uid="{00000000-0004-0000-0000-00000B000000}"/>
    <hyperlink ref="R11" location="'Print 8 Lane'!F1" display="Results Printout 8 Lane " xr:uid="{00000000-0004-0000-0000-00000C000000}"/>
    <hyperlink ref="L12" location="'Team 9'!A1" display="TEAM 9" xr:uid="{00000000-0004-0000-0000-00000D000000}"/>
    <hyperlink ref="S12" location="'print 10 lane'!F1" display="Results Printout 10 Lane" xr:uid="{00000000-0004-0000-0000-00000E000000}"/>
    <hyperlink ref="L13" location="'Team 10'!A1" display="TEAM 10" xr:uid="{00000000-0004-0000-0000-00000F000000}"/>
    <hyperlink ref="S13" location="HDR!H3" display="Rankings _x000a_HDR file" xr:uid="{00000000-0004-0000-0000-000010000000}"/>
    <hyperlink ref="X13" location="MRF!R1" display="Rankings _x000a_MRF file" xr:uid="{00000000-0004-0000-0000-000011000000}"/>
    <hyperlink ref="P14" location="'Lane Timer sheets'!A1" display="Print Lane timer sheets" xr:uid="{00000000-0004-0000-0000-000012000000}"/>
    <hyperlink ref="N15" location="Recording!C32" display="Run the Gala" xr:uid="{00000000-0004-0000-0000-000013000000}"/>
  </hyperlinks>
  <printOptions horizontalCentered="1" verticalCentered="1"/>
  <pageMargins left="0.74791666666666701" right="0.74791666666666701" top="0.98402777777777795" bottom="0.98402777777777795" header="0.511811023622047" footer="0.511811023622047"/>
  <pageSetup paperSize="9" scale="99"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ErrorMessage="1" xr:uid="{00000000-0002-0000-0000-000009000000}">
          <x14:formula1>
            <xm:f>'Club Names &amp; Codes'!$B$3:$B$1360</xm:f>
          </x14:formula1>
          <x14:formula2>
            <xm:f>0</xm:f>
          </x14:formula2>
          <xm:sqref>Q4:Q13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643"/>
  <sheetViews>
    <sheetView showRowColHeaders="0" zoomScaleNormal="100" workbookViewId="0">
      <pane ySplit="2" topLeftCell="A544" activePane="bottomLeft" state="frozen"/>
      <selection pane="bottomLeft" activeCell="A545" sqref="A545"/>
    </sheetView>
  </sheetViews>
  <sheetFormatPr defaultColWidth="8.6640625" defaultRowHeight="13.2" x14ac:dyDescent="0.25"/>
  <cols>
    <col min="1" max="1" width="29.6640625" customWidth="1"/>
    <col min="2" max="2" width="9.5546875" style="115" customWidth="1"/>
    <col min="3" max="3" width="13.44140625" customWidth="1"/>
    <col min="4" max="5" width="16.5546875" customWidth="1"/>
    <col min="6" max="6" width="32.33203125" style="116" hidden="1" customWidth="1"/>
    <col min="7" max="7" width="7.5546875" hidden="1" customWidth="1"/>
    <col min="8" max="8" width="8.109375" style="117" hidden="1" customWidth="1"/>
    <col min="9" max="9" width="11.6640625" style="117" hidden="1" customWidth="1"/>
    <col min="10" max="10" width="84.44140625" style="118" customWidth="1"/>
    <col min="11" max="38" width="8.88671875" style="118" customWidth="1"/>
  </cols>
  <sheetData>
    <row r="1" spans="1:9" ht="34.5" customHeight="1" x14ac:dyDescent="0.25">
      <c r="A1" s="1101" t="s">
        <v>83</v>
      </c>
      <c r="B1" s="1101"/>
      <c r="C1" s="1101"/>
      <c r="D1" s="119" t="s">
        <v>84</v>
      </c>
      <c r="E1" s="120" t="s">
        <v>85</v>
      </c>
      <c r="F1" s="121" t="s">
        <v>86</v>
      </c>
      <c r="G1" s="122"/>
      <c r="H1" s="122"/>
      <c r="I1" s="123"/>
    </row>
    <row r="2" spans="1:9" ht="51.75" customHeight="1" x14ac:dyDescent="0.25">
      <c r="A2" s="124" t="s">
        <v>87</v>
      </c>
      <c r="B2" s="124" t="s">
        <v>88</v>
      </c>
      <c r="C2" s="125" t="s">
        <v>89</v>
      </c>
      <c r="D2" s="1102" t="str">
        <f>'Gala Setup'!S4</f>
        <v>NASL.2023 V6</v>
      </c>
      <c r="E2" s="1102"/>
      <c r="F2" s="126" t="s">
        <v>90</v>
      </c>
      <c r="G2" s="127" t="s">
        <v>91</v>
      </c>
      <c r="H2" s="128" t="s">
        <v>92</v>
      </c>
      <c r="I2" s="128" t="s">
        <v>93</v>
      </c>
    </row>
    <row r="3" spans="1:9" x14ac:dyDescent="0.25">
      <c r="A3" t="s">
        <v>94</v>
      </c>
      <c r="B3" s="115" t="s">
        <v>95</v>
      </c>
      <c r="C3" t="s">
        <v>96</v>
      </c>
      <c r="D3" s="118"/>
      <c r="E3" s="118"/>
      <c r="F3" s="116" t="s">
        <v>90</v>
      </c>
      <c r="G3" t="s">
        <v>91</v>
      </c>
      <c r="H3" s="117" t="s">
        <v>97</v>
      </c>
      <c r="I3" s="117" t="s">
        <v>93</v>
      </c>
    </row>
    <row r="4" spans="1:9" x14ac:dyDescent="0.25">
      <c r="A4" t="s">
        <v>98</v>
      </c>
      <c r="B4" s="115" t="s">
        <v>99</v>
      </c>
      <c r="C4" s="129">
        <v>1930</v>
      </c>
      <c r="D4" s="118"/>
      <c r="E4" s="118"/>
      <c r="F4" s="116" t="s">
        <v>94</v>
      </c>
      <c r="G4" t="s">
        <v>95</v>
      </c>
      <c r="H4" s="117" t="s">
        <v>100</v>
      </c>
      <c r="I4" s="117" t="s">
        <v>101</v>
      </c>
    </row>
    <row r="5" spans="1:9" x14ac:dyDescent="0.25">
      <c r="A5" t="s">
        <v>102</v>
      </c>
      <c r="B5" s="115" t="s">
        <v>103</v>
      </c>
      <c r="C5" t="s">
        <v>104</v>
      </c>
      <c r="D5" s="118"/>
      <c r="E5" s="118"/>
      <c r="F5" s="116" t="s">
        <v>98</v>
      </c>
      <c r="G5" t="s">
        <v>99</v>
      </c>
      <c r="H5" s="117" t="s">
        <v>105</v>
      </c>
      <c r="I5" s="117" t="s">
        <v>106</v>
      </c>
    </row>
    <row r="6" spans="1:9" x14ac:dyDescent="0.25">
      <c r="A6" t="s">
        <v>107</v>
      </c>
      <c r="B6" s="115" t="s">
        <v>108</v>
      </c>
      <c r="C6" t="s">
        <v>109</v>
      </c>
      <c r="D6" s="118"/>
      <c r="E6" s="118"/>
      <c r="F6" s="116" t="s">
        <v>102</v>
      </c>
      <c r="G6" t="s">
        <v>103</v>
      </c>
      <c r="H6" s="117" t="s">
        <v>100</v>
      </c>
      <c r="I6" s="117" t="s">
        <v>110</v>
      </c>
    </row>
    <row r="7" spans="1:9" x14ac:dyDescent="0.25">
      <c r="A7" t="s">
        <v>111</v>
      </c>
      <c r="B7" s="115" t="s">
        <v>112</v>
      </c>
      <c r="C7" t="s">
        <v>111</v>
      </c>
      <c r="D7" s="118"/>
      <c r="E7" s="118"/>
      <c r="F7" s="116" t="s">
        <v>113</v>
      </c>
      <c r="G7" t="s">
        <v>114</v>
      </c>
      <c r="H7" s="117" t="s">
        <v>115</v>
      </c>
      <c r="I7" s="117" t="s">
        <v>116</v>
      </c>
    </row>
    <row r="8" spans="1:9" x14ac:dyDescent="0.25">
      <c r="A8" t="s">
        <v>117</v>
      </c>
      <c r="B8" s="115" t="s">
        <v>118</v>
      </c>
      <c r="C8" t="s">
        <v>119</v>
      </c>
      <c r="D8" s="118"/>
      <c r="E8" s="118"/>
      <c r="F8" s="116" t="s">
        <v>111</v>
      </c>
      <c r="G8" t="s">
        <v>112</v>
      </c>
      <c r="H8" s="117" t="s">
        <v>115</v>
      </c>
      <c r="I8" s="117" t="s">
        <v>116</v>
      </c>
    </row>
    <row r="9" spans="1:9" x14ac:dyDescent="0.25">
      <c r="A9" t="s">
        <v>120</v>
      </c>
      <c r="B9" s="115" t="s">
        <v>121</v>
      </c>
      <c r="C9" t="s">
        <v>122</v>
      </c>
      <c r="D9" s="118"/>
      <c r="E9" s="118"/>
      <c r="F9" s="116" t="s">
        <v>117</v>
      </c>
      <c r="G9" t="s">
        <v>118</v>
      </c>
      <c r="H9" s="117" t="s">
        <v>115</v>
      </c>
      <c r="I9" s="117" t="s">
        <v>123</v>
      </c>
    </row>
    <row r="10" spans="1:9" x14ac:dyDescent="0.25">
      <c r="A10" t="s">
        <v>124</v>
      </c>
      <c r="B10" s="115" t="s">
        <v>125</v>
      </c>
      <c r="C10" t="s">
        <v>126</v>
      </c>
      <c r="D10" s="118"/>
      <c r="E10" s="118"/>
      <c r="F10" s="116" t="s">
        <v>120</v>
      </c>
      <c r="G10" t="s">
        <v>121</v>
      </c>
      <c r="H10" s="117" t="s">
        <v>105</v>
      </c>
      <c r="I10" s="117" t="s">
        <v>127</v>
      </c>
    </row>
    <row r="11" spans="1:9" x14ac:dyDescent="0.25">
      <c r="A11" t="s">
        <v>128</v>
      </c>
      <c r="B11" s="115" t="s">
        <v>129</v>
      </c>
      <c r="C11" t="s">
        <v>130</v>
      </c>
      <c r="D11" s="118"/>
      <c r="E11" s="118"/>
      <c r="F11" s="116" t="s">
        <v>124</v>
      </c>
      <c r="G11" t="s">
        <v>125</v>
      </c>
      <c r="H11" s="117" t="s">
        <v>105</v>
      </c>
      <c r="I11" s="117" t="s">
        <v>127</v>
      </c>
    </row>
    <row r="12" spans="1:9" x14ac:dyDescent="0.25">
      <c r="A12" t="s">
        <v>131</v>
      </c>
      <c r="B12" s="115" t="s">
        <v>132</v>
      </c>
      <c r="C12" t="s">
        <v>133</v>
      </c>
      <c r="D12" s="118"/>
      <c r="E12" s="118"/>
      <c r="F12" s="116" t="s">
        <v>128</v>
      </c>
      <c r="G12" t="s">
        <v>129</v>
      </c>
      <c r="H12" s="117" t="s">
        <v>105</v>
      </c>
      <c r="I12" s="117" t="s">
        <v>127</v>
      </c>
    </row>
    <row r="13" spans="1:9" x14ac:dyDescent="0.25">
      <c r="A13" t="s">
        <v>134</v>
      </c>
      <c r="B13" s="115" t="s">
        <v>135</v>
      </c>
      <c r="C13" t="s">
        <v>136</v>
      </c>
      <c r="D13" s="118"/>
      <c r="E13" s="118"/>
      <c r="F13" s="116" t="s">
        <v>131</v>
      </c>
      <c r="G13" t="s">
        <v>132</v>
      </c>
      <c r="H13" s="117" t="s">
        <v>105</v>
      </c>
      <c r="I13" s="117" t="s">
        <v>127</v>
      </c>
    </row>
    <row r="14" spans="1:9" x14ac:dyDescent="0.25">
      <c r="A14" t="s">
        <v>137</v>
      </c>
      <c r="B14" s="115" t="s">
        <v>138</v>
      </c>
      <c r="C14" t="s">
        <v>139</v>
      </c>
      <c r="D14" s="118"/>
      <c r="E14" s="118"/>
      <c r="F14" s="116" t="s">
        <v>140</v>
      </c>
      <c r="G14" t="s">
        <v>135</v>
      </c>
      <c r="H14" s="117" t="s">
        <v>105</v>
      </c>
      <c r="I14" s="117" t="s">
        <v>127</v>
      </c>
    </row>
    <row r="15" spans="1:9" x14ac:dyDescent="0.25">
      <c r="A15" t="s">
        <v>141</v>
      </c>
      <c r="B15" s="115" t="s">
        <v>142</v>
      </c>
      <c r="C15" t="s">
        <v>143</v>
      </c>
      <c r="D15" s="118"/>
      <c r="E15" s="118"/>
      <c r="F15" s="116" t="s">
        <v>137</v>
      </c>
      <c r="G15" t="s">
        <v>138</v>
      </c>
      <c r="H15" s="117" t="s">
        <v>115</v>
      </c>
      <c r="I15" s="117" t="s">
        <v>123</v>
      </c>
    </row>
    <row r="16" spans="1:9" x14ac:dyDescent="0.25">
      <c r="A16" t="s">
        <v>144</v>
      </c>
      <c r="B16" s="115" t="s">
        <v>145</v>
      </c>
      <c r="C16" t="s">
        <v>144</v>
      </c>
      <c r="D16" s="118"/>
      <c r="E16" s="118"/>
      <c r="F16" s="116" t="s">
        <v>141</v>
      </c>
      <c r="G16" t="s">
        <v>142</v>
      </c>
      <c r="H16" s="117" t="s">
        <v>115</v>
      </c>
      <c r="I16" s="117" t="s">
        <v>123</v>
      </c>
    </row>
    <row r="17" spans="1:9" x14ac:dyDescent="0.25">
      <c r="A17" t="s">
        <v>146</v>
      </c>
      <c r="B17" s="115" t="s">
        <v>147</v>
      </c>
      <c r="C17" t="s">
        <v>148</v>
      </c>
      <c r="D17" s="118"/>
      <c r="E17" s="118"/>
      <c r="F17" s="116" t="s">
        <v>144</v>
      </c>
      <c r="G17" t="s">
        <v>145</v>
      </c>
      <c r="H17" s="117" t="s">
        <v>115</v>
      </c>
      <c r="I17" s="117" t="s">
        <v>116</v>
      </c>
    </row>
    <row r="18" spans="1:9" x14ac:dyDescent="0.25">
      <c r="A18" t="s">
        <v>149</v>
      </c>
      <c r="B18" s="115" t="s">
        <v>150</v>
      </c>
      <c r="C18" t="s">
        <v>151</v>
      </c>
      <c r="D18" s="118"/>
      <c r="E18" s="118"/>
      <c r="F18" s="116" t="s">
        <v>152</v>
      </c>
      <c r="G18" t="s">
        <v>153</v>
      </c>
      <c r="H18" s="117" t="s">
        <v>100</v>
      </c>
      <c r="I18" s="117" t="s">
        <v>110</v>
      </c>
    </row>
    <row r="19" spans="1:9" x14ac:dyDescent="0.25">
      <c r="A19" t="s">
        <v>154</v>
      </c>
      <c r="B19" s="115" t="s">
        <v>155</v>
      </c>
      <c r="C19" t="s">
        <v>156</v>
      </c>
      <c r="D19" s="118"/>
      <c r="E19" s="118"/>
      <c r="F19" s="116" t="s">
        <v>146</v>
      </c>
      <c r="G19" t="s">
        <v>147</v>
      </c>
      <c r="H19" s="117" t="s">
        <v>100</v>
      </c>
      <c r="I19" s="117" t="s">
        <v>110</v>
      </c>
    </row>
    <row r="20" spans="1:9" x14ac:dyDescent="0.25">
      <c r="A20" t="s">
        <v>157</v>
      </c>
      <c r="B20" s="115" t="s">
        <v>158</v>
      </c>
      <c r="C20" t="s">
        <v>159</v>
      </c>
      <c r="D20" s="118"/>
      <c r="E20" s="118"/>
      <c r="F20" s="116" t="s">
        <v>149</v>
      </c>
      <c r="G20" t="s">
        <v>150</v>
      </c>
      <c r="H20" s="117" t="s">
        <v>160</v>
      </c>
      <c r="I20" s="117" t="s">
        <v>161</v>
      </c>
    </row>
    <row r="21" spans="1:9" x14ac:dyDescent="0.25">
      <c r="A21" t="s">
        <v>162</v>
      </c>
      <c r="B21" s="115" t="s">
        <v>163</v>
      </c>
      <c r="C21" t="s">
        <v>164</v>
      </c>
      <c r="D21" s="118"/>
      <c r="E21" s="118"/>
      <c r="F21" s="116" t="s">
        <v>154</v>
      </c>
      <c r="G21" t="s">
        <v>155</v>
      </c>
      <c r="H21" s="117" t="s">
        <v>165</v>
      </c>
      <c r="I21" s="117" t="s">
        <v>166</v>
      </c>
    </row>
    <row r="22" spans="1:9" x14ac:dyDescent="0.25">
      <c r="A22" t="s">
        <v>167</v>
      </c>
      <c r="B22" s="115" t="s">
        <v>168</v>
      </c>
      <c r="C22" t="s">
        <v>169</v>
      </c>
      <c r="D22" s="118"/>
      <c r="E22" s="118"/>
      <c r="F22" s="116" t="s">
        <v>157</v>
      </c>
      <c r="G22" t="s">
        <v>158</v>
      </c>
      <c r="H22" s="117" t="s">
        <v>170</v>
      </c>
      <c r="I22" s="117" t="s">
        <v>171</v>
      </c>
    </row>
    <row r="23" spans="1:9" x14ac:dyDescent="0.25">
      <c r="A23" t="s">
        <v>172</v>
      </c>
      <c r="B23" s="115" t="s">
        <v>173</v>
      </c>
      <c r="C23" t="s">
        <v>172</v>
      </c>
      <c r="D23" s="118"/>
      <c r="E23" s="118"/>
      <c r="F23" s="116" t="s">
        <v>162</v>
      </c>
      <c r="G23" t="s">
        <v>163</v>
      </c>
      <c r="H23" s="117" t="s">
        <v>105</v>
      </c>
      <c r="I23" s="117" t="s">
        <v>174</v>
      </c>
    </row>
    <row r="24" spans="1:9" x14ac:dyDescent="0.25">
      <c r="A24" t="s">
        <v>175</v>
      </c>
      <c r="B24" s="115" t="s">
        <v>176</v>
      </c>
      <c r="C24" t="s">
        <v>177</v>
      </c>
      <c r="D24" s="118"/>
      <c r="E24" s="118"/>
      <c r="F24" s="116" t="s">
        <v>167</v>
      </c>
      <c r="G24" t="s">
        <v>168</v>
      </c>
      <c r="H24" s="117" t="s">
        <v>170</v>
      </c>
      <c r="I24" s="117" t="s">
        <v>171</v>
      </c>
    </row>
    <row r="25" spans="1:9" x14ac:dyDescent="0.25">
      <c r="A25" t="s">
        <v>178</v>
      </c>
      <c r="B25" s="115" t="s">
        <v>179</v>
      </c>
      <c r="C25" t="s">
        <v>180</v>
      </c>
      <c r="D25" s="118"/>
      <c r="E25" s="118"/>
      <c r="F25" s="116" t="s">
        <v>172</v>
      </c>
      <c r="G25" t="s">
        <v>173</v>
      </c>
      <c r="H25" s="117" t="s">
        <v>100</v>
      </c>
      <c r="I25" s="117" t="s">
        <v>181</v>
      </c>
    </row>
    <row r="26" spans="1:9" x14ac:dyDescent="0.25">
      <c r="A26" t="s">
        <v>182</v>
      </c>
      <c r="B26" s="115" t="s">
        <v>183</v>
      </c>
      <c r="C26" t="s">
        <v>184</v>
      </c>
      <c r="D26" s="118"/>
      <c r="E26" s="118"/>
      <c r="F26" s="116" t="s">
        <v>185</v>
      </c>
      <c r="G26" t="s">
        <v>186</v>
      </c>
      <c r="H26" s="117" t="s">
        <v>100</v>
      </c>
      <c r="I26" s="117" t="s">
        <v>187</v>
      </c>
    </row>
    <row r="27" spans="1:9" x14ac:dyDescent="0.25">
      <c r="A27" t="s">
        <v>188</v>
      </c>
      <c r="B27" s="115" t="s">
        <v>189</v>
      </c>
      <c r="C27" t="s">
        <v>190</v>
      </c>
      <c r="D27" s="118"/>
      <c r="E27" s="118"/>
      <c r="F27" s="116" t="s">
        <v>175</v>
      </c>
      <c r="G27" t="s">
        <v>176</v>
      </c>
      <c r="H27" s="117" t="s">
        <v>105</v>
      </c>
      <c r="I27" s="117" t="s">
        <v>127</v>
      </c>
    </row>
    <row r="28" spans="1:9" x14ac:dyDescent="0.25">
      <c r="A28" t="s">
        <v>191</v>
      </c>
      <c r="B28" s="115" t="s">
        <v>192</v>
      </c>
      <c r="C28" t="s">
        <v>193</v>
      </c>
      <c r="D28" s="118"/>
      <c r="E28" s="118"/>
      <c r="F28" s="116" t="s">
        <v>178</v>
      </c>
      <c r="G28" t="s">
        <v>179</v>
      </c>
      <c r="H28" s="117" t="s">
        <v>194</v>
      </c>
      <c r="I28" s="117" t="s">
        <v>195</v>
      </c>
    </row>
    <row r="29" spans="1:9" x14ac:dyDescent="0.25">
      <c r="A29" t="s">
        <v>196</v>
      </c>
      <c r="B29" s="115" t="s">
        <v>197</v>
      </c>
      <c r="C29" t="s">
        <v>198</v>
      </c>
      <c r="D29" s="118"/>
      <c r="E29" s="118"/>
      <c r="F29" s="116" t="s">
        <v>182</v>
      </c>
      <c r="G29" t="s">
        <v>183</v>
      </c>
      <c r="H29" s="117" t="s">
        <v>105</v>
      </c>
      <c r="I29" s="117" t="s">
        <v>174</v>
      </c>
    </row>
    <row r="30" spans="1:9" x14ac:dyDescent="0.25">
      <c r="A30" t="s">
        <v>199</v>
      </c>
      <c r="B30" s="115" t="s">
        <v>200</v>
      </c>
      <c r="C30" t="s">
        <v>201</v>
      </c>
      <c r="D30" s="118"/>
      <c r="E30" s="118"/>
      <c r="F30" s="116" t="s">
        <v>188</v>
      </c>
      <c r="G30" t="s">
        <v>189</v>
      </c>
      <c r="H30" s="117" t="s">
        <v>170</v>
      </c>
      <c r="I30" s="117" t="s">
        <v>202</v>
      </c>
    </row>
    <row r="31" spans="1:9" x14ac:dyDescent="0.25">
      <c r="A31" t="s">
        <v>203</v>
      </c>
      <c r="B31" s="115" t="s">
        <v>204</v>
      </c>
      <c r="C31" t="s">
        <v>205</v>
      </c>
      <c r="D31" s="118"/>
      <c r="E31" s="118"/>
      <c r="F31" s="116" t="s">
        <v>191</v>
      </c>
      <c r="G31" t="s">
        <v>192</v>
      </c>
      <c r="H31" s="117" t="s">
        <v>165</v>
      </c>
      <c r="I31" s="117" t="s">
        <v>206</v>
      </c>
    </row>
    <row r="32" spans="1:9" x14ac:dyDescent="0.25">
      <c r="A32" t="s">
        <v>207</v>
      </c>
      <c r="B32" s="115" t="s">
        <v>208</v>
      </c>
      <c r="C32" t="s">
        <v>207</v>
      </c>
      <c r="D32" s="118"/>
      <c r="E32" s="118"/>
      <c r="F32" s="116" t="s">
        <v>196</v>
      </c>
      <c r="G32" t="s">
        <v>197</v>
      </c>
      <c r="H32" s="117" t="s">
        <v>100</v>
      </c>
      <c r="I32" s="117" t="s">
        <v>187</v>
      </c>
    </row>
    <row r="33" spans="1:9" x14ac:dyDescent="0.25">
      <c r="A33" t="s">
        <v>209</v>
      </c>
      <c r="B33" s="115" t="s">
        <v>210</v>
      </c>
      <c r="C33" t="s">
        <v>211</v>
      </c>
      <c r="D33" s="118"/>
      <c r="E33" s="118"/>
      <c r="F33" s="116" t="s">
        <v>199</v>
      </c>
      <c r="G33" t="s">
        <v>200</v>
      </c>
      <c r="H33" s="117" t="s">
        <v>165</v>
      </c>
      <c r="I33" s="117" t="s">
        <v>206</v>
      </c>
    </row>
    <row r="34" spans="1:9" x14ac:dyDescent="0.25">
      <c r="A34" t="s">
        <v>212</v>
      </c>
      <c r="B34" s="115" t="s">
        <v>213</v>
      </c>
      <c r="C34" t="s">
        <v>214</v>
      </c>
      <c r="D34" s="118"/>
      <c r="E34" s="118"/>
      <c r="F34" s="116" t="s">
        <v>203</v>
      </c>
      <c r="G34" t="s">
        <v>204</v>
      </c>
      <c r="H34" s="117" t="s">
        <v>100</v>
      </c>
      <c r="I34" s="117" t="s">
        <v>181</v>
      </c>
    </row>
    <row r="35" spans="1:9" x14ac:dyDescent="0.25">
      <c r="A35" t="s">
        <v>215</v>
      </c>
      <c r="B35" s="115" t="s">
        <v>216</v>
      </c>
      <c r="C35" t="s">
        <v>215</v>
      </c>
      <c r="D35" s="118"/>
      <c r="E35" s="118"/>
      <c r="F35" s="116" t="s">
        <v>207</v>
      </c>
      <c r="G35" t="s">
        <v>208</v>
      </c>
      <c r="H35" s="117" t="s">
        <v>115</v>
      </c>
      <c r="I35" s="117" t="s">
        <v>116</v>
      </c>
    </row>
    <row r="36" spans="1:9" x14ac:dyDescent="0.25">
      <c r="A36" t="s">
        <v>217</v>
      </c>
      <c r="B36" s="115" t="s">
        <v>218</v>
      </c>
      <c r="C36" t="s">
        <v>219</v>
      </c>
      <c r="D36" s="118"/>
      <c r="E36" s="118"/>
      <c r="F36" s="116" t="s">
        <v>209</v>
      </c>
      <c r="G36" t="s">
        <v>210</v>
      </c>
      <c r="H36" s="117" t="s">
        <v>220</v>
      </c>
      <c r="I36" s="117" t="s">
        <v>221</v>
      </c>
    </row>
    <row r="37" spans="1:9" x14ac:dyDescent="0.25">
      <c r="A37" t="s">
        <v>222</v>
      </c>
      <c r="B37" s="115" t="s">
        <v>223</v>
      </c>
      <c r="C37" t="s">
        <v>224</v>
      </c>
      <c r="D37" s="118"/>
      <c r="E37" s="118"/>
      <c r="F37" s="116" t="s">
        <v>212</v>
      </c>
      <c r="G37" t="s">
        <v>213</v>
      </c>
      <c r="H37" s="117" t="s">
        <v>100</v>
      </c>
      <c r="I37" s="117" t="s">
        <v>187</v>
      </c>
    </row>
    <row r="38" spans="1:9" ht="12" customHeight="1" x14ac:dyDescent="0.25">
      <c r="A38" t="s">
        <v>225</v>
      </c>
      <c r="B38" s="115" t="s">
        <v>226</v>
      </c>
      <c r="C38" t="s">
        <v>227</v>
      </c>
      <c r="D38" s="118"/>
      <c r="E38" s="118"/>
      <c r="F38" s="116" t="s">
        <v>215</v>
      </c>
      <c r="G38" t="s">
        <v>216</v>
      </c>
      <c r="H38" s="117" t="s">
        <v>105</v>
      </c>
      <c r="I38" s="117" t="s">
        <v>174</v>
      </c>
    </row>
    <row r="39" spans="1:9" ht="12" customHeight="1" x14ac:dyDescent="0.25">
      <c r="A39" t="s">
        <v>228</v>
      </c>
      <c r="B39" s="115" t="s">
        <v>229</v>
      </c>
      <c r="C39" t="s">
        <v>230</v>
      </c>
      <c r="D39" s="118"/>
      <c r="E39" s="118"/>
      <c r="F39" s="116" t="s">
        <v>231</v>
      </c>
      <c r="G39" t="s">
        <v>232</v>
      </c>
      <c r="H39" s="117" t="s">
        <v>165</v>
      </c>
      <c r="I39" s="117" t="s">
        <v>233</v>
      </c>
    </row>
    <row r="40" spans="1:9" ht="12" customHeight="1" x14ac:dyDescent="0.25">
      <c r="A40" t="s">
        <v>234</v>
      </c>
      <c r="B40" s="115" t="s">
        <v>235</v>
      </c>
      <c r="C40" t="s">
        <v>236</v>
      </c>
      <c r="D40" s="118"/>
      <c r="E40" s="118"/>
      <c r="F40" s="116" t="s">
        <v>237</v>
      </c>
      <c r="G40" t="s">
        <v>238</v>
      </c>
      <c r="H40" s="117" t="s">
        <v>170</v>
      </c>
      <c r="I40" s="117" t="s">
        <v>171</v>
      </c>
    </row>
    <row r="41" spans="1:9" x14ac:dyDescent="0.25">
      <c r="A41" t="s">
        <v>239</v>
      </c>
      <c r="B41" s="115" t="s">
        <v>240</v>
      </c>
      <c r="C41" t="s">
        <v>241</v>
      </c>
      <c r="D41" s="118"/>
      <c r="E41" s="118"/>
      <c r="F41" s="116" t="s">
        <v>217</v>
      </c>
      <c r="G41" t="s">
        <v>218</v>
      </c>
      <c r="H41" s="117" t="s">
        <v>100</v>
      </c>
      <c r="I41" s="117" t="s">
        <v>187</v>
      </c>
    </row>
    <row r="42" spans="1:9" x14ac:dyDescent="0.25">
      <c r="A42" t="s">
        <v>242</v>
      </c>
      <c r="B42" s="115" t="s">
        <v>243</v>
      </c>
      <c r="C42" t="s">
        <v>244</v>
      </c>
      <c r="D42" s="118"/>
      <c r="E42" s="118"/>
      <c r="F42" s="116" t="s">
        <v>222</v>
      </c>
      <c r="G42" t="s">
        <v>223</v>
      </c>
      <c r="H42" s="117" t="s">
        <v>170</v>
      </c>
      <c r="I42" s="117" t="s">
        <v>202</v>
      </c>
    </row>
    <row r="43" spans="1:9" x14ac:dyDescent="0.25">
      <c r="A43" t="s">
        <v>245</v>
      </c>
      <c r="B43" s="115" t="s">
        <v>246</v>
      </c>
      <c r="C43" t="s">
        <v>247</v>
      </c>
      <c r="D43" s="118"/>
      <c r="E43" s="118"/>
      <c r="F43" s="116" t="s">
        <v>248</v>
      </c>
      <c r="G43" t="s">
        <v>249</v>
      </c>
      <c r="H43" s="117" t="s">
        <v>100</v>
      </c>
      <c r="I43" s="117" t="s">
        <v>250</v>
      </c>
    </row>
    <row r="44" spans="1:9" x14ac:dyDescent="0.25">
      <c r="A44" t="s">
        <v>251</v>
      </c>
      <c r="B44" s="115" t="s">
        <v>252</v>
      </c>
      <c r="C44" t="s">
        <v>251</v>
      </c>
      <c r="D44" s="118"/>
      <c r="E44" s="118"/>
      <c r="F44" s="116" t="s">
        <v>225</v>
      </c>
      <c r="G44" t="s">
        <v>226</v>
      </c>
      <c r="H44" s="117" t="s">
        <v>165</v>
      </c>
      <c r="I44" s="117" t="s">
        <v>166</v>
      </c>
    </row>
    <row r="45" spans="1:9" x14ac:dyDescent="0.25">
      <c r="A45" t="s">
        <v>253</v>
      </c>
      <c r="B45" s="115" t="s">
        <v>254</v>
      </c>
      <c r="C45" t="s">
        <v>255</v>
      </c>
      <c r="D45" s="118"/>
      <c r="E45" s="118"/>
      <c r="F45" s="116" t="s">
        <v>228</v>
      </c>
      <c r="G45" t="s">
        <v>229</v>
      </c>
      <c r="H45" s="117" t="s">
        <v>170</v>
      </c>
      <c r="I45" s="117" t="s">
        <v>202</v>
      </c>
    </row>
    <row r="46" spans="1:9" x14ac:dyDescent="0.25">
      <c r="A46" t="s">
        <v>256</v>
      </c>
      <c r="B46" s="115" t="s">
        <v>257</v>
      </c>
      <c r="C46" t="s">
        <v>258</v>
      </c>
      <c r="D46" s="118"/>
      <c r="E46" s="118"/>
      <c r="F46" s="116" t="s">
        <v>259</v>
      </c>
      <c r="G46" t="s">
        <v>235</v>
      </c>
      <c r="H46" s="117" t="s">
        <v>260</v>
      </c>
      <c r="I46" s="117" t="s">
        <v>261</v>
      </c>
    </row>
    <row r="47" spans="1:9" x14ac:dyDescent="0.25">
      <c r="A47" t="s">
        <v>262</v>
      </c>
      <c r="B47" s="115" t="s">
        <v>263</v>
      </c>
      <c r="C47" t="s">
        <v>264</v>
      </c>
      <c r="D47" s="118"/>
      <c r="E47" s="118"/>
      <c r="F47" s="116" t="s">
        <v>239</v>
      </c>
      <c r="G47" t="s">
        <v>240</v>
      </c>
      <c r="H47" s="117" t="s">
        <v>105</v>
      </c>
      <c r="I47" s="117" t="s">
        <v>106</v>
      </c>
    </row>
    <row r="48" spans="1:9" x14ac:dyDescent="0.25">
      <c r="A48" t="s">
        <v>265</v>
      </c>
      <c r="B48" s="115" t="s">
        <v>266</v>
      </c>
      <c r="C48" t="s">
        <v>267</v>
      </c>
      <c r="D48" s="118"/>
      <c r="E48" s="118"/>
      <c r="F48" s="116" t="s">
        <v>245</v>
      </c>
      <c r="G48" t="s">
        <v>246</v>
      </c>
      <c r="H48" s="117" t="s">
        <v>220</v>
      </c>
      <c r="I48" s="117" t="s">
        <v>221</v>
      </c>
    </row>
    <row r="49" spans="1:9" x14ac:dyDescent="0.25">
      <c r="A49" t="s">
        <v>268</v>
      </c>
      <c r="B49" s="115" t="s">
        <v>269</v>
      </c>
      <c r="C49" t="s">
        <v>270</v>
      </c>
      <c r="D49" s="118"/>
      <c r="E49" s="118"/>
      <c r="F49" s="116" t="s">
        <v>271</v>
      </c>
      <c r="G49" t="s">
        <v>272</v>
      </c>
      <c r="H49" s="117" t="s">
        <v>100</v>
      </c>
      <c r="I49" s="117" t="s">
        <v>101</v>
      </c>
    </row>
    <row r="50" spans="1:9" x14ac:dyDescent="0.25">
      <c r="A50" t="s">
        <v>273</v>
      </c>
      <c r="B50" s="115" t="s">
        <v>274</v>
      </c>
      <c r="C50" t="s">
        <v>275</v>
      </c>
      <c r="D50" s="118"/>
      <c r="E50" s="118"/>
      <c r="F50" s="116" t="s">
        <v>251</v>
      </c>
      <c r="G50" t="s">
        <v>252</v>
      </c>
      <c r="H50" s="117" t="s">
        <v>115</v>
      </c>
      <c r="I50" s="117" t="s">
        <v>276</v>
      </c>
    </row>
    <row r="51" spans="1:9" ht="12" customHeight="1" x14ac:dyDescent="0.25">
      <c r="A51" t="s">
        <v>277</v>
      </c>
      <c r="B51" s="115" t="s">
        <v>278</v>
      </c>
      <c r="C51" t="s">
        <v>279</v>
      </c>
      <c r="D51" s="118"/>
      <c r="E51" s="118"/>
      <c r="F51" s="116" t="s">
        <v>253</v>
      </c>
      <c r="G51" t="s">
        <v>254</v>
      </c>
      <c r="H51" s="117" t="s">
        <v>105</v>
      </c>
      <c r="I51" s="117" t="s">
        <v>280</v>
      </c>
    </row>
    <row r="52" spans="1:9" ht="12" customHeight="1" x14ac:dyDescent="0.25">
      <c r="A52" t="s">
        <v>281</v>
      </c>
      <c r="B52" s="115" t="s">
        <v>282</v>
      </c>
      <c r="C52" t="s">
        <v>283</v>
      </c>
      <c r="D52" s="118"/>
      <c r="E52" s="118"/>
      <c r="F52" s="116" t="s">
        <v>256</v>
      </c>
      <c r="G52" t="s">
        <v>257</v>
      </c>
      <c r="H52" s="117" t="s">
        <v>105</v>
      </c>
      <c r="I52" s="117" t="s">
        <v>106</v>
      </c>
    </row>
    <row r="53" spans="1:9" ht="12" customHeight="1" x14ac:dyDescent="0.25">
      <c r="A53" t="s">
        <v>284</v>
      </c>
      <c r="B53" s="115" t="s">
        <v>285</v>
      </c>
      <c r="C53" t="s">
        <v>286</v>
      </c>
      <c r="D53" s="118"/>
      <c r="E53" s="118"/>
      <c r="F53" s="116" t="s">
        <v>262</v>
      </c>
      <c r="G53" t="s">
        <v>263</v>
      </c>
      <c r="H53" s="117" t="s">
        <v>170</v>
      </c>
      <c r="I53" s="117" t="s">
        <v>171</v>
      </c>
    </row>
    <row r="54" spans="1:9" x14ac:dyDescent="0.25">
      <c r="A54" t="s">
        <v>287</v>
      </c>
      <c r="B54" s="115" t="s">
        <v>288</v>
      </c>
      <c r="C54" t="s">
        <v>289</v>
      </c>
      <c r="D54" s="118"/>
      <c r="E54" s="118"/>
      <c r="F54" s="116" t="s">
        <v>265</v>
      </c>
      <c r="G54" t="s">
        <v>266</v>
      </c>
      <c r="H54" s="117" t="s">
        <v>194</v>
      </c>
      <c r="I54" s="117" t="s">
        <v>290</v>
      </c>
    </row>
    <row r="55" spans="1:9" x14ac:dyDescent="0.25">
      <c r="A55" t="s">
        <v>291</v>
      </c>
      <c r="B55" s="115" t="s">
        <v>292</v>
      </c>
      <c r="C55" t="s">
        <v>293</v>
      </c>
      <c r="D55" s="118"/>
      <c r="E55" s="118"/>
      <c r="F55" s="116" t="s">
        <v>273</v>
      </c>
      <c r="G55" t="s">
        <v>274</v>
      </c>
      <c r="H55" s="117" t="s">
        <v>294</v>
      </c>
      <c r="I55" s="117" t="s">
        <v>295</v>
      </c>
    </row>
    <row r="56" spans="1:9" x14ac:dyDescent="0.25">
      <c r="A56" t="s">
        <v>296</v>
      </c>
      <c r="B56" s="115" t="s">
        <v>297</v>
      </c>
      <c r="C56" t="s">
        <v>298</v>
      </c>
      <c r="D56" s="118"/>
      <c r="E56" s="118"/>
      <c r="F56" s="116" t="s">
        <v>277</v>
      </c>
      <c r="G56" t="s">
        <v>278</v>
      </c>
      <c r="H56" s="117" t="s">
        <v>194</v>
      </c>
      <c r="I56" s="117" t="s">
        <v>299</v>
      </c>
    </row>
    <row r="57" spans="1:9" x14ac:dyDescent="0.25">
      <c r="A57" t="s">
        <v>300</v>
      </c>
      <c r="B57" s="115" t="s">
        <v>301</v>
      </c>
      <c r="C57" t="s">
        <v>302</v>
      </c>
      <c r="D57" s="118"/>
      <c r="E57" s="118"/>
      <c r="F57" s="116" t="s">
        <v>284</v>
      </c>
      <c r="G57" t="s">
        <v>285</v>
      </c>
      <c r="H57" s="117" t="s">
        <v>194</v>
      </c>
      <c r="I57" s="117" t="s">
        <v>195</v>
      </c>
    </row>
    <row r="58" spans="1:9" x14ac:dyDescent="0.25">
      <c r="A58" t="s">
        <v>303</v>
      </c>
      <c r="B58" s="115" t="s">
        <v>304</v>
      </c>
      <c r="C58" t="s">
        <v>305</v>
      </c>
      <c r="D58" s="118"/>
      <c r="E58" s="118"/>
      <c r="F58" s="116" t="s">
        <v>287</v>
      </c>
      <c r="G58" t="s">
        <v>288</v>
      </c>
      <c r="H58" s="117" t="s">
        <v>100</v>
      </c>
      <c r="I58" s="117" t="s">
        <v>250</v>
      </c>
    </row>
    <row r="59" spans="1:9" x14ac:dyDescent="0.25">
      <c r="A59" t="s">
        <v>306</v>
      </c>
      <c r="B59" s="115" t="s">
        <v>307</v>
      </c>
      <c r="C59" t="s">
        <v>308</v>
      </c>
      <c r="D59" s="118"/>
      <c r="E59" s="118"/>
      <c r="F59" s="116" t="s">
        <v>291</v>
      </c>
      <c r="G59" t="s">
        <v>292</v>
      </c>
      <c r="H59" s="117" t="s">
        <v>100</v>
      </c>
      <c r="I59" s="117" t="s">
        <v>250</v>
      </c>
    </row>
    <row r="60" spans="1:9" x14ac:dyDescent="0.25">
      <c r="A60" t="s">
        <v>309</v>
      </c>
      <c r="B60" s="115" t="s">
        <v>310</v>
      </c>
      <c r="C60" t="s">
        <v>311</v>
      </c>
      <c r="D60" s="118"/>
      <c r="E60" s="118"/>
      <c r="F60" s="116" t="s">
        <v>296</v>
      </c>
      <c r="G60" t="s">
        <v>297</v>
      </c>
      <c r="H60" s="117" t="s">
        <v>170</v>
      </c>
      <c r="I60" s="117" t="s">
        <v>202</v>
      </c>
    </row>
    <row r="61" spans="1:9" x14ac:dyDescent="0.25">
      <c r="A61" t="s">
        <v>312</v>
      </c>
      <c r="B61" s="115" t="s">
        <v>313</v>
      </c>
      <c r="C61" t="s">
        <v>314</v>
      </c>
      <c r="D61" s="118"/>
      <c r="E61" s="118"/>
      <c r="F61" s="116" t="s">
        <v>300</v>
      </c>
      <c r="G61" t="s">
        <v>301</v>
      </c>
      <c r="H61" s="117" t="s">
        <v>165</v>
      </c>
      <c r="I61" s="117" t="s">
        <v>166</v>
      </c>
    </row>
    <row r="62" spans="1:9" x14ac:dyDescent="0.25">
      <c r="A62" t="s">
        <v>315</v>
      </c>
      <c r="B62" s="115" t="s">
        <v>316</v>
      </c>
      <c r="C62" t="s">
        <v>317</v>
      </c>
      <c r="D62" s="118"/>
      <c r="E62" s="118"/>
      <c r="F62" s="116" t="s">
        <v>303</v>
      </c>
      <c r="G62" t="s">
        <v>304</v>
      </c>
      <c r="H62" s="117" t="s">
        <v>165</v>
      </c>
      <c r="I62" s="117" t="s">
        <v>166</v>
      </c>
    </row>
    <row r="63" spans="1:9" ht="12" customHeight="1" x14ac:dyDescent="0.25">
      <c r="A63" t="s">
        <v>318</v>
      </c>
      <c r="B63" s="115" t="s">
        <v>319</v>
      </c>
      <c r="C63" t="s">
        <v>320</v>
      </c>
      <c r="D63" s="118"/>
      <c r="E63" s="118"/>
      <c r="F63" s="116" t="s">
        <v>321</v>
      </c>
      <c r="G63" t="s">
        <v>322</v>
      </c>
      <c r="H63" s="117" t="s">
        <v>165</v>
      </c>
      <c r="I63" s="117" t="s">
        <v>206</v>
      </c>
    </row>
    <row r="64" spans="1:9" ht="12" customHeight="1" x14ac:dyDescent="0.25">
      <c r="A64" t="s">
        <v>323</v>
      </c>
      <c r="B64" s="115" t="s">
        <v>40</v>
      </c>
      <c r="C64" t="s">
        <v>324</v>
      </c>
      <c r="D64" s="118"/>
      <c r="E64" s="118"/>
      <c r="F64" s="116" t="s">
        <v>306</v>
      </c>
      <c r="G64" t="s">
        <v>307</v>
      </c>
      <c r="H64" s="117" t="s">
        <v>170</v>
      </c>
      <c r="I64" s="117" t="s">
        <v>171</v>
      </c>
    </row>
    <row r="65" spans="1:9" ht="12" customHeight="1" x14ac:dyDescent="0.25">
      <c r="A65" t="s">
        <v>325</v>
      </c>
      <c r="B65" s="115" t="s">
        <v>326</v>
      </c>
      <c r="C65" t="s">
        <v>327</v>
      </c>
      <c r="D65" s="118"/>
      <c r="E65" s="118"/>
      <c r="F65" s="116" t="s">
        <v>309</v>
      </c>
      <c r="G65" t="s">
        <v>310</v>
      </c>
      <c r="H65" s="117" t="s">
        <v>328</v>
      </c>
      <c r="I65" s="117" t="s">
        <v>295</v>
      </c>
    </row>
    <row r="66" spans="1:9" x14ac:dyDescent="0.25">
      <c r="A66" t="s">
        <v>329</v>
      </c>
      <c r="B66" s="115" t="s">
        <v>330</v>
      </c>
      <c r="C66" t="s">
        <v>331</v>
      </c>
      <c r="D66" s="118"/>
      <c r="E66" s="118"/>
      <c r="F66" s="116" t="s">
        <v>312</v>
      </c>
      <c r="G66" t="s">
        <v>313</v>
      </c>
      <c r="H66" s="117" t="s">
        <v>165</v>
      </c>
      <c r="I66" s="117" t="s">
        <v>166</v>
      </c>
    </row>
    <row r="67" spans="1:9" x14ac:dyDescent="0.25">
      <c r="A67" t="s">
        <v>332</v>
      </c>
      <c r="B67" s="115" t="s">
        <v>333</v>
      </c>
      <c r="C67" t="s">
        <v>334</v>
      </c>
      <c r="D67" s="118"/>
      <c r="E67" s="118"/>
      <c r="F67" s="116" t="s">
        <v>335</v>
      </c>
      <c r="G67" t="s">
        <v>316</v>
      </c>
      <c r="H67" s="117" t="s">
        <v>100</v>
      </c>
      <c r="I67" s="117" t="s">
        <v>101</v>
      </c>
    </row>
    <row r="68" spans="1:9" x14ac:dyDescent="0.25">
      <c r="A68" t="s">
        <v>336</v>
      </c>
      <c r="B68" s="115" t="s">
        <v>337</v>
      </c>
      <c r="C68" t="s">
        <v>338</v>
      </c>
      <c r="D68" s="118"/>
      <c r="E68" s="118"/>
      <c r="F68" s="116" t="s">
        <v>318</v>
      </c>
      <c r="G68" t="s">
        <v>319</v>
      </c>
      <c r="H68" s="117" t="s">
        <v>220</v>
      </c>
      <c r="I68" s="117" t="s">
        <v>339</v>
      </c>
    </row>
    <row r="69" spans="1:9" x14ac:dyDescent="0.25">
      <c r="A69" t="s">
        <v>340</v>
      </c>
      <c r="B69" s="115" t="s">
        <v>341</v>
      </c>
      <c r="C69" t="s">
        <v>342</v>
      </c>
      <c r="D69" s="118"/>
      <c r="E69" s="118"/>
      <c r="F69" s="116" t="s">
        <v>323</v>
      </c>
      <c r="G69" t="s">
        <v>40</v>
      </c>
      <c r="H69" s="117" t="s">
        <v>100</v>
      </c>
      <c r="I69" s="117" t="s">
        <v>110</v>
      </c>
    </row>
    <row r="70" spans="1:9" x14ac:dyDescent="0.25">
      <c r="A70" t="s">
        <v>343</v>
      </c>
      <c r="B70" s="115" t="s">
        <v>344</v>
      </c>
      <c r="C70" t="s">
        <v>345</v>
      </c>
      <c r="D70" s="118"/>
      <c r="E70" s="118"/>
      <c r="F70" s="116" t="s">
        <v>325</v>
      </c>
      <c r="G70" t="s">
        <v>326</v>
      </c>
      <c r="H70" s="117" t="s">
        <v>105</v>
      </c>
      <c r="I70" s="117" t="s">
        <v>174</v>
      </c>
    </row>
    <row r="71" spans="1:9" x14ac:dyDescent="0.25">
      <c r="A71" t="s">
        <v>346</v>
      </c>
      <c r="B71" s="115" t="s">
        <v>347</v>
      </c>
      <c r="C71" t="s">
        <v>348</v>
      </c>
      <c r="D71" s="118"/>
      <c r="E71" s="118"/>
      <c r="F71" s="116" t="s">
        <v>329</v>
      </c>
      <c r="G71" t="s">
        <v>330</v>
      </c>
      <c r="H71" s="117" t="s">
        <v>160</v>
      </c>
      <c r="I71" s="117" t="s">
        <v>161</v>
      </c>
    </row>
    <row r="72" spans="1:9" x14ac:dyDescent="0.25">
      <c r="A72" t="s">
        <v>349</v>
      </c>
      <c r="B72" s="115" t="s">
        <v>350</v>
      </c>
      <c r="C72" t="s">
        <v>351</v>
      </c>
      <c r="D72" s="118"/>
      <c r="E72" s="118"/>
      <c r="F72" s="116" t="s">
        <v>336</v>
      </c>
      <c r="G72" t="s">
        <v>337</v>
      </c>
      <c r="H72" s="117" t="s">
        <v>105</v>
      </c>
      <c r="I72" s="117" t="s">
        <v>174</v>
      </c>
    </row>
    <row r="73" spans="1:9" x14ac:dyDescent="0.25">
      <c r="A73" t="s">
        <v>352</v>
      </c>
      <c r="B73" s="115" t="s">
        <v>353</v>
      </c>
      <c r="C73" t="s">
        <v>354</v>
      </c>
      <c r="D73" s="118"/>
      <c r="E73" s="118"/>
      <c r="F73" s="116" t="s">
        <v>340</v>
      </c>
      <c r="G73" t="s">
        <v>341</v>
      </c>
      <c r="H73" s="117" t="s">
        <v>100</v>
      </c>
      <c r="I73" s="117" t="s">
        <v>110</v>
      </c>
    </row>
    <row r="74" spans="1:9" x14ac:dyDescent="0.25">
      <c r="A74" t="s">
        <v>355</v>
      </c>
      <c r="B74" s="115" t="s">
        <v>356</v>
      </c>
      <c r="C74" t="s">
        <v>355</v>
      </c>
      <c r="D74" s="118"/>
      <c r="E74" s="118"/>
      <c r="F74" s="116" t="s">
        <v>343</v>
      </c>
      <c r="G74" t="s">
        <v>344</v>
      </c>
      <c r="H74" s="117" t="s">
        <v>105</v>
      </c>
      <c r="I74" s="117" t="s">
        <v>127</v>
      </c>
    </row>
    <row r="75" spans="1:9" x14ac:dyDescent="0.25">
      <c r="A75" t="s">
        <v>357</v>
      </c>
      <c r="B75" s="115" t="s">
        <v>358</v>
      </c>
      <c r="C75" t="s">
        <v>359</v>
      </c>
      <c r="D75" s="118"/>
      <c r="E75" s="118"/>
      <c r="F75" s="116" t="s">
        <v>346</v>
      </c>
      <c r="G75" t="s">
        <v>347</v>
      </c>
      <c r="H75" s="117" t="s">
        <v>105</v>
      </c>
      <c r="I75" s="117" t="s">
        <v>127</v>
      </c>
    </row>
    <row r="76" spans="1:9" x14ac:dyDescent="0.25">
      <c r="A76" t="s">
        <v>360</v>
      </c>
      <c r="B76" s="115" t="s">
        <v>361</v>
      </c>
      <c r="C76" t="s">
        <v>362</v>
      </c>
      <c r="D76" s="118"/>
      <c r="E76" s="118"/>
      <c r="F76" s="116" t="s">
        <v>363</v>
      </c>
      <c r="G76" t="s">
        <v>350</v>
      </c>
      <c r="H76" s="117" t="s">
        <v>115</v>
      </c>
      <c r="I76" s="117" t="s">
        <v>276</v>
      </c>
    </row>
    <row r="77" spans="1:9" x14ac:dyDescent="0.25">
      <c r="A77" t="s">
        <v>364</v>
      </c>
      <c r="B77" s="115" t="s">
        <v>365</v>
      </c>
      <c r="C77" t="s">
        <v>366</v>
      </c>
      <c r="D77" s="118"/>
      <c r="E77" s="118"/>
      <c r="F77" s="116" t="s">
        <v>352</v>
      </c>
      <c r="G77" t="s">
        <v>353</v>
      </c>
      <c r="H77" s="117" t="s">
        <v>220</v>
      </c>
      <c r="I77" s="117" t="s">
        <v>367</v>
      </c>
    </row>
    <row r="78" spans="1:9" x14ac:dyDescent="0.25">
      <c r="A78" t="s">
        <v>368</v>
      </c>
      <c r="B78" s="115" t="s">
        <v>369</v>
      </c>
      <c r="C78" t="s">
        <v>370</v>
      </c>
      <c r="D78" s="118"/>
      <c r="E78" s="118"/>
      <c r="F78" s="116" t="s">
        <v>355</v>
      </c>
      <c r="G78" t="s">
        <v>356</v>
      </c>
      <c r="H78" s="117" t="s">
        <v>220</v>
      </c>
      <c r="I78" s="117" t="s">
        <v>339</v>
      </c>
    </row>
    <row r="79" spans="1:9" x14ac:dyDescent="0.25">
      <c r="A79" t="s">
        <v>371</v>
      </c>
      <c r="B79" s="115" t="s">
        <v>372</v>
      </c>
      <c r="C79" t="s">
        <v>373</v>
      </c>
      <c r="D79" s="118"/>
      <c r="E79" s="118"/>
      <c r="F79" s="116" t="s">
        <v>357</v>
      </c>
      <c r="G79" t="s">
        <v>358</v>
      </c>
      <c r="H79" s="117" t="s">
        <v>220</v>
      </c>
      <c r="I79" s="117" t="s">
        <v>221</v>
      </c>
    </row>
    <row r="80" spans="1:9" x14ac:dyDescent="0.25">
      <c r="A80" t="s">
        <v>374</v>
      </c>
      <c r="B80" s="115" t="s">
        <v>375</v>
      </c>
      <c r="C80" t="s">
        <v>376</v>
      </c>
      <c r="D80" s="118"/>
      <c r="E80" s="118"/>
      <c r="F80" s="116" t="s">
        <v>377</v>
      </c>
      <c r="G80" t="s">
        <v>378</v>
      </c>
      <c r="H80" s="117" t="s">
        <v>220</v>
      </c>
      <c r="I80" s="117" t="s">
        <v>221</v>
      </c>
    </row>
    <row r="81" spans="1:9" x14ac:dyDescent="0.25">
      <c r="A81" t="s">
        <v>379</v>
      </c>
      <c r="B81" s="115" t="s">
        <v>380</v>
      </c>
      <c r="C81" t="s">
        <v>379</v>
      </c>
      <c r="D81" s="1103"/>
      <c r="E81" s="1103"/>
      <c r="F81" s="116" t="s">
        <v>360</v>
      </c>
      <c r="G81" t="s">
        <v>361</v>
      </c>
      <c r="H81" s="117" t="s">
        <v>220</v>
      </c>
      <c r="I81" s="117" t="s">
        <v>221</v>
      </c>
    </row>
    <row r="82" spans="1:9" x14ac:dyDescent="0.25">
      <c r="A82" t="s">
        <v>381</v>
      </c>
      <c r="B82" s="115" t="s">
        <v>382</v>
      </c>
      <c r="C82" t="s">
        <v>383</v>
      </c>
      <c r="D82" s="1103"/>
      <c r="E82" s="1103"/>
      <c r="F82" s="116" t="s">
        <v>364</v>
      </c>
      <c r="G82" t="s">
        <v>365</v>
      </c>
      <c r="H82" s="117" t="s">
        <v>170</v>
      </c>
      <c r="I82" s="117" t="s">
        <v>171</v>
      </c>
    </row>
    <row r="83" spans="1:9" x14ac:dyDescent="0.25">
      <c r="A83" t="s">
        <v>384</v>
      </c>
      <c r="B83" s="115" t="s">
        <v>385</v>
      </c>
      <c r="C83" t="s">
        <v>386</v>
      </c>
      <c r="D83" s="1103"/>
      <c r="E83" s="1103"/>
      <c r="F83" s="116" t="s">
        <v>368</v>
      </c>
      <c r="G83" t="s">
        <v>369</v>
      </c>
      <c r="H83" s="117" t="s">
        <v>160</v>
      </c>
      <c r="I83" s="117" t="s">
        <v>387</v>
      </c>
    </row>
    <row r="84" spans="1:9" x14ac:dyDescent="0.25">
      <c r="A84" t="s">
        <v>388</v>
      </c>
      <c r="B84" s="115" t="s">
        <v>389</v>
      </c>
      <c r="C84" t="s">
        <v>390</v>
      </c>
      <c r="D84" s="1103"/>
      <c r="E84" s="1103"/>
      <c r="F84" s="116" t="s">
        <v>371</v>
      </c>
      <c r="G84" t="s">
        <v>372</v>
      </c>
      <c r="H84" s="117" t="s">
        <v>165</v>
      </c>
      <c r="I84" s="117" t="s">
        <v>233</v>
      </c>
    </row>
    <row r="85" spans="1:9" x14ac:dyDescent="0.25">
      <c r="A85" t="s">
        <v>391</v>
      </c>
      <c r="B85" s="115" t="s">
        <v>392</v>
      </c>
      <c r="C85" t="s">
        <v>393</v>
      </c>
      <c r="D85" s="1103"/>
      <c r="E85" s="1103"/>
      <c r="F85" s="116" t="s">
        <v>374</v>
      </c>
      <c r="G85" t="s">
        <v>375</v>
      </c>
      <c r="H85" s="117" t="s">
        <v>165</v>
      </c>
      <c r="I85" s="117" t="s">
        <v>233</v>
      </c>
    </row>
    <row r="86" spans="1:9" x14ac:dyDescent="0.25">
      <c r="A86" t="s">
        <v>394</v>
      </c>
      <c r="B86" s="115" t="s">
        <v>395</v>
      </c>
      <c r="C86" t="s">
        <v>396</v>
      </c>
      <c r="D86" s="1103"/>
      <c r="E86" s="1103"/>
      <c r="F86" s="116" t="s">
        <v>379</v>
      </c>
      <c r="G86" t="s">
        <v>380</v>
      </c>
      <c r="H86" s="117" t="s">
        <v>115</v>
      </c>
      <c r="I86" s="117" t="s">
        <v>123</v>
      </c>
    </row>
    <row r="87" spans="1:9" x14ac:dyDescent="0.25">
      <c r="A87" t="s">
        <v>397</v>
      </c>
      <c r="B87" s="115" t="s">
        <v>398</v>
      </c>
      <c r="C87" t="s">
        <v>399</v>
      </c>
      <c r="D87" s="1103"/>
      <c r="E87" s="1103"/>
      <c r="F87" s="116" t="s">
        <v>381</v>
      </c>
      <c r="G87" t="s">
        <v>382</v>
      </c>
      <c r="H87" s="117" t="s">
        <v>260</v>
      </c>
      <c r="I87" s="117" t="s">
        <v>367</v>
      </c>
    </row>
    <row r="88" spans="1:9" x14ac:dyDescent="0.25">
      <c r="A88" t="s">
        <v>400</v>
      </c>
      <c r="B88" s="115" t="s">
        <v>401</v>
      </c>
      <c r="C88" t="s">
        <v>402</v>
      </c>
      <c r="D88" s="1103"/>
      <c r="E88" s="1103"/>
      <c r="F88" s="116" t="s">
        <v>384</v>
      </c>
      <c r="G88" t="s">
        <v>385</v>
      </c>
      <c r="H88" s="117" t="s">
        <v>100</v>
      </c>
      <c r="I88" s="117" t="s">
        <v>187</v>
      </c>
    </row>
    <row r="89" spans="1:9" x14ac:dyDescent="0.25">
      <c r="A89" t="s">
        <v>403</v>
      </c>
      <c r="B89" s="115" t="s">
        <v>404</v>
      </c>
      <c r="C89" t="s">
        <v>405</v>
      </c>
      <c r="D89" s="1103"/>
      <c r="E89" s="1103"/>
      <c r="F89" s="116" t="s">
        <v>391</v>
      </c>
      <c r="G89" t="s">
        <v>392</v>
      </c>
      <c r="H89" s="117" t="s">
        <v>100</v>
      </c>
      <c r="I89" s="117" t="s">
        <v>187</v>
      </c>
    </row>
    <row r="90" spans="1:9" x14ac:dyDescent="0.25">
      <c r="A90" t="s">
        <v>406</v>
      </c>
      <c r="B90" s="115" t="s">
        <v>407</v>
      </c>
      <c r="C90" t="s">
        <v>408</v>
      </c>
      <c r="D90" s="1103"/>
      <c r="E90" s="1103"/>
      <c r="F90" s="116" t="s">
        <v>394</v>
      </c>
      <c r="G90" t="s">
        <v>395</v>
      </c>
      <c r="H90" s="117" t="s">
        <v>160</v>
      </c>
      <c r="I90" s="117" t="s">
        <v>161</v>
      </c>
    </row>
    <row r="91" spans="1:9" x14ac:dyDescent="0.25">
      <c r="A91" t="s">
        <v>409</v>
      </c>
      <c r="B91" s="115" t="s">
        <v>410</v>
      </c>
      <c r="C91" t="s">
        <v>411</v>
      </c>
      <c r="D91" s="1103"/>
      <c r="E91" s="1103"/>
      <c r="F91" s="116" t="s">
        <v>400</v>
      </c>
      <c r="G91" t="s">
        <v>401</v>
      </c>
      <c r="H91" s="117" t="s">
        <v>105</v>
      </c>
      <c r="I91" s="117" t="s">
        <v>106</v>
      </c>
    </row>
    <row r="92" spans="1:9" x14ac:dyDescent="0.25">
      <c r="A92" t="s">
        <v>412</v>
      </c>
      <c r="B92" s="115" t="s">
        <v>413</v>
      </c>
      <c r="C92" t="s">
        <v>414</v>
      </c>
      <c r="D92" s="1103"/>
      <c r="E92" s="1103"/>
      <c r="F92" s="116" t="s">
        <v>403</v>
      </c>
      <c r="G92" t="s">
        <v>404</v>
      </c>
      <c r="H92" s="117" t="s">
        <v>100</v>
      </c>
      <c r="I92" s="117" t="s">
        <v>250</v>
      </c>
    </row>
    <row r="93" spans="1:9" x14ac:dyDescent="0.25">
      <c r="A93" t="s">
        <v>415</v>
      </c>
      <c r="B93" s="115" t="s">
        <v>416</v>
      </c>
      <c r="C93" t="s">
        <v>417</v>
      </c>
      <c r="D93" s="1103"/>
      <c r="E93" s="1103"/>
      <c r="F93" s="116" t="s">
        <v>406</v>
      </c>
      <c r="G93" t="s">
        <v>407</v>
      </c>
      <c r="H93" s="117" t="s">
        <v>100</v>
      </c>
      <c r="I93" s="117" t="s">
        <v>101</v>
      </c>
    </row>
    <row r="94" spans="1:9" x14ac:dyDescent="0.25">
      <c r="A94" t="s">
        <v>418</v>
      </c>
      <c r="B94" s="115" t="s">
        <v>419</v>
      </c>
      <c r="C94" t="s">
        <v>420</v>
      </c>
      <c r="D94" s="1103"/>
      <c r="E94" s="1103"/>
      <c r="F94" s="116" t="s">
        <v>409</v>
      </c>
      <c r="G94" t="s">
        <v>410</v>
      </c>
      <c r="H94" s="117" t="s">
        <v>100</v>
      </c>
      <c r="I94" s="117" t="s">
        <v>187</v>
      </c>
    </row>
    <row r="95" spans="1:9" x14ac:dyDescent="0.25">
      <c r="A95" t="s">
        <v>421</v>
      </c>
      <c r="B95" s="115" t="s">
        <v>422</v>
      </c>
      <c r="C95" t="s">
        <v>423</v>
      </c>
      <c r="D95" s="1103"/>
      <c r="E95" s="1103"/>
      <c r="F95" s="116" t="s">
        <v>412</v>
      </c>
      <c r="G95" t="s">
        <v>413</v>
      </c>
      <c r="H95" s="117" t="s">
        <v>260</v>
      </c>
      <c r="I95" s="117" t="s">
        <v>261</v>
      </c>
    </row>
    <row r="96" spans="1:9" x14ac:dyDescent="0.25">
      <c r="A96" t="s">
        <v>424</v>
      </c>
      <c r="B96" s="115" t="s">
        <v>425</v>
      </c>
      <c r="C96" t="s">
        <v>426</v>
      </c>
      <c r="D96" s="1103"/>
      <c r="E96" s="1103"/>
      <c r="F96" s="116" t="s">
        <v>427</v>
      </c>
      <c r="G96" t="s">
        <v>428</v>
      </c>
      <c r="H96" s="117" t="s">
        <v>100</v>
      </c>
      <c r="I96" s="117" t="s">
        <v>250</v>
      </c>
    </row>
    <row r="97" spans="1:9" x14ac:dyDescent="0.25">
      <c r="A97" t="s">
        <v>429</v>
      </c>
      <c r="B97" s="115" t="s">
        <v>430</v>
      </c>
      <c r="C97" t="s">
        <v>431</v>
      </c>
      <c r="D97" s="1103"/>
      <c r="E97" s="1103"/>
      <c r="F97" s="116" t="s">
        <v>415</v>
      </c>
      <c r="G97" t="s">
        <v>416</v>
      </c>
      <c r="H97" s="117" t="s">
        <v>260</v>
      </c>
      <c r="I97" s="117" t="s">
        <v>432</v>
      </c>
    </row>
    <row r="98" spans="1:9" x14ac:dyDescent="0.25">
      <c r="A98" t="s">
        <v>433</v>
      </c>
      <c r="B98" s="115" t="s">
        <v>432</v>
      </c>
      <c r="C98" t="s">
        <v>434</v>
      </c>
      <c r="D98" s="1103"/>
      <c r="E98" s="1103"/>
      <c r="F98" s="116" t="s">
        <v>418</v>
      </c>
      <c r="G98" t="s">
        <v>419</v>
      </c>
      <c r="H98" s="117" t="s">
        <v>165</v>
      </c>
      <c r="I98" s="117" t="s">
        <v>206</v>
      </c>
    </row>
    <row r="99" spans="1:9" x14ac:dyDescent="0.25">
      <c r="A99" t="s">
        <v>435</v>
      </c>
      <c r="B99" s="115" t="s">
        <v>436</v>
      </c>
      <c r="C99" t="s">
        <v>437</v>
      </c>
      <c r="D99" s="1103"/>
      <c r="E99" s="1103"/>
      <c r="F99" s="116" t="s">
        <v>438</v>
      </c>
      <c r="G99" t="s">
        <v>439</v>
      </c>
      <c r="H99" s="117" t="s">
        <v>260</v>
      </c>
      <c r="I99" s="117" t="s">
        <v>440</v>
      </c>
    </row>
    <row r="100" spans="1:9" x14ac:dyDescent="0.25">
      <c r="A100" t="s">
        <v>441</v>
      </c>
      <c r="B100" s="115" t="s">
        <v>442</v>
      </c>
      <c r="C100" t="s">
        <v>443</v>
      </c>
      <c r="D100" s="1103"/>
      <c r="E100" s="1103"/>
      <c r="F100" s="116" t="s">
        <v>421</v>
      </c>
      <c r="G100" t="s">
        <v>422</v>
      </c>
      <c r="H100" s="117" t="s">
        <v>220</v>
      </c>
      <c r="I100" s="117" t="s">
        <v>250</v>
      </c>
    </row>
    <row r="101" spans="1:9" ht="12" customHeight="1" x14ac:dyDescent="0.25">
      <c r="A101" t="s">
        <v>444</v>
      </c>
      <c r="B101" s="115" t="s">
        <v>445</v>
      </c>
      <c r="C101" t="s">
        <v>446</v>
      </c>
      <c r="D101" s="1103"/>
      <c r="E101" s="1103"/>
      <c r="F101" s="116" t="s">
        <v>447</v>
      </c>
      <c r="G101" t="s">
        <v>448</v>
      </c>
      <c r="H101" s="117" t="s">
        <v>170</v>
      </c>
      <c r="I101" s="117" t="s">
        <v>171</v>
      </c>
    </row>
    <row r="102" spans="1:9" ht="12" customHeight="1" x14ac:dyDescent="0.25">
      <c r="A102" t="s">
        <v>449</v>
      </c>
      <c r="B102" s="115" t="s">
        <v>450</v>
      </c>
      <c r="C102" t="s">
        <v>451</v>
      </c>
      <c r="D102" s="1103"/>
      <c r="E102" s="1103"/>
      <c r="F102" s="116" t="s">
        <v>452</v>
      </c>
      <c r="G102" t="s">
        <v>453</v>
      </c>
      <c r="H102" s="117" t="s">
        <v>260</v>
      </c>
      <c r="I102" s="117" t="s">
        <v>432</v>
      </c>
    </row>
    <row r="103" spans="1:9" ht="12" customHeight="1" x14ac:dyDescent="0.25">
      <c r="A103" t="s">
        <v>454</v>
      </c>
      <c r="B103" s="115" t="s">
        <v>181</v>
      </c>
      <c r="C103" t="s">
        <v>455</v>
      </c>
      <c r="D103" s="1103"/>
      <c r="E103" s="1103"/>
      <c r="F103" s="116" t="s">
        <v>456</v>
      </c>
      <c r="G103" t="s">
        <v>457</v>
      </c>
      <c r="H103" s="117" t="s">
        <v>260</v>
      </c>
      <c r="I103" s="117" t="s">
        <v>432</v>
      </c>
    </row>
    <row r="104" spans="1:9" x14ac:dyDescent="0.25">
      <c r="A104" t="s">
        <v>458</v>
      </c>
      <c r="B104" s="115" t="s">
        <v>459</v>
      </c>
      <c r="C104" t="s">
        <v>460</v>
      </c>
      <c r="D104" s="1103"/>
      <c r="E104" s="1103"/>
      <c r="F104" s="116" t="s">
        <v>424</v>
      </c>
      <c r="G104" t="s">
        <v>425</v>
      </c>
      <c r="H104" s="117" t="s">
        <v>260</v>
      </c>
      <c r="I104" s="117" t="s">
        <v>432</v>
      </c>
    </row>
    <row r="105" spans="1:9" x14ac:dyDescent="0.25">
      <c r="A105" t="s">
        <v>461</v>
      </c>
      <c r="B105" s="115" t="s">
        <v>462</v>
      </c>
      <c r="C105" t="s">
        <v>463</v>
      </c>
      <c r="D105" s="1103"/>
      <c r="E105" s="1103"/>
      <c r="F105" s="116" t="s">
        <v>429</v>
      </c>
      <c r="G105" t="s">
        <v>430</v>
      </c>
      <c r="H105" s="117" t="s">
        <v>260</v>
      </c>
      <c r="I105" s="117" t="s">
        <v>432</v>
      </c>
    </row>
    <row r="106" spans="1:9" x14ac:dyDescent="0.25">
      <c r="A106" t="s">
        <v>464</v>
      </c>
      <c r="B106" s="115" t="s">
        <v>465</v>
      </c>
      <c r="C106" t="s">
        <v>466</v>
      </c>
      <c r="D106" s="1103"/>
      <c r="E106" s="1103"/>
      <c r="F106" s="116" t="s">
        <v>433</v>
      </c>
      <c r="G106" t="s">
        <v>432</v>
      </c>
      <c r="H106" s="117" t="s">
        <v>260</v>
      </c>
      <c r="I106" s="117" t="s">
        <v>432</v>
      </c>
    </row>
    <row r="107" spans="1:9" x14ac:dyDescent="0.25">
      <c r="A107" t="s">
        <v>467</v>
      </c>
      <c r="B107" s="115" t="s">
        <v>468</v>
      </c>
      <c r="C107" t="s">
        <v>469</v>
      </c>
      <c r="D107" s="1103"/>
      <c r="E107" s="1103"/>
      <c r="F107" s="116" t="s">
        <v>470</v>
      </c>
      <c r="G107" t="s">
        <v>471</v>
      </c>
      <c r="H107" s="117" t="s">
        <v>260</v>
      </c>
      <c r="I107" s="117" t="s">
        <v>432</v>
      </c>
    </row>
    <row r="108" spans="1:9" x14ac:dyDescent="0.25">
      <c r="A108" t="s">
        <v>472</v>
      </c>
      <c r="B108" s="115" t="s">
        <v>473</v>
      </c>
      <c r="C108" t="s">
        <v>474</v>
      </c>
      <c r="D108" s="1103"/>
      <c r="E108" s="1103"/>
      <c r="F108" s="116" t="s">
        <v>475</v>
      </c>
      <c r="G108" t="s">
        <v>476</v>
      </c>
      <c r="H108" s="117" t="s">
        <v>328</v>
      </c>
      <c r="I108" s="117" t="s">
        <v>295</v>
      </c>
    </row>
    <row r="109" spans="1:9" x14ac:dyDescent="0.25">
      <c r="A109" t="s">
        <v>477</v>
      </c>
      <c r="B109" s="115" t="s">
        <v>478</v>
      </c>
      <c r="C109" t="s">
        <v>479</v>
      </c>
      <c r="D109" s="1103"/>
      <c r="E109" s="1103"/>
      <c r="F109" s="116" t="s">
        <v>435</v>
      </c>
      <c r="G109" t="s">
        <v>436</v>
      </c>
      <c r="H109" s="117" t="s">
        <v>105</v>
      </c>
      <c r="I109" s="117" t="s">
        <v>174</v>
      </c>
    </row>
    <row r="110" spans="1:9" x14ac:dyDescent="0.25">
      <c r="A110" t="s">
        <v>480</v>
      </c>
      <c r="B110" s="115" t="s">
        <v>481</v>
      </c>
      <c r="C110" t="s">
        <v>482</v>
      </c>
      <c r="D110" s="1103"/>
      <c r="E110" s="1103"/>
      <c r="F110" s="116" t="s">
        <v>441</v>
      </c>
      <c r="G110" t="s">
        <v>442</v>
      </c>
      <c r="H110" s="117" t="s">
        <v>194</v>
      </c>
      <c r="I110" s="117" t="s">
        <v>195</v>
      </c>
    </row>
    <row r="111" spans="1:9" ht="12" customHeight="1" x14ac:dyDescent="0.25">
      <c r="A111" t="s">
        <v>483</v>
      </c>
      <c r="B111" s="115" t="s">
        <v>484</v>
      </c>
      <c r="C111" t="s">
        <v>485</v>
      </c>
      <c r="D111" s="1103"/>
      <c r="E111" s="1103"/>
      <c r="F111" s="116" t="s">
        <v>486</v>
      </c>
      <c r="G111" t="s">
        <v>445</v>
      </c>
      <c r="H111" s="117" t="s">
        <v>160</v>
      </c>
      <c r="I111" s="117" t="s">
        <v>487</v>
      </c>
    </row>
    <row r="112" spans="1:9" ht="12" customHeight="1" x14ac:dyDescent="0.25">
      <c r="A112" t="s">
        <v>488</v>
      </c>
      <c r="B112" s="115" t="s">
        <v>489</v>
      </c>
      <c r="C112" t="s">
        <v>490</v>
      </c>
      <c r="D112" s="1103"/>
      <c r="E112" s="1103"/>
      <c r="F112" s="116" t="s">
        <v>449</v>
      </c>
      <c r="G112" t="s">
        <v>450</v>
      </c>
      <c r="H112" s="117" t="s">
        <v>260</v>
      </c>
      <c r="I112" s="117" t="s">
        <v>261</v>
      </c>
    </row>
    <row r="113" spans="1:9" ht="12" customHeight="1" x14ac:dyDescent="0.25">
      <c r="A113" t="s">
        <v>491</v>
      </c>
      <c r="B113" s="115" t="s">
        <v>492</v>
      </c>
      <c r="C113" t="s">
        <v>493</v>
      </c>
      <c r="D113" s="1103"/>
      <c r="E113" s="1103"/>
      <c r="F113" s="116" t="s">
        <v>454</v>
      </c>
      <c r="G113" t="s">
        <v>181</v>
      </c>
      <c r="H113" s="117" t="s">
        <v>100</v>
      </c>
      <c r="I113" s="117" t="s">
        <v>181</v>
      </c>
    </row>
    <row r="114" spans="1:9" x14ac:dyDescent="0.25">
      <c r="A114" t="s">
        <v>494</v>
      </c>
      <c r="B114" s="115" t="s">
        <v>495</v>
      </c>
      <c r="C114" t="s">
        <v>496</v>
      </c>
      <c r="D114" s="1103"/>
      <c r="E114" s="1103"/>
      <c r="F114" s="116" t="s">
        <v>458</v>
      </c>
      <c r="G114" t="s">
        <v>459</v>
      </c>
      <c r="H114" s="117" t="s">
        <v>220</v>
      </c>
      <c r="I114" s="117" t="s">
        <v>221</v>
      </c>
    </row>
    <row r="115" spans="1:9" x14ac:dyDescent="0.25">
      <c r="A115" t="s">
        <v>497</v>
      </c>
      <c r="B115" s="115" t="s">
        <v>498</v>
      </c>
      <c r="C115" t="s">
        <v>499</v>
      </c>
      <c r="D115" s="1103"/>
      <c r="E115" s="1103"/>
      <c r="F115" s="116" t="s">
        <v>461</v>
      </c>
      <c r="G115" t="s">
        <v>462</v>
      </c>
      <c r="H115" s="117" t="s">
        <v>170</v>
      </c>
      <c r="I115" s="117" t="s">
        <v>171</v>
      </c>
    </row>
    <row r="116" spans="1:9" x14ac:dyDescent="0.25">
      <c r="A116" t="s">
        <v>500</v>
      </c>
      <c r="B116" s="115" t="s">
        <v>501</v>
      </c>
      <c r="C116" t="s">
        <v>502</v>
      </c>
      <c r="D116" s="1103"/>
      <c r="E116" s="1103"/>
      <c r="F116" s="116" t="s">
        <v>503</v>
      </c>
      <c r="G116" t="s">
        <v>504</v>
      </c>
      <c r="H116" s="117" t="s">
        <v>170</v>
      </c>
      <c r="I116" s="117" t="s">
        <v>171</v>
      </c>
    </row>
    <row r="117" spans="1:9" x14ac:dyDescent="0.25">
      <c r="A117" t="s">
        <v>505</v>
      </c>
      <c r="B117" s="115" t="s">
        <v>506</v>
      </c>
      <c r="C117" t="s">
        <v>505</v>
      </c>
      <c r="D117" s="1103"/>
      <c r="E117" s="1103"/>
      <c r="F117" s="116" t="s">
        <v>464</v>
      </c>
      <c r="G117" t="s">
        <v>465</v>
      </c>
      <c r="H117" s="117" t="s">
        <v>100</v>
      </c>
      <c r="I117" s="117" t="s">
        <v>101</v>
      </c>
    </row>
    <row r="118" spans="1:9" x14ac:dyDescent="0.25">
      <c r="A118" t="s">
        <v>507</v>
      </c>
      <c r="B118" s="115" t="s">
        <v>508</v>
      </c>
      <c r="C118" t="s">
        <v>509</v>
      </c>
      <c r="D118" s="1103"/>
      <c r="E118" s="1103"/>
      <c r="F118" s="116" t="s">
        <v>467</v>
      </c>
      <c r="G118" t="s">
        <v>468</v>
      </c>
      <c r="H118" s="117" t="s">
        <v>220</v>
      </c>
      <c r="I118" s="117" t="s">
        <v>250</v>
      </c>
    </row>
    <row r="119" spans="1:9" x14ac:dyDescent="0.25">
      <c r="A119" t="s">
        <v>510</v>
      </c>
      <c r="B119" s="115" t="s">
        <v>511</v>
      </c>
      <c r="C119" t="s">
        <v>512</v>
      </c>
      <c r="D119" s="1103"/>
      <c r="E119" s="1103"/>
      <c r="F119" s="116" t="s">
        <v>472</v>
      </c>
      <c r="G119" t="s">
        <v>473</v>
      </c>
      <c r="H119" s="117" t="s">
        <v>220</v>
      </c>
      <c r="I119" s="117" t="s">
        <v>250</v>
      </c>
    </row>
    <row r="120" spans="1:9" x14ac:dyDescent="0.25">
      <c r="A120" t="s">
        <v>513</v>
      </c>
      <c r="B120" s="115" t="s">
        <v>514</v>
      </c>
      <c r="C120" t="s">
        <v>515</v>
      </c>
      <c r="D120" s="1103"/>
      <c r="E120" s="1103"/>
      <c r="F120" s="116" t="s">
        <v>477</v>
      </c>
      <c r="G120" t="s">
        <v>478</v>
      </c>
      <c r="H120" s="117" t="s">
        <v>100</v>
      </c>
      <c r="I120" s="117" t="s">
        <v>250</v>
      </c>
    </row>
    <row r="121" spans="1:9" ht="12" customHeight="1" x14ac:dyDescent="0.25">
      <c r="A121" t="s">
        <v>516</v>
      </c>
      <c r="B121" s="115" t="s">
        <v>517</v>
      </c>
      <c r="C121" t="s">
        <v>518</v>
      </c>
      <c r="D121" s="1103"/>
      <c r="E121" s="1103"/>
      <c r="F121" s="116" t="s">
        <v>480</v>
      </c>
      <c r="G121" t="s">
        <v>481</v>
      </c>
      <c r="H121" s="117" t="s">
        <v>100</v>
      </c>
      <c r="I121" s="117" t="s">
        <v>110</v>
      </c>
    </row>
    <row r="122" spans="1:9" ht="12" customHeight="1" x14ac:dyDescent="0.25">
      <c r="A122" t="s">
        <v>519</v>
      </c>
      <c r="B122" s="115" t="s">
        <v>520</v>
      </c>
      <c r="C122" t="s">
        <v>521</v>
      </c>
      <c r="D122" s="1103"/>
      <c r="E122" s="1103"/>
      <c r="F122" s="116" t="s">
        <v>483</v>
      </c>
      <c r="G122" t="s">
        <v>484</v>
      </c>
      <c r="H122" s="117" t="s">
        <v>328</v>
      </c>
      <c r="I122" s="117" t="s">
        <v>522</v>
      </c>
    </row>
    <row r="123" spans="1:9" ht="12" customHeight="1" x14ac:dyDescent="0.25">
      <c r="A123" t="s">
        <v>523</v>
      </c>
      <c r="B123" s="115" t="s">
        <v>524</v>
      </c>
      <c r="C123" t="s">
        <v>525</v>
      </c>
      <c r="D123" s="1103"/>
      <c r="E123" s="1103"/>
      <c r="F123" s="116" t="s">
        <v>488</v>
      </c>
      <c r="G123" t="s">
        <v>489</v>
      </c>
      <c r="H123" s="117" t="s">
        <v>260</v>
      </c>
      <c r="I123" s="117" t="s">
        <v>432</v>
      </c>
    </row>
    <row r="124" spans="1:9" x14ac:dyDescent="0.25">
      <c r="A124" t="s">
        <v>526</v>
      </c>
      <c r="B124" s="115" t="s">
        <v>527</v>
      </c>
      <c r="C124" t="s">
        <v>526</v>
      </c>
      <c r="D124" s="1103"/>
      <c r="E124" s="1103"/>
      <c r="F124" s="116" t="s">
        <v>528</v>
      </c>
      <c r="G124" t="s">
        <v>529</v>
      </c>
      <c r="H124" s="117" t="s">
        <v>260</v>
      </c>
      <c r="I124" s="117" t="s">
        <v>367</v>
      </c>
    </row>
    <row r="125" spans="1:9" x14ac:dyDescent="0.25">
      <c r="A125" t="s">
        <v>530</v>
      </c>
      <c r="B125" s="115" t="s">
        <v>531</v>
      </c>
      <c r="C125" t="s">
        <v>532</v>
      </c>
      <c r="D125" s="1103"/>
      <c r="E125" s="1103"/>
      <c r="F125" s="116" t="s">
        <v>491</v>
      </c>
      <c r="G125" t="s">
        <v>492</v>
      </c>
      <c r="H125" s="117" t="s">
        <v>170</v>
      </c>
      <c r="I125" s="117" t="s">
        <v>202</v>
      </c>
    </row>
    <row r="126" spans="1:9" x14ac:dyDescent="0.25">
      <c r="A126" t="s">
        <v>533</v>
      </c>
      <c r="B126" s="115" t="s">
        <v>534</v>
      </c>
      <c r="C126" t="s">
        <v>535</v>
      </c>
      <c r="D126" s="1103"/>
      <c r="E126" s="1103"/>
      <c r="F126" s="116" t="s">
        <v>494</v>
      </c>
      <c r="G126" t="s">
        <v>495</v>
      </c>
      <c r="H126" s="117" t="s">
        <v>328</v>
      </c>
      <c r="I126" s="117" t="s">
        <v>522</v>
      </c>
    </row>
    <row r="127" spans="1:9" x14ac:dyDescent="0.25">
      <c r="A127" t="s">
        <v>536</v>
      </c>
      <c r="B127" s="115" t="s">
        <v>537</v>
      </c>
      <c r="C127" t="s">
        <v>538</v>
      </c>
      <c r="D127" s="1103"/>
      <c r="E127" s="1103"/>
      <c r="F127" s="116" t="s">
        <v>497</v>
      </c>
      <c r="G127" t="s">
        <v>498</v>
      </c>
      <c r="H127" s="117" t="s">
        <v>194</v>
      </c>
      <c r="I127" s="117" t="s">
        <v>290</v>
      </c>
    </row>
    <row r="128" spans="1:9" x14ac:dyDescent="0.25">
      <c r="A128" t="s">
        <v>539</v>
      </c>
      <c r="B128" s="115" t="s">
        <v>540</v>
      </c>
      <c r="C128" t="s">
        <v>541</v>
      </c>
      <c r="D128" s="1103"/>
      <c r="E128" s="1103"/>
      <c r="F128" s="116" t="s">
        <v>500</v>
      </c>
      <c r="G128" t="s">
        <v>501</v>
      </c>
      <c r="H128" s="117" t="s">
        <v>170</v>
      </c>
      <c r="I128" s="117" t="s">
        <v>171</v>
      </c>
    </row>
    <row r="129" spans="1:9" x14ac:dyDescent="0.25">
      <c r="A129" t="s">
        <v>542</v>
      </c>
      <c r="B129" s="115" t="s">
        <v>543</v>
      </c>
      <c r="C129" t="s">
        <v>544</v>
      </c>
      <c r="D129" s="1103"/>
      <c r="E129" s="1103"/>
      <c r="F129" s="116" t="s">
        <v>505</v>
      </c>
      <c r="G129" t="s">
        <v>506</v>
      </c>
      <c r="H129" s="117" t="s">
        <v>194</v>
      </c>
      <c r="I129" s="117" t="s">
        <v>290</v>
      </c>
    </row>
    <row r="130" spans="1:9" x14ac:dyDescent="0.25">
      <c r="A130" t="s">
        <v>545</v>
      </c>
      <c r="B130" s="115" t="s">
        <v>546</v>
      </c>
      <c r="C130" t="s">
        <v>547</v>
      </c>
      <c r="D130" s="1103"/>
      <c r="E130" s="1103"/>
      <c r="F130" s="116" t="s">
        <v>548</v>
      </c>
      <c r="G130" t="s">
        <v>549</v>
      </c>
      <c r="H130" s="117" t="s">
        <v>165</v>
      </c>
      <c r="I130" s="117" t="s">
        <v>206</v>
      </c>
    </row>
    <row r="131" spans="1:9" ht="12" customHeight="1" x14ac:dyDescent="0.25">
      <c r="A131" t="s">
        <v>550</v>
      </c>
      <c r="B131" s="115" t="s">
        <v>551</v>
      </c>
      <c r="C131" t="s">
        <v>552</v>
      </c>
      <c r="D131" s="1103"/>
      <c r="E131" s="1103"/>
      <c r="F131" s="116" t="s">
        <v>507</v>
      </c>
      <c r="G131" t="s">
        <v>508</v>
      </c>
      <c r="H131" s="117" t="s">
        <v>165</v>
      </c>
      <c r="I131" s="117" t="s">
        <v>206</v>
      </c>
    </row>
    <row r="132" spans="1:9" ht="12" customHeight="1" x14ac:dyDescent="0.25">
      <c r="A132" t="s">
        <v>553</v>
      </c>
      <c r="B132" s="115" t="s">
        <v>554</v>
      </c>
      <c r="C132" t="s">
        <v>555</v>
      </c>
      <c r="D132" s="1103"/>
      <c r="E132" s="1103"/>
      <c r="F132" s="116" t="s">
        <v>513</v>
      </c>
      <c r="G132" t="s">
        <v>514</v>
      </c>
      <c r="H132" s="117" t="s">
        <v>328</v>
      </c>
      <c r="I132" s="117" t="s">
        <v>295</v>
      </c>
    </row>
    <row r="133" spans="1:9" ht="12" customHeight="1" x14ac:dyDescent="0.25">
      <c r="A133" t="s">
        <v>556</v>
      </c>
      <c r="B133" s="115" t="s">
        <v>557</v>
      </c>
      <c r="C133" t="s">
        <v>558</v>
      </c>
      <c r="D133" s="1103"/>
      <c r="E133" s="1103"/>
      <c r="F133" s="116" t="s">
        <v>516</v>
      </c>
      <c r="G133" t="s">
        <v>517</v>
      </c>
      <c r="H133" s="117" t="s">
        <v>170</v>
      </c>
      <c r="I133" s="117" t="s">
        <v>202</v>
      </c>
    </row>
    <row r="134" spans="1:9" x14ac:dyDescent="0.25">
      <c r="A134" t="s">
        <v>559</v>
      </c>
      <c r="B134" s="115" t="s">
        <v>560</v>
      </c>
      <c r="C134" t="s">
        <v>561</v>
      </c>
      <c r="D134" s="1103"/>
      <c r="E134" s="1103"/>
      <c r="F134" s="116" t="s">
        <v>519</v>
      </c>
      <c r="G134" t="s">
        <v>520</v>
      </c>
      <c r="H134" s="117" t="s">
        <v>260</v>
      </c>
      <c r="I134" s="117" t="s">
        <v>261</v>
      </c>
    </row>
    <row r="135" spans="1:9" x14ac:dyDescent="0.25">
      <c r="A135" t="s">
        <v>562</v>
      </c>
      <c r="B135" s="115" t="s">
        <v>563</v>
      </c>
      <c r="C135" t="s">
        <v>564</v>
      </c>
      <c r="D135" s="1103"/>
      <c r="E135" s="1103"/>
      <c r="F135" s="116" t="s">
        <v>523</v>
      </c>
      <c r="G135" t="s">
        <v>524</v>
      </c>
      <c r="H135" s="117" t="s">
        <v>100</v>
      </c>
      <c r="I135" s="117" t="s">
        <v>187</v>
      </c>
    </row>
    <row r="136" spans="1:9" x14ac:dyDescent="0.25">
      <c r="A136" t="s">
        <v>565</v>
      </c>
      <c r="B136" s="115" t="s">
        <v>566</v>
      </c>
      <c r="C136" t="s">
        <v>567</v>
      </c>
      <c r="D136" s="1103"/>
      <c r="E136" s="1103"/>
      <c r="F136" s="116" t="s">
        <v>526</v>
      </c>
      <c r="G136" t="s">
        <v>527</v>
      </c>
      <c r="H136" s="117" t="s">
        <v>220</v>
      </c>
      <c r="I136" s="117" t="s">
        <v>339</v>
      </c>
    </row>
    <row r="137" spans="1:9" x14ac:dyDescent="0.25">
      <c r="A137" t="s">
        <v>568</v>
      </c>
      <c r="B137" s="115" t="s">
        <v>569</v>
      </c>
      <c r="C137" t="s">
        <v>570</v>
      </c>
      <c r="D137" s="1103"/>
      <c r="E137" s="1103"/>
      <c r="F137" s="116" t="s">
        <v>533</v>
      </c>
      <c r="G137" t="s">
        <v>534</v>
      </c>
      <c r="H137" s="117" t="s">
        <v>100</v>
      </c>
      <c r="I137" s="117" t="s">
        <v>250</v>
      </c>
    </row>
    <row r="138" spans="1:9" x14ac:dyDescent="0.25">
      <c r="A138" t="s">
        <v>571</v>
      </c>
      <c r="B138" s="115" t="s">
        <v>572</v>
      </c>
      <c r="C138" t="s">
        <v>573</v>
      </c>
      <c r="D138" s="1103"/>
      <c r="E138" s="1103"/>
      <c r="F138" s="116" t="s">
        <v>536</v>
      </c>
      <c r="G138" t="s">
        <v>537</v>
      </c>
      <c r="H138" s="117" t="s">
        <v>165</v>
      </c>
      <c r="I138" s="117" t="s">
        <v>166</v>
      </c>
    </row>
    <row r="139" spans="1:9" x14ac:dyDescent="0.25">
      <c r="A139" t="s">
        <v>574</v>
      </c>
      <c r="B139" s="115" t="s">
        <v>575</v>
      </c>
      <c r="C139" t="s">
        <v>576</v>
      </c>
      <c r="D139" s="1103"/>
      <c r="E139" s="1103"/>
      <c r="F139" s="116" t="s">
        <v>539</v>
      </c>
      <c r="G139" t="s">
        <v>540</v>
      </c>
      <c r="H139" s="117" t="s">
        <v>165</v>
      </c>
      <c r="I139" s="117" t="s">
        <v>166</v>
      </c>
    </row>
    <row r="140" spans="1:9" x14ac:dyDescent="0.25">
      <c r="A140" t="s">
        <v>577</v>
      </c>
      <c r="B140" s="115" t="s">
        <v>578</v>
      </c>
      <c r="C140" t="s">
        <v>579</v>
      </c>
      <c r="D140" s="1103"/>
      <c r="E140" s="1103"/>
      <c r="F140" s="116" t="s">
        <v>542</v>
      </c>
      <c r="G140" t="s">
        <v>543</v>
      </c>
      <c r="H140" s="117" t="s">
        <v>105</v>
      </c>
      <c r="I140" s="117" t="s">
        <v>580</v>
      </c>
    </row>
    <row r="141" spans="1:9" x14ac:dyDescent="0.25">
      <c r="A141" t="s">
        <v>581</v>
      </c>
      <c r="B141" s="115" t="s">
        <v>582</v>
      </c>
      <c r="C141" t="s">
        <v>583</v>
      </c>
      <c r="D141" s="1103"/>
      <c r="E141" s="1103"/>
      <c r="F141" s="116" t="s">
        <v>545</v>
      </c>
      <c r="G141" t="s">
        <v>546</v>
      </c>
      <c r="H141" s="117" t="s">
        <v>160</v>
      </c>
      <c r="I141" s="117" t="s">
        <v>487</v>
      </c>
    </row>
    <row r="142" spans="1:9" x14ac:dyDescent="0.25">
      <c r="A142" t="s">
        <v>584</v>
      </c>
      <c r="B142" s="115" t="s">
        <v>585</v>
      </c>
      <c r="C142" t="s">
        <v>586</v>
      </c>
      <c r="D142" s="1103"/>
      <c r="E142" s="1103"/>
      <c r="F142" s="116" t="s">
        <v>550</v>
      </c>
      <c r="G142" t="s">
        <v>551</v>
      </c>
      <c r="H142" s="117" t="s">
        <v>105</v>
      </c>
      <c r="I142" s="117" t="s">
        <v>174</v>
      </c>
    </row>
    <row r="143" spans="1:9" x14ac:dyDescent="0.25">
      <c r="A143" t="s">
        <v>587</v>
      </c>
      <c r="B143" s="115" t="s">
        <v>588</v>
      </c>
      <c r="C143" t="s">
        <v>589</v>
      </c>
      <c r="D143" s="1103"/>
      <c r="E143" s="1103"/>
      <c r="F143" s="116" t="s">
        <v>590</v>
      </c>
      <c r="G143" t="s">
        <v>554</v>
      </c>
      <c r="H143" s="117" t="s">
        <v>170</v>
      </c>
      <c r="I143" s="117" t="s">
        <v>202</v>
      </c>
    </row>
    <row r="144" spans="1:9" x14ac:dyDescent="0.25">
      <c r="A144" t="s">
        <v>591</v>
      </c>
      <c r="B144" s="115" t="s">
        <v>592</v>
      </c>
      <c r="C144" t="s">
        <v>593</v>
      </c>
      <c r="D144" s="1103"/>
      <c r="E144" s="1103"/>
      <c r="F144" s="116" t="s">
        <v>556</v>
      </c>
      <c r="G144" t="s">
        <v>557</v>
      </c>
      <c r="H144" s="117" t="s">
        <v>100</v>
      </c>
      <c r="I144" s="117" t="s">
        <v>110</v>
      </c>
    </row>
    <row r="145" spans="1:9" x14ac:dyDescent="0.25">
      <c r="A145" t="s">
        <v>594</v>
      </c>
      <c r="B145" s="115" t="s">
        <v>595</v>
      </c>
      <c r="C145" t="s">
        <v>596</v>
      </c>
      <c r="D145" s="1103"/>
      <c r="E145" s="1103"/>
      <c r="F145" s="116" t="s">
        <v>597</v>
      </c>
      <c r="G145" t="s">
        <v>560</v>
      </c>
      <c r="H145" s="117" t="s">
        <v>100</v>
      </c>
      <c r="I145" s="117" t="s">
        <v>339</v>
      </c>
    </row>
    <row r="146" spans="1:9" x14ac:dyDescent="0.25">
      <c r="A146" t="s">
        <v>598</v>
      </c>
      <c r="B146" s="115" t="s">
        <v>599</v>
      </c>
      <c r="C146" t="s">
        <v>600</v>
      </c>
      <c r="D146" s="1103"/>
      <c r="E146" s="1103"/>
      <c r="F146" s="116" t="s">
        <v>562</v>
      </c>
      <c r="G146" t="s">
        <v>563</v>
      </c>
      <c r="H146" s="117" t="s">
        <v>170</v>
      </c>
      <c r="I146" s="117" t="s">
        <v>202</v>
      </c>
    </row>
    <row r="147" spans="1:9" x14ac:dyDescent="0.25">
      <c r="A147" t="s">
        <v>601</v>
      </c>
      <c r="B147" s="115" t="s">
        <v>602</v>
      </c>
      <c r="C147" t="s">
        <v>603</v>
      </c>
      <c r="D147" s="1103"/>
      <c r="E147" s="1103"/>
      <c r="F147" s="116" t="s">
        <v>565</v>
      </c>
      <c r="G147" t="s">
        <v>566</v>
      </c>
      <c r="H147" s="117" t="s">
        <v>328</v>
      </c>
      <c r="I147" s="117" t="s">
        <v>295</v>
      </c>
    </row>
    <row r="148" spans="1:9" x14ac:dyDescent="0.25">
      <c r="A148" t="s">
        <v>604</v>
      </c>
      <c r="B148" s="115" t="s">
        <v>605</v>
      </c>
      <c r="C148" t="s">
        <v>606</v>
      </c>
      <c r="D148" s="1103"/>
      <c r="E148" s="1103"/>
      <c r="F148" s="116" t="s">
        <v>568</v>
      </c>
      <c r="G148" t="s">
        <v>569</v>
      </c>
      <c r="H148" s="117" t="s">
        <v>105</v>
      </c>
      <c r="I148" s="117" t="s">
        <v>174</v>
      </c>
    </row>
    <row r="149" spans="1:9" ht="12" customHeight="1" x14ac:dyDescent="0.25">
      <c r="A149" t="s">
        <v>607</v>
      </c>
      <c r="B149" s="115" t="s">
        <v>608</v>
      </c>
      <c r="C149" t="s">
        <v>609</v>
      </c>
      <c r="D149" s="1103"/>
      <c r="E149" s="1103"/>
      <c r="F149" s="116" t="s">
        <v>571</v>
      </c>
      <c r="G149" t="s">
        <v>572</v>
      </c>
      <c r="H149" s="117" t="s">
        <v>100</v>
      </c>
      <c r="I149" s="117" t="s">
        <v>101</v>
      </c>
    </row>
    <row r="150" spans="1:9" ht="12" customHeight="1" x14ac:dyDescent="0.25">
      <c r="A150" t="s">
        <v>610</v>
      </c>
      <c r="B150" s="115" t="s">
        <v>33</v>
      </c>
      <c r="C150" t="s">
        <v>611</v>
      </c>
      <c r="D150" s="1103"/>
      <c r="E150" s="1103"/>
      <c r="F150" s="116" t="s">
        <v>612</v>
      </c>
      <c r="G150" t="s">
        <v>575</v>
      </c>
      <c r="H150" s="117" t="s">
        <v>328</v>
      </c>
      <c r="I150" s="117" t="s">
        <v>295</v>
      </c>
    </row>
    <row r="151" spans="1:9" ht="12" customHeight="1" x14ac:dyDescent="0.25">
      <c r="A151" t="s">
        <v>613</v>
      </c>
      <c r="B151" s="115" t="s">
        <v>50</v>
      </c>
      <c r="C151" t="s">
        <v>614</v>
      </c>
      <c r="D151" s="1103"/>
      <c r="E151" s="1103"/>
      <c r="F151" s="116" t="s">
        <v>577</v>
      </c>
      <c r="G151" t="s">
        <v>578</v>
      </c>
      <c r="H151" s="117" t="s">
        <v>170</v>
      </c>
      <c r="I151" s="117" t="s">
        <v>202</v>
      </c>
    </row>
    <row r="152" spans="1:9" x14ac:dyDescent="0.25">
      <c r="A152" t="s">
        <v>615</v>
      </c>
      <c r="B152" s="115" t="s">
        <v>616</v>
      </c>
      <c r="C152" t="s">
        <v>617</v>
      </c>
      <c r="D152" s="1103"/>
      <c r="E152" s="1103"/>
      <c r="F152" s="116" t="s">
        <v>618</v>
      </c>
      <c r="G152" t="s">
        <v>619</v>
      </c>
      <c r="H152" s="117" t="s">
        <v>165</v>
      </c>
      <c r="I152" s="117" t="s">
        <v>166</v>
      </c>
    </row>
    <row r="153" spans="1:9" x14ac:dyDescent="0.25">
      <c r="A153" t="s">
        <v>620</v>
      </c>
      <c r="B153" s="115" t="s">
        <v>621</v>
      </c>
      <c r="C153" t="s">
        <v>622</v>
      </c>
      <c r="D153" s="1103"/>
      <c r="E153" s="1103"/>
      <c r="F153" s="116" t="s">
        <v>581</v>
      </c>
      <c r="G153" t="s">
        <v>582</v>
      </c>
      <c r="H153" s="117" t="s">
        <v>165</v>
      </c>
      <c r="I153" s="117" t="s">
        <v>166</v>
      </c>
    </row>
    <row r="154" spans="1:9" x14ac:dyDescent="0.25">
      <c r="A154" t="s">
        <v>623</v>
      </c>
      <c r="B154" s="115" t="s">
        <v>624</v>
      </c>
      <c r="C154" t="s">
        <v>625</v>
      </c>
      <c r="D154" s="1103"/>
      <c r="E154" s="1103"/>
      <c r="F154" s="116" t="s">
        <v>584</v>
      </c>
      <c r="G154" t="s">
        <v>585</v>
      </c>
      <c r="H154" s="117" t="s">
        <v>165</v>
      </c>
      <c r="I154" s="117" t="s">
        <v>166</v>
      </c>
    </row>
    <row r="155" spans="1:9" x14ac:dyDescent="0.25">
      <c r="A155" t="s">
        <v>626</v>
      </c>
      <c r="B155" s="115" t="s">
        <v>627</v>
      </c>
      <c r="C155" t="s">
        <v>628</v>
      </c>
      <c r="D155" s="1103"/>
      <c r="E155" s="1103"/>
      <c r="F155" s="116" t="s">
        <v>587</v>
      </c>
      <c r="G155" t="s">
        <v>588</v>
      </c>
      <c r="H155" s="117" t="s">
        <v>105</v>
      </c>
      <c r="I155" s="117" t="s">
        <v>127</v>
      </c>
    </row>
    <row r="156" spans="1:9" x14ac:dyDescent="0.25">
      <c r="A156" t="s">
        <v>629</v>
      </c>
      <c r="B156" s="115" t="s">
        <v>630</v>
      </c>
      <c r="C156" t="s">
        <v>631</v>
      </c>
      <c r="D156" s="1103"/>
      <c r="E156" s="1103"/>
      <c r="F156" s="116" t="s">
        <v>591</v>
      </c>
      <c r="G156" t="s">
        <v>592</v>
      </c>
      <c r="H156" s="117" t="s">
        <v>165</v>
      </c>
      <c r="I156" s="117" t="s">
        <v>166</v>
      </c>
    </row>
    <row r="157" spans="1:9" x14ac:dyDescent="0.25">
      <c r="A157" t="s">
        <v>632</v>
      </c>
      <c r="B157" s="115" t="s">
        <v>633</v>
      </c>
      <c r="C157" t="s">
        <v>634</v>
      </c>
      <c r="D157" s="1103"/>
      <c r="E157" s="1103"/>
      <c r="F157" s="116" t="s">
        <v>594</v>
      </c>
      <c r="G157" t="s">
        <v>595</v>
      </c>
      <c r="H157" s="117" t="s">
        <v>220</v>
      </c>
      <c r="I157" s="117" t="s">
        <v>367</v>
      </c>
    </row>
    <row r="158" spans="1:9" x14ac:dyDescent="0.25">
      <c r="A158" t="s">
        <v>635</v>
      </c>
      <c r="B158" s="115" t="s">
        <v>636</v>
      </c>
      <c r="C158" t="s">
        <v>637</v>
      </c>
      <c r="D158" s="1103"/>
      <c r="E158" s="1103"/>
      <c r="F158" s="116" t="s">
        <v>598</v>
      </c>
      <c r="G158" t="s">
        <v>599</v>
      </c>
      <c r="H158" s="117" t="s">
        <v>105</v>
      </c>
      <c r="I158" s="117" t="s">
        <v>280</v>
      </c>
    </row>
    <row r="159" spans="1:9" ht="12" customHeight="1" x14ac:dyDescent="0.25">
      <c r="A159" t="s">
        <v>638</v>
      </c>
      <c r="B159" s="115" t="s">
        <v>639</v>
      </c>
      <c r="C159" t="s">
        <v>640</v>
      </c>
      <c r="D159" s="1103"/>
      <c r="E159" s="1103"/>
      <c r="F159" s="116" t="s">
        <v>601</v>
      </c>
      <c r="G159" t="s">
        <v>602</v>
      </c>
      <c r="H159" s="117" t="s">
        <v>260</v>
      </c>
      <c r="I159" s="117" t="s">
        <v>261</v>
      </c>
    </row>
    <row r="160" spans="1:9" ht="12" customHeight="1" x14ac:dyDescent="0.25">
      <c r="A160" t="s">
        <v>641</v>
      </c>
      <c r="B160" s="115" t="s">
        <v>642</v>
      </c>
      <c r="C160" t="s">
        <v>643</v>
      </c>
      <c r="D160" s="1103"/>
      <c r="E160" s="1103"/>
      <c r="F160" s="116" t="s">
        <v>607</v>
      </c>
      <c r="G160" t="s">
        <v>608</v>
      </c>
      <c r="H160" s="117" t="s">
        <v>170</v>
      </c>
      <c r="I160" s="117" t="s">
        <v>171</v>
      </c>
    </row>
    <row r="161" spans="1:9" ht="12" customHeight="1" x14ac:dyDescent="0.25">
      <c r="A161" t="s">
        <v>644</v>
      </c>
      <c r="B161" s="115" t="s">
        <v>645</v>
      </c>
      <c r="C161" t="s">
        <v>646</v>
      </c>
      <c r="D161" s="1103"/>
      <c r="E161" s="1103"/>
      <c r="F161" s="116" t="s">
        <v>610</v>
      </c>
      <c r="G161" t="s">
        <v>33</v>
      </c>
      <c r="H161" s="117" t="s">
        <v>260</v>
      </c>
      <c r="I161" s="117" t="s">
        <v>261</v>
      </c>
    </row>
    <row r="162" spans="1:9" x14ac:dyDescent="0.25">
      <c r="A162" t="s">
        <v>647</v>
      </c>
      <c r="B162" s="115" t="s">
        <v>648</v>
      </c>
      <c r="C162" t="s">
        <v>649</v>
      </c>
      <c r="D162" s="1103"/>
      <c r="E162" s="1103"/>
      <c r="F162" s="116" t="s">
        <v>613</v>
      </c>
      <c r="G162" t="s">
        <v>50</v>
      </c>
      <c r="H162" s="117" t="s">
        <v>220</v>
      </c>
      <c r="I162" s="117" t="s">
        <v>221</v>
      </c>
    </row>
    <row r="163" spans="1:9" x14ac:dyDescent="0.25">
      <c r="A163" t="s">
        <v>650</v>
      </c>
      <c r="B163" s="115" t="s">
        <v>651</v>
      </c>
      <c r="C163" t="s">
        <v>652</v>
      </c>
      <c r="D163" s="1103"/>
      <c r="E163" s="1103"/>
      <c r="F163" s="116" t="s">
        <v>615</v>
      </c>
      <c r="G163" t="s">
        <v>616</v>
      </c>
      <c r="H163" s="117" t="s">
        <v>170</v>
      </c>
      <c r="I163" s="117" t="s">
        <v>171</v>
      </c>
    </row>
    <row r="164" spans="1:9" x14ac:dyDescent="0.25">
      <c r="A164" t="s">
        <v>653</v>
      </c>
      <c r="B164" s="115" t="s">
        <v>654</v>
      </c>
      <c r="C164" t="s">
        <v>655</v>
      </c>
      <c r="D164" s="1103"/>
      <c r="E164" s="1103"/>
      <c r="F164" s="116" t="s">
        <v>620</v>
      </c>
      <c r="G164" t="s">
        <v>621</v>
      </c>
      <c r="H164" s="117" t="s">
        <v>260</v>
      </c>
      <c r="I164" s="117" t="s">
        <v>367</v>
      </c>
    </row>
    <row r="165" spans="1:9" x14ac:dyDescent="0.25">
      <c r="A165" t="s">
        <v>656</v>
      </c>
      <c r="B165" s="115" t="s">
        <v>657</v>
      </c>
      <c r="C165" t="s">
        <v>658</v>
      </c>
      <c r="D165" s="1103"/>
      <c r="E165" s="1103"/>
      <c r="F165" s="116" t="s">
        <v>623</v>
      </c>
      <c r="G165" t="s">
        <v>624</v>
      </c>
      <c r="H165" s="117" t="s">
        <v>170</v>
      </c>
      <c r="I165" s="117" t="s">
        <v>202</v>
      </c>
    </row>
    <row r="166" spans="1:9" x14ac:dyDescent="0.25">
      <c r="A166" t="s">
        <v>659</v>
      </c>
      <c r="B166" s="115" t="s">
        <v>660</v>
      </c>
      <c r="C166" t="s">
        <v>661</v>
      </c>
      <c r="D166" s="1103"/>
      <c r="E166" s="1103"/>
      <c r="F166" s="116" t="s">
        <v>662</v>
      </c>
      <c r="G166" t="s">
        <v>663</v>
      </c>
      <c r="H166" s="117" t="s">
        <v>220</v>
      </c>
      <c r="I166" s="117" t="s">
        <v>339</v>
      </c>
    </row>
    <row r="167" spans="1:9" x14ac:dyDescent="0.25">
      <c r="A167" t="s">
        <v>664</v>
      </c>
      <c r="B167" s="115" t="s">
        <v>44</v>
      </c>
      <c r="C167" t="s">
        <v>665</v>
      </c>
      <c r="D167" s="1103"/>
      <c r="E167" s="1103"/>
      <c r="F167" s="116" t="s">
        <v>626</v>
      </c>
      <c r="G167" t="s">
        <v>627</v>
      </c>
      <c r="H167" s="117" t="s">
        <v>194</v>
      </c>
      <c r="I167" s="117" t="s">
        <v>666</v>
      </c>
    </row>
    <row r="168" spans="1:9" x14ac:dyDescent="0.25">
      <c r="A168" t="s">
        <v>667</v>
      </c>
      <c r="B168" s="115" t="s">
        <v>668</v>
      </c>
      <c r="C168" t="s">
        <v>669</v>
      </c>
      <c r="D168" s="1103"/>
      <c r="E168" s="1103"/>
      <c r="F168" s="116" t="s">
        <v>629</v>
      </c>
      <c r="G168" t="s">
        <v>630</v>
      </c>
      <c r="H168" s="117" t="s">
        <v>260</v>
      </c>
      <c r="I168" s="117" t="s">
        <v>670</v>
      </c>
    </row>
    <row r="169" spans="1:9" ht="12" customHeight="1" x14ac:dyDescent="0.25">
      <c r="A169" t="s">
        <v>671</v>
      </c>
      <c r="B169" s="115" t="s">
        <v>672</v>
      </c>
      <c r="C169" t="s">
        <v>673</v>
      </c>
      <c r="D169" s="1103"/>
      <c r="E169" s="1103"/>
      <c r="F169" s="116" t="s">
        <v>632</v>
      </c>
      <c r="G169" t="s">
        <v>633</v>
      </c>
      <c r="H169" s="117" t="s">
        <v>100</v>
      </c>
      <c r="I169" s="117" t="s">
        <v>110</v>
      </c>
    </row>
    <row r="170" spans="1:9" ht="12" customHeight="1" x14ac:dyDescent="0.25">
      <c r="A170" t="s">
        <v>674</v>
      </c>
      <c r="B170" s="115" t="s">
        <v>675</v>
      </c>
      <c r="C170" t="s">
        <v>676</v>
      </c>
      <c r="D170" s="1103"/>
      <c r="E170" s="1103"/>
      <c r="F170" s="116" t="s">
        <v>677</v>
      </c>
      <c r="G170" t="s">
        <v>678</v>
      </c>
      <c r="H170" s="117" t="s">
        <v>100</v>
      </c>
      <c r="I170" s="117" t="s">
        <v>339</v>
      </c>
    </row>
    <row r="171" spans="1:9" ht="12" customHeight="1" x14ac:dyDescent="0.25">
      <c r="A171" t="s">
        <v>679</v>
      </c>
      <c r="B171" s="115" t="s">
        <v>680</v>
      </c>
      <c r="C171" t="s">
        <v>679</v>
      </c>
      <c r="D171" s="1103"/>
      <c r="E171" s="1103"/>
      <c r="F171" s="116" t="s">
        <v>635</v>
      </c>
      <c r="G171" t="s">
        <v>636</v>
      </c>
      <c r="H171" s="117" t="s">
        <v>160</v>
      </c>
      <c r="I171" s="117" t="s">
        <v>487</v>
      </c>
    </row>
    <row r="172" spans="1:9" x14ac:dyDescent="0.25">
      <c r="A172" t="s">
        <v>681</v>
      </c>
      <c r="B172" s="115" t="s">
        <v>682</v>
      </c>
      <c r="C172" t="s">
        <v>683</v>
      </c>
      <c r="D172" s="1103"/>
      <c r="E172" s="1103"/>
      <c r="F172" s="116" t="s">
        <v>638</v>
      </c>
      <c r="G172" t="s">
        <v>639</v>
      </c>
      <c r="H172" s="117" t="s">
        <v>160</v>
      </c>
      <c r="I172" s="117" t="s">
        <v>487</v>
      </c>
    </row>
    <row r="173" spans="1:9" x14ac:dyDescent="0.25">
      <c r="A173" t="s">
        <v>684</v>
      </c>
      <c r="B173" s="115" t="s">
        <v>685</v>
      </c>
      <c r="C173" t="s">
        <v>686</v>
      </c>
      <c r="D173" s="1103"/>
      <c r="E173" s="1103"/>
      <c r="F173" s="116" t="s">
        <v>641</v>
      </c>
      <c r="G173" t="s">
        <v>642</v>
      </c>
      <c r="H173" s="117" t="s">
        <v>100</v>
      </c>
      <c r="I173" s="117" t="s">
        <v>339</v>
      </c>
    </row>
    <row r="174" spans="1:9" x14ac:dyDescent="0.25">
      <c r="A174" t="s">
        <v>687</v>
      </c>
      <c r="B174" s="115" t="s">
        <v>688</v>
      </c>
      <c r="C174" t="s">
        <v>689</v>
      </c>
      <c r="D174" s="1103"/>
      <c r="E174" s="1103"/>
      <c r="F174" s="116" t="s">
        <v>647</v>
      </c>
      <c r="G174" t="s">
        <v>648</v>
      </c>
      <c r="H174" s="117" t="s">
        <v>100</v>
      </c>
      <c r="I174" s="117" t="s">
        <v>181</v>
      </c>
    </row>
    <row r="175" spans="1:9" x14ac:dyDescent="0.25">
      <c r="A175" t="s">
        <v>690</v>
      </c>
      <c r="B175" s="115" t="s">
        <v>691</v>
      </c>
      <c r="C175" t="s">
        <v>692</v>
      </c>
      <c r="D175" s="1103"/>
      <c r="E175" s="1103"/>
      <c r="F175" s="116" t="s">
        <v>693</v>
      </c>
      <c r="G175" t="s">
        <v>694</v>
      </c>
      <c r="H175" s="117" t="s">
        <v>100</v>
      </c>
      <c r="I175" s="117" t="s">
        <v>181</v>
      </c>
    </row>
    <row r="176" spans="1:9" x14ac:dyDescent="0.25">
      <c r="A176" t="s">
        <v>695</v>
      </c>
      <c r="B176" s="115" t="s">
        <v>696</v>
      </c>
      <c r="C176" t="s">
        <v>697</v>
      </c>
      <c r="D176" s="1103"/>
      <c r="E176" s="1103"/>
      <c r="F176" s="116" t="s">
        <v>650</v>
      </c>
      <c r="G176" t="s">
        <v>651</v>
      </c>
      <c r="H176" s="117" t="s">
        <v>170</v>
      </c>
      <c r="I176" s="117" t="s">
        <v>171</v>
      </c>
    </row>
    <row r="177" spans="1:9" x14ac:dyDescent="0.25">
      <c r="A177" t="s">
        <v>698</v>
      </c>
      <c r="B177" s="115" t="s">
        <v>699</v>
      </c>
      <c r="C177" t="s">
        <v>700</v>
      </c>
      <c r="D177" s="1103"/>
      <c r="E177" s="1103"/>
      <c r="F177" s="116" t="s">
        <v>656</v>
      </c>
      <c r="G177" t="s">
        <v>657</v>
      </c>
      <c r="H177" s="117" t="s">
        <v>170</v>
      </c>
      <c r="I177" s="117" t="s">
        <v>171</v>
      </c>
    </row>
    <row r="178" spans="1:9" x14ac:dyDescent="0.25">
      <c r="A178" t="s">
        <v>701</v>
      </c>
      <c r="B178" s="115" t="s">
        <v>702</v>
      </c>
      <c r="C178" t="s">
        <v>703</v>
      </c>
      <c r="D178" s="1103"/>
      <c r="E178" s="1103"/>
      <c r="F178" s="116" t="s">
        <v>659</v>
      </c>
      <c r="G178" t="s">
        <v>660</v>
      </c>
      <c r="H178" s="117" t="s">
        <v>160</v>
      </c>
      <c r="I178" s="117" t="s">
        <v>704</v>
      </c>
    </row>
    <row r="179" spans="1:9" ht="12" customHeight="1" x14ac:dyDescent="0.25">
      <c r="A179" t="s">
        <v>705</v>
      </c>
      <c r="B179" s="115" t="s">
        <v>706</v>
      </c>
      <c r="C179" t="s">
        <v>707</v>
      </c>
      <c r="D179" s="1103"/>
      <c r="E179" s="1103"/>
      <c r="F179" s="116" t="s">
        <v>664</v>
      </c>
      <c r="G179" t="s">
        <v>44</v>
      </c>
      <c r="H179" s="117" t="s">
        <v>260</v>
      </c>
      <c r="I179" s="117" t="s">
        <v>367</v>
      </c>
    </row>
    <row r="180" spans="1:9" ht="12" customHeight="1" x14ac:dyDescent="0.25">
      <c r="A180" t="s">
        <v>708</v>
      </c>
      <c r="B180" s="115" t="s">
        <v>709</v>
      </c>
      <c r="C180" t="s">
        <v>710</v>
      </c>
      <c r="D180" s="1103"/>
      <c r="E180" s="1103"/>
      <c r="F180" s="116" t="s">
        <v>667</v>
      </c>
      <c r="G180" t="s">
        <v>668</v>
      </c>
      <c r="H180" s="117" t="s">
        <v>194</v>
      </c>
      <c r="I180" s="117" t="s">
        <v>290</v>
      </c>
    </row>
    <row r="181" spans="1:9" ht="12" customHeight="1" x14ac:dyDescent="0.25">
      <c r="A181" t="s">
        <v>711</v>
      </c>
      <c r="B181" s="115" t="s">
        <v>712</v>
      </c>
      <c r="C181" t="s">
        <v>713</v>
      </c>
      <c r="D181" s="1103"/>
      <c r="E181" s="1103"/>
      <c r="F181" s="116" t="s">
        <v>671</v>
      </c>
      <c r="G181" t="s">
        <v>672</v>
      </c>
      <c r="H181" s="117" t="s">
        <v>194</v>
      </c>
      <c r="I181" s="117" t="s">
        <v>299</v>
      </c>
    </row>
    <row r="182" spans="1:9" x14ac:dyDescent="0.25">
      <c r="A182" t="s">
        <v>714</v>
      </c>
      <c r="B182" s="115" t="s">
        <v>715</v>
      </c>
      <c r="C182" t="s">
        <v>716</v>
      </c>
      <c r="D182" s="1103"/>
      <c r="E182" s="1103"/>
      <c r="F182" s="116" t="s">
        <v>674</v>
      </c>
      <c r="G182" t="s">
        <v>675</v>
      </c>
      <c r="H182" s="117" t="s">
        <v>105</v>
      </c>
      <c r="I182" s="117" t="s">
        <v>580</v>
      </c>
    </row>
    <row r="183" spans="1:9" x14ac:dyDescent="0.25">
      <c r="A183" t="s">
        <v>717</v>
      </c>
      <c r="B183" s="115" t="s">
        <v>718</v>
      </c>
      <c r="C183" t="s">
        <v>719</v>
      </c>
      <c r="D183" s="1103"/>
      <c r="E183" s="1103"/>
      <c r="F183" s="116" t="s">
        <v>679</v>
      </c>
      <c r="G183" t="s">
        <v>680</v>
      </c>
      <c r="H183" s="117" t="s">
        <v>115</v>
      </c>
      <c r="I183" s="117" t="s">
        <v>276</v>
      </c>
    </row>
    <row r="184" spans="1:9" x14ac:dyDescent="0.25">
      <c r="A184" t="s">
        <v>720</v>
      </c>
      <c r="B184" s="115" t="s">
        <v>721</v>
      </c>
      <c r="C184" t="s">
        <v>722</v>
      </c>
      <c r="D184" s="1103"/>
      <c r="E184" s="1103"/>
      <c r="F184" s="116" t="s">
        <v>681</v>
      </c>
      <c r="G184" t="s">
        <v>682</v>
      </c>
      <c r="H184" s="117" t="s">
        <v>220</v>
      </c>
      <c r="I184" s="117" t="s">
        <v>221</v>
      </c>
    </row>
    <row r="185" spans="1:9" x14ac:dyDescent="0.25">
      <c r="A185" t="s">
        <v>723</v>
      </c>
      <c r="B185" s="115" t="s">
        <v>724</v>
      </c>
      <c r="C185" t="s">
        <v>725</v>
      </c>
      <c r="D185" s="1103"/>
      <c r="E185" s="1103"/>
      <c r="F185" s="116" t="s">
        <v>687</v>
      </c>
      <c r="G185" t="s">
        <v>688</v>
      </c>
      <c r="H185" s="117" t="s">
        <v>260</v>
      </c>
      <c r="I185" s="117" t="s">
        <v>367</v>
      </c>
    </row>
    <row r="186" spans="1:9" x14ac:dyDescent="0.25">
      <c r="A186" t="s">
        <v>726</v>
      </c>
      <c r="B186" s="115" t="s">
        <v>727</v>
      </c>
      <c r="C186" t="s">
        <v>728</v>
      </c>
      <c r="D186" s="1103"/>
      <c r="E186" s="1103"/>
      <c r="F186" s="116" t="s">
        <v>690</v>
      </c>
      <c r="G186" t="s">
        <v>691</v>
      </c>
      <c r="H186" s="117" t="s">
        <v>105</v>
      </c>
      <c r="I186" s="117" t="s">
        <v>127</v>
      </c>
    </row>
    <row r="187" spans="1:9" x14ac:dyDescent="0.25">
      <c r="A187" t="s">
        <v>729</v>
      </c>
      <c r="B187" s="115" t="s">
        <v>730</v>
      </c>
      <c r="C187" t="s">
        <v>731</v>
      </c>
      <c r="D187" s="1103"/>
      <c r="E187" s="1103"/>
      <c r="F187" s="116" t="s">
        <v>695</v>
      </c>
      <c r="G187" t="s">
        <v>696</v>
      </c>
      <c r="H187" s="117" t="s">
        <v>165</v>
      </c>
      <c r="I187" s="117" t="s">
        <v>166</v>
      </c>
    </row>
    <row r="188" spans="1:9" x14ac:dyDescent="0.25">
      <c r="A188" t="s">
        <v>732</v>
      </c>
      <c r="B188" s="115" t="s">
        <v>733</v>
      </c>
      <c r="C188" t="s">
        <v>734</v>
      </c>
      <c r="D188" s="1103"/>
      <c r="E188" s="1103"/>
      <c r="F188" s="116" t="s">
        <v>701</v>
      </c>
      <c r="G188" t="s">
        <v>702</v>
      </c>
      <c r="H188" s="117" t="s">
        <v>115</v>
      </c>
      <c r="I188" s="117" t="s">
        <v>123</v>
      </c>
    </row>
    <row r="189" spans="1:9" ht="12" customHeight="1" x14ac:dyDescent="0.25">
      <c r="A189" t="s">
        <v>735</v>
      </c>
      <c r="B189" s="115" t="s">
        <v>736</v>
      </c>
      <c r="C189" t="s">
        <v>735</v>
      </c>
      <c r="D189" s="1103"/>
      <c r="E189" s="1103"/>
      <c r="F189" s="116" t="s">
        <v>708</v>
      </c>
      <c r="G189" t="s">
        <v>709</v>
      </c>
      <c r="H189" s="117" t="s">
        <v>160</v>
      </c>
      <c r="I189" s="117" t="s">
        <v>161</v>
      </c>
    </row>
    <row r="190" spans="1:9" ht="12" customHeight="1" x14ac:dyDescent="0.25">
      <c r="A190" t="s">
        <v>737</v>
      </c>
      <c r="B190" s="115" t="s">
        <v>738</v>
      </c>
      <c r="C190" t="s">
        <v>739</v>
      </c>
      <c r="D190" s="1103"/>
      <c r="E190" s="1103"/>
      <c r="F190" s="116" t="s">
        <v>711</v>
      </c>
      <c r="G190" t="s">
        <v>712</v>
      </c>
      <c r="H190" s="117" t="s">
        <v>170</v>
      </c>
      <c r="I190" s="117" t="s">
        <v>171</v>
      </c>
    </row>
    <row r="191" spans="1:9" ht="12" customHeight="1" x14ac:dyDescent="0.25">
      <c r="A191" t="s">
        <v>740</v>
      </c>
      <c r="B191" s="115" t="s">
        <v>741</v>
      </c>
      <c r="C191" t="s">
        <v>742</v>
      </c>
      <c r="D191" s="1103"/>
      <c r="E191" s="1103"/>
      <c r="F191" s="116" t="s">
        <v>714</v>
      </c>
      <c r="G191" t="s">
        <v>715</v>
      </c>
      <c r="H191" s="117" t="s">
        <v>160</v>
      </c>
      <c r="I191" s="117" t="s">
        <v>487</v>
      </c>
    </row>
    <row r="192" spans="1:9" x14ac:dyDescent="0.25">
      <c r="A192" t="s">
        <v>743</v>
      </c>
      <c r="B192" s="115" t="s">
        <v>744</v>
      </c>
      <c r="C192" t="s">
        <v>745</v>
      </c>
      <c r="D192" s="1103"/>
      <c r="E192" s="1103"/>
      <c r="F192" s="116" t="s">
        <v>717</v>
      </c>
      <c r="G192" t="s">
        <v>718</v>
      </c>
      <c r="H192" s="117" t="s">
        <v>170</v>
      </c>
      <c r="I192" s="117" t="s">
        <v>171</v>
      </c>
    </row>
    <row r="193" spans="1:9" x14ac:dyDescent="0.25">
      <c r="A193" t="s">
        <v>746</v>
      </c>
      <c r="B193" s="115" t="s">
        <v>747</v>
      </c>
      <c r="C193" t="s">
        <v>748</v>
      </c>
      <c r="D193" s="1103"/>
      <c r="E193" s="1103"/>
      <c r="F193" s="116" t="s">
        <v>720</v>
      </c>
      <c r="G193" t="s">
        <v>721</v>
      </c>
      <c r="H193" s="117" t="s">
        <v>100</v>
      </c>
      <c r="I193" s="117" t="s">
        <v>101</v>
      </c>
    </row>
    <row r="194" spans="1:9" x14ac:dyDescent="0.25">
      <c r="A194" t="s">
        <v>749</v>
      </c>
      <c r="B194" s="115" t="s">
        <v>750</v>
      </c>
      <c r="C194" t="s">
        <v>751</v>
      </c>
      <c r="D194" s="1103"/>
      <c r="E194" s="1103"/>
      <c r="F194" s="116" t="s">
        <v>723</v>
      </c>
      <c r="G194" t="s">
        <v>724</v>
      </c>
      <c r="H194" s="117" t="s">
        <v>100</v>
      </c>
      <c r="I194" s="117" t="s">
        <v>101</v>
      </c>
    </row>
    <row r="195" spans="1:9" x14ac:dyDescent="0.25">
      <c r="A195" t="s">
        <v>752</v>
      </c>
      <c r="B195" s="115" t="s">
        <v>753</v>
      </c>
      <c r="C195" t="s">
        <v>754</v>
      </c>
      <c r="D195" s="1103"/>
      <c r="E195" s="1103"/>
      <c r="F195" s="116" t="s">
        <v>726</v>
      </c>
      <c r="G195" t="s">
        <v>727</v>
      </c>
      <c r="H195" s="117" t="s">
        <v>160</v>
      </c>
      <c r="I195" s="117" t="s">
        <v>755</v>
      </c>
    </row>
    <row r="196" spans="1:9" x14ac:dyDescent="0.25">
      <c r="A196" t="s">
        <v>756</v>
      </c>
      <c r="B196" s="115" t="s">
        <v>757</v>
      </c>
      <c r="C196" t="s">
        <v>758</v>
      </c>
      <c r="D196" s="1103"/>
      <c r="E196" s="1103"/>
      <c r="F196" s="116" t="s">
        <v>759</v>
      </c>
      <c r="G196" t="s">
        <v>760</v>
      </c>
      <c r="H196" s="117" t="s">
        <v>160</v>
      </c>
      <c r="I196" s="117" t="s">
        <v>755</v>
      </c>
    </row>
    <row r="197" spans="1:9" x14ac:dyDescent="0.25">
      <c r="A197" t="s">
        <v>761</v>
      </c>
      <c r="B197" s="115" t="s">
        <v>762</v>
      </c>
      <c r="C197" t="s">
        <v>763</v>
      </c>
      <c r="D197" s="1103"/>
      <c r="E197" s="1103"/>
      <c r="F197" s="116" t="s">
        <v>729</v>
      </c>
      <c r="G197" t="s">
        <v>730</v>
      </c>
      <c r="H197" s="117" t="s">
        <v>160</v>
      </c>
      <c r="I197" s="117" t="s">
        <v>755</v>
      </c>
    </row>
    <row r="198" spans="1:9" x14ac:dyDescent="0.25">
      <c r="A198" t="s">
        <v>764</v>
      </c>
      <c r="B198" s="115" t="s">
        <v>765</v>
      </c>
      <c r="C198" t="s">
        <v>766</v>
      </c>
      <c r="D198" s="1103"/>
      <c r="E198" s="1103"/>
      <c r="F198" s="116" t="s">
        <v>732</v>
      </c>
      <c r="G198" t="s">
        <v>733</v>
      </c>
      <c r="H198" s="117" t="s">
        <v>160</v>
      </c>
      <c r="I198" s="117" t="s">
        <v>755</v>
      </c>
    </row>
    <row r="199" spans="1:9" ht="12" customHeight="1" x14ac:dyDescent="0.25">
      <c r="A199" t="s">
        <v>767</v>
      </c>
      <c r="B199" s="115" t="s">
        <v>768</v>
      </c>
      <c r="C199" t="s">
        <v>769</v>
      </c>
      <c r="D199" s="1103"/>
      <c r="E199" s="1103"/>
      <c r="F199" s="116" t="s">
        <v>770</v>
      </c>
      <c r="G199" t="s">
        <v>771</v>
      </c>
      <c r="H199" s="117" t="s">
        <v>160</v>
      </c>
      <c r="I199" s="117" t="s">
        <v>755</v>
      </c>
    </row>
    <row r="200" spans="1:9" s="118" customFormat="1" ht="12" customHeight="1" x14ac:dyDescent="0.25">
      <c r="A200" s="118" t="s">
        <v>772</v>
      </c>
      <c r="B200" s="118" t="s">
        <v>773</v>
      </c>
      <c r="C200" s="118" t="s">
        <v>774</v>
      </c>
      <c r="D200" s="1103"/>
      <c r="E200" s="1103"/>
      <c r="F200" s="118" t="s">
        <v>737</v>
      </c>
      <c r="G200" s="118" t="s">
        <v>738</v>
      </c>
      <c r="H200" s="118" t="s">
        <v>160</v>
      </c>
      <c r="I200" s="118" t="s">
        <v>387</v>
      </c>
    </row>
    <row r="201" spans="1:9" s="118" customFormat="1" ht="12" customHeight="1" x14ac:dyDescent="0.25">
      <c r="A201" s="118" t="s">
        <v>775</v>
      </c>
      <c r="B201" s="118" t="s">
        <v>776</v>
      </c>
      <c r="C201" s="118" t="s">
        <v>777</v>
      </c>
      <c r="D201" s="1103"/>
      <c r="E201" s="1103"/>
      <c r="F201" s="118" t="s">
        <v>740</v>
      </c>
      <c r="G201" s="118" t="s">
        <v>741</v>
      </c>
      <c r="H201" s="118" t="s">
        <v>100</v>
      </c>
      <c r="I201" s="118" t="s">
        <v>250</v>
      </c>
    </row>
    <row r="202" spans="1:9" s="118" customFormat="1" x14ac:dyDescent="0.25">
      <c r="A202" s="118" t="s">
        <v>778</v>
      </c>
      <c r="B202" s="118" t="s">
        <v>779</v>
      </c>
      <c r="C202" s="118" t="s">
        <v>780</v>
      </c>
      <c r="D202" s="1103"/>
      <c r="E202" s="1103"/>
      <c r="F202" s="118" t="s">
        <v>743</v>
      </c>
      <c r="G202" s="118" t="s">
        <v>744</v>
      </c>
      <c r="H202" s="118" t="s">
        <v>328</v>
      </c>
      <c r="I202" s="118" t="s">
        <v>522</v>
      </c>
    </row>
    <row r="203" spans="1:9" s="118" customFormat="1" x14ac:dyDescent="0.25">
      <c r="A203" s="118" t="s">
        <v>781</v>
      </c>
      <c r="B203" s="118" t="s">
        <v>782</v>
      </c>
      <c r="C203" s="118" t="s">
        <v>783</v>
      </c>
      <c r="D203" s="1103"/>
      <c r="E203" s="1103"/>
      <c r="F203" s="118" t="s">
        <v>746</v>
      </c>
      <c r="G203" s="118" t="s">
        <v>747</v>
      </c>
      <c r="H203" s="118" t="s">
        <v>165</v>
      </c>
      <c r="I203" s="118" t="s">
        <v>166</v>
      </c>
    </row>
    <row r="204" spans="1:9" s="118" customFormat="1" x14ac:dyDescent="0.25">
      <c r="A204" s="118" t="s">
        <v>784</v>
      </c>
      <c r="B204" s="118" t="s">
        <v>785</v>
      </c>
      <c r="C204" s="118" t="s">
        <v>784</v>
      </c>
      <c r="D204" s="1103"/>
      <c r="E204" s="1103"/>
      <c r="F204" s="118" t="s">
        <v>749</v>
      </c>
      <c r="G204" s="118" t="s">
        <v>750</v>
      </c>
      <c r="H204" s="118" t="s">
        <v>105</v>
      </c>
      <c r="I204" s="118" t="s">
        <v>127</v>
      </c>
    </row>
    <row r="205" spans="1:9" s="118" customFormat="1" x14ac:dyDescent="0.25">
      <c r="A205" s="118" t="s">
        <v>786</v>
      </c>
      <c r="B205" s="118" t="s">
        <v>787</v>
      </c>
      <c r="C205" s="118" t="s">
        <v>788</v>
      </c>
      <c r="D205" s="1103"/>
      <c r="E205" s="1103"/>
      <c r="F205" s="118" t="s">
        <v>752</v>
      </c>
      <c r="G205" s="118" t="s">
        <v>753</v>
      </c>
      <c r="H205" s="118" t="s">
        <v>160</v>
      </c>
      <c r="I205" s="118" t="s">
        <v>755</v>
      </c>
    </row>
    <row r="206" spans="1:9" s="118" customFormat="1" x14ac:dyDescent="0.25">
      <c r="A206" s="118" t="s">
        <v>782</v>
      </c>
      <c r="B206" s="118" t="s">
        <v>789</v>
      </c>
      <c r="C206" s="118" t="s">
        <v>782</v>
      </c>
      <c r="D206" s="1103"/>
      <c r="E206" s="1103"/>
      <c r="F206" s="118" t="s">
        <v>756</v>
      </c>
      <c r="G206" s="118" t="s">
        <v>757</v>
      </c>
      <c r="H206" s="118" t="s">
        <v>220</v>
      </c>
      <c r="I206" s="118" t="s">
        <v>250</v>
      </c>
    </row>
    <row r="207" spans="1:9" s="118" customFormat="1" x14ac:dyDescent="0.25">
      <c r="A207" s="118" t="s">
        <v>790</v>
      </c>
      <c r="B207" s="118" t="s">
        <v>791</v>
      </c>
      <c r="C207" s="118" t="s">
        <v>792</v>
      </c>
      <c r="D207" s="1103"/>
      <c r="E207" s="1103"/>
      <c r="F207" s="118" t="s">
        <v>761</v>
      </c>
      <c r="G207" s="118" t="s">
        <v>762</v>
      </c>
      <c r="H207" s="118" t="s">
        <v>220</v>
      </c>
      <c r="I207" s="118" t="s">
        <v>221</v>
      </c>
    </row>
    <row r="208" spans="1:9" s="118" customFormat="1" x14ac:dyDescent="0.25">
      <c r="A208" s="118" t="s">
        <v>793</v>
      </c>
      <c r="B208" s="118" t="s">
        <v>794</v>
      </c>
      <c r="C208" s="118" t="s">
        <v>795</v>
      </c>
      <c r="D208" s="1103"/>
      <c r="E208" s="1103"/>
      <c r="F208" s="118" t="s">
        <v>764</v>
      </c>
      <c r="G208" s="118" t="s">
        <v>765</v>
      </c>
      <c r="H208" s="118" t="s">
        <v>328</v>
      </c>
      <c r="I208" s="118" t="s">
        <v>796</v>
      </c>
    </row>
    <row r="209" spans="1:9" s="118" customFormat="1" x14ac:dyDescent="0.25">
      <c r="A209" s="118" t="s">
        <v>797</v>
      </c>
      <c r="B209" s="118" t="s">
        <v>798</v>
      </c>
      <c r="C209" s="118" t="s">
        <v>799</v>
      </c>
      <c r="D209" s="1103"/>
      <c r="E209" s="1103"/>
      <c r="F209" s="118" t="s">
        <v>800</v>
      </c>
      <c r="G209" s="118" t="s">
        <v>801</v>
      </c>
      <c r="H209" s="118" t="s">
        <v>260</v>
      </c>
      <c r="I209" s="118" t="s">
        <v>261</v>
      </c>
    </row>
    <row r="210" spans="1:9" s="118" customFormat="1" x14ac:dyDescent="0.25">
      <c r="A210" s="118" t="s">
        <v>802</v>
      </c>
      <c r="B210" s="118" t="s">
        <v>803</v>
      </c>
      <c r="C210" s="118" t="s">
        <v>804</v>
      </c>
      <c r="D210" s="1103"/>
      <c r="E210" s="1103"/>
      <c r="F210" s="118" t="s">
        <v>767</v>
      </c>
      <c r="G210" s="118" t="s">
        <v>768</v>
      </c>
      <c r="H210" s="118" t="s">
        <v>220</v>
      </c>
      <c r="I210" s="118" t="s">
        <v>221</v>
      </c>
    </row>
    <row r="211" spans="1:9" s="118" customFormat="1" x14ac:dyDescent="0.25">
      <c r="A211" s="118" t="s">
        <v>805</v>
      </c>
      <c r="B211" s="118" t="s">
        <v>806</v>
      </c>
      <c r="C211" s="118" t="s">
        <v>807</v>
      </c>
      <c r="D211" s="1103"/>
      <c r="E211" s="1103"/>
      <c r="F211" s="118" t="s">
        <v>772</v>
      </c>
      <c r="G211" s="118" t="s">
        <v>773</v>
      </c>
      <c r="H211" s="118" t="s">
        <v>260</v>
      </c>
      <c r="I211" s="118" t="s">
        <v>261</v>
      </c>
    </row>
    <row r="212" spans="1:9" s="118" customFormat="1" x14ac:dyDescent="0.25">
      <c r="A212" s="118" t="s">
        <v>808</v>
      </c>
      <c r="B212" s="118" t="s">
        <v>809</v>
      </c>
      <c r="C212" s="118" t="s">
        <v>810</v>
      </c>
      <c r="D212" s="1103"/>
      <c r="E212" s="1103"/>
      <c r="F212" s="118" t="s">
        <v>775</v>
      </c>
      <c r="G212" s="118" t="s">
        <v>776</v>
      </c>
      <c r="H212" s="118" t="s">
        <v>105</v>
      </c>
      <c r="I212" s="118" t="s">
        <v>106</v>
      </c>
    </row>
    <row r="213" spans="1:9" s="118" customFormat="1" x14ac:dyDescent="0.25">
      <c r="A213" s="118" t="s">
        <v>811</v>
      </c>
      <c r="B213" s="118" t="s">
        <v>812</v>
      </c>
      <c r="C213" s="118" t="s">
        <v>813</v>
      </c>
      <c r="D213" s="1103"/>
      <c r="E213" s="1103"/>
      <c r="F213" s="118" t="s">
        <v>778</v>
      </c>
      <c r="G213" s="118" t="s">
        <v>779</v>
      </c>
      <c r="H213" s="118" t="s">
        <v>105</v>
      </c>
      <c r="I213" s="118" t="s">
        <v>127</v>
      </c>
    </row>
    <row r="214" spans="1:9" s="118" customFormat="1" x14ac:dyDescent="0.25">
      <c r="A214" s="118" t="s">
        <v>814</v>
      </c>
      <c r="B214" s="118" t="s">
        <v>815</v>
      </c>
      <c r="C214" s="118" t="s">
        <v>816</v>
      </c>
      <c r="D214" s="1103"/>
      <c r="E214" s="1103"/>
      <c r="F214" s="118" t="s">
        <v>781</v>
      </c>
      <c r="G214" s="118" t="s">
        <v>782</v>
      </c>
      <c r="H214" s="118" t="s">
        <v>100</v>
      </c>
      <c r="I214" s="118" t="s">
        <v>110</v>
      </c>
    </row>
    <row r="215" spans="1:9" s="118" customFormat="1" x14ac:dyDescent="0.25">
      <c r="A215" s="118" t="s">
        <v>817</v>
      </c>
      <c r="B215" s="118" t="s">
        <v>818</v>
      </c>
      <c r="C215" s="118" t="s">
        <v>819</v>
      </c>
      <c r="D215" s="1103"/>
      <c r="E215" s="1103"/>
      <c r="F215" s="118" t="s">
        <v>784</v>
      </c>
      <c r="G215" s="118" t="s">
        <v>785</v>
      </c>
      <c r="H215" s="118" t="s">
        <v>115</v>
      </c>
      <c r="I215" s="118" t="s">
        <v>276</v>
      </c>
    </row>
    <row r="216" spans="1:9" s="118" customFormat="1" x14ac:dyDescent="0.25">
      <c r="A216" s="118" t="s">
        <v>820</v>
      </c>
      <c r="B216" s="118" t="s">
        <v>821</v>
      </c>
      <c r="C216" s="118" t="s">
        <v>822</v>
      </c>
      <c r="D216" s="1103"/>
      <c r="E216" s="1103"/>
      <c r="F216" s="118" t="s">
        <v>786</v>
      </c>
      <c r="G216" s="118" t="s">
        <v>787</v>
      </c>
      <c r="H216" s="118" t="s">
        <v>105</v>
      </c>
      <c r="I216" s="118" t="s">
        <v>127</v>
      </c>
    </row>
    <row r="217" spans="1:9" s="118" customFormat="1" x14ac:dyDescent="0.25">
      <c r="A217" s="118" t="s">
        <v>823</v>
      </c>
      <c r="B217" s="118" t="s">
        <v>824</v>
      </c>
      <c r="C217" s="118" t="s">
        <v>825</v>
      </c>
      <c r="D217" s="1103"/>
      <c r="E217" s="1103"/>
      <c r="F217" s="118" t="s">
        <v>782</v>
      </c>
      <c r="G217" s="118" t="s">
        <v>789</v>
      </c>
      <c r="H217" s="118" t="s">
        <v>220</v>
      </c>
      <c r="I217" s="118" t="s">
        <v>221</v>
      </c>
    </row>
    <row r="218" spans="1:9" s="118" customFormat="1" x14ac:dyDescent="0.25">
      <c r="A218" s="118" t="s">
        <v>826</v>
      </c>
      <c r="B218" s="118" t="s">
        <v>827</v>
      </c>
      <c r="C218" s="118" t="s">
        <v>828</v>
      </c>
      <c r="D218" s="1103"/>
      <c r="E218" s="1103"/>
      <c r="F218" s="118" t="s">
        <v>790</v>
      </c>
      <c r="G218" s="118" t="s">
        <v>791</v>
      </c>
      <c r="H218" s="118" t="s">
        <v>160</v>
      </c>
      <c r="I218" s="118" t="s">
        <v>829</v>
      </c>
    </row>
    <row r="219" spans="1:9" s="118" customFormat="1" x14ac:dyDescent="0.25">
      <c r="A219" s="118" t="s">
        <v>830</v>
      </c>
      <c r="B219" s="118" t="s">
        <v>831</v>
      </c>
      <c r="C219" s="118" t="s">
        <v>830</v>
      </c>
      <c r="D219" s="1103"/>
      <c r="E219" s="1103"/>
      <c r="F219" s="118" t="s">
        <v>793</v>
      </c>
      <c r="G219" s="118" t="s">
        <v>794</v>
      </c>
      <c r="H219" s="118" t="s">
        <v>260</v>
      </c>
      <c r="I219" s="118" t="s">
        <v>261</v>
      </c>
    </row>
    <row r="220" spans="1:9" s="118" customFormat="1" x14ac:dyDescent="0.25">
      <c r="A220" s="118" t="s">
        <v>832</v>
      </c>
      <c r="B220" s="118" t="s">
        <v>833</v>
      </c>
      <c r="C220" s="118" t="s">
        <v>834</v>
      </c>
      <c r="D220" s="1103"/>
      <c r="E220" s="1103"/>
      <c r="F220" s="118" t="s">
        <v>797</v>
      </c>
      <c r="G220" s="118" t="s">
        <v>798</v>
      </c>
      <c r="H220" s="118" t="s">
        <v>160</v>
      </c>
      <c r="I220" s="118" t="s">
        <v>161</v>
      </c>
    </row>
    <row r="221" spans="1:9" s="118" customFormat="1" x14ac:dyDescent="0.25">
      <c r="A221" s="118" t="s">
        <v>835</v>
      </c>
      <c r="B221" s="118" t="s">
        <v>836</v>
      </c>
      <c r="C221" s="118" t="s">
        <v>835</v>
      </c>
      <c r="D221" s="1103"/>
      <c r="E221" s="1103"/>
      <c r="F221" s="118" t="s">
        <v>802</v>
      </c>
      <c r="G221" s="118" t="s">
        <v>803</v>
      </c>
      <c r="H221" s="118" t="s">
        <v>165</v>
      </c>
      <c r="I221" s="118" t="s">
        <v>166</v>
      </c>
    </row>
    <row r="222" spans="1:9" s="118" customFormat="1" x14ac:dyDescent="0.25">
      <c r="A222" s="118" t="s">
        <v>837</v>
      </c>
      <c r="B222" s="118" t="s">
        <v>838</v>
      </c>
      <c r="C222" s="118" t="s">
        <v>837</v>
      </c>
      <c r="D222" s="1103"/>
      <c r="E222" s="1103"/>
      <c r="F222" s="118" t="s">
        <v>805</v>
      </c>
      <c r="G222" s="118" t="s">
        <v>806</v>
      </c>
      <c r="H222" s="118" t="s">
        <v>105</v>
      </c>
      <c r="I222" s="118" t="s">
        <v>106</v>
      </c>
    </row>
    <row r="223" spans="1:9" s="118" customFormat="1" x14ac:dyDescent="0.25">
      <c r="A223" s="118" t="s">
        <v>839</v>
      </c>
      <c r="B223" s="118" t="s">
        <v>840</v>
      </c>
      <c r="C223" s="118" t="s">
        <v>841</v>
      </c>
      <c r="D223" s="1103"/>
      <c r="E223" s="1103"/>
      <c r="F223" s="118" t="s">
        <v>808</v>
      </c>
      <c r="G223" s="118" t="s">
        <v>809</v>
      </c>
      <c r="H223" s="118" t="s">
        <v>328</v>
      </c>
      <c r="I223" s="118" t="s">
        <v>522</v>
      </c>
    </row>
    <row r="224" spans="1:9" s="118" customFormat="1" x14ac:dyDescent="0.25">
      <c r="A224" s="118" t="s">
        <v>842</v>
      </c>
      <c r="B224" s="118" t="s">
        <v>843</v>
      </c>
      <c r="C224" s="118" t="s">
        <v>844</v>
      </c>
      <c r="D224" s="1103"/>
      <c r="E224" s="1103"/>
      <c r="F224" s="118" t="s">
        <v>811</v>
      </c>
      <c r="G224" s="118" t="s">
        <v>812</v>
      </c>
      <c r="H224" s="118" t="s">
        <v>165</v>
      </c>
      <c r="I224" s="118" t="s">
        <v>166</v>
      </c>
    </row>
    <row r="225" spans="1:9" s="118" customFormat="1" x14ac:dyDescent="0.25">
      <c r="A225" s="118" t="s">
        <v>845</v>
      </c>
      <c r="B225" s="118" t="s">
        <v>846</v>
      </c>
      <c r="C225" s="118" t="s">
        <v>847</v>
      </c>
      <c r="D225" s="1103"/>
      <c r="E225" s="1103"/>
      <c r="F225" s="118" t="s">
        <v>814</v>
      </c>
      <c r="G225" s="118" t="s">
        <v>815</v>
      </c>
      <c r="H225" s="118" t="s">
        <v>328</v>
      </c>
      <c r="I225" s="118" t="s">
        <v>522</v>
      </c>
    </row>
    <row r="226" spans="1:9" x14ac:dyDescent="0.25">
      <c r="A226" t="s">
        <v>848</v>
      </c>
      <c r="B226" s="115" t="s">
        <v>849</v>
      </c>
      <c r="C226" t="s">
        <v>850</v>
      </c>
      <c r="D226" s="118"/>
      <c r="E226" s="118"/>
      <c r="F226" s="116" t="s">
        <v>817</v>
      </c>
      <c r="G226" t="s">
        <v>818</v>
      </c>
      <c r="H226" s="117" t="s">
        <v>165</v>
      </c>
      <c r="I226" s="117" t="s">
        <v>166</v>
      </c>
    </row>
    <row r="227" spans="1:9" x14ac:dyDescent="0.25">
      <c r="A227" t="s">
        <v>851</v>
      </c>
      <c r="B227" s="115" t="s">
        <v>852</v>
      </c>
      <c r="C227" t="s">
        <v>853</v>
      </c>
      <c r="D227" s="118"/>
      <c r="E227" s="118"/>
      <c r="F227" s="116" t="s">
        <v>854</v>
      </c>
      <c r="G227" t="s">
        <v>855</v>
      </c>
      <c r="H227" s="117" t="s">
        <v>165</v>
      </c>
      <c r="I227" s="117" t="s">
        <v>166</v>
      </c>
    </row>
    <row r="228" spans="1:9" x14ac:dyDescent="0.25">
      <c r="A228" t="s">
        <v>856</v>
      </c>
      <c r="B228" s="115" t="s">
        <v>857</v>
      </c>
      <c r="C228" t="s">
        <v>858</v>
      </c>
      <c r="D228" s="118"/>
      <c r="E228" s="118"/>
      <c r="F228" s="116" t="s">
        <v>820</v>
      </c>
      <c r="G228" t="s">
        <v>821</v>
      </c>
      <c r="H228" s="117" t="s">
        <v>165</v>
      </c>
      <c r="I228" s="117" t="s">
        <v>166</v>
      </c>
    </row>
    <row r="229" spans="1:9" x14ac:dyDescent="0.25">
      <c r="A229" t="s">
        <v>859</v>
      </c>
      <c r="B229" s="115" t="s">
        <v>860</v>
      </c>
      <c r="C229" t="s">
        <v>861</v>
      </c>
      <c r="D229" s="118"/>
      <c r="E229" s="118"/>
      <c r="F229" s="116" t="s">
        <v>823</v>
      </c>
      <c r="G229" t="s">
        <v>824</v>
      </c>
      <c r="H229" s="117" t="s">
        <v>260</v>
      </c>
      <c r="I229" s="117" t="s">
        <v>261</v>
      </c>
    </row>
    <row r="230" spans="1:9" x14ac:dyDescent="0.25">
      <c r="A230" t="s">
        <v>862</v>
      </c>
      <c r="B230" s="115" t="s">
        <v>863</v>
      </c>
      <c r="C230" t="s">
        <v>864</v>
      </c>
      <c r="D230" s="118"/>
      <c r="E230" s="118"/>
      <c r="F230" s="116" t="s">
        <v>826</v>
      </c>
      <c r="G230" t="s">
        <v>827</v>
      </c>
      <c r="H230" s="117" t="s">
        <v>194</v>
      </c>
      <c r="I230" s="117" t="s">
        <v>195</v>
      </c>
    </row>
    <row r="231" spans="1:9" x14ac:dyDescent="0.25">
      <c r="A231" t="s">
        <v>865</v>
      </c>
      <c r="B231" s="115" t="s">
        <v>866</v>
      </c>
      <c r="C231" t="s">
        <v>867</v>
      </c>
      <c r="D231" s="118"/>
      <c r="E231" s="118"/>
      <c r="F231" s="116" t="s">
        <v>868</v>
      </c>
      <c r="G231" t="s">
        <v>869</v>
      </c>
      <c r="H231" s="117" t="s">
        <v>105</v>
      </c>
      <c r="I231" s="117" t="s">
        <v>280</v>
      </c>
    </row>
    <row r="232" spans="1:9" x14ac:dyDescent="0.25">
      <c r="A232" t="s">
        <v>870</v>
      </c>
      <c r="B232" s="115" t="s">
        <v>871</v>
      </c>
      <c r="C232" t="s">
        <v>870</v>
      </c>
      <c r="D232" s="118"/>
      <c r="E232" s="118"/>
      <c r="F232" s="116" t="s">
        <v>830</v>
      </c>
      <c r="G232" t="s">
        <v>831</v>
      </c>
      <c r="H232" s="117" t="s">
        <v>115</v>
      </c>
      <c r="I232" s="117" t="s">
        <v>276</v>
      </c>
    </row>
    <row r="233" spans="1:9" x14ac:dyDescent="0.25">
      <c r="A233" t="s">
        <v>872</v>
      </c>
      <c r="B233" s="115" t="s">
        <v>873</v>
      </c>
      <c r="C233" t="s">
        <v>874</v>
      </c>
      <c r="D233" s="118"/>
      <c r="E233" s="118"/>
      <c r="F233" s="116" t="s">
        <v>832</v>
      </c>
      <c r="G233" t="s">
        <v>833</v>
      </c>
      <c r="H233" s="117" t="s">
        <v>115</v>
      </c>
      <c r="I233" s="117" t="s">
        <v>123</v>
      </c>
    </row>
    <row r="234" spans="1:9" x14ac:dyDescent="0.25">
      <c r="A234" t="s">
        <v>875</v>
      </c>
      <c r="B234" s="115" t="s">
        <v>876</v>
      </c>
      <c r="C234" t="s">
        <v>877</v>
      </c>
      <c r="D234" s="118"/>
      <c r="E234" s="118"/>
      <c r="F234" s="116" t="s">
        <v>835</v>
      </c>
      <c r="G234" t="s">
        <v>836</v>
      </c>
      <c r="H234" s="117" t="s">
        <v>115</v>
      </c>
      <c r="I234" s="117" t="s">
        <v>123</v>
      </c>
    </row>
    <row r="235" spans="1:9" x14ac:dyDescent="0.25">
      <c r="A235" t="s">
        <v>878</v>
      </c>
      <c r="B235" s="115" t="s">
        <v>879</v>
      </c>
      <c r="C235" t="s">
        <v>880</v>
      </c>
      <c r="D235" s="118"/>
      <c r="E235" s="118"/>
      <c r="F235" s="116" t="s">
        <v>837</v>
      </c>
      <c r="G235" t="s">
        <v>838</v>
      </c>
      <c r="H235" s="117" t="s">
        <v>105</v>
      </c>
      <c r="I235" s="117" t="s">
        <v>280</v>
      </c>
    </row>
    <row r="236" spans="1:9" x14ac:dyDescent="0.25">
      <c r="A236" t="s">
        <v>881</v>
      </c>
      <c r="B236" s="115" t="s">
        <v>882</v>
      </c>
      <c r="C236" t="s">
        <v>883</v>
      </c>
      <c r="D236" s="118"/>
      <c r="E236" s="118"/>
      <c r="F236" s="116" t="s">
        <v>839</v>
      </c>
      <c r="G236" t="s">
        <v>840</v>
      </c>
      <c r="H236" s="117" t="s">
        <v>105</v>
      </c>
      <c r="I236" s="117" t="s">
        <v>280</v>
      </c>
    </row>
    <row r="237" spans="1:9" x14ac:dyDescent="0.25">
      <c r="A237" t="s">
        <v>884</v>
      </c>
      <c r="B237" s="115" t="s">
        <v>885</v>
      </c>
      <c r="C237" t="s">
        <v>886</v>
      </c>
      <c r="D237" s="118"/>
      <c r="E237" s="118"/>
      <c r="F237" s="116" t="s">
        <v>842</v>
      </c>
      <c r="G237" t="s">
        <v>843</v>
      </c>
      <c r="H237" s="117" t="s">
        <v>220</v>
      </c>
      <c r="I237" s="117" t="s">
        <v>221</v>
      </c>
    </row>
    <row r="238" spans="1:9" x14ac:dyDescent="0.25">
      <c r="A238" t="s">
        <v>887</v>
      </c>
      <c r="B238" s="115" t="s">
        <v>888</v>
      </c>
      <c r="C238" t="s">
        <v>889</v>
      </c>
      <c r="D238" s="118"/>
      <c r="E238" s="118"/>
      <c r="F238" s="116" t="s">
        <v>845</v>
      </c>
      <c r="G238" t="s">
        <v>846</v>
      </c>
      <c r="H238" s="117" t="s">
        <v>160</v>
      </c>
      <c r="I238" s="117" t="s">
        <v>704</v>
      </c>
    </row>
    <row r="239" spans="1:9" x14ac:dyDescent="0.25">
      <c r="A239" t="s">
        <v>890</v>
      </c>
      <c r="B239" s="115" t="s">
        <v>891</v>
      </c>
      <c r="C239" t="s">
        <v>892</v>
      </c>
      <c r="D239" s="118"/>
      <c r="E239" s="118"/>
      <c r="F239" s="116" t="s">
        <v>848</v>
      </c>
      <c r="G239" t="s">
        <v>849</v>
      </c>
      <c r="H239" s="117" t="s">
        <v>194</v>
      </c>
      <c r="I239" s="117" t="s">
        <v>290</v>
      </c>
    </row>
    <row r="240" spans="1:9" x14ac:dyDescent="0.25">
      <c r="A240" t="s">
        <v>893</v>
      </c>
      <c r="B240" s="115" t="s">
        <v>894</v>
      </c>
      <c r="C240" t="s">
        <v>895</v>
      </c>
      <c r="D240" s="118"/>
      <c r="E240" s="118"/>
      <c r="F240" s="116" t="s">
        <v>851</v>
      </c>
      <c r="G240" t="s">
        <v>852</v>
      </c>
      <c r="H240" s="117" t="s">
        <v>260</v>
      </c>
      <c r="I240" s="117" t="s">
        <v>670</v>
      </c>
    </row>
    <row r="241" spans="1:9" x14ac:dyDescent="0.25">
      <c r="A241" t="s">
        <v>896</v>
      </c>
      <c r="B241" s="115" t="s">
        <v>897</v>
      </c>
      <c r="C241" t="s">
        <v>896</v>
      </c>
      <c r="D241" s="118"/>
      <c r="E241" s="118"/>
      <c r="F241" s="116" t="s">
        <v>898</v>
      </c>
      <c r="G241" t="s">
        <v>857</v>
      </c>
      <c r="H241" s="117" t="s">
        <v>260</v>
      </c>
      <c r="I241" s="117" t="s">
        <v>670</v>
      </c>
    </row>
    <row r="242" spans="1:9" x14ac:dyDescent="0.25">
      <c r="A242" t="s">
        <v>899</v>
      </c>
      <c r="B242" s="115" t="s">
        <v>900</v>
      </c>
      <c r="C242" t="s">
        <v>901</v>
      </c>
      <c r="D242" s="118"/>
      <c r="E242" s="118"/>
      <c r="F242" s="116" t="s">
        <v>902</v>
      </c>
      <c r="G242" t="s">
        <v>670</v>
      </c>
      <c r="H242" s="117" t="s">
        <v>260</v>
      </c>
      <c r="I242" s="117" t="s">
        <v>670</v>
      </c>
    </row>
    <row r="243" spans="1:9" x14ac:dyDescent="0.25">
      <c r="A243" t="s">
        <v>903</v>
      </c>
      <c r="B243" s="115" t="s">
        <v>904</v>
      </c>
      <c r="C243" t="s">
        <v>905</v>
      </c>
      <c r="D243" s="118"/>
      <c r="E243" s="118"/>
      <c r="F243" s="116" t="s">
        <v>859</v>
      </c>
      <c r="G243" t="s">
        <v>860</v>
      </c>
      <c r="H243" s="117" t="s">
        <v>220</v>
      </c>
      <c r="I243" s="117" t="s">
        <v>221</v>
      </c>
    </row>
    <row r="244" spans="1:9" x14ac:dyDescent="0.25">
      <c r="A244" t="s">
        <v>906</v>
      </c>
      <c r="B244" s="115" t="s">
        <v>907</v>
      </c>
      <c r="C244" t="s">
        <v>908</v>
      </c>
      <c r="D244" s="118"/>
      <c r="E244" s="118"/>
      <c r="F244" s="116" t="s">
        <v>862</v>
      </c>
      <c r="G244" t="s">
        <v>863</v>
      </c>
      <c r="H244" s="117" t="s">
        <v>160</v>
      </c>
      <c r="I244" s="117" t="s">
        <v>829</v>
      </c>
    </row>
    <row r="245" spans="1:9" x14ac:dyDescent="0.25">
      <c r="A245" t="s">
        <v>909</v>
      </c>
      <c r="B245" s="115" t="s">
        <v>910</v>
      </c>
      <c r="C245" t="s">
        <v>911</v>
      </c>
      <c r="D245" s="118"/>
      <c r="E245" s="118"/>
      <c r="F245" s="116" t="s">
        <v>865</v>
      </c>
      <c r="G245" t="s">
        <v>866</v>
      </c>
      <c r="H245" s="117" t="s">
        <v>328</v>
      </c>
      <c r="I245" s="117" t="s">
        <v>295</v>
      </c>
    </row>
    <row r="246" spans="1:9" x14ac:dyDescent="0.25">
      <c r="A246" t="s">
        <v>912</v>
      </c>
      <c r="B246" s="115" t="s">
        <v>913</v>
      </c>
      <c r="C246" t="s">
        <v>914</v>
      </c>
      <c r="D246" s="118"/>
      <c r="E246" s="118"/>
      <c r="F246" s="116" t="s">
        <v>870</v>
      </c>
      <c r="G246" t="s">
        <v>871</v>
      </c>
      <c r="H246" s="117" t="s">
        <v>328</v>
      </c>
      <c r="I246" s="117" t="s">
        <v>295</v>
      </c>
    </row>
    <row r="247" spans="1:9" x14ac:dyDescent="0.25">
      <c r="A247" t="s">
        <v>915</v>
      </c>
      <c r="B247" s="115" t="s">
        <v>916</v>
      </c>
      <c r="C247" t="s">
        <v>917</v>
      </c>
      <c r="D247" s="118"/>
      <c r="E247" s="118"/>
      <c r="F247" s="116" t="s">
        <v>872</v>
      </c>
      <c r="G247" t="s">
        <v>873</v>
      </c>
      <c r="H247" s="117" t="s">
        <v>328</v>
      </c>
      <c r="I247" s="117" t="s">
        <v>522</v>
      </c>
    </row>
    <row r="248" spans="1:9" x14ac:dyDescent="0.25">
      <c r="A248" t="s">
        <v>918</v>
      </c>
      <c r="B248" s="115" t="s">
        <v>919</v>
      </c>
      <c r="C248" t="s">
        <v>920</v>
      </c>
      <c r="D248" s="118"/>
      <c r="E248" s="118"/>
      <c r="F248" s="116" t="s">
        <v>875</v>
      </c>
      <c r="G248" t="s">
        <v>876</v>
      </c>
      <c r="H248" s="117" t="s">
        <v>260</v>
      </c>
      <c r="I248" s="117" t="s">
        <v>367</v>
      </c>
    </row>
    <row r="249" spans="1:9" x14ac:dyDescent="0.25">
      <c r="A249" t="s">
        <v>921</v>
      </c>
      <c r="B249" s="115" t="s">
        <v>922</v>
      </c>
      <c r="C249" t="s">
        <v>923</v>
      </c>
      <c r="D249" s="118"/>
      <c r="E249" s="118"/>
      <c r="F249" s="116" t="s">
        <v>878</v>
      </c>
      <c r="G249" t="s">
        <v>879</v>
      </c>
      <c r="H249" s="117" t="s">
        <v>160</v>
      </c>
      <c r="I249" s="117" t="s">
        <v>829</v>
      </c>
    </row>
    <row r="250" spans="1:9" x14ac:dyDescent="0.25">
      <c r="A250" t="s">
        <v>924</v>
      </c>
      <c r="B250" s="115" t="s">
        <v>925</v>
      </c>
      <c r="C250" t="s">
        <v>926</v>
      </c>
      <c r="D250" s="118"/>
      <c r="E250" s="118"/>
      <c r="F250" s="116" t="s">
        <v>881</v>
      </c>
      <c r="G250" t="s">
        <v>882</v>
      </c>
      <c r="H250" s="117" t="s">
        <v>105</v>
      </c>
      <c r="I250" s="117" t="s">
        <v>106</v>
      </c>
    </row>
    <row r="251" spans="1:9" x14ac:dyDescent="0.25">
      <c r="A251" t="s">
        <v>927</v>
      </c>
      <c r="B251" s="115" t="s">
        <v>928</v>
      </c>
      <c r="C251" t="s">
        <v>929</v>
      </c>
      <c r="D251" s="118"/>
      <c r="E251" s="118"/>
      <c r="F251" s="116" t="s">
        <v>884</v>
      </c>
      <c r="G251" t="s">
        <v>885</v>
      </c>
      <c r="H251" s="117" t="s">
        <v>115</v>
      </c>
      <c r="I251" s="117" t="s">
        <v>123</v>
      </c>
    </row>
    <row r="252" spans="1:9" x14ac:dyDescent="0.25">
      <c r="A252" t="s">
        <v>930</v>
      </c>
      <c r="B252" s="115" t="s">
        <v>931</v>
      </c>
      <c r="C252" t="s">
        <v>932</v>
      </c>
      <c r="D252" s="118"/>
      <c r="E252" s="118"/>
      <c r="F252" s="116" t="s">
        <v>933</v>
      </c>
      <c r="G252" t="s">
        <v>934</v>
      </c>
      <c r="H252" s="117" t="s">
        <v>115</v>
      </c>
      <c r="I252" s="117" t="s">
        <v>116</v>
      </c>
    </row>
    <row r="253" spans="1:9" x14ac:dyDescent="0.25">
      <c r="A253" t="s">
        <v>935</v>
      </c>
      <c r="B253" s="115" t="s">
        <v>936</v>
      </c>
      <c r="C253" t="s">
        <v>937</v>
      </c>
      <c r="D253" s="118"/>
      <c r="E253" s="118"/>
      <c r="F253" s="116" t="s">
        <v>890</v>
      </c>
      <c r="G253" t="s">
        <v>891</v>
      </c>
      <c r="H253" s="117" t="s">
        <v>165</v>
      </c>
      <c r="I253" s="117" t="s">
        <v>233</v>
      </c>
    </row>
    <row r="254" spans="1:9" x14ac:dyDescent="0.25">
      <c r="A254" t="s">
        <v>938</v>
      </c>
      <c r="B254" s="115" t="s">
        <v>939</v>
      </c>
      <c r="C254" t="s">
        <v>940</v>
      </c>
      <c r="D254" s="118"/>
      <c r="E254" s="118"/>
      <c r="F254" s="116" t="s">
        <v>893</v>
      </c>
      <c r="G254" t="s">
        <v>894</v>
      </c>
      <c r="H254" s="117" t="s">
        <v>194</v>
      </c>
      <c r="I254" s="117" t="s">
        <v>290</v>
      </c>
    </row>
    <row r="255" spans="1:9" x14ac:dyDescent="0.25">
      <c r="A255" t="s">
        <v>941</v>
      </c>
      <c r="B255" s="115" t="s">
        <v>942</v>
      </c>
      <c r="C255" t="s">
        <v>943</v>
      </c>
      <c r="D255" s="118"/>
      <c r="E255" s="118"/>
      <c r="F255" s="116" t="s">
        <v>896</v>
      </c>
      <c r="G255" t="s">
        <v>897</v>
      </c>
      <c r="H255" s="117" t="s">
        <v>115</v>
      </c>
      <c r="I255" s="117" t="s">
        <v>116</v>
      </c>
    </row>
    <row r="256" spans="1:9" x14ac:dyDescent="0.25">
      <c r="A256" t="s">
        <v>944</v>
      </c>
      <c r="B256" s="115" t="s">
        <v>945</v>
      </c>
      <c r="C256" t="s">
        <v>946</v>
      </c>
      <c r="D256" s="118"/>
      <c r="E256" s="118"/>
      <c r="F256" s="116" t="s">
        <v>899</v>
      </c>
      <c r="G256" t="s">
        <v>900</v>
      </c>
      <c r="H256" s="117" t="s">
        <v>115</v>
      </c>
      <c r="I256" s="117" t="s">
        <v>116</v>
      </c>
    </row>
    <row r="257" spans="1:9" x14ac:dyDescent="0.25">
      <c r="A257" t="s">
        <v>947</v>
      </c>
      <c r="B257" s="115" t="s">
        <v>948</v>
      </c>
      <c r="C257" t="s">
        <v>949</v>
      </c>
      <c r="D257" s="118"/>
      <c r="E257" s="118"/>
      <c r="F257" s="116" t="s">
        <v>903</v>
      </c>
      <c r="G257" t="s">
        <v>904</v>
      </c>
      <c r="H257" s="117" t="s">
        <v>115</v>
      </c>
      <c r="I257" s="117" t="s">
        <v>116</v>
      </c>
    </row>
    <row r="258" spans="1:9" x14ac:dyDescent="0.25">
      <c r="A258" t="s">
        <v>950</v>
      </c>
      <c r="B258" s="115" t="s">
        <v>951</v>
      </c>
      <c r="C258" t="s">
        <v>952</v>
      </c>
      <c r="D258" s="118"/>
      <c r="E258" s="118"/>
      <c r="F258" s="116" t="s">
        <v>906</v>
      </c>
      <c r="G258" t="s">
        <v>907</v>
      </c>
      <c r="H258" s="117" t="s">
        <v>160</v>
      </c>
      <c r="I258" s="117" t="s">
        <v>829</v>
      </c>
    </row>
    <row r="259" spans="1:9" x14ac:dyDescent="0.25">
      <c r="A259" t="s">
        <v>953</v>
      </c>
      <c r="B259" s="115" t="s">
        <v>954</v>
      </c>
      <c r="C259" t="s">
        <v>955</v>
      </c>
      <c r="D259" s="118"/>
      <c r="E259" s="118"/>
      <c r="F259" s="116" t="s">
        <v>909</v>
      </c>
      <c r="G259" t="s">
        <v>910</v>
      </c>
      <c r="H259" s="117" t="s">
        <v>105</v>
      </c>
      <c r="I259" s="117" t="s">
        <v>106</v>
      </c>
    </row>
    <row r="260" spans="1:9" x14ac:dyDescent="0.25">
      <c r="A260" t="s">
        <v>956</v>
      </c>
      <c r="B260" s="115" t="s">
        <v>957</v>
      </c>
      <c r="C260" t="s">
        <v>958</v>
      </c>
      <c r="D260" s="118"/>
      <c r="E260" s="118"/>
      <c r="F260" s="116" t="s">
        <v>912</v>
      </c>
      <c r="G260" t="s">
        <v>913</v>
      </c>
      <c r="H260" s="117" t="s">
        <v>165</v>
      </c>
      <c r="I260" s="117" t="s">
        <v>166</v>
      </c>
    </row>
    <row r="261" spans="1:9" x14ac:dyDescent="0.25">
      <c r="A261" t="s">
        <v>959</v>
      </c>
      <c r="B261" s="115" t="s">
        <v>960</v>
      </c>
      <c r="C261" t="s">
        <v>961</v>
      </c>
      <c r="D261" s="118"/>
      <c r="E261" s="118"/>
      <c r="F261" s="116" t="s">
        <v>915</v>
      </c>
      <c r="G261" t="s">
        <v>916</v>
      </c>
      <c r="H261" s="117" t="s">
        <v>105</v>
      </c>
      <c r="I261" s="117" t="s">
        <v>580</v>
      </c>
    </row>
    <row r="262" spans="1:9" x14ac:dyDescent="0.25">
      <c r="A262" t="s">
        <v>962</v>
      </c>
      <c r="B262" s="115" t="s">
        <v>963</v>
      </c>
      <c r="C262" t="s">
        <v>964</v>
      </c>
      <c r="D262" s="118"/>
      <c r="E262" s="118"/>
      <c r="F262" s="116" t="s">
        <v>921</v>
      </c>
      <c r="G262" t="s">
        <v>922</v>
      </c>
      <c r="H262" s="117" t="s">
        <v>170</v>
      </c>
      <c r="I262" s="117" t="s">
        <v>171</v>
      </c>
    </row>
    <row r="263" spans="1:9" x14ac:dyDescent="0.25">
      <c r="A263" t="s">
        <v>965</v>
      </c>
      <c r="B263" s="115" t="s">
        <v>966</v>
      </c>
      <c r="C263" t="s">
        <v>967</v>
      </c>
      <c r="D263" s="118"/>
      <c r="E263" s="118"/>
      <c r="F263" s="116" t="s">
        <v>924</v>
      </c>
      <c r="G263" t="s">
        <v>925</v>
      </c>
      <c r="H263" s="117" t="s">
        <v>100</v>
      </c>
      <c r="I263" s="117" t="s">
        <v>339</v>
      </c>
    </row>
    <row r="264" spans="1:9" x14ac:dyDescent="0.25">
      <c r="A264" t="s">
        <v>968</v>
      </c>
      <c r="B264" s="115" t="s">
        <v>969</v>
      </c>
      <c r="C264" t="s">
        <v>970</v>
      </c>
      <c r="D264" s="118"/>
      <c r="E264" s="118"/>
      <c r="F264" s="116" t="s">
        <v>927</v>
      </c>
      <c r="G264" t="s">
        <v>928</v>
      </c>
      <c r="H264" s="117" t="s">
        <v>115</v>
      </c>
      <c r="I264" s="117" t="s">
        <v>116</v>
      </c>
    </row>
    <row r="265" spans="1:9" x14ac:dyDescent="0.25">
      <c r="A265" t="s">
        <v>971</v>
      </c>
      <c r="B265" s="115" t="s">
        <v>972</v>
      </c>
      <c r="C265" t="s">
        <v>973</v>
      </c>
      <c r="D265" s="118"/>
      <c r="E265" s="118"/>
      <c r="F265" s="116" t="s">
        <v>974</v>
      </c>
      <c r="G265" t="s">
        <v>975</v>
      </c>
      <c r="H265" s="117" t="s">
        <v>260</v>
      </c>
      <c r="I265" s="117" t="s">
        <v>432</v>
      </c>
    </row>
    <row r="266" spans="1:9" x14ac:dyDescent="0.25">
      <c r="A266" t="s">
        <v>976</v>
      </c>
      <c r="B266" s="115" t="s">
        <v>206</v>
      </c>
      <c r="C266" t="s">
        <v>977</v>
      </c>
      <c r="D266" s="118"/>
      <c r="E266" s="118"/>
      <c r="F266" s="116" t="s">
        <v>930</v>
      </c>
      <c r="G266" t="s">
        <v>931</v>
      </c>
      <c r="H266" s="117" t="s">
        <v>165</v>
      </c>
      <c r="I266" s="117" t="s">
        <v>166</v>
      </c>
    </row>
    <row r="267" spans="1:9" x14ac:dyDescent="0.25">
      <c r="A267" t="s">
        <v>978</v>
      </c>
      <c r="B267" s="115" t="s">
        <v>979</v>
      </c>
      <c r="C267" t="s">
        <v>980</v>
      </c>
      <c r="D267" s="118"/>
      <c r="E267" s="118"/>
      <c r="F267" s="116" t="s">
        <v>935</v>
      </c>
      <c r="G267" t="s">
        <v>936</v>
      </c>
      <c r="H267" s="117" t="s">
        <v>100</v>
      </c>
      <c r="I267" s="117" t="s">
        <v>181</v>
      </c>
    </row>
    <row r="268" spans="1:9" x14ac:dyDescent="0.25">
      <c r="A268" t="s">
        <v>981</v>
      </c>
      <c r="B268" s="115" t="s">
        <v>982</v>
      </c>
      <c r="C268" t="s">
        <v>983</v>
      </c>
      <c r="D268" s="118"/>
      <c r="E268" s="118"/>
      <c r="F268" s="116" t="s">
        <v>938</v>
      </c>
      <c r="G268" t="s">
        <v>939</v>
      </c>
      <c r="H268" s="117" t="s">
        <v>170</v>
      </c>
      <c r="I268" s="117" t="s">
        <v>171</v>
      </c>
    </row>
    <row r="269" spans="1:9" x14ac:dyDescent="0.25">
      <c r="A269" t="s">
        <v>984</v>
      </c>
      <c r="B269" s="115" t="s">
        <v>985</v>
      </c>
      <c r="C269" t="s">
        <v>986</v>
      </c>
      <c r="D269" s="118"/>
      <c r="E269" s="118"/>
      <c r="F269" s="116" t="s">
        <v>987</v>
      </c>
      <c r="G269" t="s">
        <v>988</v>
      </c>
      <c r="H269" s="117" t="s">
        <v>160</v>
      </c>
      <c r="I269" s="117" t="s">
        <v>161</v>
      </c>
    </row>
    <row r="270" spans="1:9" x14ac:dyDescent="0.25">
      <c r="A270" t="s">
        <v>989</v>
      </c>
      <c r="B270" s="115" t="s">
        <v>990</v>
      </c>
      <c r="C270" t="s">
        <v>991</v>
      </c>
      <c r="D270" s="118"/>
      <c r="E270" s="118"/>
      <c r="F270" s="116" t="s">
        <v>941</v>
      </c>
      <c r="G270" t="s">
        <v>942</v>
      </c>
      <c r="H270" s="117" t="s">
        <v>328</v>
      </c>
      <c r="I270" s="117" t="s">
        <v>522</v>
      </c>
    </row>
    <row r="271" spans="1:9" x14ac:dyDescent="0.25">
      <c r="A271" t="s">
        <v>992</v>
      </c>
      <c r="B271" s="115" t="s">
        <v>993</v>
      </c>
      <c r="C271" t="s">
        <v>994</v>
      </c>
      <c r="D271" s="118"/>
      <c r="E271" s="118"/>
      <c r="F271" s="116" t="s">
        <v>995</v>
      </c>
      <c r="G271" t="s">
        <v>945</v>
      </c>
      <c r="H271" s="117" t="s">
        <v>260</v>
      </c>
      <c r="I271" s="117" t="s">
        <v>670</v>
      </c>
    </row>
    <row r="272" spans="1:9" x14ac:dyDescent="0.25">
      <c r="A272" t="s">
        <v>996</v>
      </c>
      <c r="B272" s="115" t="s">
        <v>997</v>
      </c>
      <c r="C272" t="s">
        <v>996</v>
      </c>
      <c r="D272" s="118"/>
      <c r="E272" s="118"/>
      <c r="F272" s="116" t="s">
        <v>947</v>
      </c>
      <c r="G272" t="s">
        <v>948</v>
      </c>
      <c r="H272" s="117" t="s">
        <v>328</v>
      </c>
      <c r="I272" s="117" t="s">
        <v>522</v>
      </c>
    </row>
    <row r="273" spans="1:9" x14ac:dyDescent="0.25">
      <c r="A273" t="s">
        <v>998</v>
      </c>
      <c r="B273" s="115" t="s">
        <v>999</v>
      </c>
      <c r="C273" t="s">
        <v>1000</v>
      </c>
      <c r="D273" s="118"/>
      <c r="E273" s="118"/>
      <c r="F273" s="116" t="s">
        <v>950</v>
      </c>
      <c r="G273" t="s">
        <v>951</v>
      </c>
      <c r="H273" s="117" t="s">
        <v>220</v>
      </c>
      <c r="I273" s="117" t="s">
        <v>339</v>
      </c>
    </row>
    <row r="274" spans="1:9" x14ac:dyDescent="0.25">
      <c r="A274" t="s">
        <v>1001</v>
      </c>
      <c r="B274" s="115" t="s">
        <v>1002</v>
      </c>
      <c r="C274" t="s">
        <v>1003</v>
      </c>
      <c r="D274" s="118"/>
      <c r="E274" s="118"/>
      <c r="F274" s="116" t="s">
        <v>953</v>
      </c>
      <c r="G274" t="s">
        <v>954</v>
      </c>
      <c r="H274" s="117" t="s">
        <v>160</v>
      </c>
      <c r="I274" s="117" t="s">
        <v>161</v>
      </c>
    </row>
    <row r="275" spans="1:9" x14ac:dyDescent="0.25">
      <c r="A275" t="s">
        <v>1004</v>
      </c>
      <c r="B275" s="115" t="s">
        <v>1005</v>
      </c>
      <c r="C275" t="s">
        <v>1006</v>
      </c>
      <c r="D275" s="118"/>
      <c r="E275" s="118"/>
      <c r="F275" s="116" t="s">
        <v>956</v>
      </c>
      <c r="G275" t="s">
        <v>957</v>
      </c>
      <c r="H275" s="117" t="s">
        <v>260</v>
      </c>
      <c r="I275" s="117" t="s">
        <v>367</v>
      </c>
    </row>
    <row r="276" spans="1:9" x14ac:dyDescent="0.25">
      <c r="A276" t="s">
        <v>1007</v>
      </c>
      <c r="B276" s="115" t="s">
        <v>1008</v>
      </c>
      <c r="C276" t="s">
        <v>1009</v>
      </c>
      <c r="D276" s="118"/>
      <c r="E276" s="118"/>
      <c r="F276" s="116" t="s">
        <v>1010</v>
      </c>
      <c r="G276" t="s">
        <v>1011</v>
      </c>
      <c r="H276" s="117" t="s">
        <v>260</v>
      </c>
      <c r="I276" s="117" t="s">
        <v>367</v>
      </c>
    </row>
    <row r="277" spans="1:9" x14ac:dyDescent="0.25">
      <c r="A277" t="s">
        <v>1012</v>
      </c>
      <c r="B277" s="115" t="s">
        <v>1013</v>
      </c>
      <c r="C277" t="s">
        <v>1014</v>
      </c>
      <c r="D277" s="118"/>
      <c r="E277" s="118"/>
      <c r="F277" s="116" t="s">
        <v>959</v>
      </c>
      <c r="G277" t="s">
        <v>960</v>
      </c>
      <c r="H277" s="117" t="s">
        <v>220</v>
      </c>
      <c r="I277" s="117" t="s">
        <v>221</v>
      </c>
    </row>
    <row r="278" spans="1:9" x14ac:dyDescent="0.25">
      <c r="A278" t="s">
        <v>1015</v>
      </c>
      <c r="B278" s="115" t="s">
        <v>1016</v>
      </c>
      <c r="C278" t="s">
        <v>1017</v>
      </c>
      <c r="D278" s="118"/>
      <c r="E278" s="118"/>
      <c r="F278" s="116" t="s">
        <v>965</v>
      </c>
      <c r="G278" t="s">
        <v>966</v>
      </c>
      <c r="H278" s="117" t="s">
        <v>160</v>
      </c>
      <c r="I278" s="117" t="s">
        <v>755</v>
      </c>
    </row>
    <row r="279" spans="1:9" x14ac:dyDescent="0.25">
      <c r="A279" t="s">
        <v>1018</v>
      </c>
      <c r="B279" s="115" t="s">
        <v>1019</v>
      </c>
      <c r="C279" t="s">
        <v>1020</v>
      </c>
      <c r="D279" s="118"/>
      <c r="E279" s="118"/>
      <c r="F279" s="116" t="s">
        <v>968</v>
      </c>
      <c r="G279" t="s">
        <v>969</v>
      </c>
      <c r="H279" s="117" t="s">
        <v>115</v>
      </c>
      <c r="I279" s="117" t="s">
        <v>123</v>
      </c>
    </row>
    <row r="280" spans="1:9" x14ac:dyDescent="0.25">
      <c r="A280" t="s">
        <v>1021</v>
      </c>
      <c r="B280" s="115" t="s">
        <v>1022</v>
      </c>
      <c r="C280" t="s">
        <v>1023</v>
      </c>
      <c r="D280" s="118"/>
      <c r="E280" s="118"/>
      <c r="F280" s="116" t="s">
        <v>971</v>
      </c>
      <c r="G280" t="s">
        <v>972</v>
      </c>
      <c r="H280" s="117" t="s">
        <v>100</v>
      </c>
      <c r="I280" s="117" t="s">
        <v>181</v>
      </c>
    </row>
    <row r="281" spans="1:9" x14ac:dyDescent="0.25">
      <c r="A281" t="s">
        <v>1024</v>
      </c>
      <c r="B281" s="115" t="s">
        <v>1025</v>
      </c>
      <c r="C281" t="s">
        <v>1026</v>
      </c>
      <c r="D281" s="118"/>
      <c r="E281" s="118"/>
      <c r="F281" s="116" t="s">
        <v>976</v>
      </c>
      <c r="G281" t="s">
        <v>206</v>
      </c>
      <c r="H281" s="117" t="s">
        <v>165</v>
      </c>
      <c r="I281" s="117" t="s">
        <v>206</v>
      </c>
    </row>
    <row r="282" spans="1:9" x14ac:dyDescent="0.25">
      <c r="A282" t="s">
        <v>1027</v>
      </c>
      <c r="B282" s="115" t="s">
        <v>1028</v>
      </c>
      <c r="C282" t="s">
        <v>1029</v>
      </c>
      <c r="D282" s="118"/>
      <c r="E282" s="118"/>
      <c r="F282" s="116" t="s">
        <v>978</v>
      </c>
      <c r="G282" t="s">
        <v>979</v>
      </c>
      <c r="H282" s="117" t="s">
        <v>260</v>
      </c>
      <c r="I282" s="117" t="s">
        <v>261</v>
      </c>
    </row>
    <row r="283" spans="1:9" x14ac:dyDescent="0.25">
      <c r="A283" t="s">
        <v>1030</v>
      </c>
      <c r="B283" s="115" t="s">
        <v>1031</v>
      </c>
      <c r="C283" t="s">
        <v>1032</v>
      </c>
      <c r="D283" s="118"/>
      <c r="E283" s="118"/>
      <c r="F283" s="116" t="s">
        <v>981</v>
      </c>
      <c r="G283" t="s">
        <v>982</v>
      </c>
      <c r="H283" s="117" t="s">
        <v>170</v>
      </c>
      <c r="I283" s="117" t="s">
        <v>202</v>
      </c>
    </row>
    <row r="284" spans="1:9" x14ac:dyDescent="0.25">
      <c r="A284" t="s">
        <v>1033</v>
      </c>
      <c r="B284" s="115" t="s">
        <v>1034</v>
      </c>
      <c r="C284" t="s">
        <v>1035</v>
      </c>
      <c r="D284" s="118"/>
      <c r="E284" s="118"/>
      <c r="F284" s="116" t="s">
        <v>984</v>
      </c>
      <c r="G284" t="s">
        <v>985</v>
      </c>
      <c r="H284" s="117" t="s">
        <v>194</v>
      </c>
      <c r="I284" s="117" t="s">
        <v>195</v>
      </c>
    </row>
    <row r="285" spans="1:9" x14ac:dyDescent="0.25">
      <c r="A285" t="s">
        <v>1036</v>
      </c>
      <c r="B285" s="115" t="s">
        <v>1037</v>
      </c>
      <c r="C285" t="s">
        <v>1038</v>
      </c>
      <c r="D285" s="118"/>
      <c r="E285" s="118"/>
      <c r="F285" s="116" t="s">
        <v>989</v>
      </c>
      <c r="G285" t="s">
        <v>990</v>
      </c>
      <c r="H285" s="117" t="s">
        <v>100</v>
      </c>
      <c r="I285" s="117" t="s">
        <v>101</v>
      </c>
    </row>
    <row r="286" spans="1:9" x14ac:dyDescent="0.25">
      <c r="A286" t="s">
        <v>1039</v>
      </c>
      <c r="B286" s="115" t="s">
        <v>1040</v>
      </c>
      <c r="C286" t="s">
        <v>1041</v>
      </c>
      <c r="D286" s="118"/>
      <c r="E286" s="118"/>
      <c r="F286" s="116" t="s">
        <v>1042</v>
      </c>
      <c r="G286" t="s">
        <v>1043</v>
      </c>
      <c r="H286" s="117" t="s">
        <v>100</v>
      </c>
      <c r="I286" s="117" t="s">
        <v>181</v>
      </c>
    </row>
    <row r="287" spans="1:9" x14ac:dyDescent="0.25">
      <c r="A287" t="s">
        <v>1044</v>
      </c>
      <c r="B287" s="115" t="s">
        <v>1045</v>
      </c>
      <c r="C287" t="s">
        <v>1046</v>
      </c>
      <c r="D287" s="118"/>
      <c r="E287" s="118"/>
      <c r="F287" s="116" t="s">
        <v>992</v>
      </c>
      <c r="G287" t="s">
        <v>993</v>
      </c>
      <c r="H287" s="117" t="s">
        <v>160</v>
      </c>
      <c r="I287" s="117" t="s">
        <v>704</v>
      </c>
    </row>
    <row r="288" spans="1:9" x14ac:dyDescent="0.25">
      <c r="A288" t="s">
        <v>1047</v>
      </c>
      <c r="B288" s="115" t="s">
        <v>1048</v>
      </c>
      <c r="C288" t="s">
        <v>1049</v>
      </c>
      <c r="D288" s="118"/>
      <c r="E288" s="118"/>
      <c r="F288" s="116" t="s">
        <v>1050</v>
      </c>
      <c r="G288" t="s">
        <v>1051</v>
      </c>
      <c r="H288" s="117" t="s">
        <v>160</v>
      </c>
      <c r="I288" s="117" t="s">
        <v>755</v>
      </c>
    </row>
    <row r="289" spans="1:9" x14ac:dyDescent="0.25">
      <c r="A289" t="s">
        <v>1052</v>
      </c>
      <c r="B289" s="115" t="s">
        <v>1053</v>
      </c>
      <c r="C289" t="s">
        <v>1054</v>
      </c>
      <c r="D289" s="118"/>
      <c r="E289" s="118"/>
      <c r="F289" s="116" t="s">
        <v>996</v>
      </c>
      <c r="G289" t="s">
        <v>997</v>
      </c>
      <c r="H289" s="117" t="s">
        <v>115</v>
      </c>
      <c r="I289" s="117" t="s">
        <v>276</v>
      </c>
    </row>
    <row r="290" spans="1:9" x14ac:dyDescent="0.25">
      <c r="A290" t="s">
        <v>1055</v>
      </c>
      <c r="B290" s="115" t="s">
        <v>1056</v>
      </c>
      <c r="C290" t="s">
        <v>1057</v>
      </c>
      <c r="D290" s="118"/>
      <c r="E290" s="118"/>
      <c r="F290" s="116" t="s">
        <v>998</v>
      </c>
      <c r="G290" t="s">
        <v>999</v>
      </c>
      <c r="H290" s="117" t="s">
        <v>220</v>
      </c>
      <c r="I290" s="117" t="s">
        <v>250</v>
      </c>
    </row>
    <row r="291" spans="1:9" x14ac:dyDescent="0.25">
      <c r="A291" t="s">
        <v>1058</v>
      </c>
      <c r="B291" s="115" t="s">
        <v>1059</v>
      </c>
      <c r="C291" t="s">
        <v>1060</v>
      </c>
      <c r="D291" s="118"/>
      <c r="E291" s="118"/>
      <c r="F291" s="116" t="s">
        <v>1004</v>
      </c>
      <c r="G291" t="s">
        <v>1005</v>
      </c>
      <c r="H291" s="117" t="s">
        <v>165</v>
      </c>
      <c r="I291" s="117" t="s">
        <v>166</v>
      </c>
    </row>
    <row r="292" spans="1:9" x14ac:dyDescent="0.25">
      <c r="A292" t="s">
        <v>1061</v>
      </c>
      <c r="B292" s="115" t="s">
        <v>1062</v>
      </c>
      <c r="C292" t="s">
        <v>1063</v>
      </c>
      <c r="D292" s="118"/>
      <c r="E292" s="118"/>
      <c r="F292" s="116" t="s">
        <v>1007</v>
      </c>
      <c r="G292" t="s">
        <v>1008</v>
      </c>
      <c r="H292" s="117" t="s">
        <v>160</v>
      </c>
      <c r="I292" s="117" t="s">
        <v>755</v>
      </c>
    </row>
    <row r="293" spans="1:9" x14ac:dyDescent="0.25">
      <c r="A293" t="s">
        <v>1064</v>
      </c>
      <c r="B293" s="115" t="s">
        <v>1065</v>
      </c>
      <c r="C293" t="s">
        <v>1066</v>
      </c>
      <c r="D293" s="118"/>
      <c r="E293" s="118"/>
      <c r="F293" s="116" t="s">
        <v>1012</v>
      </c>
      <c r="G293" t="s">
        <v>1013</v>
      </c>
      <c r="H293" s="117" t="s">
        <v>160</v>
      </c>
      <c r="I293" s="117" t="s">
        <v>755</v>
      </c>
    </row>
    <row r="294" spans="1:9" x14ac:dyDescent="0.25">
      <c r="A294" t="s">
        <v>1067</v>
      </c>
      <c r="B294" s="115" t="s">
        <v>1068</v>
      </c>
      <c r="C294" t="s">
        <v>1069</v>
      </c>
      <c r="D294" s="118"/>
      <c r="E294" s="118"/>
      <c r="F294" s="116" t="s">
        <v>1015</v>
      </c>
      <c r="G294" t="s">
        <v>1016</v>
      </c>
      <c r="H294" s="117" t="s">
        <v>220</v>
      </c>
      <c r="I294" s="117" t="s">
        <v>221</v>
      </c>
    </row>
    <row r="295" spans="1:9" x14ac:dyDescent="0.25">
      <c r="A295" t="s">
        <v>1070</v>
      </c>
      <c r="B295" s="115" t="s">
        <v>1071</v>
      </c>
      <c r="C295" t="s">
        <v>1072</v>
      </c>
      <c r="D295" s="118"/>
      <c r="E295" s="118"/>
      <c r="F295" s="116" t="s">
        <v>1018</v>
      </c>
      <c r="G295" t="s">
        <v>1019</v>
      </c>
      <c r="H295" s="117" t="s">
        <v>328</v>
      </c>
      <c r="I295" s="117" t="s">
        <v>295</v>
      </c>
    </row>
    <row r="296" spans="1:9" x14ac:dyDescent="0.25">
      <c r="A296" t="s">
        <v>1073</v>
      </c>
      <c r="B296" s="115" t="s">
        <v>1074</v>
      </c>
      <c r="C296" t="s">
        <v>1075</v>
      </c>
      <c r="D296" s="118"/>
      <c r="E296" s="118"/>
      <c r="F296" s="116" t="s">
        <v>1021</v>
      </c>
      <c r="G296" t="s">
        <v>1022</v>
      </c>
      <c r="H296" s="117" t="s">
        <v>170</v>
      </c>
      <c r="I296" s="117" t="s">
        <v>171</v>
      </c>
    </row>
    <row r="297" spans="1:9" x14ac:dyDescent="0.25">
      <c r="A297" t="s">
        <v>1076</v>
      </c>
      <c r="B297" s="115" t="s">
        <v>1077</v>
      </c>
      <c r="C297" t="s">
        <v>1078</v>
      </c>
      <c r="D297" s="118"/>
      <c r="E297" s="118"/>
      <c r="F297" s="116" t="s">
        <v>1024</v>
      </c>
      <c r="G297" t="s">
        <v>1025</v>
      </c>
      <c r="H297" s="117" t="s">
        <v>170</v>
      </c>
      <c r="I297" s="117" t="s">
        <v>171</v>
      </c>
    </row>
    <row r="298" spans="1:9" x14ac:dyDescent="0.25">
      <c r="A298" t="s">
        <v>1079</v>
      </c>
      <c r="B298" s="115" t="s">
        <v>1080</v>
      </c>
      <c r="C298" t="s">
        <v>1081</v>
      </c>
      <c r="D298" s="118"/>
      <c r="E298" s="118"/>
      <c r="F298" s="116" t="s">
        <v>1027</v>
      </c>
      <c r="G298" t="s">
        <v>1028</v>
      </c>
      <c r="H298" s="117" t="s">
        <v>160</v>
      </c>
      <c r="I298" s="117" t="s">
        <v>755</v>
      </c>
    </row>
    <row r="299" spans="1:9" x14ac:dyDescent="0.25">
      <c r="A299" t="s">
        <v>1082</v>
      </c>
      <c r="B299" s="115" t="s">
        <v>1083</v>
      </c>
      <c r="C299" t="s">
        <v>1084</v>
      </c>
      <c r="D299" s="118"/>
      <c r="E299" s="118"/>
      <c r="F299" s="116" t="s">
        <v>1030</v>
      </c>
      <c r="G299" t="s">
        <v>1031</v>
      </c>
      <c r="H299" s="117" t="s">
        <v>260</v>
      </c>
      <c r="I299" s="117" t="s">
        <v>670</v>
      </c>
    </row>
    <row r="300" spans="1:9" x14ac:dyDescent="0.25">
      <c r="A300" t="s">
        <v>1085</v>
      </c>
      <c r="B300" s="115" t="s">
        <v>1086</v>
      </c>
      <c r="C300" t="s">
        <v>1087</v>
      </c>
      <c r="D300" s="118"/>
      <c r="E300" s="118"/>
      <c r="F300" s="116" t="s">
        <v>1033</v>
      </c>
      <c r="G300" t="s">
        <v>1034</v>
      </c>
      <c r="H300" s="117" t="s">
        <v>100</v>
      </c>
      <c r="I300" s="117" t="s">
        <v>250</v>
      </c>
    </row>
    <row r="301" spans="1:9" x14ac:dyDescent="0.25">
      <c r="A301" t="s">
        <v>1088</v>
      </c>
      <c r="B301" s="115" t="s">
        <v>1089</v>
      </c>
      <c r="C301" t="s">
        <v>1090</v>
      </c>
      <c r="D301" s="118"/>
      <c r="E301" s="118"/>
      <c r="F301" s="116" t="s">
        <v>1036</v>
      </c>
      <c r="G301" t="s">
        <v>1037</v>
      </c>
      <c r="H301" s="117" t="s">
        <v>115</v>
      </c>
      <c r="I301" s="117" t="s">
        <v>123</v>
      </c>
    </row>
    <row r="302" spans="1:9" x14ac:dyDescent="0.25">
      <c r="A302" t="s">
        <v>1091</v>
      </c>
      <c r="B302" s="115" t="s">
        <v>1092</v>
      </c>
      <c r="C302" t="s">
        <v>1093</v>
      </c>
      <c r="D302" s="118"/>
      <c r="E302" s="118"/>
      <c r="F302" s="116" t="s">
        <v>1039</v>
      </c>
      <c r="G302" t="s">
        <v>1040</v>
      </c>
      <c r="H302" s="117" t="s">
        <v>165</v>
      </c>
      <c r="I302" s="117" t="s">
        <v>206</v>
      </c>
    </row>
    <row r="303" spans="1:9" x14ac:dyDescent="0.25">
      <c r="A303" t="s">
        <v>1094</v>
      </c>
      <c r="B303" s="115" t="s">
        <v>1095</v>
      </c>
      <c r="C303" t="s">
        <v>1096</v>
      </c>
      <c r="D303" s="118"/>
      <c r="E303" s="118"/>
      <c r="F303" s="116" t="s">
        <v>1044</v>
      </c>
      <c r="G303" t="s">
        <v>1045</v>
      </c>
      <c r="H303" s="117" t="s">
        <v>328</v>
      </c>
      <c r="I303" s="117" t="s">
        <v>295</v>
      </c>
    </row>
    <row r="304" spans="1:9" x14ac:dyDescent="0.25">
      <c r="A304" t="s">
        <v>1097</v>
      </c>
      <c r="B304" s="115" t="s">
        <v>1098</v>
      </c>
      <c r="C304" t="s">
        <v>1099</v>
      </c>
      <c r="D304" s="118"/>
      <c r="E304" s="118"/>
      <c r="F304" s="116" t="s">
        <v>1047</v>
      </c>
      <c r="G304" t="s">
        <v>1048</v>
      </c>
      <c r="H304" s="117" t="s">
        <v>194</v>
      </c>
      <c r="I304" s="117" t="s">
        <v>195</v>
      </c>
    </row>
    <row r="305" spans="1:9" x14ac:dyDescent="0.25">
      <c r="A305" t="s">
        <v>1100</v>
      </c>
      <c r="B305" s="115" t="s">
        <v>1101</v>
      </c>
      <c r="C305" t="s">
        <v>1102</v>
      </c>
      <c r="D305" s="118"/>
      <c r="E305" s="118"/>
      <c r="F305" s="116" t="s">
        <v>1103</v>
      </c>
      <c r="G305" t="s">
        <v>1056</v>
      </c>
      <c r="H305" s="117" t="s">
        <v>260</v>
      </c>
      <c r="I305" s="117" t="s">
        <v>670</v>
      </c>
    </row>
    <row r="306" spans="1:9" x14ac:dyDescent="0.25">
      <c r="A306" t="s">
        <v>1104</v>
      </c>
      <c r="B306" s="115" t="s">
        <v>1105</v>
      </c>
      <c r="C306" t="s">
        <v>1106</v>
      </c>
      <c r="D306" s="118"/>
      <c r="E306" s="118"/>
      <c r="F306" s="116" t="s">
        <v>1058</v>
      </c>
      <c r="G306" t="s">
        <v>1059</v>
      </c>
      <c r="H306" s="117" t="s">
        <v>105</v>
      </c>
      <c r="I306" s="117" t="s">
        <v>174</v>
      </c>
    </row>
    <row r="307" spans="1:9" x14ac:dyDescent="0.25">
      <c r="A307" t="s">
        <v>1107</v>
      </c>
      <c r="B307" s="115" t="s">
        <v>1108</v>
      </c>
      <c r="C307" t="s">
        <v>1109</v>
      </c>
      <c r="D307" s="118"/>
      <c r="E307" s="118"/>
      <c r="F307" s="116" t="s">
        <v>1061</v>
      </c>
      <c r="G307" t="s">
        <v>1062</v>
      </c>
      <c r="H307" s="117" t="s">
        <v>328</v>
      </c>
      <c r="I307" s="117" t="s">
        <v>796</v>
      </c>
    </row>
    <row r="308" spans="1:9" x14ac:dyDescent="0.25">
      <c r="A308" t="s">
        <v>1110</v>
      </c>
      <c r="B308" s="115" t="s">
        <v>1111</v>
      </c>
      <c r="C308" t="s">
        <v>1112</v>
      </c>
      <c r="D308" s="118"/>
      <c r="E308" s="118"/>
      <c r="F308" s="116" t="s">
        <v>1064</v>
      </c>
      <c r="G308" t="s">
        <v>1065</v>
      </c>
      <c r="H308" s="117" t="s">
        <v>170</v>
      </c>
      <c r="I308" s="117" t="s">
        <v>171</v>
      </c>
    </row>
    <row r="309" spans="1:9" x14ac:dyDescent="0.25">
      <c r="A309" t="s">
        <v>1113</v>
      </c>
      <c r="B309" s="115" t="s">
        <v>1114</v>
      </c>
      <c r="C309" t="s">
        <v>1115</v>
      </c>
      <c r="D309" s="118"/>
      <c r="E309" s="118"/>
      <c r="F309" s="116" t="s">
        <v>1067</v>
      </c>
      <c r="G309" t="s">
        <v>1068</v>
      </c>
      <c r="H309" s="117" t="s">
        <v>170</v>
      </c>
      <c r="I309" s="117" t="s">
        <v>171</v>
      </c>
    </row>
    <row r="310" spans="1:9" x14ac:dyDescent="0.25">
      <c r="A310" t="s">
        <v>1116</v>
      </c>
      <c r="B310" s="115" t="s">
        <v>1117</v>
      </c>
      <c r="C310" t="s">
        <v>1118</v>
      </c>
      <c r="D310" s="118"/>
      <c r="E310" s="118"/>
      <c r="F310" s="116" t="s">
        <v>1070</v>
      </c>
      <c r="G310" t="s">
        <v>1071</v>
      </c>
      <c r="H310" s="117" t="s">
        <v>170</v>
      </c>
      <c r="I310" s="117" t="s">
        <v>171</v>
      </c>
    </row>
    <row r="311" spans="1:9" x14ac:dyDescent="0.25">
      <c r="A311" t="s">
        <v>1119</v>
      </c>
      <c r="B311" s="115" t="s">
        <v>1120</v>
      </c>
      <c r="C311" t="s">
        <v>1121</v>
      </c>
      <c r="D311" s="118"/>
      <c r="E311" s="118"/>
      <c r="F311" s="116" t="s">
        <v>1073</v>
      </c>
      <c r="G311" t="s">
        <v>1074</v>
      </c>
      <c r="H311" s="117" t="s">
        <v>170</v>
      </c>
      <c r="I311" s="117" t="s">
        <v>171</v>
      </c>
    </row>
    <row r="312" spans="1:9" x14ac:dyDescent="0.25">
      <c r="A312" t="s">
        <v>1122</v>
      </c>
      <c r="B312" s="115" t="s">
        <v>1123</v>
      </c>
      <c r="C312" t="s">
        <v>1124</v>
      </c>
      <c r="D312" s="118"/>
      <c r="E312" s="118"/>
      <c r="F312" s="116" t="s">
        <v>1076</v>
      </c>
      <c r="G312" t="s">
        <v>1077</v>
      </c>
      <c r="H312" s="117" t="s">
        <v>194</v>
      </c>
      <c r="I312" s="117" t="s">
        <v>299</v>
      </c>
    </row>
    <row r="313" spans="1:9" x14ac:dyDescent="0.25">
      <c r="A313" t="s">
        <v>1125</v>
      </c>
      <c r="B313" s="115" t="s">
        <v>1126</v>
      </c>
      <c r="C313" t="s">
        <v>1127</v>
      </c>
      <c r="D313" s="118"/>
      <c r="E313" s="118"/>
      <c r="F313" s="116" t="s">
        <v>1079</v>
      </c>
      <c r="G313" t="s">
        <v>1080</v>
      </c>
      <c r="H313" s="117" t="s">
        <v>194</v>
      </c>
      <c r="I313" s="117" t="s">
        <v>666</v>
      </c>
    </row>
    <row r="314" spans="1:9" x14ac:dyDescent="0.25">
      <c r="A314" t="s">
        <v>1128</v>
      </c>
      <c r="B314" s="115" t="s">
        <v>1129</v>
      </c>
      <c r="C314" t="s">
        <v>1130</v>
      </c>
      <c r="D314" s="118"/>
      <c r="E314" s="118"/>
      <c r="F314" s="116" t="s">
        <v>1082</v>
      </c>
      <c r="G314" t="s">
        <v>1083</v>
      </c>
      <c r="H314" s="117" t="s">
        <v>165</v>
      </c>
      <c r="I314" s="117" t="s">
        <v>166</v>
      </c>
    </row>
    <row r="315" spans="1:9" x14ac:dyDescent="0.25">
      <c r="A315" t="s">
        <v>1131</v>
      </c>
      <c r="B315" s="115" t="s">
        <v>1132</v>
      </c>
      <c r="C315" t="s">
        <v>1133</v>
      </c>
      <c r="D315" s="118"/>
      <c r="E315" s="118"/>
      <c r="F315" s="116" t="s">
        <v>1085</v>
      </c>
      <c r="G315" t="s">
        <v>1086</v>
      </c>
      <c r="H315" s="117" t="s">
        <v>165</v>
      </c>
      <c r="I315" s="117" t="s">
        <v>166</v>
      </c>
    </row>
    <row r="316" spans="1:9" x14ac:dyDescent="0.25">
      <c r="A316" t="s">
        <v>1134</v>
      </c>
      <c r="B316" s="115" t="s">
        <v>1135</v>
      </c>
      <c r="C316" t="s">
        <v>1136</v>
      </c>
      <c r="D316" s="118"/>
      <c r="E316" s="118"/>
      <c r="F316" s="116" t="s">
        <v>1088</v>
      </c>
      <c r="G316" t="s">
        <v>1089</v>
      </c>
      <c r="H316" s="117" t="s">
        <v>165</v>
      </c>
      <c r="I316" s="117" t="s">
        <v>166</v>
      </c>
    </row>
    <row r="317" spans="1:9" x14ac:dyDescent="0.25">
      <c r="A317" t="s">
        <v>1137</v>
      </c>
      <c r="B317" s="115" t="s">
        <v>1138</v>
      </c>
      <c r="C317" t="s">
        <v>1139</v>
      </c>
      <c r="D317" s="118"/>
      <c r="E317" s="118"/>
      <c r="F317" s="116" t="s">
        <v>1091</v>
      </c>
      <c r="G317" t="s">
        <v>1092</v>
      </c>
      <c r="H317" s="117" t="s">
        <v>100</v>
      </c>
      <c r="I317" s="117" t="s">
        <v>110</v>
      </c>
    </row>
    <row r="318" spans="1:9" x14ac:dyDescent="0.25">
      <c r="A318" t="s">
        <v>1140</v>
      </c>
      <c r="B318" s="115" t="s">
        <v>1141</v>
      </c>
      <c r="C318" t="s">
        <v>1142</v>
      </c>
      <c r="D318" s="118"/>
      <c r="E318" s="118"/>
      <c r="F318" s="116" t="s">
        <v>1094</v>
      </c>
      <c r="G318" t="s">
        <v>1095</v>
      </c>
      <c r="H318" s="117" t="s">
        <v>115</v>
      </c>
      <c r="I318" s="117" t="s">
        <v>123</v>
      </c>
    </row>
    <row r="319" spans="1:9" x14ac:dyDescent="0.25">
      <c r="A319" t="s">
        <v>1143</v>
      </c>
      <c r="B319" s="115" t="s">
        <v>1144</v>
      </c>
      <c r="C319" t="s">
        <v>1145</v>
      </c>
      <c r="D319" s="118"/>
      <c r="E319" s="118"/>
      <c r="F319" s="116" t="s">
        <v>1097</v>
      </c>
      <c r="G319" t="s">
        <v>1098</v>
      </c>
      <c r="H319" s="117" t="s">
        <v>260</v>
      </c>
      <c r="I319" s="117" t="s">
        <v>1146</v>
      </c>
    </row>
    <row r="320" spans="1:9" x14ac:dyDescent="0.25">
      <c r="A320" t="s">
        <v>1147</v>
      </c>
      <c r="B320" s="115" t="s">
        <v>1148</v>
      </c>
      <c r="C320" t="s">
        <v>1149</v>
      </c>
      <c r="D320" s="118"/>
      <c r="E320" s="118"/>
      <c r="F320" s="116" t="s">
        <v>1100</v>
      </c>
      <c r="G320" t="s">
        <v>1101</v>
      </c>
      <c r="H320" s="117" t="s">
        <v>100</v>
      </c>
      <c r="I320" s="117" t="s">
        <v>110</v>
      </c>
    </row>
    <row r="321" spans="1:9" x14ac:dyDescent="0.25">
      <c r="A321" t="s">
        <v>1150</v>
      </c>
      <c r="B321" s="115" t="s">
        <v>1151</v>
      </c>
      <c r="C321" t="s">
        <v>1152</v>
      </c>
      <c r="D321" s="118"/>
      <c r="E321" s="118"/>
      <c r="F321" s="116" t="s">
        <v>1107</v>
      </c>
      <c r="G321" t="s">
        <v>1108</v>
      </c>
      <c r="H321" s="117" t="s">
        <v>260</v>
      </c>
      <c r="I321" s="117" t="s">
        <v>670</v>
      </c>
    </row>
    <row r="322" spans="1:9" x14ac:dyDescent="0.25">
      <c r="A322" t="s">
        <v>1153</v>
      </c>
      <c r="B322" s="115" t="s">
        <v>1154</v>
      </c>
      <c r="C322" t="s">
        <v>1155</v>
      </c>
      <c r="D322" s="118"/>
      <c r="E322" s="118"/>
      <c r="F322" s="116" t="s">
        <v>1110</v>
      </c>
      <c r="G322" t="s">
        <v>1111</v>
      </c>
      <c r="H322" s="117" t="s">
        <v>165</v>
      </c>
      <c r="I322" s="117" t="s">
        <v>166</v>
      </c>
    </row>
    <row r="323" spans="1:9" x14ac:dyDescent="0.25">
      <c r="A323" t="s">
        <v>1156</v>
      </c>
      <c r="B323" s="115" t="s">
        <v>1157</v>
      </c>
      <c r="C323" t="s">
        <v>1158</v>
      </c>
      <c r="D323" s="118"/>
      <c r="E323" s="118"/>
      <c r="F323" s="116" t="s">
        <v>1159</v>
      </c>
      <c r="G323" t="s">
        <v>1160</v>
      </c>
      <c r="H323" s="117" t="s">
        <v>100</v>
      </c>
      <c r="I323" s="117" t="s">
        <v>250</v>
      </c>
    </row>
    <row r="324" spans="1:9" x14ac:dyDescent="0.25">
      <c r="A324" t="s">
        <v>1161</v>
      </c>
      <c r="B324" s="115" t="s">
        <v>1162</v>
      </c>
      <c r="C324" t="s">
        <v>1163</v>
      </c>
      <c r="D324" s="118"/>
      <c r="E324" s="118"/>
      <c r="F324" s="116" t="s">
        <v>1113</v>
      </c>
      <c r="G324" t="s">
        <v>1114</v>
      </c>
      <c r="H324" s="117" t="s">
        <v>165</v>
      </c>
      <c r="I324" s="117" t="s">
        <v>166</v>
      </c>
    </row>
    <row r="325" spans="1:9" x14ac:dyDescent="0.25">
      <c r="A325" t="s">
        <v>1164</v>
      </c>
      <c r="B325" s="115" t="s">
        <v>1165</v>
      </c>
      <c r="C325" t="s">
        <v>1166</v>
      </c>
      <c r="D325" s="118"/>
      <c r="E325" s="118"/>
      <c r="F325" s="116" t="s">
        <v>1116</v>
      </c>
      <c r="G325" t="s">
        <v>1117</v>
      </c>
      <c r="H325" s="117" t="s">
        <v>165</v>
      </c>
      <c r="I325" s="117" t="s">
        <v>166</v>
      </c>
    </row>
    <row r="326" spans="1:9" x14ac:dyDescent="0.25">
      <c r="A326" t="s">
        <v>1167</v>
      </c>
      <c r="B326" s="115" t="s">
        <v>1168</v>
      </c>
      <c r="C326" t="s">
        <v>1169</v>
      </c>
      <c r="D326" s="118"/>
      <c r="E326" s="118"/>
      <c r="F326" s="116" t="s">
        <v>1119</v>
      </c>
      <c r="G326" t="s">
        <v>1120</v>
      </c>
      <c r="H326" s="117" t="s">
        <v>170</v>
      </c>
      <c r="I326" s="117" t="s">
        <v>171</v>
      </c>
    </row>
    <row r="327" spans="1:9" x14ac:dyDescent="0.25">
      <c r="A327" t="s">
        <v>1170</v>
      </c>
      <c r="B327" s="115" t="s">
        <v>1171</v>
      </c>
      <c r="C327" t="s">
        <v>1172</v>
      </c>
      <c r="D327" s="118"/>
      <c r="E327" s="118"/>
      <c r="F327" s="116" t="s">
        <v>1122</v>
      </c>
      <c r="G327" t="s">
        <v>1123</v>
      </c>
      <c r="H327" s="117" t="s">
        <v>170</v>
      </c>
      <c r="I327" s="117" t="s">
        <v>171</v>
      </c>
    </row>
    <row r="328" spans="1:9" x14ac:dyDescent="0.25">
      <c r="A328" t="s">
        <v>1173</v>
      </c>
      <c r="B328" s="115" t="s">
        <v>1174</v>
      </c>
      <c r="C328" t="s">
        <v>1175</v>
      </c>
      <c r="D328" s="118"/>
      <c r="E328" s="118"/>
      <c r="F328" s="116" t="s">
        <v>1125</v>
      </c>
      <c r="G328" t="s">
        <v>1126</v>
      </c>
      <c r="H328" s="117" t="s">
        <v>170</v>
      </c>
      <c r="I328" s="117" t="s">
        <v>171</v>
      </c>
    </row>
    <row r="329" spans="1:9" x14ac:dyDescent="0.25">
      <c r="A329" t="s">
        <v>1176</v>
      </c>
      <c r="B329" s="115" t="s">
        <v>1177</v>
      </c>
      <c r="C329" t="s">
        <v>1178</v>
      </c>
      <c r="D329" s="118"/>
      <c r="E329" s="118"/>
      <c r="F329" s="116" t="s">
        <v>1128</v>
      </c>
      <c r="G329" t="s">
        <v>1129</v>
      </c>
      <c r="H329" s="117" t="s">
        <v>100</v>
      </c>
      <c r="I329" s="117" t="s">
        <v>187</v>
      </c>
    </row>
    <row r="330" spans="1:9" x14ac:dyDescent="0.25">
      <c r="A330" t="s">
        <v>1179</v>
      </c>
      <c r="B330" s="115" t="s">
        <v>1180</v>
      </c>
      <c r="C330" t="s">
        <v>1181</v>
      </c>
      <c r="D330" s="118"/>
      <c r="E330" s="118"/>
      <c r="F330" s="116" t="s">
        <v>1134</v>
      </c>
      <c r="G330" t="s">
        <v>1135</v>
      </c>
      <c r="H330" s="117" t="s">
        <v>260</v>
      </c>
      <c r="I330" s="117" t="s">
        <v>261</v>
      </c>
    </row>
    <row r="331" spans="1:9" x14ac:dyDescent="0.25">
      <c r="A331" t="s">
        <v>1182</v>
      </c>
      <c r="B331" s="115" t="s">
        <v>1183</v>
      </c>
      <c r="C331" t="s">
        <v>1184</v>
      </c>
      <c r="D331" s="118"/>
      <c r="E331" s="118"/>
      <c r="F331" s="116" t="s">
        <v>1137</v>
      </c>
      <c r="G331" t="s">
        <v>1138</v>
      </c>
      <c r="H331" s="117" t="s">
        <v>328</v>
      </c>
      <c r="I331" s="117" t="s">
        <v>522</v>
      </c>
    </row>
    <row r="332" spans="1:9" x14ac:dyDescent="0.25">
      <c r="A332" t="s">
        <v>1185</v>
      </c>
      <c r="B332" s="115" t="s">
        <v>1186</v>
      </c>
      <c r="C332" t="s">
        <v>1187</v>
      </c>
      <c r="D332" s="118"/>
      <c r="E332" s="118"/>
      <c r="F332" s="116" t="s">
        <v>1140</v>
      </c>
      <c r="G332" t="s">
        <v>1141</v>
      </c>
      <c r="H332" s="117" t="s">
        <v>170</v>
      </c>
      <c r="I332" s="117" t="s">
        <v>202</v>
      </c>
    </row>
    <row r="333" spans="1:9" x14ac:dyDescent="0.25">
      <c r="A333" t="s">
        <v>1188</v>
      </c>
      <c r="B333" s="115" t="s">
        <v>1189</v>
      </c>
      <c r="C333" t="s">
        <v>1190</v>
      </c>
      <c r="D333" s="118"/>
      <c r="E333" s="118"/>
      <c r="F333" s="116" t="s">
        <v>1143</v>
      </c>
      <c r="G333" t="s">
        <v>1144</v>
      </c>
      <c r="H333" s="117" t="s">
        <v>115</v>
      </c>
      <c r="I333" s="117" t="s">
        <v>116</v>
      </c>
    </row>
    <row r="334" spans="1:9" x14ac:dyDescent="0.25">
      <c r="A334" t="s">
        <v>1191</v>
      </c>
      <c r="B334" s="115" t="s">
        <v>1192</v>
      </c>
      <c r="C334" t="s">
        <v>1191</v>
      </c>
      <c r="D334" s="118"/>
      <c r="E334" s="118"/>
      <c r="F334" s="116" t="s">
        <v>1147</v>
      </c>
      <c r="G334" t="s">
        <v>1148</v>
      </c>
      <c r="H334" s="117" t="s">
        <v>170</v>
      </c>
      <c r="I334" s="117" t="s">
        <v>171</v>
      </c>
    </row>
    <row r="335" spans="1:9" x14ac:dyDescent="0.25">
      <c r="A335" t="s">
        <v>1193</v>
      </c>
      <c r="B335" s="115" t="s">
        <v>1194</v>
      </c>
      <c r="C335" t="s">
        <v>1195</v>
      </c>
      <c r="D335" s="118"/>
      <c r="E335" s="118"/>
      <c r="F335" s="116" t="s">
        <v>1150</v>
      </c>
      <c r="G335" t="s">
        <v>1151</v>
      </c>
      <c r="H335" s="117" t="s">
        <v>260</v>
      </c>
      <c r="I335" s="117" t="s">
        <v>367</v>
      </c>
    </row>
    <row r="336" spans="1:9" x14ac:dyDescent="0.25">
      <c r="A336" t="s">
        <v>1196</v>
      </c>
      <c r="B336" s="115" t="s">
        <v>1197</v>
      </c>
      <c r="C336" t="s">
        <v>1198</v>
      </c>
      <c r="D336" s="118"/>
      <c r="E336" s="118"/>
      <c r="F336" s="116" t="s">
        <v>1199</v>
      </c>
      <c r="G336" t="s">
        <v>1200</v>
      </c>
      <c r="H336" s="117" t="s">
        <v>160</v>
      </c>
      <c r="I336" s="117" t="s">
        <v>487</v>
      </c>
    </row>
    <row r="337" spans="1:9" x14ac:dyDescent="0.25">
      <c r="A337" t="s">
        <v>1201</v>
      </c>
      <c r="B337" s="115" t="s">
        <v>1202</v>
      </c>
      <c r="C337" t="s">
        <v>1203</v>
      </c>
      <c r="D337" s="118"/>
      <c r="E337" s="118"/>
      <c r="F337" s="116" t="s">
        <v>1153</v>
      </c>
      <c r="G337" t="s">
        <v>1154</v>
      </c>
      <c r="H337" s="117" t="s">
        <v>170</v>
      </c>
      <c r="I337" s="117" t="s">
        <v>171</v>
      </c>
    </row>
    <row r="338" spans="1:9" x14ac:dyDescent="0.25">
      <c r="A338" t="s">
        <v>1204</v>
      </c>
      <c r="B338" s="115" t="s">
        <v>1205</v>
      </c>
      <c r="C338" t="s">
        <v>1206</v>
      </c>
      <c r="D338" s="118"/>
      <c r="E338" s="118"/>
      <c r="F338" s="116" t="s">
        <v>1156</v>
      </c>
      <c r="G338" t="s">
        <v>1157</v>
      </c>
      <c r="H338" s="117" t="s">
        <v>160</v>
      </c>
      <c r="I338" s="117" t="s">
        <v>161</v>
      </c>
    </row>
    <row r="339" spans="1:9" x14ac:dyDescent="0.25">
      <c r="A339" t="s">
        <v>1207</v>
      </c>
      <c r="B339" s="115" t="s">
        <v>1208</v>
      </c>
      <c r="C339" t="s">
        <v>1209</v>
      </c>
      <c r="D339" s="118"/>
      <c r="E339" s="118"/>
      <c r="F339" s="116" t="s">
        <v>1161</v>
      </c>
      <c r="G339" t="s">
        <v>1162</v>
      </c>
      <c r="H339" s="117" t="s">
        <v>165</v>
      </c>
      <c r="I339" s="117" t="s">
        <v>166</v>
      </c>
    </row>
    <row r="340" spans="1:9" x14ac:dyDescent="0.25">
      <c r="A340" t="s">
        <v>1210</v>
      </c>
      <c r="B340" s="115" t="s">
        <v>829</v>
      </c>
      <c r="C340" t="s">
        <v>1211</v>
      </c>
      <c r="D340" s="118"/>
      <c r="E340" s="118"/>
      <c r="F340" s="116" t="s">
        <v>1164</v>
      </c>
      <c r="G340" t="s">
        <v>1165</v>
      </c>
      <c r="H340" s="117" t="s">
        <v>115</v>
      </c>
      <c r="I340" s="117" t="s">
        <v>276</v>
      </c>
    </row>
    <row r="341" spans="1:9" x14ac:dyDescent="0.25">
      <c r="A341" t="s">
        <v>1212</v>
      </c>
      <c r="B341" s="115" t="s">
        <v>1213</v>
      </c>
      <c r="C341" t="s">
        <v>1214</v>
      </c>
      <c r="D341" s="118"/>
      <c r="E341" s="118"/>
      <c r="F341" s="116" t="s">
        <v>1167</v>
      </c>
      <c r="G341" t="s">
        <v>1168</v>
      </c>
      <c r="H341" s="117" t="s">
        <v>115</v>
      </c>
      <c r="I341" s="117" t="s">
        <v>276</v>
      </c>
    </row>
    <row r="342" spans="1:9" x14ac:dyDescent="0.25">
      <c r="A342" t="s">
        <v>1215</v>
      </c>
      <c r="B342" s="115" t="s">
        <v>1216</v>
      </c>
      <c r="C342" t="s">
        <v>1217</v>
      </c>
      <c r="D342" s="118"/>
      <c r="E342" s="118"/>
      <c r="F342" s="116" t="s">
        <v>1170</v>
      </c>
      <c r="G342" t="s">
        <v>1171</v>
      </c>
      <c r="H342" s="117" t="s">
        <v>105</v>
      </c>
      <c r="I342" s="117" t="s">
        <v>174</v>
      </c>
    </row>
    <row r="343" spans="1:9" x14ac:dyDescent="0.25">
      <c r="A343" t="s">
        <v>1218</v>
      </c>
      <c r="B343" s="115" t="s">
        <v>1219</v>
      </c>
      <c r="C343" t="s">
        <v>1220</v>
      </c>
      <c r="D343" s="118"/>
      <c r="E343" s="118"/>
      <c r="F343" s="116" t="s">
        <v>1173</v>
      </c>
      <c r="G343" t="s">
        <v>1174</v>
      </c>
      <c r="H343" s="117" t="s">
        <v>194</v>
      </c>
      <c r="I343" s="117" t="s">
        <v>299</v>
      </c>
    </row>
    <row r="344" spans="1:9" x14ac:dyDescent="0.25">
      <c r="A344" t="s">
        <v>1221</v>
      </c>
      <c r="B344" s="115" t="s">
        <v>1222</v>
      </c>
      <c r="C344" t="s">
        <v>1223</v>
      </c>
      <c r="D344" s="118"/>
      <c r="E344" s="118"/>
      <c r="F344" s="116" t="s">
        <v>1176</v>
      </c>
      <c r="G344" t="s">
        <v>1177</v>
      </c>
      <c r="H344" s="117" t="s">
        <v>165</v>
      </c>
      <c r="I344" s="117" t="s">
        <v>233</v>
      </c>
    </row>
    <row r="345" spans="1:9" x14ac:dyDescent="0.25">
      <c r="A345" t="s">
        <v>1224</v>
      </c>
      <c r="B345" s="115" t="s">
        <v>1225</v>
      </c>
      <c r="C345" t="s">
        <v>1226</v>
      </c>
      <c r="D345" s="118"/>
      <c r="E345" s="118"/>
      <c r="F345" s="116" t="s">
        <v>1227</v>
      </c>
      <c r="G345" t="s">
        <v>1228</v>
      </c>
      <c r="H345" s="117" t="s">
        <v>260</v>
      </c>
      <c r="I345" s="117" t="s">
        <v>367</v>
      </c>
    </row>
    <row r="346" spans="1:9" x14ac:dyDescent="0.25">
      <c r="A346" t="s">
        <v>1229</v>
      </c>
      <c r="B346" s="115" t="s">
        <v>1230</v>
      </c>
      <c r="C346" t="s">
        <v>1231</v>
      </c>
      <c r="D346" s="118"/>
      <c r="E346" s="118"/>
      <c r="F346" s="116" t="s">
        <v>1179</v>
      </c>
      <c r="G346" t="s">
        <v>1180</v>
      </c>
      <c r="H346" s="117" t="s">
        <v>260</v>
      </c>
      <c r="I346" s="117" t="s">
        <v>367</v>
      </c>
    </row>
    <row r="347" spans="1:9" x14ac:dyDescent="0.25">
      <c r="A347" t="s">
        <v>1232</v>
      </c>
      <c r="B347" s="115" t="s">
        <v>1233</v>
      </c>
      <c r="C347" t="s">
        <v>1234</v>
      </c>
      <c r="D347" s="118"/>
      <c r="E347" s="118"/>
      <c r="F347" s="116" t="s">
        <v>1182</v>
      </c>
      <c r="G347" t="s">
        <v>1183</v>
      </c>
      <c r="H347" s="117" t="s">
        <v>260</v>
      </c>
      <c r="I347" s="117" t="s">
        <v>367</v>
      </c>
    </row>
    <row r="348" spans="1:9" x14ac:dyDescent="0.25">
      <c r="A348" t="s">
        <v>1235</v>
      </c>
      <c r="B348" s="115" t="s">
        <v>1236</v>
      </c>
      <c r="C348" t="s">
        <v>1237</v>
      </c>
      <c r="D348" s="118"/>
      <c r="E348" s="118"/>
      <c r="F348" s="116" t="s">
        <v>1185</v>
      </c>
      <c r="G348" t="s">
        <v>1186</v>
      </c>
      <c r="H348" s="117" t="s">
        <v>165</v>
      </c>
      <c r="I348" s="117" t="s">
        <v>166</v>
      </c>
    </row>
    <row r="349" spans="1:9" x14ac:dyDescent="0.25">
      <c r="A349" t="s">
        <v>1238</v>
      </c>
      <c r="B349" s="115" t="s">
        <v>1239</v>
      </c>
      <c r="C349" t="s">
        <v>1240</v>
      </c>
      <c r="D349" s="118"/>
      <c r="E349" s="118"/>
      <c r="F349" s="116" t="s">
        <v>1188</v>
      </c>
      <c r="G349" t="s">
        <v>1189</v>
      </c>
      <c r="H349" s="117" t="s">
        <v>170</v>
      </c>
      <c r="I349" s="117" t="s">
        <v>171</v>
      </c>
    </row>
    <row r="350" spans="1:9" x14ac:dyDescent="0.25">
      <c r="A350" t="s">
        <v>1241</v>
      </c>
      <c r="B350" s="115" t="s">
        <v>1242</v>
      </c>
      <c r="C350" t="s">
        <v>1243</v>
      </c>
      <c r="D350" s="118"/>
      <c r="E350" s="118"/>
      <c r="F350" s="116" t="s">
        <v>1191</v>
      </c>
      <c r="G350" t="s">
        <v>1192</v>
      </c>
      <c r="H350" s="117" t="s">
        <v>115</v>
      </c>
      <c r="I350" s="117" t="s">
        <v>276</v>
      </c>
    </row>
    <row r="351" spans="1:9" x14ac:dyDescent="0.25">
      <c r="A351" t="s">
        <v>1244</v>
      </c>
      <c r="B351" s="115" t="s">
        <v>1245</v>
      </c>
      <c r="C351" t="s">
        <v>1246</v>
      </c>
      <c r="D351" s="118"/>
      <c r="E351" s="118"/>
      <c r="F351" s="116" t="s">
        <v>1193</v>
      </c>
      <c r="G351" t="s">
        <v>1194</v>
      </c>
      <c r="H351" s="117" t="s">
        <v>115</v>
      </c>
      <c r="I351" s="117" t="s">
        <v>276</v>
      </c>
    </row>
    <row r="352" spans="1:9" x14ac:dyDescent="0.25">
      <c r="A352" t="s">
        <v>1247</v>
      </c>
      <c r="B352" s="115" t="s">
        <v>1248</v>
      </c>
      <c r="C352" t="s">
        <v>1249</v>
      </c>
      <c r="D352" s="118"/>
      <c r="E352" s="118"/>
      <c r="F352" s="116" t="s">
        <v>1196</v>
      </c>
      <c r="G352" t="s">
        <v>1197</v>
      </c>
      <c r="H352" s="117" t="s">
        <v>170</v>
      </c>
      <c r="I352" s="117" t="s">
        <v>202</v>
      </c>
    </row>
    <row r="353" spans="1:9" x14ac:dyDescent="0.25">
      <c r="A353" t="s">
        <v>1250</v>
      </c>
      <c r="B353" s="115" t="s">
        <v>233</v>
      </c>
      <c r="C353" t="s">
        <v>1251</v>
      </c>
      <c r="D353" s="118"/>
      <c r="E353" s="118"/>
      <c r="F353" s="116" t="s">
        <v>1252</v>
      </c>
      <c r="G353" t="s">
        <v>1253</v>
      </c>
      <c r="H353" s="117" t="s">
        <v>115</v>
      </c>
      <c r="I353" s="117" t="s">
        <v>276</v>
      </c>
    </row>
    <row r="354" spans="1:9" x14ac:dyDescent="0.25">
      <c r="A354" t="s">
        <v>1254</v>
      </c>
      <c r="B354" s="115" t="s">
        <v>1255</v>
      </c>
      <c r="C354" t="s">
        <v>1256</v>
      </c>
      <c r="D354" s="118"/>
      <c r="E354" s="118"/>
      <c r="F354" s="116" t="s">
        <v>1257</v>
      </c>
      <c r="G354" t="s">
        <v>1258</v>
      </c>
      <c r="H354" s="117" t="s">
        <v>328</v>
      </c>
      <c r="I354" s="117" t="s">
        <v>796</v>
      </c>
    </row>
    <row r="355" spans="1:9" x14ac:dyDescent="0.25">
      <c r="A355" t="s">
        <v>1259</v>
      </c>
      <c r="B355" s="115" t="s">
        <v>1260</v>
      </c>
      <c r="C355" t="s">
        <v>1261</v>
      </c>
      <c r="D355" s="118"/>
      <c r="E355" s="118"/>
      <c r="F355" s="116" t="s">
        <v>1201</v>
      </c>
      <c r="G355" t="s">
        <v>1202</v>
      </c>
      <c r="H355" s="117" t="s">
        <v>165</v>
      </c>
      <c r="I355" s="117" t="s">
        <v>233</v>
      </c>
    </row>
    <row r="356" spans="1:9" x14ac:dyDescent="0.25">
      <c r="A356" t="s">
        <v>1262</v>
      </c>
      <c r="B356" s="115" t="s">
        <v>1263</v>
      </c>
      <c r="C356" t="s">
        <v>1262</v>
      </c>
      <c r="D356" s="118"/>
      <c r="E356" s="118"/>
      <c r="F356" s="116" t="s">
        <v>1204</v>
      </c>
      <c r="G356" t="s">
        <v>1205</v>
      </c>
      <c r="H356" s="117" t="s">
        <v>194</v>
      </c>
      <c r="I356" s="117" t="s">
        <v>1264</v>
      </c>
    </row>
    <row r="357" spans="1:9" x14ac:dyDescent="0.25">
      <c r="A357" t="s">
        <v>1265</v>
      </c>
      <c r="B357" s="115" t="s">
        <v>1266</v>
      </c>
      <c r="C357" t="s">
        <v>1267</v>
      </c>
      <c r="D357" s="118"/>
      <c r="E357" s="118"/>
      <c r="F357" s="116" t="s">
        <v>1207</v>
      </c>
      <c r="G357" t="s">
        <v>1208</v>
      </c>
      <c r="H357" s="117" t="s">
        <v>194</v>
      </c>
      <c r="I357" s="117" t="s">
        <v>1264</v>
      </c>
    </row>
    <row r="358" spans="1:9" x14ac:dyDescent="0.25">
      <c r="A358" t="s">
        <v>1268</v>
      </c>
      <c r="B358" s="115" t="s">
        <v>1269</v>
      </c>
      <c r="C358" t="s">
        <v>1270</v>
      </c>
      <c r="D358" s="118"/>
      <c r="E358" s="118"/>
      <c r="F358" s="116" t="s">
        <v>1210</v>
      </c>
      <c r="G358" t="s">
        <v>829</v>
      </c>
      <c r="H358" s="117" t="s">
        <v>160</v>
      </c>
      <c r="I358" s="117" t="s">
        <v>829</v>
      </c>
    </row>
    <row r="359" spans="1:9" x14ac:dyDescent="0.25">
      <c r="A359" t="s">
        <v>1271</v>
      </c>
      <c r="B359" s="115" t="s">
        <v>1272</v>
      </c>
      <c r="C359" t="s">
        <v>1273</v>
      </c>
      <c r="D359" s="118"/>
      <c r="E359" s="118"/>
      <c r="F359" s="116" t="s">
        <v>1212</v>
      </c>
      <c r="G359" t="s">
        <v>1213</v>
      </c>
      <c r="H359" s="117" t="s">
        <v>160</v>
      </c>
      <c r="I359" s="117" t="s">
        <v>704</v>
      </c>
    </row>
    <row r="360" spans="1:9" x14ac:dyDescent="0.25">
      <c r="A360" t="s">
        <v>1274</v>
      </c>
      <c r="B360" s="115" t="s">
        <v>1275</v>
      </c>
      <c r="C360" t="s">
        <v>1276</v>
      </c>
      <c r="D360" s="118"/>
      <c r="E360" s="118"/>
      <c r="F360" s="116" t="s">
        <v>1215</v>
      </c>
      <c r="G360" t="s">
        <v>1216</v>
      </c>
      <c r="H360" s="117" t="s">
        <v>115</v>
      </c>
      <c r="I360" s="117" t="s">
        <v>276</v>
      </c>
    </row>
    <row r="361" spans="1:9" x14ac:dyDescent="0.25">
      <c r="A361" t="s">
        <v>1277</v>
      </c>
      <c r="B361" s="115" t="s">
        <v>1278</v>
      </c>
      <c r="C361" t="s">
        <v>1279</v>
      </c>
      <c r="D361" s="118"/>
      <c r="E361" s="118"/>
      <c r="F361" s="116" t="s">
        <v>1218</v>
      </c>
      <c r="G361" t="s">
        <v>1219</v>
      </c>
      <c r="H361" s="117" t="s">
        <v>100</v>
      </c>
      <c r="I361" s="117" t="s">
        <v>339</v>
      </c>
    </row>
    <row r="362" spans="1:9" x14ac:dyDescent="0.25">
      <c r="A362" t="s">
        <v>1280</v>
      </c>
      <c r="B362" s="115" t="s">
        <v>1281</v>
      </c>
      <c r="C362" t="s">
        <v>1282</v>
      </c>
      <c r="D362" s="118"/>
      <c r="E362" s="118"/>
      <c r="F362" s="116" t="s">
        <v>1283</v>
      </c>
      <c r="G362" t="s">
        <v>1284</v>
      </c>
      <c r="H362" s="117" t="s">
        <v>100</v>
      </c>
      <c r="I362" s="117" t="s">
        <v>101</v>
      </c>
    </row>
    <row r="363" spans="1:9" x14ac:dyDescent="0.25">
      <c r="A363" t="s">
        <v>1285</v>
      </c>
      <c r="B363" s="115" t="s">
        <v>1286</v>
      </c>
      <c r="C363" t="s">
        <v>1287</v>
      </c>
      <c r="D363" s="118"/>
      <c r="E363" s="118"/>
      <c r="F363" s="116" t="s">
        <v>1221</v>
      </c>
      <c r="G363" t="s">
        <v>1222</v>
      </c>
      <c r="H363" s="117" t="s">
        <v>100</v>
      </c>
      <c r="I363" s="117" t="s">
        <v>101</v>
      </c>
    </row>
    <row r="364" spans="1:9" x14ac:dyDescent="0.25">
      <c r="A364" t="s">
        <v>1288</v>
      </c>
      <c r="B364" s="115" t="s">
        <v>1289</v>
      </c>
      <c r="C364" t="s">
        <v>1290</v>
      </c>
      <c r="D364" s="118"/>
      <c r="E364" s="118"/>
      <c r="F364" s="116" t="s">
        <v>1224</v>
      </c>
      <c r="G364" t="s">
        <v>1225</v>
      </c>
      <c r="H364" s="117" t="s">
        <v>100</v>
      </c>
      <c r="I364" s="117" t="s">
        <v>101</v>
      </c>
    </row>
    <row r="365" spans="1:9" x14ac:dyDescent="0.25">
      <c r="A365" t="s">
        <v>1291</v>
      </c>
      <c r="B365" s="115" t="s">
        <v>1292</v>
      </c>
      <c r="C365" t="s">
        <v>1293</v>
      </c>
      <c r="D365" s="118"/>
      <c r="E365" s="118"/>
      <c r="F365" s="116" t="s">
        <v>1229</v>
      </c>
      <c r="G365" t="s">
        <v>1230</v>
      </c>
      <c r="H365" s="117" t="s">
        <v>160</v>
      </c>
      <c r="I365" s="117" t="s">
        <v>387</v>
      </c>
    </row>
    <row r="366" spans="1:9" x14ac:dyDescent="0.25">
      <c r="A366" t="s">
        <v>1294</v>
      </c>
      <c r="B366" s="115" t="s">
        <v>1295</v>
      </c>
      <c r="C366" t="s">
        <v>1296</v>
      </c>
      <c r="D366" s="118"/>
      <c r="E366" s="118"/>
      <c r="F366" s="116" t="s">
        <v>1232</v>
      </c>
      <c r="G366" t="s">
        <v>1233</v>
      </c>
      <c r="H366" s="117" t="s">
        <v>165</v>
      </c>
      <c r="I366" s="117" t="s">
        <v>206</v>
      </c>
    </row>
    <row r="367" spans="1:9" x14ac:dyDescent="0.25">
      <c r="A367" t="s">
        <v>1297</v>
      </c>
      <c r="B367" s="115" t="s">
        <v>1298</v>
      </c>
      <c r="C367" t="s">
        <v>1299</v>
      </c>
      <c r="D367" s="118"/>
      <c r="E367" s="118"/>
      <c r="F367" s="116" t="s">
        <v>1235</v>
      </c>
      <c r="G367" t="s">
        <v>1236</v>
      </c>
      <c r="H367" s="117" t="s">
        <v>165</v>
      </c>
      <c r="I367" s="117" t="s">
        <v>166</v>
      </c>
    </row>
    <row r="368" spans="1:9" x14ac:dyDescent="0.25">
      <c r="A368" t="s">
        <v>1300</v>
      </c>
      <c r="B368" s="115" t="s">
        <v>1301</v>
      </c>
      <c r="C368" t="s">
        <v>1302</v>
      </c>
      <c r="D368" s="118"/>
      <c r="E368" s="118"/>
      <c r="F368" s="116" t="s">
        <v>1238</v>
      </c>
      <c r="G368" t="s">
        <v>1239</v>
      </c>
      <c r="H368" s="117" t="s">
        <v>220</v>
      </c>
      <c r="I368" s="117" t="s">
        <v>339</v>
      </c>
    </row>
    <row r="369" spans="1:9" x14ac:dyDescent="0.25">
      <c r="A369" t="s">
        <v>1303</v>
      </c>
      <c r="B369" s="115" t="s">
        <v>1304</v>
      </c>
      <c r="C369" t="s">
        <v>1305</v>
      </c>
      <c r="D369" s="118"/>
      <c r="E369" s="118"/>
      <c r="F369" s="116" t="s">
        <v>1306</v>
      </c>
      <c r="G369" t="s">
        <v>1307</v>
      </c>
      <c r="H369" s="117" t="s">
        <v>220</v>
      </c>
      <c r="I369" s="117" t="s">
        <v>339</v>
      </c>
    </row>
    <row r="370" spans="1:9" x14ac:dyDescent="0.25">
      <c r="A370" t="s">
        <v>1308</v>
      </c>
      <c r="B370" s="115" t="s">
        <v>1309</v>
      </c>
      <c r="C370" t="s">
        <v>1310</v>
      </c>
      <c r="D370" s="118"/>
      <c r="E370" s="118"/>
      <c r="F370" s="116" t="s">
        <v>1241</v>
      </c>
      <c r="G370" t="s">
        <v>1242</v>
      </c>
      <c r="H370" s="117" t="s">
        <v>220</v>
      </c>
      <c r="I370" s="117" t="s">
        <v>250</v>
      </c>
    </row>
    <row r="371" spans="1:9" x14ac:dyDescent="0.25">
      <c r="A371" t="s">
        <v>1311</v>
      </c>
      <c r="B371" s="115" t="s">
        <v>1312</v>
      </c>
      <c r="C371" t="s">
        <v>1313</v>
      </c>
      <c r="D371" s="118"/>
      <c r="E371" s="118"/>
      <c r="F371" s="116" t="s">
        <v>1244</v>
      </c>
      <c r="G371" t="s">
        <v>1245</v>
      </c>
      <c r="H371" s="117" t="s">
        <v>105</v>
      </c>
      <c r="I371" s="117" t="s">
        <v>127</v>
      </c>
    </row>
    <row r="372" spans="1:9" x14ac:dyDescent="0.25">
      <c r="A372" t="s">
        <v>1314</v>
      </c>
      <c r="B372" s="115" t="s">
        <v>1315</v>
      </c>
      <c r="C372" t="s">
        <v>1316</v>
      </c>
      <c r="D372" s="118"/>
      <c r="E372" s="118"/>
      <c r="F372" s="116" t="s">
        <v>1247</v>
      </c>
      <c r="G372" t="s">
        <v>1248</v>
      </c>
      <c r="H372" s="117" t="s">
        <v>105</v>
      </c>
      <c r="I372" s="117" t="s">
        <v>174</v>
      </c>
    </row>
    <row r="373" spans="1:9" x14ac:dyDescent="0.25">
      <c r="A373" t="s">
        <v>1317</v>
      </c>
      <c r="B373" s="115" t="s">
        <v>1318</v>
      </c>
      <c r="C373" t="s">
        <v>1319</v>
      </c>
      <c r="D373" s="118"/>
      <c r="E373" s="118"/>
      <c r="F373" s="116" t="s">
        <v>1250</v>
      </c>
      <c r="G373" t="s">
        <v>233</v>
      </c>
      <c r="H373" s="117" t="s">
        <v>165</v>
      </c>
      <c r="I373" s="117" t="s">
        <v>233</v>
      </c>
    </row>
    <row r="374" spans="1:9" x14ac:dyDescent="0.25">
      <c r="A374" t="s">
        <v>1320</v>
      </c>
      <c r="B374" s="115" t="s">
        <v>1321</v>
      </c>
      <c r="C374" t="s">
        <v>1322</v>
      </c>
      <c r="D374" s="118"/>
      <c r="E374" s="118"/>
      <c r="F374" s="116" t="s">
        <v>1254</v>
      </c>
      <c r="G374" t="s">
        <v>1255</v>
      </c>
      <c r="H374" s="117" t="s">
        <v>105</v>
      </c>
      <c r="I374" s="117" t="s">
        <v>106</v>
      </c>
    </row>
    <row r="375" spans="1:9" x14ac:dyDescent="0.25">
      <c r="A375" t="s">
        <v>1323</v>
      </c>
      <c r="B375" s="115" t="s">
        <v>1324</v>
      </c>
      <c r="C375" t="s">
        <v>1325</v>
      </c>
      <c r="D375" s="118"/>
      <c r="E375" s="118"/>
      <c r="F375" s="116" t="s">
        <v>1259</v>
      </c>
      <c r="G375" t="s">
        <v>1260</v>
      </c>
      <c r="H375" s="117" t="s">
        <v>115</v>
      </c>
      <c r="I375" s="117" t="s">
        <v>123</v>
      </c>
    </row>
    <row r="376" spans="1:9" x14ac:dyDescent="0.25">
      <c r="A376" t="s">
        <v>1326</v>
      </c>
      <c r="B376" s="115" t="s">
        <v>195</v>
      </c>
      <c r="C376" t="s">
        <v>1327</v>
      </c>
      <c r="D376" s="118"/>
      <c r="E376" s="118"/>
      <c r="F376" s="116" t="s">
        <v>1262</v>
      </c>
      <c r="G376" t="s">
        <v>1263</v>
      </c>
      <c r="H376" s="117" t="s">
        <v>115</v>
      </c>
      <c r="I376" s="117" t="s">
        <v>123</v>
      </c>
    </row>
    <row r="377" spans="1:9" x14ac:dyDescent="0.25">
      <c r="A377" t="s">
        <v>1328</v>
      </c>
      <c r="B377" s="115" t="s">
        <v>1329</v>
      </c>
      <c r="C377" t="s">
        <v>1330</v>
      </c>
      <c r="D377" s="118"/>
      <c r="E377" s="118"/>
      <c r="F377" s="116" t="s">
        <v>1265</v>
      </c>
      <c r="G377" t="s">
        <v>1266</v>
      </c>
      <c r="H377" s="117" t="s">
        <v>260</v>
      </c>
      <c r="I377" s="117" t="s">
        <v>261</v>
      </c>
    </row>
    <row r="378" spans="1:9" x14ac:dyDescent="0.25">
      <c r="A378" t="s">
        <v>1331</v>
      </c>
      <c r="B378" s="115" t="s">
        <v>1332</v>
      </c>
      <c r="C378" t="s">
        <v>1333</v>
      </c>
      <c r="D378" s="118"/>
      <c r="E378" s="118"/>
      <c r="F378" s="116" t="s">
        <v>1268</v>
      </c>
      <c r="G378" t="s">
        <v>1269</v>
      </c>
      <c r="H378" s="117" t="s">
        <v>260</v>
      </c>
      <c r="I378" s="117" t="s">
        <v>261</v>
      </c>
    </row>
    <row r="379" spans="1:9" x14ac:dyDescent="0.25">
      <c r="A379" t="s">
        <v>1334</v>
      </c>
      <c r="B379" s="115" t="s">
        <v>1335</v>
      </c>
      <c r="C379" t="s">
        <v>1336</v>
      </c>
      <c r="D379" s="118"/>
      <c r="E379" s="118"/>
      <c r="F379" s="116" t="s">
        <v>1337</v>
      </c>
      <c r="G379" t="s">
        <v>1338</v>
      </c>
      <c r="H379" s="117" t="s">
        <v>165</v>
      </c>
      <c r="I379" s="117" t="s">
        <v>206</v>
      </c>
    </row>
    <row r="380" spans="1:9" x14ac:dyDescent="0.25">
      <c r="A380" t="s">
        <v>1339</v>
      </c>
      <c r="B380" s="115" t="s">
        <v>1340</v>
      </c>
      <c r="C380" t="s">
        <v>1341</v>
      </c>
      <c r="D380" s="118"/>
      <c r="E380" s="118"/>
      <c r="F380" s="116" t="s">
        <v>1271</v>
      </c>
      <c r="G380" t="s">
        <v>1272</v>
      </c>
      <c r="H380" s="117" t="s">
        <v>170</v>
      </c>
      <c r="I380" s="117" t="s">
        <v>202</v>
      </c>
    </row>
    <row r="381" spans="1:9" x14ac:dyDescent="0.25">
      <c r="A381" t="s">
        <v>1342</v>
      </c>
      <c r="B381" s="115" t="s">
        <v>1343</v>
      </c>
      <c r="C381" t="s">
        <v>1344</v>
      </c>
      <c r="D381" s="118"/>
      <c r="E381" s="118"/>
      <c r="F381" s="116" t="s">
        <v>1274</v>
      </c>
      <c r="G381" t="s">
        <v>1275</v>
      </c>
      <c r="H381" s="117" t="s">
        <v>170</v>
      </c>
      <c r="I381" s="117" t="s">
        <v>202</v>
      </c>
    </row>
    <row r="382" spans="1:9" x14ac:dyDescent="0.25">
      <c r="A382" t="s">
        <v>1345</v>
      </c>
      <c r="B382" s="115" t="s">
        <v>1346</v>
      </c>
      <c r="C382" t="s">
        <v>1347</v>
      </c>
      <c r="D382" s="118"/>
      <c r="E382" s="118"/>
      <c r="F382" s="116" t="s">
        <v>1277</v>
      </c>
      <c r="G382" t="s">
        <v>1278</v>
      </c>
      <c r="H382" s="117" t="s">
        <v>100</v>
      </c>
      <c r="I382" s="117" t="s">
        <v>250</v>
      </c>
    </row>
    <row r="383" spans="1:9" x14ac:dyDescent="0.25">
      <c r="A383" t="s">
        <v>1348</v>
      </c>
      <c r="B383" s="115" t="s">
        <v>387</v>
      </c>
      <c r="C383" t="s">
        <v>1349</v>
      </c>
      <c r="D383" s="118"/>
      <c r="E383" s="118"/>
      <c r="F383" s="116" t="s">
        <v>1280</v>
      </c>
      <c r="G383" t="s">
        <v>1281</v>
      </c>
      <c r="H383" s="117" t="s">
        <v>160</v>
      </c>
      <c r="I383" s="117" t="s">
        <v>387</v>
      </c>
    </row>
    <row r="384" spans="1:9" x14ac:dyDescent="0.25">
      <c r="A384" t="s">
        <v>1350</v>
      </c>
      <c r="B384" s="115" t="s">
        <v>1351</v>
      </c>
      <c r="C384" t="s">
        <v>1352</v>
      </c>
      <c r="D384" s="118"/>
      <c r="E384" s="118"/>
      <c r="F384" s="116" t="s">
        <v>1353</v>
      </c>
      <c r="G384" t="s">
        <v>1354</v>
      </c>
      <c r="H384" s="117" t="s">
        <v>165</v>
      </c>
      <c r="I384" s="117" t="s">
        <v>166</v>
      </c>
    </row>
    <row r="385" spans="1:9" x14ac:dyDescent="0.25">
      <c r="A385" t="s">
        <v>1355</v>
      </c>
      <c r="B385" s="115" t="s">
        <v>1356</v>
      </c>
      <c r="C385" t="s">
        <v>1357</v>
      </c>
      <c r="D385" s="118"/>
      <c r="E385" s="118"/>
      <c r="F385" s="116" t="s">
        <v>1358</v>
      </c>
      <c r="G385" t="s">
        <v>1359</v>
      </c>
      <c r="H385" s="117" t="s">
        <v>165</v>
      </c>
      <c r="I385" s="117" t="s">
        <v>206</v>
      </c>
    </row>
    <row r="386" spans="1:9" x14ac:dyDescent="0.25">
      <c r="A386" t="s">
        <v>1360</v>
      </c>
      <c r="B386" s="115" t="s">
        <v>1361</v>
      </c>
      <c r="C386" t="s">
        <v>1362</v>
      </c>
      <c r="D386" s="118"/>
      <c r="E386" s="118"/>
      <c r="F386" s="116" t="s">
        <v>1291</v>
      </c>
      <c r="G386" t="s">
        <v>1292</v>
      </c>
      <c r="H386" s="117" t="s">
        <v>194</v>
      </c>
      <c r="I386" s="117" t="s">
        <v>1264</v>
      </c>
    </row>
    <row r="387" spans="1:9" x14ac:dyDescent="0.25">
      <c r="A387" t="s">
        <v>1363</v>
      </c>
      <c r="B387" s="115" t="s">
        <v>1364</v>
      </c>
      <c r="C387" t="s">
        <v>1365</v>
      </c>
      <c r="D387" s="118"/>
      <c r="E387" s="118"/>
      <c r="F387" s="116" t="s">
        <v>1294</v>
      </c>
      <c r="G387" t="s">
        <v>1295</v>
      </c>
      <c r="H387" s="117" t="s">
        <v>160</v>
      </c>
      <c r="I387" s="117" t="s">
        <v>387</v>
      </c>
    </row>
    <row r="388" spans="1:9" x14ac:dyDescent="0.25">
      <c r="A388" t="s">
        <v>1366</v>
      </c>
      <c r="B388" s="115" t="s">
        <v>1367</v>
      </c>
      <c r="C388" t="s">
        <v>1368</v>
      </c>
      <c r="D388" s="118"/>
      <c r="E388" s="118"/>
      <c r="F388" s="116" t="s">
        <v>1297</v>
      </c>
      <c r="G388" t="s">
        <v>1298</v>
      </c>
      <c r="H388" s="117" t="s">
        <v>100</v>
      </c>
      <c r="I388" s="117" t="s">
        <v>250</v>
      </c>
    </row>
    <row r="389" spans="1:9" x14ac:dyDescent="0.25">
      <c r="A389" t="s">
        <v>1369</v>
      </c>
      <c r="B389" s="115" t="s">
        <v>1370</v>
      </c>
      <c r="C389" t="s">
        <v>1371</v>
      </c>
      <c r="D389" s="118"/>
      <c r="E389" s="118"/>
      <c r="F389" s="116" t="s">
        <v>1300</v>
      </c>
      <c r="G389" t="s">
        <v>1301</v>
      </c>
      <c r="H389" s="117" t="s">
        <v>170</v>
      </c>
      <c r="I389" s="117" t="s">
        <v>171</v>
      </c>
    </row>
    <row r="390" spans="1:9" x14ac:dyDescent="0.25">
      <c r="A390" t="s">
        <v>1372</v>
      </c>
      <c r="B390" s="115" t="s">
        <v>1373</v>
      </c>
      <c r="C390" t="s">
        <v>1374</v>
      </c>
      <c r="D390" s="118"/>
      <c r="E390" s="118"/>
      <c r="F390" s="116" t="s">
        <v>1303</v>
      </c>
      <c r="G390" t="s">
        <v>1304</v>
      </c>
      <c r="H390" s="117" t="s">
        <v>260</v>
      </c>
      <c r="I390" s="117" t="s">
        <v>440</v>
      </c>
    </row>
    <row r="391" spans="1:9" x14ac:dyDescent="0.25">
      <c r="A391" t="s">
        <v>1375</v>
      </c>
      <c r="B391" s="115" t="s">
        <v>1376</v>
      </c>
      <c r="C391" t="s">
        <v>1377</v>
      </c>
      <c r="D391" s="118"/>
      <c r="E391" s="118"/>
      <c r="F391" s="116" t="s">
        <v>1308</v>
      </c>
      <c r="G391" t="s">
        <v>1309</v>
      </c>
      <c r="H391" s="117" t="s">
        <v>194</v>
      </c>
      <c r="I391" s="117" t="s">
        <v>666</v>
      </c>
    </row>
    <row r="392" spans="1:9" x14ac:dyDescent="0.25">
      <c r="A392" t="s">
        <v>1378</v>
      </c>
      <c r="B392" s="115" t="s">
        <v>1379</v>
      </c>
      <c r="C392" t="s">
        <v>1380</v>
      </c>
      <c r="D392" s="118"/>
      <c r="E392" s="118"/>
      <c r="F392" s="116" t="s">
        <v>1311</v>
      </c>
      <c r="G392" t="s">
        <v>1312</v>
      </c>
      <c r="H392" s="117" t="s">
        <v>105</v>
      </c>
      <c r="I392" s="117" t="s">
        <v>127</v>
      </c>
    </row>
    <row r="393" spans="1:9" x14ac:dyDescent="0.25">
      <c r="A393" t="s">
        <v>1381</v>
      </c>
      <c r="B393" s="115" t="s">
        <v>1382</v>
      </c>
      <c r="C393" t="s">
        <v>1383</v>
      </c>
      <c r="D393" s="118"/>
      <c r="E393" s="118"/>
      <c r="F393" s="116" t="s">
        <v>1314</v>
      </c>
      <c r="G393" t="s">
        <v>1315</v>
      </c>
      <c r="H393" s="117" t="s">
        <v>115</v>
      </c>
      <c r="I393" s="117" t="s">
        <v>276</v>
      </c>
    </row>
    <row r="394" spans="1:9" x14ac:dyDescent="0.25">
      <c r="A394" t="s">
        <v>1384</v>
      </c>
      <c r="B394" s="115" t="s">
        <v>487</v>
      </c>
      <c r="C394" t="s">
        <v>1385</v>
      </c>
      <c r="D394" s="118"/>
      <c r="E394" s="118"/>
      <c r="F394" s="116" t="s">
        <v>1317</v>
      </c>
      <c r="G394" t="s">
        <v>1318</v>
      </c>
      <c r="H394" s="117" t="s">
        <v>115</v>
      </c>
      <c r="I394" s="117" t="s">
        <v>276</v>
      </c>
    </row>
    <row r="395" spans="1:9" x14ac:dyDescent="0.25">
      <c r="A395" t="s">
        <v>1386</v>
      </c>
      <c r="B395" s="115" t="s">
        <v>1387</v>
      </c>
      <c r="C395" t="s">
        <v>1388</v>
      </c>
      <c r="D395" s="118"/>
      <c r="E395" s="118"/>
      <c r="F395" s="116" t="s">
        <v>1323</v>
      </c>
      <c r="G395" t="s">
        <v>1324</v>
      </c>
      <c r="H395" s="117" t="s">
        <v>194</v>
      </c>
      <c r="I395" s="117" t="s">
        <v>195</v>
      </c>
    </row>
    <row r="396" spans="1:9" x14ac:dyDescent="0.25">
      <c r="A396" t="s">
        <v>1389</v>
      </c>
      <c r="B396" s="115" t="s">
        <v>1390</v>
      </c>
      <c r="C396" t="s">
        <v>1391</v>
      </c>
      <c r="D396" s="118"/>
      <c r="E396" s="118"/>
      <c r="F396" s="116" t="s">
        <v>1326</v>
      </c>
      <c r="G396" t="s">
        <v>195</v>
      </c>
      <c r="H396" s="117" t="s">
        <v>194</v>
      </c>
      <c r="I396" s="117" t="s">
        <v>195</v>
      </c>
    </row>
    <row r="397" spans="1:9" x14ac:dyDescent="0.25">
      <c r="A397" t="s">
        <v>1392</v>
      </c>
      <c r="B397" s="115" t="s">
        <v>1393</v>
      </c>
      <c r="C397" t="s">
        <v>1394</v>
      </c>
      <c r="D397" s="118"/>
      <c r="E397" s="118"/>
      <c r="F397" s="116" t="s">
        <v>1328</v>
      </c>
      <c r="G397" t="s">
        <v>1329</v>
      </c>
      <c r="H397" s="117" t="s">
        <v>260</v>
      </c>
      <c r="I397" s="117" t="s">
        <v>1146</v>
      </c>
    </row>
    <row r="398" spans="1:9" x14ac:dyDescent="0.25">
      <c r="A398" t="s">
        <v>1395</v>
      </c>
      <c r="B398" s="115" t="s">
        <v>1396</v>
      </c>
      <c r="C398" t="s">
        <v>1397</v>
      </c>
      <c r="D398" s="118"/>
      <c r="E398" s="118"/>
      <c r="F398" s="116" t="s">
        <v>1331</v>
      </c>
      <c r="G398" t="s">
        <v>1332</v>
      </c>
      <c r="H398" s="117" t="s">
        <v>194</v>
      </c>
      <c r="I398" s="117" t="s">
        <v>195</v>
      </c>
    </row>
    <row r="399" spans="1:9" x14ac:dyDescent="0.25">
      <c r="A399" t="s">
        <v>1398</v>
      </c>
      <c r="B399" s="115" t="s">
        <v>1399</v>
      </c>
      <c r="C399" t="s">
        <v>1400</v>
      </c>
      <c r="D399" s="118"/>
      <c r="E399" s="118"/>
      <c r="F399" s="116" t="s">
        <v>1334</v>
      </c>
      <c r="G399" t="s">
        <v>1335</v>
      </c>
      <c r="H399" s="117" t="s">
        <v>170</v>
      </c>
      <c r="I399" s="117" t="s">
        <v>171</v>
      </c>
    </row>
    <row r="400" spans="1:9" x14ac:dyDescent="0.25">
      <c r="A400" t="s">
        <v>1401</v>
      </c>
      <c r="B400" s="115" t="s">
        <v>1402</v>
      </c>
      <c r="C400" t="s">
        <v>1403</v>
      </c>
      <c r="D400" s="118"/>
      <c r="E400" s="118"/>
      <c r="F400" s="116" t="s">
        <v>1339</v>
      </c>
      <c r="G400" t="s">
        <v>1340</v>
      </c>
      <c r="H400" s="117" t="s">
        <v>170</v>
      </c>
      <c r="I400" s="117" t="s">
        <v>202</v>
      </c>
    </row>
    <row r="401" spans="1:9" x14ac:dyDescent="0.25">
      <c r="A401" t="s">
        <v>1404</v>
      </c>
      <c r="B401" s="115" t="s">
        <v>1405</v>
      </c>
      <c r="C401" t="s">
        <v>1406</v>
      </c>
      <c r="D401" s="118"/>
      <c r="E401" s="118"/>
      <c r="F401" s="116" t="s">
        <v>1342</v>
      </c>
      <c r="G401" t="s">
        <v>1343</v>
      </c>
      <c r="H401" s="117" t="s">
        <v>105</v>
      </c>
      <c r="I401" s="117" t="s">
        <v>127</v>
      </c>
    </row>
    <row r="402" spans="1:9" x14ac:dyDescent="0.25">
      <c r="A402" t="s">
        <v>1407</v>
      </c>
      <c r="B402" s="115" t="s">
        <v>1408</v>
      </c>
      <c r="C402" t="s">
        <v>1409</v>
      </c>
      <c r="D402" s="118"/>
      <c r="E402" s="118"/>
      <c r="F402" s="116" t="s">
        <v>1345</v>
      </c>
      <c r="G402" t="s">
        <v>1346</v>
      </c>
      <c r="H402" s="117" t="s">
        <v>160</v>
      </c>
      <c r="I402" s="117" t="s">
        <v>704</v>
      </c>
    </row>
    <row r="403" spans="1:9" x14ac:dyDescent="0.25">
      <c r="A403" t="s">
        <v>1410</v>
      </c>
      <c r="B403" s="115" t="s">
        <v>1411</v>
      </c>
      <c r="C403" t="s">
        <v>1412</v>
      </c>
      <c r="D403" s="118"/>
      <c r="E403" s="118"/>
      <c r="F403" s="116" t="s">
        <v>1348</v>
      </c>
      <c r="G403" t="s">
        <v>387</v>
      </c>
      <c r="H403" s="117" t="s">
        <v>160</v>
      </c>
      <c r="I403" s="117" t="s">
        <v>387</v>
      </c>
    </row>
    <row r="404" spans="1:9" x14ac:dyDescent="0.25">
      <c r="A404" t="s">
        <v>1413</v>
      </c>
      <c r="B404" s="115" t="s">
        <v>1414</v>
      </c>
      <c r="C404" t="s">
        <v>1415</v>
      </c>
      <c r="D404" s="118"/>
      <c r="E404" s="118"/>
      <c r="F404" s="116" t="s">
        <v>1350</v>
      </c>
      <c r="G404" t="s">
        <v>1351</v>
      </c>
      <c r="H404" s="117" t="s">
        <v>160</v>
      </c>
      <c r="I404" s="117" t="s">
        <v>387</v>
      </c>
    </row>
    <row r="405" spans="1:9" x14ac:dyDescent="0.25">
      <c r="A405" t="s">
        <v>1416</v>
      </c>
      <c r="B405" s="115" t="s">
        <v>1417</v>
      </c>
      <c r="C405" t="s">
        <v>1418</v>
      </c>
      <c r="D405" s="118"/>
      <c r="E405" s="118"/>
      <c r="F405" s="116" t="s">
        <v>1355</v>
      </c>
      <c r="G405" t="s">
        <v>1356</v>
      </c>
      <c r="H405" s="117" t="s">
        <v>170</v>
      </c>
      <c r="I405" s="117" t="s">
        <v>171</v>
      </c>
    </row>
    <row r="406" spans="1:9" x14ac:dyDescent="0.25">
      <c r="A406" t="s">
        <v>1419</v>
      </c>
      <c r="B406" s="115" t="s">
        <v>1420</v>
      </c>
      <c r="C406" t="s">
        <v>1421</v>
      </c>
      <c r="D406" s="118"/>
      <c r="E406" s="118"/>
      <c r="F406" s="116" t="s">
        <v>1360</v>
      </c>
      <c r="G406" t="s">
        <v>1361</v>
      </c>
      <c r="H406" s="117" t="s">
        <v>100</v>
      </c>
      <c r="I406" s="117" t="s">
        <v>110</v>
      </c>
    </row>
    <row r="407" spans="1:9" x14ac:dyDescent="0.25">
      <c r="A407" t="s">
        <v>1422</v>
      </c>
      <c r="B407" s="115" t="s">
        <v>1423</v>
      </c>
      <c r="C407" t="s">
        <v>1424</v>
      </c>
      <c r="D407" s="118"/>
      <c r="E407" s="118"/>
      <c r="F407" s="116" t="s">
        <v>1425</v>
      </c>
      <c r="G407" t="s">
        <v>1426</v>
      </c>
      <c r="H407" s="117" t="s">
        <v>100</v>
      </c>
      <c r="I407" s="117" t="s">
        <v>110</v>
      </c>
    </row>
    <row r="408" spans="1:9" x14ac:dyDescent="0.25">
      <c r="A408" t="s">
        <v>1427</v>
      </c>
      <c r="B408" s="115" t="s">
        <v>1428</v>
      </c>
      <c r="C408" t="s">
        <v>1429</v>
      </c>
      <c r="D408" s="118"/>
      <c r="E408" s="118"/>
      <c r="F408" s="116" t="s">
        <v>1366</v>
      </c>
      <c r="G408" t="s">
        <v>1367</v>
      </c>
      <c r="H408" s="117" t="s">
        <v>160</v>
      </c>
      <c r="I408" s="117" t="s">
        <v>387</v>
      </c>
    </row>
    <row r="409" spans="1:9" x14ac:dyDescent="0.25">
      <c r="A409" t="s">
        <v>1430</v>
      </c>
      <c r="B409" s="115" t="s">
        <v>1431</v>
      </c>
      <c r="C409" t="s">
        <v>1432</v>
      </c>
      <c r="D409" s="118"/>
      <c r="E409" s="118"/>
      <c r="F409" s="116" t="s">
        <v>1369</v>
      </c>
      <c r="G409" t="s">
        <v>1370</v>
      </c>
      <c r="H409" s="117" t="s">
        <v>260</v>
      </c>
      <c r="I409" s="117" t="s">
        <v>1146</v>
      </c>
    </row>
    <row r="410" spans="1:9" x14ac:dyDescent="0.25">
      <c r="A410" t="s">
        <v>1433</v>
      </c>
      <c r="B410" s="115" t="s">
        <v>1434</v>
      </c>
      <c r="C410" t="s">
        <v>1435</v>
      </c>
      <c r="D410" s="118"/>
      <c r="E410" s="118"/>
      <c r="F410" s="116" t="s">
        <v>1372</v>
      </c>
      <c r="G410" t="s">
        <v>1373</v>
      </c>
      <c r="H410" s="117" t="s">
        <v>220</v>
      </c>
      <c r="I410" s="117" t="s">
        <v>367</v>
      </c>
    </row>
    <row r="411" spans="1:9" x14ac:dyDescent="0.25">
      <c r="A411" t="s">
        <v>1436</v>
      </c>
      <c r="B411" s="115" t="s">
        <v>1437</v>
      </c>
      <c r="C411" t="s">
        <v>1438</v>
      </c>
      <c r="D411" s="118"/>
      <c r="E411" s="118"/>
      <c r="F411" s="116" t="s">
        <v>1439</v>
      </c>
      <c r="G411" t="s">
        <v>1440</v>
      </c>
      <c r="H411" s="117" t="s">
        <v>165</v>
      </c>
      <c r="I411" s="117" t="s">
        <v>206</v>
      </c>
    </row>
    <row r="412" spans="1:9" x14ac:dyDescent="0.25">
      <c r="A412" t="s">
        <v>1441</v>
      </c>
      <c r="B412" s="115" t="s">
        <v>1442</v>
      </c>
      <c r="C412" t="s">
        <v>1443</v>
      </c>
      <c r="D412" s="118"/>
      <c r="E412" s="118"/>
      <c r="F412" s="116" t="s">
        <v>1444</v>
      </c>
      <c r="G412" t="s">
        <v>1445</v>
      </c>
      <c r="H412" s="117" t="s">
        <v>170</v>
      </c>
      <c r="I412" s="117" t="s">
        <v>171</v>
      </c>
    </row>
    <row r="413" spans="1:9" x14ac:dyDescent="0.25">
      <c r="A413" t="s">
        <v>1446</v>
      </c>
      <c r="B413" s="115" t="s">
        <v>1447</v>
      </c>
      <c r="C413" t="s">
        <v>1448</v>
      </c>
      <c r="D413" s="118"/>
      <c r="E413" s="118"/>
      <c r="F413" s="116" t="s">
        <v>1378</v>
      </c>
      <c r="G413" t="s">
        <v>1379</v>
      </c>
      <c r="H413" s="117" t="s">
        <v>170</v>
      </c>
      <c r="I413" s="117" t="s">
        <v>171</v>
      </c>
    </row>
    <row r="414" spans="1:9" x14ac:dyDescent="0.25">
      <c r="A414" t="s">
        <v>1449</v>
      </c>
      <c r="B414" s="115" t="s">
        <v>1450</v>
      </c>
      <c r="C414" t="s">
        <v>1451</v>
      </c>
      <c r="D414" s="118"/>
      <c r="E414" s="118"/>
      <c r="F414" s="116" t="s">
        <v>1381</v>
      </c>
      <c r="G414" t="s">
        <v>1382</v>
      </c>
      <c r="H414" s="117" t="s">
        <v>100</v>
      </c>
      <c r="I414" s="117" t="s">
        <v>339</v>
      </c>
    </row>
    <row r="415" spans="1:9" x14ac:dyDescent="0.25">
      <c r="A415" t="s">
        <v>1452</v>
      </c>
      <c r="B415" s="115" t="s">
        <v>1453</v>
      </c>
      <c r="C415" t="s">
        <v>1454</v>
      </c>
      <c r="D415" s="118"/>
      <c r="E415" s="118"/>
      <c r="F415" s="116" t="s">
        <v>1384</v>
      </c>
      <c r="G415" t="s">
        <v>487</v>
      </c>
      <c r="H415" s="117" t="s">
        <v>160</v>
      </c>
      <c r="I415" s="117" t="s">
        <v>487</v>
      </c>
    </row>
    <row r="416" spans="1:9" x14ac:dyDescent="0.25">
      <c r="A416" t="s">
        <v>1455</v>
      </c>
      <c r="B416" s="115" t="s">
        <v>1456</v>
      </c>
      <c r="C416" t="s">
        <v>1457</v>
      </c>
      <c r="D416" s="118"/>
      <c r="E416" s="118"/>
      <c r="F416" s="116" t="s">
        <v>1386</v>
      </c>
      <c r="G416" t="s">
        <v>1387</v>
      </c>
      <c r="H416" s="117" t="s">
        <v>160</v>
      </c>
      <c r="I416" s="117" t="s">
        <v>487</v>
      </c>
    </row>
    <row r="417" spans="1:9" x14ac:dyDescent="0.25">
      <c r="A417" t="s">
        <v>1458</v>
      </c>
      <c r="B417" s="115" t="s">
        <v>1459</v>
      </c>
      <c r="C417" t="s">
        <v>1460</v>
      </c>
      <c r="D417" s="118"/>
      <c r="E417" s="118"/>
      <c r="F417" s="116" t="s">
        <v>1389</v>
      </c>
      <c r="G417" t="s">
        <v>1390</v>
      </c>
      <c r="H417" s="117" t="s">
        <v>165</v>
      </c>
      <c r="I417" s="117" t="s">
        <v>166</v>
      </c>
    </row>
    <row r="418" spans="1:9" x14ac:dyDescent="0.25">
      <c r="A418" t="s">
        <v>1461</v>
      </c>
      <c r="B418" s="115" t="s">
        <v>1462</v>
      </c>
      <c r="C418" t="s">
        <v>1463</v>
      </c>
      <c r="D418" s="118"/>
      <c r="E418" s="118"/>
      <c r="F418" s="116" t="s">
        <v>1392</v>
      </c>
      <c r="G418" t="s">
        <v>1393</v>
      </c>
      <c r="H418" s="117" t="s">
        <v>328</v>
      </c>
      <c r="I418" s="117" t="s">
        <v>522</v>
      </c>
    </row>
    <row r="419" spans="1:9" x14ac:dyDescent="0.25">
      <c r="A419" t="s">
        <v>1464</v>
      </c>
      <c r="B419" s="115" t="s">
        <v>1465</v>
      </c>
      <c r="C419" t="s">
        <v>1466</v>
      </c>
      <c r="D419" s="118"/>
      <c r="E419" s="118"/>
      <c r="F419" s="116" t="s">
        <v>1395</v>
      </c>
      <c r="G419" t="s">
        <v>1396</v>
      </c>
      <c r="H419" s="117" t="s">
        <v>100</v>
      </c>
      <c r="I419" s="117" t="s">
        <v>250</v>
      </c>
    </row>
    <row r="420" spans="1:9" x14ac:dyDescent="0.25">
      <c r="A420" t="s">
        <v>1467</v>
      </c>
      <c r="B420" s="115" t="s">
        <v>1468</v>
      </c>
      <c r="C420" t="s">
        <v>1469</v>
      </c>
      <c r="D420" s="118"/>
      <c r="E420" s="118"/>
      <c r="F420" s="116" t="s">
        <v>1398</v>
      </c>
      <c r="G420" t="s">
        <v>1399</v>
      </c>
      <c r="H420" s="117" t="s">
        <v>170</v>
      </c>
      <c r="I420" s="117" t="s">
        <v>171</v>
      </c>
    </row>
    <row r="421" spans="1:9" x14ac:dyDescent="0.25">
      <c r="A421" t="s">
        <v>1470</v>
      </c>
      <c r="B421" s="115" t="s">
        <v>1471</v>
      </c>
      <c r="C421" t="s">
        <v>1472</v>
      </c>
      <c r="D421" s="118"/>
      <c r="E421" s="118"/>
      <c r="F421" s="116" t="s">
        <v>1401</v>
      </c>
      <c r="G421" t="s">
        <v>1402</v>
      </c>
      <c r="H421" s="117" t="s">
        <v>328</v>
      </c>
      <c r="I421" s="117" t="s">
        <v>796</v>
      </c>
    </row>
    <row r="422" spans="1:9" x14ac:dyDescent="0.25">
      <c r="A422" t="s">
        <v>1473</v>
      </c>
      <c r="B422" s="115" t="s">
        <v>1474</v>
      </c>
      <c r="C422" t="s">
        <v>1475</v>
      </c>
      <c r="D422" s="118"/>
      <c r="E422" s="118"/>
      <c r="F422" s="116" t="s">
        <v>1404</v>
      </c>
      <c r="G422" t="s">
        <v>1405</v>
      </c>
      <c r="H422" s="117" t="s">
        <v>194</v>
      </c>
      <c r="I422" s="117" t="s">
        <v>195</v>
      </c>
    </row>
    <row r="423" spans="1:9" x14ac:dyDescent="0.25">
      <c r="A423" t="s">
        <v>1476</v>
      </c>
      <c r="B423" s="115" t="s">
        <v>1477</v>
      </c>
      <c r="C423" t="s">
        <v>1478</v>
      </c>
      <c r="D423" s="118"/>
      <c r="E423" s="118"/>
      <c r="F423" s="116" t="s">
        <v>1479</v>
      </c>
      <c r="G423" t="s">
        <v>1480</v>
      </c>
      <c r="H423" s="117" t="s">
        <v>194</v>
      </c>
      <c r="I423" s="117" t="s">
        <v>195</v>
      </c>
    </row>
    <row r="424" spans="1:9" x14ac:dyDescent="0.25">
      <c r="A424" t="s">
        <v>1481</v>
      </c>
      <c r="B424" s="115" t="s">
        <v>1482</v>
      </c>
      <c r="C424" t="s">
        <v>1483</v>
      </c>
      <c r="D424" s="118"/>
      <c r="E424" s="118"/>
      <c r="F424" s="116" t="s">
        <v>1484</v>
      </c>
      <c r="G424" t="s">
        <v>1485</v>
      </c>
      <c r="H424" s="117" t="s">
        <v>165</v>
      </c>
      <c r="I424" s="117" t="s">
        <v>206</v>
      </c>
    </row>
    <row r="425" spans="1:9" x14ac:dyDescent="0.25">
      <c r="A425" t="s">
        <v>1486</v>
      </c>
      <c r="B425" s="115" t="s">
        <v>1487</v>
      </c>
      <c r="C425" t="s">
        <v>1488</v>
      </c>
      <c r="D425" s="118"/>
      <c r="E425" s="118"/>
      <c r="F425" s="116" t="s">
        <v>1407</v>
      </c>
      <c r="G425" t="s">
        <v>1408</v>
      </c>
      <c r="H425" s="117" t="s">
        <v>160</v>
      </c>
      <c r="I425" s="117" t="s">
        <v>387</v>
      </c>
    </row>
    <row r="426" spans="1:9" x14ac:dyDescent="0.25">
      <c r="A426" t="s">
        <v>1489</v>
      </c>
      <c r="B426" s="115" t="s">
        <v>1490</v>
      </c>
      <c r="C426" t="s">
        <v>1491</v>
      </c>
      <c r="D426" s="118"/>
      <c r="E426" s="118"/>
      <c r="F426" s="116" t="s">
        <v>1410</v>
      </c>
      <c r="G426" t="s">
        <v>1411</v>
      </c>
      <c r="H426" s="117" t="s">
        <v>165</v>
      </c>
      <c r="I426" s="117" t="s">
        <v>206</v>
      </c>
    </row>
    <row r="427" spans="1:9" x14ac:dyDescent="0.25">
      <c r="A427" t="s">
        <v>1492</v>
      </c>
      <c r="B427" s="115" t="s">
        <v>1493</v>
      </c>
      <c r="C427" t="s">
        <v>1494</v>
      </c>
      <c r="D427" s="118"/>
      <c r="E427" s="118"/>
      <c r="F427" s="116" t="s">
        <v>1413</v>
      </c>
      <c r="G427" t="s">
        <v>1414</v>
      </c>
      <c r="H427" s="117" t="s">
        <v>220</v>
      </c>
      <c r="I427" s="117" t="s">
        <v>339</v>
      </c>
    </row>
    <row r="428" spans="1:9" x14ac:dyDescent="0.25">
      <c r="A428" t="s">
        <v>1495</v>
      </c>
      <c r="B428" s="115" t="s">
        <v>1496</v>
      </c>
      <c r="C428" t="s">
        <v>1497</v>
      </c>
      <c r="D428" s="118"/>
      <c r="E428" s="118"/>
      <c r="F428" s="116" t="s">
        <v>1498</v>
      </c>
      <c r="G428" t="s">
        <v>1417</v>
      </c>
      <c r="H428" s="117" t="s">
        <v>105</v>
      </c>
      <c r="I428" s="117" t="s">
        <v>174</v>
      </c>
    </row>
    <row r="429" spans="1:9" x14ac:dyDescent="0.25">
      <c r="A429" t="s">
        <v>1499</v>
      </c>
      <c r="B429" s="115" t="s">
        <v>1500</v>
      </c>
      <c r="C429" t="s">
        <v>1499</v>
      </c>
      <c r="D429" s="118"/>
      <c r="E429" s="118"/>
      <c r="F429" s="116" t="s">
        <v>1419</v>
      </c>
      <c r="G429" t="s">
        <v>1420</v>
      </c>
      <c r="H429" s="117" t="s">
        <v>105</v>
      </c>
      <c r="I429" s="117" t="s">
        <v>580</v>
      </c>
    </row>
    <row r="430" spans="1:9" x14ac:dyDescent="0.25">
      <c r="A430" t="s">
        <v>1501</v>
      </c>
      <c r="B430" s="115" t="s">
        <v>1502</v>
      </c>
      <c r="C430" t="s">
        <v>1503</v>
      </c>
      <c r="D430" s="118"/>
      <c r="E430" s="118"/>
      <c r="F430" s="116" t="s">
        <v>1422</v>
      </c>
      <c r="G430" t="s">
        <v>1423</v>
      </c>
      <c r="H430" s="117" t="s">
        <v>105</v>
      </c>
      <c r="I430" s="117" t="s">
        <v>580</v>
      </c>
    </row>
    <row r="431" spans="1:9" x14ac:dyDescent="0.25">
      <c r="A431" t="s">
        <v>1504</v>
      </c>
      <c r="B431" s="115" t="s">
        <v>1505</v>
      </c>
      <c r="C431" t="s">
        <v>1506</v>
      </c>
      <c r="D431" s="118"/>
      <c r="E431" s="118"/>
      <c r="F431" s="116" t="s">
        <v>1427</v>
      </c>
      <c r="G431" t="s">
        <v>1428</v>
      </c>
      <c r="H431" s="117" t="s">
        <v>105</v>
      </c>
      <c r="I431" s="117" t="s">
        <v>106</v>
      </c>
    </row>
    <row r="432" spans="1:9" x14ac:dyDescent="0.25">
      <c r="A432" t="s">
        <v>1507</v>
      </c>
      <c r="B432" s="115" t="s">
        <v>1508</v>
      </c>
      <c r="C432" t="s">
        <v>1509</v>
      </c>
      <c r="D432" s="118"/>
      <c r="E432" s="118"/>
      <c r="F432" s="116" t="s">
        <v>1430</v>
      </c>
      <c r="G432" t="s">
        <v>1431</v>
      </c>
      <c r="H432" s="117" t="s">
        <v>105</v>
      </c>
      <c r="I432" s="117" t="s">
        <v>106</v>
      </c>
    </row>
    <row r="433" spans="1:9" x14ac:dyDescent="0.25">
      <c r="A433" t="s">
        <v>1510</v>
      </c>
      <c r="B433" s="115" t="s">
        <v>1511</v>
      </c>
      <c r="C433" t="s">
        <v>1512</v>
      </c>
      <c r="D433" s="118"/>
      <c r="E433" s="118"/>
      <c r="F433" s="116" t="s">
        <v>1433</v>
      </c>
      <c r="G433" t="s">
        <v>1434</v>
      </c>
      <c r="H433" s="117" t="s">
        <v>105</v>
      </c>
      <c r="I433" s="117" t="s">
        <v>106</v>
      </c>
    </row>
    <row r="434" spans="1:9" x14ac:dyDescent="0.25">
      <c r="A434" t="s">
        <v>1513</v>
      </c>
      <c r="B434" s="115" t="s">
        <v>1514</v>
      </c>
      <c r="C434" t="s">
        <v>1515</v>
      </c>
      <c r="D434" s="118"/>
      <c r="E434" s="118"/>
      <c r="F434" s="116" t="s">
        <v>1436</v>
      </c>
      <c r="G434" t="s">
        <v>1437</v>
      </c>
      <c r="H434" s="117" t="s">
        <v>260</v>
      </c>
      <c r="I434" s="117" t="s">
        <v>367</v>
      </c>
    </row>
    <row r="435" spans="1:9" x14ac:dyDescent="0.25">
      <c r="A435" t="s">
        <v>1516</v>
      </c>
      <c r="B435" s="115" t="s">
        <v>1517</v>
      </c>
      <c r="C435" t="s">
        <v>1518</v>
      </c>
      <c r="D435" s="118"/>
      <c r="E435" s="118"/>
      <c r="F435" s="116" t="s">
        <v>1441</v>
      </c>
      <c r="G435" t="s">
        <v>1442</v>
      </c>
      <c r="H435" s="117" t="s">
        <v>105</v>
      </c>
      <c r="I435" s="117" t="s">
        <v>174</v>
      </c>
    </row>
    <row r="436" spans="1:9" x14ac:dyDescent="0.25">
      <c r="A436" t="s">
        <v>1519</v>
      </c>
      <c r="B436" s="115" t="s">
        <v>1520</v>
      </c>
      <c r="C436" t="s">
        <v>1521</v>
      </c>
      <c r="D436" s="118"/>
      <c r="E436" s="118"/>
      <c r="F436" s="116" t="s">
        <v>1446</v>
      </c>
      <c r="G436" t="s">
        <v>1447</v>
      </c>
      <c r="H436" s="117" t="s">
        <v>105</v>
      </c>
      <c r="I436" s="117" t="s">
        <v>106</v>
      </c>
    </row>
    <row r="437" spans="1:9" x14ac:dyDescent="0.25">
      <c r="A437" t="s">
        <v>1522</v>
      </c>
      <c r="B437" s="115" t="s">
        <v>1523</v>
      </c>
      <c r="C437" t="s">
        <v>1524</v>
      </c>
      <c r="D437" s="118"/>
      <c r="E437" s="118"/>
      <c r="F437" s="116" t="s">
        <v>1449</v>
      </c>
      <c r="G437" t="s">
        <v>1450</v>
      </c>
      <c r="H437" s="117" t="s">
        <v>260</v>
      </c>
      <c r="I437" s="117" t="s">
        <v>432</v>
      </c>
    </row>
    <row r="438" spans="1:9" x14ac:dyDescent="0.25">
      <c r="A438" t="s">
        <v>1525</v>
      </c>
      <c r="B438" s="115" t="s">
        <v>1526</v>
      </c>
      <c r="C438" t="s">
        <v>1527</v>
      </c>
      <c r="D438" s="118"/>
      <c r="E438" s="118"/>
      <c r="F438" s="116" t="s">
        <v>1452</v>
      </c>
      <c r="G438" t="s">
        <v>1453</v>
      </c>
      <c r="H438" s="117" t="s">
        <v>260</v>
      </c>
      <c r="I438" s="117" t="s">
        <v>432</v>
      </c>
    </row>
    <row r="439" spans="1:9" x14ac:dyDescent="0.25">
      <c r="A439" t="s">
        <v>1528</v>
      </c>
      <c r="B439" s="115" t="s">
        <v>1529</v>
      </c>
      <c r="C439" t="s">
        <v>1530</v>
      </c>
      <c r="D439" s="118"/>
      <c r="E439" s="118"/>
      <c r="F439" s="116" t="s">
        <v>1455</v>
      </c>
      <c r="G439" t="s">
        <v>1456</v>
      </c>
      <c r="H439" s="117" t="s">
        <v>170</v>
      </c>
      <c r="I439" s="117" t="s">
        <v>202</v>
      </c>
    </row>
    <row r="440" spans="1:9" x14ac:dyDescent="0.25">
      <c r="A440" t="s">
        <v>1531</v>
      </c>
      <c r="B440" s="115" t="s">
        <v>1532</v>
      </c>
      <c r="C440" t="s">
        <v>1533</v>
      </c>
      <c r="D440" s="118"/>
      <c r="E440" s="118"/>
      <c r="F440" s="116" t="s">
        <v>1461</v>
      </c>
      <c r="G440" t="s">
        <v>1462</v>
      </c>
      <c r="H440" s="117" t="s">
        <v>160</v>
      </c>
      <c r="I440" s="117" t="s">
        <v>704</v>
      </c>
    </row>
    <row r="441" spans="1:9" x14ac:dyDescent="0.25">
      <c r="A441" t="s">
        <v>1534</v>
      </c>
      <c r="B441" s="115" t="s">
        <v>1535</v>
      </c>
      <c r="C441" t="s">
        <v>1536</v>
      </c>
      <c r="D441" s="118"/>
      <c r="E441" s="118"/>
      <c r="F441" s="116" t="s">
        <v>1464</v>
      </c>
      <c r="G441" t="s">
        <v>1465</v>
      </c>
      <c r="H441" s="117" t="s">
        <v>160</v>
      </c>
      <c r="I441" s="117" t="s">
        <v>755</v>
      </c>
    </row>
    <row r="442" spans="1:9" x14ac:dyDescent="0.25">
      <c r="A442" t="s">
        <v>1537</v>
      </c>
      <c r="B442" s="115" t="s">
        <v>1538</v>
      </c>
      <c r="C442" t="s">
        <v>1539</v>
      </c>
      <c r="D442" s="118"/>
      <c r="E442" s="118"/>
      <c r="F442" s="116" t="s">
        <v>1467</v>
      </c>
      <c r="G442" t="s">
        <v>1468</v>
      </c>
      <c r="H442" s="117" t="s">
        <v>105</v>
      </c>
      <c r="I442" s="117" t="s">
        <v>127</v>
      </c>
    </row>
    <row r="443" spans="1:9" x14ac:dyDescent="0.25">
      <c r="A443" t="s">
        <v>1540</v>
      </c>
      <c r="B443" s="115" t="s">
        <v>1541</v>
      </c>
      <c r="C443" t="s">
        <v>1542</v>
      </c>
      <c r="D443" s="118"/>
      <c r="E443" s="118"/>
      <c r="F443" s="116" t="s">
        <v>1470</v>
      </c>
      <c r="G443" t="s">
        <v>1471</v>
      </c>
      <c r="H443" s="117" t="s">
        <v>220</v>
      </c>
      <c r="I443" s="117" t="s">
        <v>221</v>
      </c>
    </row>
    <row r="444" spans="1:9" x14ac:dyDescent="0.25">
      <c r="A444" t="s">
        <v>1543</v>
      </c>
      <c r="B444" s="115" t="s">
        <v>1544</v>
      </c>
      <c r="C444" t="s">
        <v>1545</v>
      </c>
      <c r="D444" s="118"/>
      <c r="E444" s="118"/>
      <c r="F444" s="116" t="s">
        <v>1473</v>
      </c>
      <c r="G444" t="s">
        <v>1474</v>
      </c>
      <c r="H444" s="117" t="s">
        <v>260</v>
      </c>
      <c r="I444" s="117" t="s">
        <v>1146</v>
      </c>
    </row>
    <row r="445" spans="1:9" x14ac:dyDescent="0.25">
      <c r="A445" t="s">
        <v>1546</v>
      </c>
      <c r="B445" s="115" t="s">
        <v>1547</v>
      </c>
      <c r="C445" t="s">
        <v>1548</v>
      </c>
      <c r="D445" s="118"/>
      <c r="E445" s="118"/>
      <c r="F445" s="116" t="s">
        <v>1549</v>
      </c>
      <c r="G445" t="s">
        <v>1550</v>
      </c>
      <c r="H445" s="117" t="s">
        <v>160</v>
      </c>
      <c r="I445" s="117" t="s">
        <v>487</v>
      </c>
    </row>
    <row r="446" spans="1:9" x14ac:dyDescent="0.25">
      <c r="A446" t="s">
        <v>1551</v>
      </c>
      <c r="B446" s="115" t="s">
        <v>1552</v>
      </c>
      <c r="C446" t="s">
        <v>1553</v>
      </c>
      <c r="D446" s="118"/>
      <c r="E446" s="118"/>
      <c r="F446" s="116" t="s">
        <v>1476</v>
      </c>
      <c r="G446" t="s">
        <v>1477</v>
      </c>
      <c r="H446" s="117" t="s">
        <v>100</v>
      </c>
      <c r="I446" s="117" t="s">
        <v>101</v>
      </c>
    </row>
    <row r="447" spans="1:9" x14ac:dyDescent="0.25">
      <c r="A447" t="s">
        <v>1554</v>
      </c>
      <c r="B447" s="115" t="s">
        <v>1555</v>
      </c>
      <c r="C447" t="s">
        <v>1556</v>
      </c>
      <c r="D447" s="118"/>
      <c r="E447" s="118"/>
      <c r="F447" s="116" t="s">
        <v>1481</v>
      </c>
      <c r="G447" t="s">
        <v>1482</v>
      </c>
      <c r="H447" s="117" t="s">
        <v>100</v>
      </c>
      <c r="I447" s="117" t="s">
        <v>250</v>
      </c>
    </row>
    <row r="448" spans="1:9" x14ac:dyDescent="0.25">
      <c r="A448" t="s">
        <v>1557</v>
      </c>
      <c r="B448" s="115" t="s">
        <v>1558</v>
      </c>
      <c r="C448" t="s">
        <v>1559</v>
      </c>
      <c r="D448" s="118"/>
      <c r="E448" s="118"/>
      <c r="F448" s="116" t="s">
        <v>1486</v>
      </c>
      <c r="G448" t="s">
        <v>1487</v>
      </c>
      <c r="H448" s="117" t="s">
        <v>105</v>
      </c>
      <c r="I448" s="117" t="s">
        <v>174</v>
      </c>
    </row>
    <row r="449" spans="1:9" x14ac:dyDescent="0.25">
      <c r="A449" t="s">
        <v>1560</v>
      </c>
      <c r="B449" s="115" t="s">
        <v>1561</v>
      </c>
      <c r="C449" t="s">
        <v>1562</v>
      </c>
      <c r="D449" s="118"/>
      <c r="E449" s="118"/>
      <c r="F449" s="116" t="s">
        <v>1489</v>
      </c>
      <c r="G449" t="s">
        <v>1490</v>
      </c>
      <c r="H449" s="117" t="s">
        <v>170</v>
      </c>
      <c r="I449" s="117" t="s">
        <v>171</v>
      </c>
    </row>
    <row r="450" spans="1:9" x14ac:dyDescent="0.25">
      <c r="A450" t="s">
        <v>1563</v>
      </c>
      <c r="B450" s="115" t="s">
        <v>1564</v>
      </c>
      <c r="C450" t="s">
        <v>1565</v>
      </c>
      <c r="D450" s="118"/>
      <c r="E450" s="118"/>
      <c r="F450" s="116" t="s">
        <v>1492</v>
      </c>
      <c r="G450" t="s">
        <v>1493</v>
      </c>
      <c r="H450" s="117" t="s">
        <v>105</v>
      </c>
      <c r="I450" s="117" t="s">
        <v>280</v>
      </c>
    </row>
    <row r="451" spans="1:9" x14ac:dyDescent="0.25">
      <c r="A451" t="s">
        <v>1566</v>
      </c>
      <c r="B451" s="115" t="s">
        <v>1567</v>
      </c>
      <c r="C451" t="s">
        <v>1568</v>
      </c>
      <c r="D451" s="118"/>
      <c r="E451" s="118"/>
      <c r="F451" s="116" t="s">
        <v>1495</v>
      </c>
      <c r="G451" t="s">
        <v>1496</v>
      </c>
      <c r="H451" s="117" t="s">
        <v>194</v>
      </c>
      <c r="I451" s="117" t="s">
        <v>1569</v>
      </c>
    </row>
    <row r="452" spans="1:9" x14ac:dyDescent="0.25">
      <c r="A452" t="s">
        <v>1570</v>
      </c>
      <c r="B452" s="115" t="s">
        <v>1571</v>
      </c>
      <c r="C452" t="s">
        <v>1572</v>
      </c>
      <c r="D452" s="118"/>
      <c r="E452" s="118"/>
      <c r="F452" s="116" t="s">
        <v>1499</v>
      </c>
      <c r="G452" t="s">
        <v>1500</v>
      </c>
      <c r="H452" s="117" t="s">
        <v>260</v>
      </c>
      <c r="I452" s="117" t="s">
        <v>1569</v>
      </c>
    </row>
    <row r="453" spans="1:9" x14ac:dyDescent="0.25">
      <c r="A453" t="s">
        <v>1573</v>
      </c>
      <c r="B453" s="115" t="s">
        <v>1574</v>
      </c>
      <c r="C453" t="s">
        <v>1575</v>
      </c>
      <c r="D453" s="118"/>
      <c r="E453" s="118"/>
      <c r="F453" s="116" t="s">
        <v>1504</v>
      </c>
      <c r="G453" t="s">
        <v>1505</v>
      </c>
      <c r="H453" s="117" t="s">
        <v>100</v>
      </c>
      <c r="I453" s="117" t="s">
        <v>101</v>
      </c>
    </row>
    <row r="454" spans="1:9" x14ac:dyDescent="0.25">
      <c r="A454" t="s">
        <v>1576</v>
      </c>
      <c r="B454" s="115" t="s">
        <v>1577</v>
      </c>
      <c r="C454" t="s">
        <v>1578</v>
      </c>
      <c r="D454" s="118"/>
      <c r="E454" s="118"/>
      <c r="F454" s="116" t="s">
        <v>1507</v>
      </c>
      <c r="G454" t="s">
        <v>1508</v>
      </c>
      <c r="H454" s="117" t="s">
        <v>220</v>
      </c>
      <c r="I454" s="117" t="s">
        <v>367</v>
      </c>
    </row>
    <row r="455" spans="1:9" x14ac:dyDescent="0.25">
      <c r="A455" t="s">
        <v>1579</v>
      </c>
      <c r="B455" s="115" t="s">
        <v>1580</v>
      </c>
      <c r="C455" t="s">
        <v>1581</v>
      </c>
      <c r="D455" s="118"/>
      <c r="E455" s="118"/>
      <c r="F455" s="116" t="s">
        <v>1510</v>
      </c>
      <c r="G455" t="s">
        <v>1511</v>
      </c>
      <c r="H455" s="117" t="s">
        <v>100</v>
      </c>
      <c r="I455" s="117" t="s">
        <v>187</v>
      </c>
    </row>
    <row r="456" spans="1:9" x14ac:dyDescent="0.25">
      <c r="A456" t="s">
        <v>1582</v>
      </c>
      <c r="B456" s="115" t="s">
        <v>1583</v>
      </c>
      <c r="C456" t="s">
        <v>1584</v>
      </c>
      <c r="D456" s="118"/>
      <c r="E456" s="118"/>
      <c r="F456" s="116" t="s">
        <v>1585</v>
      </c>
      <c r="G456" t="s">
        <v>1586</v>
      </c>
      <c r="H456" s="117" t="s">
        <v>165</v>
      </c>
      <c r="I456" s="117" t="s">
        <v>166</v>
      </c>
    </row>
    <row r="457" spans="1:9" x14ac:dyDescent="0.25">
      <c r="A457" t="s">
        <v>1587</v>
      </c>
      <c r="B457" s="115" t="s">
        <v>1588</v>
      </c>
      <c r="C457" t="s">
        <v>1589</v>
      </c>
      <c r="D457" s="118"/>
      <c r="E457" s="118"/>
      <c r="F457" s="116" t="s">
        <v>1516</v>
      </c>
      <c r="G457" t="s">
        <v>1517</v>
      </c>
      <c r="H457" s="117" t="s">
        <v>194</v>
      </c>
      <c r="I457" s="117" t="s">
        <v>195</v>
      </c>
    </row>
    <row r="458" spans="1:9" x14ac:dyDescent="0.25">
      <c r="A458" t="s">
        <v>1590</v>
      </c>
      <c r="B458" s="115" t="s">
        <v>1591</v>
      </c>
      <c r="C458" t="s">
        <v>1592</v>
      </c>
      <c r="D458" s="118"/>
      <c r="E458" s="118"/>
      <c r="F458" s="116" t="s">
        <v>1519</v>
      </c>
      <c r="G458" t="s">
        <v>1520</v>
      </c>
      <c r="H458" s="117" t="s">
        <v>100</v>
      </c>
      <c r="I458" s="117" t="s">
        <v>250</v>
      </c>
    </row>
    <row r="459" spans="1:9" x14ac:dyDescent="0.25">
      <c r="A459" t="s">
        <v>1593</v>
      </c>
      <c r="B459" s="115" t="s">
        <v>1594</v>
      </c>
      <c r="C459" t="s">
        <v>1595</v>
      </c>
      <c r="D459" s="118"/>
      <c r="E459" s="118"/>
      <c r="F459" s="116" t="s">
        <v>1522</v>
      </c>
      <c r="G459" t="s">
        <v>1523</v>
      </c>
      <c r="H459" s="117" t="s">
        <v>105</v>
      </c>
      <c r="I459" s="117" t="s">
        <v>106</v>
      </c>
    </row>
    <row r="460" spans="1:9" x14ac:dyDescent="0.25">
      <c r="A460" t="s">
        <v>1596</v>
      </c>
      <c r="B460" s="115" t="s">
        <v>1597</v>
      </c>
      <c r="C460" t="s">
        <v>1598</v>
      </c>
      <c r="D460" s="118"/>
      <c r="E460" s="118"/>
      <c r="F460" s="116" t="s">
        <v>1525</v>
      </c>
      <c r="G460" t="s">
        <v>1526</v>
      </c>
      <c r="H460" s="117" t="s">
        <v>105</v>
      </c>
      <c r="I460" s="117" t="s">
        <v>106</v>
      </c>
    </row>
    <row r="461" spans="1:9" x14ac:dyDescent="0.25">
      <c r="A461" t="s">
        <v>1599</v>
      </c>
      <c r="B461" s="115" t="s">
        <v>1600</v>
      </c>
      <c r="C461" t="s">
        <v>1601</v>
      </c>
      <c r="D461" s="118"/>
      <c r="E461" s="118"/>
      <c r="F461" s="116" t="s">
        <v>1528</v>
      </c>
      <c r="G461" t="s">
        <v>1529</v>
      </c>
      <c r="H461" s="117" t="s">
        <v>105</v>
      </c>
      <c r="I461" s="117" t="s">
        <v>106</v>
      </c>
    </row>
    <row r="462" spans="1:9" x14ac:dyDescent="0.25">
      <c r="A462" t="s">
        <v>1602</v>
      </c>
      <c r="B462" s="115" t="s">
        <v>1603</v>
      </c>
      <c r="C462" t="s">
        <v>1604</v>
      </c>
      <c r="D462" s="118"/>
      <c r="E462" s="118"/>
      <c r="F462" s="116" t="s">
        <v>1531</v>
      </c>
      <c r="G462" t="s">
        <v>1532</v>
      </c>
      <c r="H462" s="117" t="s">
        <v>170</v>
      </c>
      <c r="I462" s="117" t="s">
        <v>171</v>
      </c>
    </row>
    <row r="463" spans="1:9" x14ac:dyDescent="0.25">
      <c r="A463" t="s">
        <v>1605</v>
      </c>
      <c r="B463" s="115" t="s">
        <v>1606</v>
      </c>
      <c r="C463" t="s">
        <v>1607</v>
      </c>
      <c r="D463" s="118"/>
      <c r="E463" s="118"/>
      <c r="F463" s="116" t="s">
        <v>1534</v>
      </c>
      <c r="G463" t="s">
        <v>1535</v>
      </c>
      <c r="H463" s="117" t="s">
        <v>100</v>
      </c>
      <c r="I463" s="117" t="s">
        <v>181</v>
      </c>
    </row>
    <row r="464" spans="1:9" x14ac:dyDescent="0.25">
      <c r="A464" t="s">
        <v>1608</v>
      </c>
      <c r="B464" s="115" t="s">
        <v>1609</v>
      </c>
      <c r="C464" t="s">
        <v>1610</v>
      </c>
      <c r="D464" s="118"/>
      <c r="E464" s="118"/>
      <c r="F464" s="116" t="s">
        <v>1537</v>
      </c>
      <c r="G464" t="s">
        <v>1538</v>
      </c>
      <c r="H464" s="117" t="s">
        <v>105</v>
      </c>
      <c r="I464" s="117" t="s">
        <v>127</v>
      </c>
    </row>
    <row r="465" spans="1:9" x14ac:dyDescent="0.25">
      <c r="A465" t="s">
        <v>1611</v>
      </c>
      <c r="B465" s="115" t="s">
        <v>1612</v>
      </c>
      <c r="C465" t="s">
        <v>1613</v>
      </c>
      <c r="D465" s="118"/>
      <c r="E465" s="118"/>
      <c r="F465" s="116" t="s">
        <v>1614</v>
      </c>
      <c r="G465" t="s">
        <v>1615</v>
      </c>
      <c r="H465" s="117" t="s">
        <v>328</v>
      </c>
      <c r="I465" s="117" t="s">
        <v>1616</v>
      </c>
    </row>
    <row r="466" spans="1:9" x14ac:dyDescent="0.25">
      <c r="A466" t="s">
        <v>1617</v>
      </c>
      <c r="B466" s="115" t="s">
        <v>1618</v>
      </c>
      <c r="C466" t="s">
        <v>1619</v>
      </c>
      <c r="D466" s="118"/>
      <c r="E466" s="118"/>
      <c r="F466" s="116" t="s">
        <v>1540</v>
      </c>
      <c r="G466" t="s">
        <v>1541</v>
      </c>
      <c r="H466" s="117" t="s">
        <v>165</v>
      </c>
      <c r="I466" s="117" t="s">
        <v>206</v>
      </c>
    </row>
    <row r="467" spans="1:9" x14ac:dyDescent="0.25">
      <c r="A467" t="s">
        <v>1620</v>
      </c>
      <c r="B467" s="115" t="s">
        <v>1621</v>
      </c>
      <c r="C467" t="s">
        <v>1622</v>
      </c>
      <c r="D467" s="118"/>
      <c r="E467" s="118"/>
      <c r="F467" s="116" t="s">
        <v>1543</v>
      </c>
      <c r="G467" t="s">
        <v>1544</v>
      </c>
      <c r="H467" s="117" t="s">
        <v>100</v>
      </c>
      <c r="I467" s="117" t="s">
        <v>339</v>
      </c>
    </row>
    <row r="468" spans="1:9" x14ac:dyDescent="0.25">
      <c r="A468" t="s">
        <v>1623</v>
      </c>
      <c r="B468" s="115" t="s">
        <v>1624</v>
      </c>
      <c r="C468" t="s">
        <v>1625</v>
      </c>
      <c r="D468" s="118"/>
      <c r="E468" s="118"/>
      <c r="F468" s="116" t="s">
        <v>1546</v>
      </c>
      <c r="G468" t="s">
        <v>1547</v>
      </c>
      <c r="H468" s="117" t="s">
        <v>220</v>
      </c>
      <c r="I468" s="117" t="s">
        <v>250</v>
      </c>
    </row>
    <row r="469" spans="1:9" x14ac:dyDescent="0.25">
      <c r="A469" t="s">
        <v>1626</v>
      </c>
      <c r="B469" s="115" t="s">
        <v>1627</v>
      </c>
      <c r="C469" t="s">
        <v>1628</v>
      </c>
      <c r="D469" s="118"/>
      <c r="E469" s="118"/>
      <c r="F469" s="116" t="s">
        <v>1629</v>
      </c>
      <c r="G469" t="s">
        <v>1630</v>
      </c>
      <c r="H469" s="117" t="s">
        <v>220</v>
      </c>
      <c r="I469" s="117" t="s">
        <v>250</v>
      </c>
    </row>
    <row r="470" spans="1:9" x14ac:dyDescent="0.25">
      <c r="A470" t="s">
        <v>1631</v>
      </c>
      <c r="B470" s="115" t="s">
        <v>1632</v>
      </c>
      <c r="C470" t="s">
        <v>1633</v>
      </c>
      <c r="D470" s="118"/>
      <c r="E470" s="118"/>
      <c r="F470" s="116" t="s">
        <v>1551</v>
      </c>
      <c r="G470" t="s">
        <v>1552</v>
      </c>
      <c r="H470" s="117" t="s">
        <v>105</v>
      </c>
      <c r="I470" s="117" t="s">
        <v>174</v>
      </c>
    </row>
    <row r="471" spans="1:9" x14ac:dyDescent="0.25">
      <c r="A471" t="s">
        <v>1634</v>
      </c>
      <c r="B471" s="115" t="s">
        <v>1635</v>
      </c>
      <c r="C471" t="s">
        <v>1636</v>
      </c>
      <c r="D471" s="118"/>
      <c r="E471" s="118"/>
      <c r="F471" s="116" t="s">
        <v>1554</v>
      </c>
      <c r="G471" t="s">
        <v>1555</v>
      </c>
      <c r="H471" s="117" t="s">
        <v>220</v>
      </c>
      <c r="I471" s="117" t="s">
        <v>221</v>
      </c>
    </row>
    <row r="472" spans="1:9" x14ac:dyDescent="0.25">
      <c r="A472" t="s">
        <v>1637</v>
      </c>
      <c r="B472" s="115" t="s">
        <v>1638</v>
      </c>
      <c r="C472" t="s">
        <v>1639</v>
      </c>
      <c r="D472" s="118"/>
      <c r="E472" s="118"/>
      <c r="F472" s="116" t="s">
        <v>1557</v>
      </c>
      <c r="G472" t="s">
        <v>1558</v>
      </c>
      <c r="H472" s="117" t="s">
        <v>170</v>
      </c>
      <c r="I472" s="117" t="s">
        <v>171</v>
      </c>
    </row>
    <row r="473" spans="1:9" x14ac:dyDescent="0.25">
      <c r="A473" t="s">
        <v>1640</v>
      </c>
      <c r="B473" s="115" t="s">
        <v>1641</v>
      </c>
      <c r="C473" t="s">
        <v>1642</v>
      </c>
      <c r="D473" s="118"/>
      <c r="E473" s="118"/>
      <c r="F473" s="116" t="s">
        <v>1560</v>
      </c>
      <c r="G473" t="s">
        <v>1561</v>
      </c>
      <c r="H473" s="117" t="s">
        <v>260</v>
      </c>
      <c r="I473" s="117" t="s">
        <v>367</v>
      </c>
    </row>
    <row r="474" spans="1:9" x14ac:dyDescent="0.25">
      <c r="A474" t="s">
        <v>1643</v>
      </c>
      <c r="B474" s="115" t="s">
        <v>1644</v>
      </c>
      <c r="C474" t="s">
        <v>1645</v>
      </c>
      <c r="D474" s="118"/>
      <c r="E474" s="118"/>
      <c r="F474" s="116" t="s">
        <v>1646</v>
      </c>
      <c r="G474" t="s">
        <v>1647</v>
      </c>
      <c r="H474" s="117" t="s">
        <v>100</v>
      </c>
      <c r="I474" s="117" t="s">
        <v>339</v>
      </c>
    </row>
    <row r="475" spans="1:9" x14ac:dyDescent="0.25">
      <c r="A475" t="s">
        <v>1648</v>
      </c>
      <c r="B475" s="115" t="s">
        <v>1649</v>
      </c>
      <c r="C475" t="s">
        <v>1650</v>
      </c>
      <c r="D475" s="118"/>
      <c r="E475" s="118"/>
      <c r="F475" s="116" t="s">
        <v>1563</v>
      </c>
      <c r="G475" t="s">
        <v>1564</v>
      </c>
      <c r="H475" s="117" t="s">
        <v>100</v>
      </c>
      <c r="I475" s="117" t="s">
        <v>339</v>
      </c>
    </row>
    <row r="476" spans="1:9" x14ac:dyDescent="0.25">
      <c r="A476" t="s">
        <v>1651</v>
      </c>
      <c r="B476" s="115" t="s">
        <v>1652</v>
      </c>
      <c r="C476" t="s">
        <v>1653</v>
      </c>
      <c r="D476" s="118"/>
      <c r="E476" s="118"/>
      <c r="F476" s="116" t="s">
        <v>1654</v>
      </c>
      <c r="G476" t="s">
        <v>1655</v>
      </c>
      <c r="H476" s="117" t="s">
        <v>194</v>
      </c>
      <c r="I476" s="117" t="s">
        <v>195</v>
      </c>
    </row>
    <row r="477" spans="1:9" x14ac:dyDescent="0.25">
      <c r="A477" t="s">
        <v>1656</v>
      </c>
      <c r="B477" s="115" t="s">
        <v>1657</v>
      </c>
      <c r="C477" t="s">
        <v>1658</v>
      </c>
      <c r="D477" s="118"/>
      <c r="E477" s="118"/>
      <c r="F477" s="116" t="s">
        <v>1566</v>
      </c>
      <c r="G477" t="s">
        <v>1567</v>
      </c>
      <c r="H477" s="117" t="s">
        <v>220</v>
      </c>
      <c r="I477" s="117" t="s">
        <v>250</v>
      </c>
    </row>
    <row r="478" spans="1:9" x14ac:dyDescent="0.25">
      <c r="A478" t="s">
        <v>1659</v>
      </c>
      <c r="B478" s="115" t="s">
        <v>1660</v>
      </c>
      <c r="C478" t="s">
        <v>1661</v>
      </c>
      <c r="D478" s="118"/>
      <c r="E478" s="118"/>
      <c r="F478" s="116" t="s">
        <v>1662</v>
      </c>
      <c r="G478" t="s">
        <v>367</v>
      </c>
      <c r="H478" s="117" t="s">
        <v>294</v>
      </c>
      <c r="I478" s="117" t="s">
        <v>367</v>
      </c>
    </row>
    <row r="479" spans="1:9" x14ac:dyDescent="0.25">
      <c r="A479" t="s">
        <v>1663</v>
      </c>
      <c r="B479" s="115" t="s">
        <v>1664</v>
      </c>
      <c r="C479" t="s">
        <v>1665</v>
      </c>
      <c r="D479" s="118"/>
      <c r="E479" s="118"/>
      <c r="F479" s="116" t="s">
        <v>1570</v>
      </c>
      <c r="G479" t="s">
        <v>1571</v>
      </c>
      <c r="H479" s="117" t="s">
        <v>170</v>
      </c>
      <c r="I479" s="117" t="s">
        <v>202</v>
      </c>
    </row>
    <row r="480" spans="1:9" x14ac:dyDescent="0.25">
      <c r="A480" t="s">
        <v>1666</v>
      </c>
      <c r="B480" s="115" t="s">
        <v>1667</v>
      </c>
      <c r="C480" t="s">
        <v>1668</v>
      </c>
      <c r="D480" s="118"/>
      <c r="E480" s="118"/>
      <c r="F480" s="116" t="s">
        <v>1669</v>
      </c>
      <c r="G480" t="s">
        <v>1670</v>
      </c>
      <c r="H480" s="117" t="s">
        <v>100</v>
      </c>
      <c r="I480" s="117" t="s">
        <v>181</v>
      </c>
    </row>
    <row r="481" spans="1:9" x14ac:dyDescent="0.25">
      <c r="A481" t="s">
        <v>1671</v>
      </c>
      <c r="B481" s="115" t="s">
        <v>1672</v>
      </c>
      <c r="C481" t="s">
        <v>1673</v>
      </c>
      <c r="D481" s="118"/>
      <c r="E481" s="118"/>
      <c r="F481" s="116" t="s">
        <v>1573</v>
      </c>
      <c r="G481" t="s">
        <v>1574</v>
      </c>
      <c r="H481" s="117" t="s">
        <v>194</v>
      </c>
      <c r="I481" s="117" t="s">
        <v>195</v>
      </c>
    </row>
    <row r="482" spans="1:9" x14ac:dyDescent="0.25">
      <c r="A482" t="s">
        <v>1674</v>
      </c>
      <c r="B482" s="115" t="s">
        <v>1675</v>
      </c>
      <c r="C482" t="s">
        <v>1676</v>
      </c>
      <c r="D482" s="118"/>
      <c r="E482" s="118"/>
      <c r="F482" s="116" t="s">
        <v>1576</v>
      </c>
      <c r="G482" t="s">
        <v>1577</v>
      </c>
      <c r="H482" s="117" t="s">
        <v>165</v>
      </c>
      <c r="I482" s="117" t="s">
        <v>166</v>
      </c>
    </row>
    <row r="483" spans="1:9" x14ac:dyDescent="0.25">
      <c r="A483" t="s">
        <v>1677</v>
      </c>
      <c r="B483" s="115" t="s">
        <v>1678</v>
      </c>
      <c r="C483" t="s">
        <v>1679</v>
      </c>
      <c r="D483" s="118"/>
      <c r="E483" s="118"/>
      <c r="F483" s="116" t="s">
        <v>1579</v>
      </c>
      <c r="G483" t="s">
        <v>1580</v>
      </c>
      <c r="H483" s="117" t="s">
        <v>328</v>
      </c>
      <c r="I483" s="117" t="s">
        <v>796</v>
      </c>
    </row>
    <row r="484" spans="1:9" x14ac:dyDescent="0.25">
      <c r="A484" t="s">
        <v>1680</v>
      </c>
      <c r="B484" s="115" t="s">
        <v>1681</v>
      </c>
      <c r="C484" t="s">
        <v>1682</v>
      </c>
      <c r="D484" s="118"/>
      <c r="E484" s="118"/>
      <c r="F484" s="116" t="s">
        <v>1587</v>
      </c>
      <c r="G484" t="s">
        <v>1588</v>
      </c>
      <c r="H484" s="117" t="s">
        <v>160</v>
      </c>
      <c r="I484" s="117" t="s">
        <v>387</v>
      </c>
    </row>
    <row r="485" spans="1:9" x14ac:dyDescent="0.25">
      <c r="A485" t="s">
        <v>1683</v>
      </c>
      <c r="B485" s="115" t="s">
        <v>1684</v>
      </c>
      <c r="C485" t="s">
        <v>1685</v>
      </c>
      <c r="D485" s="118"/>
      <c r="E485" s="118"/>
      <c r="F485" s="116" t="s">
        <v>1590</v>
      </c>
      <c r="G485" t="s">
        <v>1591</v>
      </c>
      <c r="H485" s="117" t="s">
        <v>160</v>
      </c>
      <c r="I485" s="117" t="s">
        <v>387</v>
      </c>
    </row>
    <row r="486" spans="1:9" x14ac:dyDescent="0.25">
      <c r="A486" t="s">
        <v>1686</v>
      </c>
      <c r="B486" s="115" t="s">
        <v>1687</v>
      </c>
      <c r="C486" t="s">
        <v>1688</v>
      </c>
      <c r="D486" s="118"/>
      <c r="E486" s="118"/>
      <c r="F486" s="116" t="s">
        <v>1596</v>
      </c>
      <c r="G486" t="s">
        <v>1597</v>
      </c>
      <c r="H486" s="117" t="s">
        <v>160</v>
      </c>
      <c r="I486" s="117" t="s">
        <v>387</v>
      </c>
    </row>
    <row r="487" spans="1:9" x14ac:dyDescent="0.25">
      <c r="A487" t="s">
        <v>1689</v>
      </c>
      <c r="B487" s="115" t="s">
        <v>1690</v>
      </c>
      <c r="C487" t="s">
        <v>1691</v>
      </c>
      <c r="D487" s="118"/>
      <c r="E487" s="118"/>
      <c r="F487" s="116" t="s">
        <v>1599</v>
      </c>
      <c r="G487" t="s">
        <v>1600</v>
      </c>
      <c r="H487" s="117" t="s">
        <v>160</v>
      </c>
      <c r="I487" s="117" t="s">
        <v>387</v>
      </c>
    </row>
    <row r="488" spans="1:9" x14ac:dyDescent="0.25">
      <c r="A488" t="s">
        <v>1692</v>
      </c>
      <c r="B488" s="115" t="s">
        <v>1693</v>
      </c>
      <c r="C488" t="s">
        <v>1694</v>
      </c>
      <c r="D488" s="118"/>
      <c r="E488" s="118"/>
      <c r="F488" s="116" t="s">
        <v>1602</v>
      </c>
      <c r="G488" t="s">
        <v>1603</v>
      </c>
      <c r="H488" s="117" t="s">
        <v>105</v>
      </c>
      <c r="I488" s="117" t="s">
        <v>106</v>
      </c>
    </row>
    <row r="489" spans="1:9" x14ac:dyDescent="0.25">
      <c r="A489" t="s">
        <v>1695</v>
      </c>
      <c r="B489" s="115" t="s">
        <v>1696</v>
      </c>
      <c r="C489" t="s">
        <v>1697</v>
      </c>
      <c r="D489" s="118"/>
      <c r="E489" s="118"/>
      <c r="F489" s="116" t="s">
        <v>1605</v>
      </c>
      <c r="G489" t="s">
        <v>1606</v>
      </c>
      <c r="H489" s="117" t="s">
        <v>194</v>
      </c>
      <c r="I489" s="117" t="s">
        <v>290</v>
      </c>
    </row>
    <row r="490" spans="1:9" x14ac:dyDescent="0.25">
      <c r="A490" t="s">
        <v>1698</v>
      </c>
      <c r="B490" s="115" t="s">
        <v>1699</v>
      </c>
      <c r="C490" t="s">
        <v>1700</v>
      </c>
      <c r="D490" s="118"/>
      <c r="E490" s="118"/>
      <c r="F490" s="116" t="s">
        <v>1608</v>
      </c>
      <c r="G490" t="s">
        <v>1609</v>
      </c>
      <c r="H490" s="117" t="s">
        <v>105</v>
      </c>
      <c r="I490" s="117" t="s">
        <v>280</v>
      </c>
    </row>
    <row r="491" spans="1:9" x14ac:dyDescent="0.25">
      <c r="A491" t="s">
        <v>1701</v>
      </c>
      <c r="B491" s="115" t="s">
        <v>1702</v>
      </c>
      <c r="C491" t="s">
        <v>1703</v>
      </c>
      <c r="D491" s="118"/>
      <c r="E491" s="118"/>
      <c r="F491" s="116" t="s">
        <v>1611</v>
      </c>
      <c r="G491" t="s">
        <v>1612</v>
      </c>
      <c r="H491" s="117" t="s">
        <v>105</v>
      </c>
      <c r="I491" s="117" t="s">
        <v>174</v>
      </c>
    </row>
    <row r="492" spans="1:9" x14ac:dyDescent="0.25">
      <c r="A492" t="s">
        <v>1704</v>
      </c>
      <c r="B492" s="115" t="s">
        <v>1705</v>
      </c>
      <c r="C492" t="s">
        <v>1706</v>
      </c>
      <c r="D492" s="118"/>
      <c r="E492" s="118"/>
      <c r="F492" s="116" t="s">
        <v>1617</v>
      </c>
      <c r="G492" t="s">
        <v>1618</v>
      </c>
      <c r="H492" s="117" t="s">
        <v>100</v>
      </c>
      <c r="I492" s="117" t="s">
        <v>187</v>
      </c>
    </row>
    <row r="493" spans="1:9" x14ac:dyDescent="0.25">
      <c r="A493" t="s">
        <v>1707</v>
      </c>
      <c r="B493" s="115" t="s">
        <v>1708</v>
      </c>
      <c r="C493" t="s">
        <v>1709</v>
      </c>
      <c r="D493" s="118"/>
      <c r="E493" s="118"/>
      <c r="F493" s="116" t="s">
        <v>1620</v>
      </c>
      <c r="G493" t="s">
        <v>1621</v>
      </c>
      <c r="H493" s="117" t="s">
        <v>100</v>
      </c>
      <c r="I493" s="117" t="s">
        <v>339</v>
      </c>
    </row>
    <row r="494" spans="1:9" x14ac:dyDescent="0.25">
      <c r="A494" t="s">
        <v>1710</v>
      </c>
      <c r="B494" s="115" t="s">
        <v>1711</v>
      </c>
      <c r="C494" t="s">
        <v>1712</v>
      </c>
      <c r="D494" s="118"/>
      <c r="E494" s="118"/>
      <c r="F494" s="116" t="s">
        <v>1623</v>
      </c>
      <c r="G494" t="s">
        <v>1624</v>
      </c>
      <c r="H494" s="117" t="s">
        <v>105</v>
      </c>
      <c r="I494" s="117" t="s">
        <v>106</v>
      </c>
    </row>
    <row r="495" spans="1:9" x14ac:dyDescent="0.25">
      <c r="A495" t="s">
        <v>1713</v>
      </c>
      <c r="B495" s="115" t="s">
        <v>1714</v>
      </c>
      <c r="C495" t="s">
        <v>1715</v>
      </c>
      <c r="D495" s="118"/>
      <c r="E495" s="118"/>
      <c r="F495" s="116" t="s">
        <v>1626</v>
      </c>
      <c r="G495" t="s">
        <v>1627</v>
      </c>
      <c r="H495" s="117" t="s">
        <v>100</v>
      </c>
      <c r="I495" s="117" t="s">
        <v>250</v>
      </c>
    </row>
    <row r="496" spans="1:9" x14ac:dyDescent="0.25">
      <c r="A496" t="s">
        <v>1716</v>
      </c>
      <c r="B496" s="115" t="s">
        <v>1717</v>
      </c>
      <c r="C496" t="s">
        <v>1718</v>
      </c>
      <c r="D496" s="118"/>
      <c r="E496" s="118"/>
      <c r="F496" s="116" t="s">
        <v>1631</v>
      </c>
      <c r="G496" t="s">
        <v>1632</v>
      </c>
      <c r="H496" s="117" t="s">
        <v>260</v>
      </c>
      <c r="I496" s="117" t="s">
        <v>440</v>
      </c>
    </row>
    <row r="497" spans="1:9" x14ac:dyDescent="0.25">
      <c r="A497" t="s">
        <v>1719</v>
      </c>
      <c r="B497" s="115" t="s">
        <v>1720</v>
      </c>
      <c r="C497" t="s">
        <v>1719</v>
      </c>
      <c r="D497" s="118"/>
      <c r="E497" s="118"/>
      <c r="F497" s="116" t="s">
        <v>1634</v>
      </c>
      <c r="G497" t="s">
        <v>1635</v>
      </c>
      <c r="H497" s="117" t="s">
        <v>220</v>
      </c>
      <c r="I497" s="117" t="s">
        <v>221</v>
      </c>
    </row>
    <row r="498" spans="1:9" x14ac:dyDescent="0.25">
      <c r="A498" t="s">
        <v>1721</v>
      </c>
      <c r="B498" s="115" t="s">
        <v>1722</v>
      </c>
      <c r="C498" t="s">
        <v>1723</v>
      </c>
      <c r="D498" s="118"/>
      <c r="E498" s="118"/>
      <c r="F498" s="116" t="s">
        <v>1724</v>
      </c>
      <c r="G498" t="s">
        <v>1725</v>
      </c>
      <c r="H498" s="117" t="s">
        <v>260</v>
      </c>
      <c r="I498" s="117" t="s">
        <v>670</v>
      </c>
    </row>
    <row r="499" spans="1:9" x14ac:dyDescent="0.25">
      <c r="A499" t="s">
        <v>1726</v>
      </c>
      <c r="B499" s="115" t="s">
        <v>1727</v>
      </c>
      <c r="C499" t="s">
        <v>1728</v>
      </c>
      <c r="D499" s="118"/>
      <c r="E499" s="118"/>
      <c r="F499" s="116" t="s">
        <v>1637</v>
      </c>
      <c r="G499" t="s">
        <v>1638</v>
      </c>
      <c r="H499" s="117" t="s">
        <v>105</v>
      </c>
      <c r="I499" s="117" t="s">
        <v>106</v>
      </c>
    </row>
    <row r="500" spans="1:9" x14ac:dyDescent="0.25">
      <c r="A500" t="s">
        <v>1729</v>
      </c>
      <c r="B500" s="115" t="s">
        <v>1730</v>
      </c>
      <c r="C500" t="s">
        <v>1731</v>
      </c>
      <c r="D500" s="118"/>
      <c r="E500" s="118"/>
      <c r="F500" s="116" t="s">
        <v>1640</v>
      </c>
      <c r="G500" t="s">
        <v>1641</v>
      </c>
      <c r="H500" s="117" t="s">
        <v>105</v>
      </c>
      <c r="I500" s="117" t="s">
        <v>280</v>
      </c>
    </row>
    <row r="501" spans="1:9" x14ac:dyDescent="0.25">
      <c r="A501" t="s">
        <v>1732</v>
      </c>
      <c r="B501" s="115" t="s">
        <v>1733</v>
      </c>
      <c r="C501" t="s">
        <v>1734</v>
      </c>
      <c r="D501" s="118"/>
      <c r="E501" s="118"/>
      <c r="F501" s="116" t="s">
        <v>1643</v>
      </c>
      <c r="G501" t="s">
        <v>1644</v>
      </c>
      <c r="H501" s="117" t="s">
        <v>105</v>
      </c>
      <c r="I501" s="117" t="s">
        <v>106</v>
      </c>
    </row>
    <row r="502" spans="1:9" x14ac:dyDescent="0.25">
      <c r="A502" t="s">
        <v>1735</v>
      </c>
      <c r="B502" s="115" t="s">
        <v>1736</v>
      </c>
      <c r="C502" t="s">
        <v>1737</v>
      </c>
      <c r="D502" s="118"/>
      <c r="E502" s="118"/>
      <c r="F502" s="116" t="s">
        <v>1648</v>
      </c>
      <c r="G502" t="s">
        <v>1649</v>
      </c>
      <c r="H502" s="117" t="s">
        <v>105</v>
      </c>
      <c r="I502" s="117" t="s">
        <v>106</v>
      </c>
    </row>
    <row r="503" spans="1:9" x14ac:dyDescent="0.25">
      <c r="A503" t="s">
        <v>1738</v>
      </c>
      <c r="B503" s="115" t="s">
        <v>755</v>
      </c>
      <c r="C503" t="s">
        <v>1739</v>
      </c>
      <c r="D503" s="118"/>
      <c r="E503" s="118"/>
      <c r="F503" s="116" t="s">
        <v>1740</v>
      </c>
      <c r="G503" t="s">
        <v>1741</v>
      </c>
      <c r="H503" s="117" t="s">
        <v>260</v>
      </c>
      <c r="I503" s="117" t="s">
        <v>670</v>
      </c>
    </row>
    <row r="504" spans="1:9" x14ac:dyDescent="0.25">
      <c r="A504" t="s">
        <v>1742</v>
      </c>
      <c r="B504" s="115" t="s">
        <v>1743</v>
      </c>
      <c r="C504" t="s">
        <v>1744</v>
      </c>
      <c r="D504" s="118"/>
      <c r="E504" s="118"/>
      <c r="F504" s="116" t="s">
        <v>1651</v>
      </c>
      <c r="G504" t="s">
        <v>1652</v>
      </c>
      <c r="H504" s="117" t="s">
        <v>115</v>
      </c>
      <c r="I504" s="117" t="s">
        <v>116</v>
      </c>
    </row>
    <row r="505" spans="1:9" x14ac:dyDescent="0.25">
      <c r="A505" t="s">
        <v>1745</v>
      </c>
      <c r="B505" s="115" t="s">
        <v>1746</v>
      </c>
      <c r="C505" t="s">
        <v>1747</v>
      </c>
      <c r="D505" s="118"/>
      <c r="E505" s="118"/>
      <c r="F505" s="116" t="s">
        <v>1656</v>
      </c>
      <c r="G505" t="s">
        <v>1657</v>
      </c>
      <c r="H505" s="117" t="s">
        <v>165</v>
      </c>
      <c r="I505" s="117" t="s">
        <v>166</v>
      </c>
    </row>
    <row r="506" spans="1:9" x14ac:dyDescent="0.25">
      <c r="A506" t="s">
        <v>1748</v>
      </c>
      <c r="B506" s="115" t="s">
        <v>1749</v>
      </c>
      <c r="C506" t="s">
        <v>1750</v>
      </c>
      <c r="D506" s="118"/>
      <c r="E506" s="118"/>
      <c r="F506" s="116" t="s">
        <v>1659</v>
      </c>
      <c r="G506" t="s">
        <v>1660</v>
      </c>
      <c r="H506" s="117" t="s">
        <v>115</v>
      </c>
      <c r="I506" s="117" t="s">
        <v>276</v>
      </c>
    </row>
    <row r="507" spans="1:9" x14ac:dyDescent="0.25">
      <c r="A507" t="s">
        <v>1751</v>
      </c>
      <c r="B507" s="115" t="s">
        <v>1752</v>
      </c>
      <c r="C507" t="s">
        <v>1753</v>
      </c>
      <c r="D507" s="118"/>
      <c r="E507" s="118"/>
      <c r="F507" s="116" t="s">
        <v>1663</v>
      </c>
      <c r="G507" t="s">
        <v>1664</v>
      </c>
      <c r="H507" s="117" t="s">
        <v>260</v>
      </c>
      <c r="I507" s="117" t="s">
        <v>432</v>
      </c>
    </row>
    <row r="508" spans="1:9" x14ac:dyDescent="0.25">
      <c r="A508" t="s">
        <v>1754</v>
      </c>
      <c r="B508" s="115" t="s">
        <v>1755</v>
      </c>
      <c r="C508" t="s">
        <v>1756</v>
      </c>
      <c r="D508" s="118"/>
      <c r="E508" s="118"/>
      <c r="F508" s="116" t="s">
        <v>1666</v>
      </c>
      <c r="G508" t="s">
        <v>1667</v>
      </c>
      <c r="H508" s="117" t="s">
        <v>165</v>
      </c>
      <c r="I508" s="117" t="s">
        <v>166</v>
      </c>
    </row>
    <row r="509" spans="1:9" x14ac:dyDescent="0.25">
      <c r="A509" t="s">
        <v>1757</v>
      </c>
      <c r="B509" s="115" t="s">
        <v>1758</v>
      </c>
      <c r="C509" t="s">
        <v>1759</v>
      </c>
      <c r="D509" s="118"/>
      <c r="E509" s="118"/>
      <c r="F509" s="116" t="s">
        <v>1760</v>
      </c>
      <c r="G509" t="s">
        <v>1672</v>
      </c>
      <c r="H509" s="117" t="s">
        <v>100</v>
      </c>
      <c r="I509" s="117" t="s">
        <v>250</v>
      </c>
    </row>
    <row r="510" spans="1:9" x14ac:dyDescent="0.25">
      <c r="A510" t="s">
        <v>1761</v>
      </c>
      <c r="B510" s="115" t="s">
        <v>1762</v>
      </c>
      <c r="C510" t="s">
        <v>1763</v>
      </c>
      <c r="D510" s="118"/>
      <c r="E510" s="118"/>
      <c r="F510" s="116" t="s">
        <v>1674</v>
      </c>
      <c r="G510" t="s">
        <v>1675</v>
      </c>
      <c r="H510" s="117" t="s">
        <v>105</v>
      </c>
      <c r="I510" s="117" t="s">
        <v>580</v>
      </c>
    </row>
    <row r="511" spans="1:9" x14ac:dyDescent="0.25">
      <c r="A511" t="s">
        <v>1764</v>
      </c>
      <c r="B511" s="115" t="s">
        <v>1765</v>
      </c>
      <c r="C511" t="s">
        <v>1766</v>
      </c>
      <c r="D511" s="118"/>
      <c r="E511" s="118"/>
      <c r="F511" s="116" t="s">
        <v>1677</v>
      </c>
      <c r="G511" t="s">
        <v>1678</v>
      </c>
      <c r="H511" s="117" t="s">
        <v>165</v>
      </c>
      <c r="I511" s="117" t="s">
        <v>166</v>
      </c>
    </row>
    <row r="512" spans="1:9" x14ac:dyDescent="0.25">
      <c r="A512" t="s">
        <v>1767</v>
      </c>
      <c r="B512" s="115" t="s">
        <v>1768</v>
      </c>
      <c r="C512" t="s">
        <v>1769</v>
      </c>
      <c r="D512" s="118"/>
      <c r="E512" s="118"/>
      <c r="F512" s="116" t="s">
        <v>1680</v>
      </c>
      <c r="G512" t="s">
        <v>1681</v>
      </c>
      <c r="H512" s="117" t="s">
        <v>105</v>
      </c>
      <c r="I512" s="117" t="s">
        <v>127</v>
      </c>
    </row>
    <row r="513" spans="1:9" x14ac:dyDescent="0.25">
      <c r="A513" t="s">
        <v>1770</v>
      </c>
      <c r="B513" s="115" t="s">
        <v>1771</v>
      </c>
      <c r="C513" t="s">
        <v>1772</v>
      </c>
      <c r="D513" s="118"/>
      <c r="E513" s="118"/>
      <c r="F513" s="116" t="s">
        <v>1683</v>
      </c>
      <c r="G513" t="s">
        <v>1684</v>
      </c>
      <c r="H513" s="117" t="s">
        <v>105</v>
      </c>
      <c r="I513" s="117" t="s">
        <v>174</v>
      </c>
    </row>
    <row r="514" spans="1:9" x14ac:dyDescent="0.25">
      <c r="A514" t="s">
        <v>1773</v>
      </c>
      <c r="B514" s="115" t="s">
        <v>1774</v>
      </c>
      <c r="C514" t="s">
        <v>1775</v>
      </c>
      <c r="D514" s="118"/>
      <c r="E514" s="118"/>
      <c r="F514" s="116" t="s">
        <v>1686</v>
      </c>
      <c r="G514" t="s">
        <v>1687</v>
      </c>
      <c r="H514" s="117" t="s">
        <v>220</v>
      </c>
      <c r="I514" s="117" t="s">
        <v>221</v>
      </c>
    </row>
    <row r="515" spans="1:9" x14ac:dyDescent="0.25">
      <c r="A515" t="s">
        <v>1776</v>
      </c>
      <c r="B515" s="115" t="s">
        <v>1777</v>
      </c>
      <c r="C515" t="s">
        <v>1778</v>
      </c>
      <c r="D515" s="118"/>
      <c r="E515" s="118"/>
      <c r="F515" s="116" t="s">
        <v>1779</v>
      </c>
      <c r="G515" t="s">
        <v>1780</v>
      </c>
      <c r="H515" s="117" t="s">
        <v>328</v>
      </c>
      <c r="I515" s="117" t="s">
        <v>295</v>
      </c>
    </row>
    <row r="516" spans="1:9" x14ac:dyDescent="0.25">
      <c r="A516" t="s">
        <v>1781</v>
      </c>
      <c r="B516" s="115" t="s">
        <v>1782</v>
      </c>
      <c r="C516" t="s">
        <v>1783</v>
      </c>
      <c r="D516" s="118"/>
      <c r="E516" s="118"/>
      <c r="F516" s="116" t="s">
        <v>1689</v>
      </c>
      <c r="G516" t="s">
        <v>1690</v>
      </c>
      <c r="H516" s="117" t="s">
        <v>105</v>
      </c>
      <c r="I516" s="117" t="s">
        <v>127</v>
      </c>
    </row>
    <row r="517" spans="1:9" x14ac:dyDescent="0.25">
      <c r="A517" t="s">
        <v>1784</v>
      </c>
      <c r="B517" s="115" t="s">
        <v>1785</v>
      </c>
      <c r="C517" t="s">
        <v>1786</v>
      </c>
      <c r="D517" s="118"/>
      <c r="E517" s="118"/>
      <c r="F517" s="116" t="s">
        <v>1695</v>
      </c>
      <c r="G517" t="s">
        <v>1696</v>
      </c>
      <c r="H517" s="117" t="s">
        <v>160</v>
      </c>
      <c r="I517" s="117" t="s">
        <v>161</v>
      </c>
    </row>
    <row r="518" spans="1:9" x14ac:dyDescent="0.25">
      <c r="A518" t="s">
        <v>1787</v>
      </c>
      <c r="B518" s="115" t="s">
        <v>1788</v>
      </c>
      <c r="C518" t="s">
        <v>1789</v>
      </c>
      <c r="D518" s="118"/>
      <c r="E518" s="118"/>
      <c r="F518" s="116" t="s">
        <v>1790</v>
      </c>
      <c r="G518" t="s">
        <v>1791</v>
      </c>
      <c r="H518" s="117" t="s">
        <v>100</v>
      </c>
      <c r="I518" s="117" t="s">
        <v>101</v>
      </c>
    </row>
    <row r="519" spans="1:9" x14ac:dyDescent="0.25">
      <c r="A519" t="s">
        <v>1792</v>
      </c>
      <c r="B519" s="115" t="s">
        <v>1793</v>
      </c>
      <c r="C519" t="s">
        <v>1794</v>
      </c>
      <c r="D519" s="118"/>
      <c r="E519" s="118"/>
      <c r="F519" s="116" t="s">
        <v>1698</v>
      </c>
      <c r="G519" t="s">
        <v>1699</v>
      </c>
      <c r="H519" s="117" t="s">
        <v>194</v>
      </c>
      <c r="I519" s="117" t="s">
        <v>666</v>
      </c>
    </row>
    <row r="520" spans="1:9" x14ac:dyDescent="0.25">
      <c r="A520" t="s">
        <v>1795</v>
      </c>
      <c r="B520" s="115" t="s">
        <v>1796</v>
      </c>
      <c r="C520" t="s">
        <v>1797</v>
      </c>
      <c r="D520" s="118"/>
      <c r="E520" s="118"/>
      <c r="F520" s="116" t="s">
        <v>1701</v>
      </c>
      <c r="G520" t="s">
        <v>1702</v>
      </c>
      <c r="H520" s="117" t="s">
        <v>105</v>
      </c>
      <c r="I520" s="117" t="s">
        <v>106</v>
      </c>
    </row>
    <row r="521" spans="1:9" x14ac:dyDescent="0.25">
      <c r="A521" t="s">
        <v>1798</v>
      </c>
      <c r="B521" s="115" t="s">
        <v>1799</v>
      </c>
      <c r="C521" t="s">
        <v>1800</v>
      </c>
      <c r="D521" s="118"/>
      <c r="E521" s="118"/>
      <c r="F521" s="116" t="s">
        <v>1704</v>
      </c>
      <c r="G521" t="s">
        <v>1705</v>
      </c>
      <c r="H521" s="117" t="s">
        <v>105</v>
      </c>
      <c r="I521" s="117" t="s">
        <v>127</v>
      </c>
    </row>
    <row r="522" spans="1:9" x14ac:dyDescent="0.25">
      <c r="A522" t="s">
        <v>1801</v>
      </c>
      <c r="B522" s="115" t="s">
        <v>1802</v>
      </c>
      <c r="C522" t="s">
        <v>1803</v>
      </c>
      <c r="D522" s="118"/>
      <c r="E522" s="118"/>
      <c r="F522" s="116" t="s">
        <v>1707</v>
      </c>
      <c r="G522" t="s">
        <v>1708</v>
      </c>
      <c r="H522" s="117" t="s">
        <v>165</v>
      </c>
      <c r="I522" s="117" t="s">
        <v>166</v>
      </c>
    </row>
    <row r="523" spans="1:9" x14ac:dyDescent="0.25">
      <c r="A523" t="s">
        <v>1804</v>
      </c>
      <c r="B523" s="115" t="s">
        <v>1805</v>
      </c>
      <c r="C523" t="s">
        <v>1806</v>
      </c>
      <c r="D523" s="118"/>
      <c r="E523" s="118"/>
      <c r="F523" s="116" t="s">
        <v>1710</v>
      </c>
      <c r="G523" t="s">
        <v>1711</v>
      </c>
      <c r="H523" s="117" t="s">
        <v>165</v>
      </c>
      <c r="I523" s="117" t="s">
        <v>166</v>
      </c>
    </row>
    <row r="524" spans="1:9" x14ac:dyDescent="0.25">
      <c r="A524" t="s">
        <v>1807</v>
      </c>
      <c r="B524" s="115" t="s">
        <v>1808</v>
      </c>
      <c r="C524" t="s">
        <v>1809</v>
      </c>
      <c r="D524" s="118"/>
      <c r="E524" s="118"/>
      <c r="F524" s="116" t="s">
        <v>1713</v>
      </c>
      <c r="G524" t="s">
        <v>1714</v>
      </c>
      <c r="H524" s="117" t="s">
        <v>170</v>
      </c>
      <c r="I524" s="117" t="s">
        <v>202</v>
      </c>
    </row>
    <row r="525" spans="1:9" x14ac:dyDescent="0.25">
      <c r="A525" t="s">
        <v>1810</v>
      </c>
      <c r="B525" s="115" t="s">
        <v>1811</v>
      </c>
      <c r="C525" t="s">
        <v>1812</v>
      </c>
      <c r="D525" s="118"/>
      <c r="E525" s="118"/>
      <c r="F525" s="116" t="s">
        <v>1716</v>
      </c>
      <c r="G525" t="s">
        <v>1717</v>
      </c>
      <c r="H525" s="117" t="s">
        <v>170</v>
      </c>
      <c r="I525" s="117" t="s">
        <v>202</v>
      </c>
    </row>
    <row r="526" spans="1:9" x14ac:dyDescent="0.25">
      <c r="A526" t="s">
        <v>1813</v>
      </c>
      <c r="B526" s="115" t="s">
        <v>1814</v>
      </c>
      <c r="C526" t="s">
        <v>1815</v>
      </c>
      <c r="D526" s="118"/>
      <c r="E526" s="118"/>
      <c r="F526" s="116" t="s">
        <v>1719</v>
      </c>
      <c r="G526" t="s">
        <v>1720</v>
      </c>
      <c r="H526" s="117" t="s">
        <v>115</v>
      </c>
      <c r="I526" s="117" t="s">
        <v>276</v>
      </c>
    </row>
    <row r="527" spans="1:9" x14ac:dyDescent="0.25">
      <c r="A527" t="s">
        <v>1816</v>
      </c>
      <c r="B527" s="115" t="s">
        <v>1817</v>
      </c>
      <c r="C527" t="s">
        <v>1818</v>
      </c>
      <c r="D527" s="118"/>
      <c r="E527" s="118"/>
      <c r="F527" s="116" t="s">
        <v>1819</v>
      </c>
      <c r="G527" t="s">
        <v>1820</v>
      </c>
      <c r="H527" s="117" t="s">
        <v>100</v>
      </c>
      <c r="I527" s="117" t="s">
        <v>181</v>
      </c>
    </row>
    <row r="528" spans="1:9" x14ac:dyDescent="0.25">
      <c r="A528" t="s">
        <v>1821</v>
      </c>
      <c r="B528" s="115" t="s">
        <v>1822</v>
      </c>
      <c r="C528" t="s">
        <v>1823</v>
      </c>
      <c r="D528" s="118"/>
      <c r="E528" s="118"/>
      <c r="F528" s="116" t="s">
        <v>1721</v>
      </c>
      <c r="G528" t="s">
        <v>1722</v>
      </c>
      <c r="H528" s="117" t="s">
        <v>105</v>
      </c>
      <c r="I528" s="117" t="s">
        <v>174</v>
      </c>
    </row>
    <row r="529" spans="1:9" x14ac:dyDescent="0.25">
      <c r="A529" t="s">
        <v>1824</v>
      </c>
      <c r="B529" s="115" t="s">
        <v>1825</v>
      </c>
      <c r="C529" t="s">
        <v>1826</v>
      </c>
      <c r="D529" s="118"/>
      <c r="E529" s="118"/>
      <c r="F529" s="116" t="s">
        <v>1726</v>
      </c>
      <c r="G529" t="s">
        <v>1727</v>
      </c>
      <c r="H529" s="117" t="s">
        <v>105</v>
      </c>
      <c r="I529" s="117" t="s">
        <v>174</v>
      </c>
    </row>
    <row r="530" spans="1:9" x14ac:dyDescent="0.25">
      <c r="A530" t="s">
        <v>1827</v>
      </c>
      <c r="B530" s="115" t="s">
        <v>1828</v>
      </c>
      <c r="C530" t="s">
        <v>1829</v>
      </c>
      <c r="D530" s="118"/>
      <c r="E530" s="118"/>
      <c r="F530" s="116" t="s">
        <v>1729</v>
      </c>
      <c r="G530" t="s">
        <v>1730</v>
      </c>
      <c r="H530" s="117" t="s">
        <v>105</v>
      </c>
      <c r="I530" s="117" t="s">
        <v>174</v>
      </c>
    </row>
    <row r="531" spans="1:9" x14ac:dyDescent="0.25">
      <c r="A531" t="s">
        <v>1830</v>
      </c>
      <c r="B531" s="115" t="s">
        <v>1831</v>
      </c>
      <c r="C531" t="s">
        <v>1832</v>
      </c>
      <c r="D531" s="118"/>
      <c r="E531" s="118"/>
      <c r="F531" s="116" t="s">
        <v>1732</v>
      </c>
      <c r="G531" t="s">
        <v>1733</v>
      </c>
      <c r="H531" s="117" t="s">
        <v>105</v>
      </c>
      <c r="I531" s="117" t="s">
        <v>106</v>
      </c>
    </row>
    <row r="532" spans="1:9" x14ac:dyDescent="0.25">
      <c r="A532" t="s">
        <v>1833</v>
      </c>
      <c r="B532" s="115" t="s">
        <v>1834</v>
      </c>
      <c r="C532" t="s">
        <v>1835</v>
      </c>
      <c r="D532" s="118"/>
      <c r="E532" s="118"/>
      <c r="F532" s="116" t="s">
        <v>1836</v>
      </c>
      <c r="G532" t="s">
        <v>1736</v>
      </c>
      <c r="H532" s="117" t="s">
        <v>194</v>
      </c>
      <c r="I532" s="117" t="s">
        <v>195</v>
      </c>
    </row>
    <row r="533" spans="1:9" x14ac:dyDescent="0.25">
      <c r="A533" t="s">
        <v>1837</v>
      </c>
      <c r="B533" s="115" t="s">
        <v>1838</v>
      </c>
      <c r="C533" t="s">
        <v>1839</v>
      </c>
      <c r="D533" s="118"/>
      <c r="E533" s="118"/>
      <c r="F533" s="116" t="s">
        <v>1738</v>
      </c>
      <c r="G533" t="s">
        <v>755</v>
      </c>
      <c r="H533" s="117" t="s">
        <v>160</v>
      </c>
      <c r="I533" s="117" t="s">
        <v>755</v>
      </c>
    </row>
    <row r="534" spans="1:9" x14ac:dyDescent="0.25">
      <c r="A534" t="s">
        <v>1840</v>
      </c>
      <c r="B534" s="115" t="s">
        <v>1841</v>
      </c>
      <c r="C534" t="s">
        <v>1842</v>
      </c>
      <c r="D534" s="118"/>
      <c r="E534" s="118"/>
      <c r="F534" s="116" t="s">
        <v>1742</v>
      </c>
      <c r="G534" t="s">
        <v>1743</v>
      </c>
      <c r="H534" s="117" t="s">
        <v>160</v>
      </c>
      <c r="I534" s="117" t="s">
        <v>755</v>
      </c>
    </row>
    <row r="535" spans="1:9" x14ac:dyDescent="0.25">
      <c r="A535" t="s">
        <v>1843</v>
      </c>
      <c r="B535" s="115" t="s">
        <v>1844</v>
      </c>
      <c r="C535" t="s">
        <v>1845</v>
      </c>
      <c r="D535" s="118"/>
      <c r="E535" s="118"/>
      <c r="F535" s="116" t="s">
        <v>1745</v>
      </c>
      <c r="G535" t="s">
        <v>1746</v>
      </c>
      <c r="H535" s="117" t="s">
        <v>160</v>
      </c>
      <c r="I535" s="117" t="s">
        <v>755</v>
      </c>
    </row>
    <row r="536" spans="1:9" x14ac:dyDescent="0.25">
      <c r="A536" t="s">
        <v>1846</v>
      </c>
      <c r="B536" s="115" t="s">
        <v>1847</v>
      </c>
      <c r="C536" t="s">
        <v>1848</v>
      </c>
      <c r="D536" s="118"/>
      <c r="E536" s="118"/>
      <c r="F536" s="116" t="s">
        <v>1748</v>
      </c>
      <c r="G536" t="s">
        <v>1749</v>
      </c>
      <c r="H536" s="117" t="s">
        <v>100</v>
      </c>
      <c r="I536" s="117" t="s">
        <v>339</v>
      </c>
    </row>
    <row r="537" spans="1:9" x14ac:dyDescent="0.25">
      <c r="A537" t="s">
        <v>1849</v>
      </c>
      <c r="B537" s="115" t="s">
        <v>1850</v>
      </c>
      <c r="C537" t="s">
        <v>1851</v>
      </c>
      <c r="D537" s="118"/>
      <c r="E537" s="118"/>
      <c r="F537" s="116" t="s">
        <v>1751</v>
      </c>
      <c r="G537" t="s">
        <v>1752</v>
      </c>
      <c r="H537" s="117" t="s">
        <v>100</v>
      </c>
      <c r="I537" s="117" t="s">
        <v>187</v>
      </c>
    </row>
    <row r="538" spans="1:9" x14ac:dyDescent="0.25">
      <c r="A538" t="s">
        <v>1852</v>
      </c>
      <c r="B538" s="115" t="s">
        <v>1853</v>
      </c>
      <c r="C538" t="s">
        <v>1854</v>
      </c>
      <c r="D538" s="118"/>
      <c r="E538" s="118"/>
      <c r="F538" s="116" t="s">
        <v>1754</v>
      </c>
      <c r="G538" t="s">
        <v>1755</v>
      </c>
      <c r="H538" s="117" t="s">
        <v>105</v>
      </c>
      <c r="I538" s="117" t="s">
        <v>174</v>
      </c>
    </row>
    <row r="539" spans="1:9" x14ac:dyDescent="0.25">
      <c r="A539" t="s">
        <v>1855</v>
      </c>
      <c r="B539" s="115" t="s">
        <v>1856</v>
      </c>
      <c r="C539" t="s">
        <v>1857</v>
      </c>
      <c r="D539" s="118"/>
      <c r="E539" s="118"/>
      <c r="F539" s="116" t="s">
        <v>1757</v>
      </c>
      <c r="G539" t="s">
        <v>1758</v>
      </c>
      <c r="H539" s="117" t="s">
        <v>194</v>
      </c>
      <c r="I539" s="117" t="s">
        <v>666</v>
      </c>
    </row>
    <row r="540" spans="1:9" x14ac:dyDescent="0.25">
      <c r="A540" t="s">
        <v>1858</v>
      </c>
      <c r="B540" s="115" t="s">
        <v>1859</v>
      </c>
      <c r="C540" t="s">
        <v>1860</v>
      </c>
      <c r="D540" s="118"/>
      <c r="E540" s="118"/>
      <c r="F540" s="116" t="s">
        <v>1761</v>
      </c>
      <c r="G540" t="s">
        <v>1762</v>
      </c>
      <c r="H540" s="117" t="s">
        <v>194</v>
      </c>
      <c r="I540" s="117" t="s">
        <v>666</v>
      </c>
    </row>
    <row r="541" spans="1:9" x14ac:dyDescent="0.25">
      <c r="A541" t="s">
        <v>1861</v>
      </c>
      <c r="B541" s="115" t="s">
        <v>1862</v>
      </c>
      <c r="C541" t="s">
        <v>1863</v>
      </c>
      <c r="D541" s="118"/>
      <c r="E541" s="118"/>
      <c r="F541" s="116" t="s">
        <v>1764</v>
      </c>
      <c r="G541" t="s">
        <v>1765</v>
      </c>
      <c r="H541" s="117" t="s">
        <v>105</v>
      </c>
      <c r="I541" s="117" t="s">
        <v>127</v>
      </c>
    </row>
    <row r="542" spans="1:9" x14ac:dyDescent="0.25">
      <c r="A542" t="s">
        <v>1864</v>
      </c>
      <c r="B542" s="115" t="s">
        <v>187</v>
      </c>
      <c r="C542" t="s">
        <v>1865</v>
      </c>
      <c r="D542" s="118"/>
      <c r="E542" s="118"/>
      <c r="F542" s="116" t="s">
        <v>1767</v>
      </c>
      <c r="G542" t="s">
        <v>1768</v>
      </c>
      <c r="H542" s="117" t="s">
        <v>100</v>
      </c>
      <c r="I542" s="117" t="s">
        <v>250</v>
      </c>
    </row>
    <row r="543" spans="1:9" x14ac:dyDescent="0.25">
      <c r="A543" t="s">
        <v>1866</v>
      </c>
      <c r="B543" s="115" t="s">
        <v>1867</v>
      </c>
      <c r="C543" t="s">
        <v>1868</v>
      </c>
      <c r="D543" s="118"/>
      <c r="E543" s="118"/>
      <c r="F543" s="116" t="s">
        <v>1770</v>
      </c>
      <c r="G543" t="s">
        <v>1771</v>
      </c>
      <c r="H543" s="117" t="s">
        <v>100</v>
      </c>
      <c r="I543" s="117" t="s">
        <v>101</v>
      </c>
    </row>
    <row r="544" spans="1:9" x14ac:dyDescent="0.25">
      <c r="A544" t="s">
        <v>1869</v>
      </c>
      <c r="B544" s="115" t="s">
        <v>1870</v>
      </c>
      <c r="C544" t="s">
        <v>1871</v>
      </c>
      <c r="D544" s="118"/>
      <c r="E544" s="118"/>
      <c r="F544" s="116" t="s">
        <v>1773</v>
      </c>
      <c r="G544" t="s">
        <v>1774</v>
      </c>
      <c r="H544" s="117" t="s">
        <v>170</v>
      </c>
      <c r="I544" s="117" t="s">
        <v>202</v>
      </c>
    </row>
    <row r="545" spans="1:9" x14ac:dyDescent="0.25">
      <c r="A545" t="s">
        <v>1872</v>
      </c>
      <c r="B545" s="115" t="s">
        <v>16</v>
      </c>
      <c r="C545" t="s">
        <v>1873</v>
      </c>
      <c r="D545" s="118"/>
      <c r="E545" s="118"/>
      <c r="F545" s="116" t="s">
        <v>1776</v>
      </c>
      <c r="G545" t="s">
        <v>1777</v>
      </c>
      <c r="H545" s="117" t="s">
        <v>165</v>
      </c>
      <c r="I545" s="117" t="s">
        <v>166</v>
      </c>
    </row>
    <row r="546" spans="1:9" x14ac:dyDescent="0.25">
      <c r="A546" t="s">
        <v>1874</v>
      </c>
      <c r="B546" s="115" t="s">
        <v>1875</v>
      </c>
      <c r="C546" t="s">
        <v>1876</v>
      </c>
      <c r="D546" s="118"/>
      <c r="E546" s="118"/>
      <c r="F546" s="116" t="s">
        <v>1781</v>
      </c>
      <c r="G546" t="s">
        <v>1782</v>
      </c>
      <c r="H546" s="117" t="s">
        <v>260</v>
      </c>
      <c r="I546" s="117" t="s">
        <v>1146</v>
      </c>
    </row>
    <row r="547" spans="1:9" x14ac:dyDescent="0.25">
      <c r="A547" t="s">
        <v>1877</v>
      </c>
      <c r="B547" s="115" t="s">
        <v>1878</v>
      </c>
      <c r="C547" t="s">
        <v>1879</v>
      </c>
      <c r="D547" s="118"/>
      <c r="E547" s="118"/>
      <c r="F547" s="116" t="s">
        <v>1784</v>
      </c>
      <c r="G547" t="s">
        <v>1785</v>
      </c>
      <c r="H547" s="117" t="s">
        <v>194</v>
      </c>
      <c r="I547" s="117" t="s">
        <v>290</v>
      </c>
    </row>
    <row r="548" spans="1:9" x14ac:dyDescent="0.25">
      <c r="A548" t="s">
        <v>1880</v>
      </c>
      <c r="B548" s="115" t="s">
        <v>1881</v>
      </c>
      <c r="C548" t="s">
        <v>1882</v>
      </c>
      <c r="D548" s="118"/>
      <c r="E548" s="118"/>
      <c r="F548" s="116" t="s">
        <v>1787</v>
      </c>
      <c r="G548" t="s">
        <v>1788</v>
      </c>
      <c r="H548" s="117" t="s">
        <v>220</v>
      </c>
      <c r="I548" s="117" t="s">
        <v>250</v>
      </c>
    </row>
    <row r="549" spans="1:9" x14ac:dyDescent="0.25">
      <c r="A549" t="s">
        <v>1883</v>
      </c>
      <c r="B549" s="115" t="s">
        <v>1884</v>
      </c>
      <c r="C549" t="s">
        <v>1885</v>
      </c>
      <c r="D549" s="118"/>
      <c r="E549" s="118"/>
      <c r="F549" s="116" t="s">
        <v>1886</v>
      </c>
      <c r="G549" t="s">
        <v>1887</v>
      </c>
      <c r="H549" s="117" t="s">
        <v>170</v>
      </c>
      <c r="I549" s="117" t="s">
        <v>171</v>
      </c>
    </row>
    <row r="550" spans="1:9" x14ac:dyDescent="0.25">
      <c r="A550" t="s">
        <v>1888</v>
      </c>
      <c r="B550" s="115" t="s">
        <v>1889</v>
      </c>
      <c r="C550" t="s">
        <v>1890</v>
      </c>
      <c r="D550" s="118"/>
      <c r="E550" s="118"/>
      <c r="F550" s="116" t="s">
        <v>1891</v>
      </c>
      <c r="G550" t="s">
        <v>1892</v>
      </c>
      <c r="H550" s="117" t="s">
        <v>170</v>
      </c>
      <c r="I550" s="117" t="s">
        <v>171</v>
      </c>
    </row>
    <row r="551" spans="1:9" x14ac:dyDescent="0.25">
      <c r="A551" t="s">
        <v>1893</v>
      </c>
      <c r="B551" s="115" t="s">
        <v>1894</v>
      </c>
      <c r="C551" t="s">
        <v>1895</v>
      </c>
      <c r="D551" s="118"/>
      <c r="E551" s="118"/>
      <c r="F551" s="116" t="s">
        <v>1792</v>
      </c>
      <c r="G551" t="s">
        <v>1793</v>
      </c>
      <c r="H551" s="117" t="s">
        <v>105</v>
      </c>
      <c r="I551" s="117" t="s">
        <v>106</v>
      </c>
    </row>
    <row r="552" spans="1:9" x14ac:dyDescent="0.25">
      <c r="A552" t="s">
        <v>1896</v>
      </c>
      <c r="B552" s="115" t="s">
        <v>1897</v>
      </c>
      <c r="C552" t="s">
        <v>1898</v>
      </c>
      <c r="D552" s="118"/>
      <c r="E552" s="118"/>
      <c r="F552" s="116" t="s">
        <v>1795</v>
      </c>
      <c r="G552" t="s">
        <v>1796</v>
      </c>
      <c r="H552" s="117" t="s">
        <v>100</v>
      </c>
      <c r="I552" s="117" t="s">
        <v>187</v>
      </c>
    </row>
    <row r="553" spans="1:9" x14ac:dyDescent="0.25">
      <c r="A553" t="s">
        <v>1899</v>
      </c>
      <c r="B553" s="115" t="s">
        <v>1900</v>
      </c>
      <c r="C553" t="s">
        <v>1901</v>
      </c>
      <c r="D553" s="118"/>
      <c r="E553" s="118"/>
      <c r="F553" s="116" t="s">
        <v>1798</v>
      </c>
      <c r="G553" t="s">
        <v>1799</v>
      </c>
      <c r="H553" s="117" t="s">
        <v>100</v>
      </c>
      <c r="I553" s="117" t="s">
        <v>187</v>
      </c>
    </row>
    <row r="554" spans="1:9" x14ac:dyDescent="0.25">
      <c r="A554" t="s">
        <v>1902</v>
      </c>
      <c r="B554" s="115" t="s">
        <v>1903</v>
      </c>
      <c r="C554" t="s">
        <v>1904</v>
      </c>
      <c r="D554" s="118"/>
      <c r="E554" s="118"/>
      <c r="F554" s="116" t="s">
        <v>1801</v>
      </c>
      <c r="G554" t="s">
        <v>1802</v>
      </c>
      <c r="H554" s="117" t="s">
        <v>100</v>
      </c>
      <c r="I554" s="117" t="s">
        <v>187</v>
      </c>
    </row>
    <row r="555" spans="1:9" x14ac:dyDescent="0.25">
      <c r="A555" t="s">
        <v>1905</v>
      </c>
      <c r="B555" s="115" t="s">
        <v>1906</v>
      </c>
      <c r="C555" t="s">
        <v>1907</v>
      </c>
      <c r="D555" s="118"/>
      <c r="E555" s="118"/>
      <c r="F555" s="116" t="s">
        <v>1804</v>
      </c>
      <c r="G555" t="s">
        <v>1805</v>
      </c>
      <c r="H555" s="117" t="s">
        <v>100</v>
      </c>
      <c r="I555" s="117" t="s">
        <v>339</v>
      </c>
    </row>
    <row r="556" spans="1:9" x14ac:dyDescent="0.25">
      <c r="A556" t="s">
        <v>1908</v>
      </c>
      <c r="B556" s="115" t="s">
        <v>1909</v>
      </c>
      <c r="C556" t="s">
        <v>1910</v>
      </c>
      <c r="D556" s="118"/>
      <c r="E556" s="118"/>
      <c r="F556" s="116" t="s">
        <v>1807</v>
      </c>
      <c r="G556" t="s">
        <v>1808</v>
      </c>
      <c r="H556" s="117" t="s">
        <v>100</v>
      </c>
      <c r="I556" s="117" t="s">
        <v>339</v>
      </c>
    </row>
    <row r="557" spans="1:9" x14ac:dyDescent="0.25">
      <c r="A557" t="s">
        <v>1911</v>
      </c>
      <c r="B557" s="115" t="s">
        <v>1912</v>
      </c>
      <c r="C557" t="s">
        <v>1913</v>
      </c>
      <c r="D557" s="118"/>
      <c r="E557" s="118"/>
      <c r="F557" s="116" t="s">
        <v>1810</v>
      </c>
      <c r="G557" t="s">
        <v>1811</v>
      </c>
      <c r="H557" s="117" t="s">
        <v>170</v>
      </c>
      <c r="I557" s="117" t="s">
        <v>202</v>
      </c>
    </row>
    <row r="558" spans="1:9" x14ac:dyDescent="0.25">
      <c r="A558" t="s">
        <v>1914</v>
      </c>
      <c r="B558" s="115" t="s">
        <v>1915</v>
      </c>
      <c r="C558" t="s">
        <v>1916</v>
      </c>
      <c r="D558" s="118"/>
      <c r="E558" s="118"/>
      <c r="F558" s="116" t="s">
        <v>1813</v>
      </c>
      <c r="G558" t="s">
        <v>1814</v>
      </c>
      <c r="H558" s="117" t="s">
        <v>220</v>
      </c>
      <c r="I558" s="117" t="s">
        <v>221</v>
      </c>
    </row>
    <row r="559" spans="1:9" x14ac:dyDescent="0.25">
      <c r="A559" t="s">
        <v>1917</v>
      </c>
      <c r="B559" s="115" t="s">
        <v>1918</v>
      </c>
      <c r="C559" t="s">
        <v>1919</v>
      </c>
      <c r="D559" s="118"/>
      <c r="E559" s="118"/>
      <c r="F559" s="116" t="s">
        <v>1816</v>
      </c>
      <c r="G559" t="s">
        <v>1817</v>
      </c>
      <c r="H559" s="117" t="s">
        <v>105</v>
      </c>
      <c r="I559" s="117" t="s">
        <v>106</v>
      </c>
    </row>
    <row r="560" spans="1:9" x14ac:dyDescent="0.25">
      <c r="A560" t="s">
        <v>1920</v>
      </c>
      <c r="B560" s="115" t="s">
        <v>1921</v>
      </c>
      <c r="C560" t="s">
        <v>1922</v>
      </c>
      <c r="D560" s="118"/>
      <c r="E560" s="118"/>
      <c r="F560" s="116" t="s">
        <v>1821</v>
      </c>
      <c r="G560" t="s">
        <v>1822</v>
      </c>
      <c r="H560" s="117" t="s">
        <v>328</v>
      </c>
      <c r="I560" s="117" t="s">
        <v>796</v>
      </c>
    </row>
    <row r="561" spans="1:9" x14ac:dyDescent="0.25">
      <c r="A561" t="s">
        <v>1923</v>
      </c>
      <c r="B561" s="115" t="s">
        <v>1924</v>
      </c>
      <c r="C561" t="s">
        <v>1925</v>
      </c>
      <c r="D561" s="118"/>
      <c r="E561" s="118"/>
      <c r="F561" s="116" t="s">
        <v>1824</v>
      </c>
      <c r="G561" t="s">
        <v>1825</v>
      </c>
      <c r="H561" s="117" t="s">
        <v>260</v>
      </c>
      <c r="I561" s="117" t="s">
        <v>440</v>
      </c>
    </row>
    <row r="562" spans="1:9" x14ac:dyDescent="0.25">
      <c r="A562" t="s">
        <v>1926</v>
      </c>
      <c r="B562" s="115" t="s">
        <v>1927</v>
      </c>
      <c r="C562" t="s">
        <v>1928</v>
      </c>
      <c r="D562" s="118"/>
      <c r="E562" s="118"/>
      <c r="F562" s="116" t="s">
        <v>1929</v>
      </c>
      <c r="G562" t="s">
        <v>1930</v>
      </c>
      <c r="H562" s="117" t="s">
        <v>170</v>
      </c>
      <c r="I562" s="117" t="s">
        <v>202</v>
      </c>
    </row>
    <row r="563" spans="1:9" x14ac:dyDescent="0.25">
      <c r="A563" t="s">
        <v>1931</v>
      </c>
      <c r="B563" s="115" t="s">
        <v>1932</v>
      </c>
      <c r="C563" t="s">
        <v>1933</v>
      </c>
      <c r="D563" s="118"/>
      <c r="E563" s="118"/>
      <c r="F563" s="116" t="s">
        <v>1827</v>
      </c>
      <c r="G563" t="s">
        <v>1828</v>
      </c>
      <c r="H563" s="117" t="s">
        <v>105</v>
      </c>
      <c r="I563" s="117" t="s">
        <v>106</v>
      </c>
    </row>
    <row r="564" spans="1:9" x14ac:dyDescent="0.25">
      <c r="A564" t="s">
        <v>1934</v>
      </c>
      <c r="B564" s="115" t="s">
        <v>1935</v>
      </c>
      <c r="C564" t="s">
        <v>1936</v>
      </c>
      <c r="D564" s="118"/>
      <c r="E564" s="118"/>
      <c r="F564" s="116" t="s">
        <v>1830</v>
      </c>
      <c r="G564" t="s">
        <v>1831</v>
      </c>
      <c r="H564" s="117" t="s">
        <v>100</v>
      </c>
      <c r="I564" s="117" t="s">
        <v>101</v>
      </c>
    </row>
    <row r="565" spans="1:9" x14ac:dyDescent="0.25">
      <c r="A565" t="s">
        <v>1937</v>
      </c>
      <c r="B565" s="115" t="s">
        <v>1938</v>
      </c>
      <c r="C565" t="s">
        <v>1939</v>
      </c>
      <c r="D565" s="118"/>
      <c r="E565" s="118"/>
      <c r="F565" s="116" t="s">
        <v>1833</v>
      </c>
      <c r="G565" t="s">
        <v>1834</v>
      </c>
      <c r="H565" s="117" t="s">
        <v>328</v>
      </c>
      <c r="I565" s="117" t="s">
        <v>796</v>
      </c>
    </row>
    <row r="566" spans="1:9" x14ac:dyDescent="0.25">
      <c r="A566" t="s">
        <v>1940</v>
      </c>
      <c r="B566" s="115" t="s">
        <v>1941</v>
      </c>
      <c r="C566" t="s">
        <v>1942</v>
      </c>
      <c r="D566" s="118"/>
      <c r="E566" s="118"/>
      <c r="F566" s="116" t="s">
        <v>1837</v>
      </c>
      <c r="G566" t="s">
        <v>1838</v>
      </c>
      <c r="H566" s="117" t="s">
        <v>260</v>
      </c>
      <c r="I566" s="117" t="s">
        <v>440</v>
      </c>
    </row>
    <row r="567" spans="1:9" x14ac:dyDescent="0.25">
      <c r="A567" t="s">
        <v>1943</v>
      </c>
      <c r="B567" s="115" t="s">
        <v>1944</v>
      </c>
      <c r="C567" t="s">
        <v>1945</v>
      </c>
      <c r="D567" s="118"/>
      <c r="E567" s="118"/>
      <c r="F567" s="116" t="s">
        <v>1840</v>
      </c>
      <c r="G567" t="s">
        <v>1841</v>
      </c>
      <c r="H567" s="117" t="s">
        <v>170</v>
      </c>
      <c r="I567" s="117" t="s">
        <v>171</v>
      </c>
    </row>
    <row r="568" spans="1:9" x14ac:dyDescent="0.25">
      <c r="A568" t="s">
        <v>1946</v>
      </c>
      <c r="B568" s="115" t="s">
        <v>1947</v>
      </c>
      <c r="C568" t="s">
        <v>1948</v>
      </c>
      <c r="D568" s="118"/>
      <c r="E568" s="118"/>
      <c r="F568" s="116" t="s">
        <v>1949</v>
      </c>
      <c r="G568" t="s">
        <v>1950</v>
      </c>
      <c r="H568" s="117" t="s">
        <v>220</v>
      </c>
      <c r="I568" s="117" t="s">
        <v>221</v>
      </c>
    </row>
    <row r="569" spans="1:9" x14ac:dyDescent="0.25">
      <c r="A569" t="s">
        <v>1951</v>
      </c>
      <c r="B569" s="115" t="s">
        <v>1952</v>
      </c>
      <c r="C569" t="s">
        <v>1953</v>
      </c>
      <c r="D569" s="118"/>
      <c r="E569" s="118"/>
      <c r="F569" s="116" t="s">
        <v>1843</v>
      </c>
      <c r="G569" t="s">
        <v>1844</v>
      </c>
      <c r="H569" s="117" t="s">
        <v>260</v>
      </c>
      <c r="I569" s="117" t="s">
        <v>367</v>
      </c>
    </row>
    <row r="570" spans="1:9" x14ac:dyDescent="0.25">
      <c r="A570" t="s">
        <v>1954</v>
      </c>
      <c r="B570" s="115" t="s">
        <v>1955</v>
      </c>
      <c r="C570" t="s">
        <v>1956</v>
      </c>
      <c r="D570" s="118"/>
      <c r="E570" s="118"/>
      <c r="F570" s="116" t="s">
        <v>1846</v>
      </c>
      <c r="G570" t="s">
        <v>1847</v>
      </c>
      <c r="H570" s="117" t="s">
        <v>165</v>
      </c>
      <c r="I570" s="117" t="s">
        <v>206</v>
      </c>
    </row>
    <row r="571" spans="1:9" x14ac:dyDescent="0.25">
      <c r="A571" t="s">
        <v>1957</v>
      </c>
      <c r="B571" s="115" t="s">
        <v>1958</v>
      </c>
      <c r="C571" t="s">
        <v>1959</v>
      </c>
      <c r="D571" s="118"/>
      <c r="E571" s="118"/>
      <c r="F571" s="116" t="s">
        <v>1849</v>
      </c>
      <c r="G571" t="s">
        <v>1850</v>
      </c>
      <c r="H571" s="117" t="s">
        <v>100</v>
      </c>
      <c r="I571" s="117" t="s">
        <v>187</v>
      </c>
    </row>
    <row r="572" spans="1:9" x14ac:dyDescent="0.25">
      <c r="A572" t="s">
        <v>1960</v>
      </c>
      <c r="B572" s="115" t="s">
        <v>1961</v>
      </c>
      <c r="C572" t="s">
        <v>1962</v>
      </c>
      <c r="D572" s="118"/>
      <c r="E572" s="118"/>
      <c r="F572" s="116" t="s">
        <v>1855</v>
      </c>
      <c r="G572" t="s">
        <v>1856</v>
      </c>
      <c r="H572" s="117" t="s">
        <v>105</v>
      </c>
      <c r="I572" s="117" t="s">
        <v>174</v>
      </c>
    </row>
    <row r="573" spans="1:9" x14ac:dyDescent="0.25">
      <c r="A573" t="s">
        <v>1963</v>
      </c>
      <c r="B573" s="115" t="s">
        <v>1964</v>
      </c>
      <c r="C573" t="s">
        <v>1965</v>
      </c>
      <c r="D573" s="118"/>
      <c r="E573" s="118"/>
      <c r="F573" s="116" t="s">
        <v>1858</v>
      </c>
      <c r="G573" t="s">
        <v>1859</v>
      </c>
      <c r="H573" s="117" t="s">
        <v>105</v>
      </c>
      <c r="I573" s="117" t="s">
        <v>174</v>
      </c>
    </row>
    <row r="574" spans="1:9" x14ac:dyDescent="0.25">
      <c r="A574" t="s">
        <v>1966</v>
      </c>
      <c r="B574" s="115" t="s">
        <v>1967</v>
      </c>
      <c r="C574" t="s">
        <v>1968</v>
      </c>
      <c r="D574" s="118"/>
      <c r="E574" s="118"/>
      <c r="F574" s="116" t="s">
        <v>1861</v>
      </c>
      <c r="G574" t="s">
        <v>1862</v>
      </c>
      <c r="H574" s="117" t="s">
        <v>105</v>
      </c>
      <c r="I574" s="117" t="s">
        <v>174</v>
      </c>
    </row>
    <row r="575" spans="1:9" x14ac:dyDescent="0.25">
      <c r="A575" t="s">
        <v>1969</v>
      </c>
      <c r="B575" s="115" t="s">
        <v>1970</v>
      </c>
      <c r="C575" t="s">
        <v>1971</v>
      </c>
      <c r="D575" s="118"/>
      <c r="E575" s="118"/>
      <c r="F575" s="116" t="s">
        <v>1864</v>
      </c>
      <c r="G575" t="s">
        <v>187</v>
      </c>
      <c r="H575" s="117" t="s">
        <v>100</v>
      </c>
      <c r="I575" s="117" t="s">
        <v>187</v>
      </c>
    </row>
    <row r="576" spans="1:9" x14ac:dyDescent="0.25">
      <c r="A576" t="s">
        <v>1972</v>
      </c>
      <c r="B576" s="115" t="s">
        <v>1973</v>
      </c>
      <c r="C576" t="s">
        <v>1974</v>
      </c>
      <c r="D576" s="118"/>
      <c r="E576" s="118"/>
      <c r="F576" s="116" t="s">
        <v>1866</v>
      </c>
      <c r="G576" t="s">
        <v>1867</v>
      </c>
      <c r="H576" s="117" t="s">
        <v>220</v>
      </c>
      <c r="I576" s="117" t="s">
        <v>221</v>
      </c>
    </row>
    <row r="577" spans="1:9" x14ac:dyDescent="0.25">
      <c r="A577" t="s">
        <v>1975</v>
      </c>
      <c r="B577" s="115" t="s">
        <v>1976</v>
      </c>
      <c r="C577" t="s">
        <v>1977</v>
      </c>
      <c r="D577" s="118"/>
      <c r="E577" s="118"/>
      <c r="F577" s="116" t="s">
        <v>1869</v>
      </c>
      <c r="G577" t="s">
        <v>1870</v>
      </c>
      <c r="H577" s="117" t="s">
        <v>328</v>
      </c>
      <c r="I577" s="117" t="s">
        <v>295</v>
      </c>
    </row>
    <row r="578" spans="1:9" x14ac:dyDescent="0.25">
      <c r="A578" t="s">
        <v>1978</v>
      </c>
      <c r="B578" s="115" t="s">
        <v>1979</v>
      </c>
      <c r="C578" t="s">
        <v>1980</v>
      </c>
      <c r="D578" s="118"/>
      <c r="E578" s="118"/>
      <c r="F578" s="116" t="s">
        <v>1872</v>
      </c>
      <c r="G578" t="s">
        <v>16</v>
      </c>
      <c r="H578" s="117" t="s">
        <v>220</v>
      </c>
      <c r="I578" s="117" t="s">
        <v>221</v>
      </c>
    </row>
    <row r="579" spans="1:9" x14ac:dyDescent="0.25">
      <c r="A579" t="s">
        <v>1981</v>
      </c>
      <c r="B579" s="115" t="s">
        <v>1982</v>
      </c>
      <c r="C579" t="s">
        <v>1983</v>
      </c>
      <c r="D579" s="118"/>
      <c r="E579" s="118"/>
      <c r="F579" s="116" t="s">
        <v>1984</v>
      </c>
      <c r="G579" t="s">
        <v>1985</v>
      </c>
      <c r="H579" s="117" t="s">
        <v>260</v>
      </c>
      <c r="I579" s="117" t="s">
        <v>1146</v>
      </c>
    </row>
    <row r="580" spans="1:9" x14ac:dyDescent="0.25">
      <c r="A580" t="s">
        <v>1986</v>
      </c>
      <c r="B580" s="115" t="s">
        <v>1987</v>
      </c>
      <c r="C580" t="s">
        <v>1988</v>
      </c>
      <c r="D580" s="118"/>
      <c r="E580" s="118"/>
      <c r="F580" s="116" t="s">
        <v>1874</v>
      </c>
      <c r="G580" t="s">
        <v>1875</v>
      </c>
      <c r="H580" s="117" t="s">
        <v>260</v>
      </c>
      <c r="I580" s="117" t="s">
        <v>367</v>
      </c>
    </row>
    <row r="581" spans="1:9" x14ac:dyDescent="0.25">
      <c r="A581" t="s">
        <v>1989</v>
      </c>
      <c r="B581" s="115" t="s">
        <v>57</v>
      </c>
      <c r="C581" t="s">
        <v>1990</v>
      </c>
      <c r="D581" s="118"/>
      <c r="E581" s="118"/>
      <c r="F581" s="116" t="s">
        <v>1877</v>
      </c>
      <c r="G581" t="s">
        <v>1878</v>
      </c>
      <c r="H581" s="117" t="s">
        <v>260</v>
      </c>
      <c r="I581" s="117" t="s">
        <v>261</v>
      </c>
    </row>
    <row r="582" spans="1:9" x14ac:dyDescent="0.25">
      <c r="A582" t="s">
        <v>1991</v>
      </c>
      <c r="B582" s="115" t="s">
        <v>1992</v>
      </c>
      <c r="C582" t="s">
        <v>1993</v>
      </c>
      <c r="D582" s="118"/>
      <c r="E582" s="118"/>
      <c r="F582" s="116" t="s">
        <v>1880</v>
      </c>
      <c r="G582" t="s">
        <v>1881</v>
      </c>
      <c r="H582" s="117" t="s">
        <v>165</v>
      </c>
      <c r="I582" s="117" t="s">
        <v>166</v>
      </c>
    </row>
    <row r="583" spans="1:9" x14ac:dyDescent="0.25">
      <c r="A583" t="s">
        <v>1994</v>
      </c>
      <c r="B583" s="115" t="s">
        <v>1995</v>
      </c>
      <c r="C583" t="s">
        <v>1996</v>
      </c>
      <c r="D583" s="118"/>
      <c r="E583" s="118"/>
      <c r="F583" s="116" t="s">
        <v>1883</v>
      </c>
      <c r="G583" t="s">
        <v>1884</v>
      </c>
      <c r="H583" s="117" t="s">
        <v>170</v>
      </c>
      <c r="I583" s="117" t="s">
        <v>171</v>
      </c>
    </row>
    <row r="584" spans="1:9" x14ac:dyDescent="0.25">
      <c r="A584" t="s">
        <v>1997</v>
      </c>
      <c r="B584" s="115" t="s">
        <v>1998</v>
      </c>
      <c r="C584" t="s">
        <v>1999</v>
      </c>
      <c r="D584" s="118"/>
      <c r="E584" s="118"/>
      <c r="F584" s="116" t="s">
        <v>1888</v>
      </c>
      <c r="G584" t="s">
        <v>1889</v>
      </c>
      <c r="H584" s="117" t="s">
        <v>170</v>
      </c>
      <c r="I584" s="117" t="s">
        <v>171</v>
      </c>
    </row>
    <row r="585" spans="1:9" x14ac:dyDescent="0.25">
      <c r="A585" t="s">
        <v>2000</v>
      </c>
      <c r="B585" s="115" t="s">
        <v>2001</v>
      </c>
      <c r="C585" t="s">
        <v>2002</v>
      </c>
      <c r="D585" s="118"/>
      <c r="E585" s="118"/>
      <c r="F585" s="116" t="s">
        <v>2003</v>
      </c>
      <c r="G585" t="s">
        <v>2004</v>
      </c>
      <c r="H585" s="117" t="s">
        <v>220</v>
      </c>
      <c r="I585" s="117" t="s">
        <v>221</v>
      </c>
    </row>
    <row r="586" spans="1:9" x14ac:dyDescent="0.25">
      <c r="A586" t="s">
        <v>2005</v>
      </c>
      <c r="B586" s="115" t="s">
        <v>2006</v>
      </c>
      <c r="C586" t="s">
        <v>2007</v>
      </c>
      <c r="D586" s="118"/>
      <c r="E586" s="118"/>
      <c r="F586" s="116" t="s">
        <v>1893</v>
      </c>
      <c r="G586" t="s">
        <v>1894</v>
      </c>
      <c r="H586" s="117" t="s">
        <v>220</v>
      </c>
      <c r="I586" s="117" t="s">
        <v>221</v>
      </c>
    </row>
    <row r="587" spans="1:9" x14ac:dyDescent="0.25">
      <c r="A587" t="s">
        <v>2008</v>
      </c>
      <c r="B587" s="115" t="s">
        <v>2009</v>
      </c>
      <c r="C587" t="s">
        <v>2010</v>
      </c>
      <c r="D587" s="118"/>
      <c r="E587" s="118"/>
      <c r="F587" s="116" t="s">
        <v>1896</v>
      </c>
      <c r="G587" t="s">
        <v>1897</v>
      </c>
      <c r="H587" s="117" t="s">
        <v>100</v>
      </c>
      <c r="I587" s="117" t="s">
        <v>187</v>
      </c>
    </row>
    <row r="588" spans="1:9" x14ac:dyDescent="0.25">
      <c r="A588" t="s">
        <v>2011</v>
      </c>
      <c r="B588" s="115" t="s">
        <v>2012</v>
      </c>
      <c r="C588" t="s">
        <v>2013</v>
      </c>
      <c r="D588" s="118"/>
      <c r="E588" s="118"/>
      <c r="F588" s="116" t="s">
        <v>2014</v>
      </c>
      <c r="G588" t="s">
        <v>2015</v>
      </c>
      <c r="H588" s="117" t="s">
        <v>260</v>
      </c>
      <c r="I588" s="117" t="s">
        <v>261</v>
      </c>
    </row>
    <row r="589" spans="1:9" x14ac:dyDescent="0.25">
      <c r="A589" t="s">
        <v>2016</v>
      </c>
      <c r="B589" s="115" t="s">
        <v>2017</v>
      </c>
      <c r="C589" t="s">
        <v>2018</v>
      </c>
      <c r="D589" s="118"/>
      <c r="E589" s="118"/>
      <c r="F589" s="116" t="s">
        <v>1899</v>
      </c>
      <c r="G589" t="s">
        <v>1900</v>
      </c>
      <c r="H589" s="117" t="s">
        <v>170</v>
      </c>
      <c r="I589" s="117" t="s">
        <v>202</v>
      </c>
    </row>
    <row r="590" spans="1:9" x14ac:dyDescent="0.25">
      <c r="A590" t="s">
        <v>2019</v>
      </c>
      <c r="B590" s="115" t="s">
        <v>2020</v>
      </c>
      <c r="C590" t="s">
        <v>2021</v>
      </c>
      <c r="D590" s="118"/>
      <c r="E590" s="118"/>
      <c r="F590" s="116" t="s">
        <v>1902</v>
      </c>
      <c r="G590" t="s">
        <v>1903</v>
      </c>
      <c r="H590" s="117" t="s">
        <v>260</v>
      </c>
      <c r="I590" s="117" t="s">
        <v>367</v>
      </c>
    </row>
    <row r="591" spans="1:9" x14ac:dyDescent="0.25">
      <c r="A591" t="s">
        <v>2022</v>
      </c>
      <c r="B591" s="115" t="s">
        <v>2023</v>
      </c>
      <c r="C591" t="s">
        <v>2024</v>
      </c>
      <c r="D591" s="118"/>
      <c r="E591" s="118"/>
      <c r="F591" s="116" t="s">
        <v>1905</v>
      </c>
      <c r="G591" t="s">
        <v>1906</v>
      </c>
      <c r="H591" s="117" t="s">
        <v>100</v>
      </c>
      <c r="I591" s="117" t="s">
        <v>339</v>
      </c>
    </row>
    <row r="592" spans="1:9" x14ac:dyDescent="0.25">
      <c r="A592" t="s">
        <v>2025</v>
      </c>
      <c r="B592" s="115" t="s">
        <v>2026</v>
      </c>
      <c r="C592" t="s">
        <v>2027</v>
      </c>
      <c r="D592" s="118"/>
      <c r="E592" s="118"/>
      <c r="F592" s="116" t="s">
        <v>2028</v>
      </c>
      <c r="G592" t="s">
        <v>2029</v>
      </c>
      <c r="H592" s="117" t="s">
        <v>165</v>
      </c>
      <c r="I592" s="117" t="s">
        <v>166</v>
      </c>
    </row>
    <row r="593" spans="1:9" x14ac:dyDescent="0.25">
      <c r="A593" t="s">
        <v>2030</v>
      </c>
      <c r="B593" s="115" t="s">
        <v>2031</v>
      </c>
      <c r="C593" t="s">
        <v>2032</v>
      </c>
      <c r="D593" s="118"/>
      <c r="E593" s="118"/>
      <c r="F593" s="116" t="s">
        <v>1908</v>
      </c>
      <c r="G593" t="s">
        <v>1909</v>
      </c>
      <c r="H593" s="117" t="s">
        <v>100</v>
      </c>
      <c r="I593" s="117" t="s">
        <v>101</v>
      </c>
    </row>
    <row r="594" spans="1:9" x14ac:dyDescent="0.25">
      <c r="A594" t="s">
        <v>2033</v>
      </c>
      <c r="B594" s="115" t="s">
        <v>2034</v>
      </c>
      <c r="C594" t="s">
        <v>2035</v>
      </c>
      <c r="D594" s="118"/>
      <c r="E594" s="118"/>
      <c r="F594" s="116" t="s">
        <v>1911</v>
      </c>
      <c r="G594" t="s">
        <v>1912</v>
      </c>
      <c r="H594" s="117" t="s">
        <v>260</v>
      </c>
      <c r="I594" s="117" t="s">
        <v>261</v>
      </c>
    </row>
    <row r="595" spans="1:9" x14ac:dyDescent="0.25">
      <c r="A595" t="s">
        <v>2036</v>
      </c>
      <c r="B595" s="115" t="s">
        <v>2037</v>
      </c>
      <c r="C595" t="s">
        <v>2038</v>
      </c>
      <c r="D595" s="118"/>
      <c r="E595" s="118"/>
      <c r="F595" s="116" t="s">
        <v>1914</v>
      </c>
      <c r="G595" t="s">
        <v>1915</v>
      </c>
      <c r="H595" s="117" t="s">
        <v>100</v>
      </c>
      <c r="I595" s="117" t="s">
        <v>187</v>
      </c>
    </row>
    <row r="596" spans="1:9" x14ac:dyDescent="0.25">
      <c r="A596" t="s">
        <v>2039</v>
      </c>
      <c r="B596" s="115" t="s">
        <v>2040</v>
      </c>
      <c r="C596" t="s">
        <v>2041</v>
      </c>
      <c r="D596" s="118"/>
      <c r="E596" s="118"/>
      <c r="F596" s="116" t="s">
        <v>1917</v>
      </c>
      <c r="G596" t="s">
        <v>1918</v>
      </c>
      <c r="H596" s="117" t="s">
        <v>115</v>
      </c>
      <c r="I596" s="117" t="s">
        <v>116</v>
      </c>
    </row>
    <row r="597" spans="1:9" x14ac:dyDescent="0.25">
      <c r="A597" t="s">
        <v>2042</v>
      </c>
      <c r="B597" s="115" t="s">
        <v>2043</v>
      </c>
      <c r="C597" t="s">
        <v>2044</v>
      </c>
      <c r="D597" s="118"/>
      <c r="E597" s="118"/>
      <c r="F597" s="116" t="s">
        <v>1920</v>
      </c>
      <c r="G597" t="s">
        <v>1921</v>
      </c>
      <c r="H597" s="117" t="s">
        <v>220</v>
      </c>
      <c r="I597" s="117" t="s">
        <v>367</v>
      </c>
    </row>
    <row r="598" spans="1:9" x14ac:dyDescent="0.25">
      <c r="A598" t="s">
        <v>2045</v>
      </c>
      <c r="B598" s="115" t="s">
        <v>2046</v>
      </c>
      <c r="C598" t="s">
        <v>2047</v>
      </c>
      <c r="D598" s="118"/>
      <c r="E598" s="118"/>
      <c r="F598" s="116" t="s">
        <v>1923</v>
      </c>
      <c r="G598" t="s">
        <v>1924</v>
      </c>
      <c r="H598" s="117" t="s">
        <v>220</v>
      </c>
      <c r="I598" s="117" t="s">
        <v>367</v>
      </c>
    </row>
    <row r="599" spans="1:9" x14ac:dyDescent="0.25">
      <c r="A599" t="s">
        <v>2048</v>
      </c>
      <c r="B599" s="115" t="s">
        <v>2049</v>
      </c>
      <c r="C599" t="s">
        <v>2050</v>
      </c>
      <c r="D599" s="118"/>
      <c r="E599" s="118"/>
      <c r="F599" s="116" t="s">
        <v>1926</v>
      </c>
      <c r="G599" t="s">
        <v>1927</v>
      </c>
      <c r="H599" s="117" t="s">
        <v>105</v>
      </c>
      <c r="I599" s="117" t="s">
        <v>106</v>
      </c>
    </row>
    <row r="600" spans="1:9" x14ac:dyDescent="0.25">
      <c r="A600" t="s">
        <v>2051</v>
      </c>
      <c r="B600" s="115" t="s">
        <v>2052</v>
      </c>
      <c r="C600" t="s">
        <v>2053</v>
      </c>
      <c r="D600" s="118"/>
      <c r="E600" s="118"/>
      <c r="F600" s="116" t="s">
        <v>2054</v>
      </c>
      <c r="G600" t="s">
        <v>2055</v>
      </c>
      <c r="H600" s="117" t="s">
        <v>220</v>
      </c>
      <c r="I600" s="117" t="s">
        <v>221</v>
      </c>
    </row>
    <row r="601" spans="1:9" x14ac:dyDescent="0.25">
      <c r="A601" t="s">
        <v>2056</v>
      </c>
      <c r="B601" s="115" t="s">
        <v>2057</v>
      </c>
      <c r="C601" t="s">
        <v>2058</v>
      </c>
      <c r="D601" s="118"/>
      <c r="E601" s="118"/>
      <c r="F601" s="116" t="s">
        <v>1931</v>
      </c>
      <c r="G601" t="s">
        <v>1932</v>
      </c>
      <c r="H601" s="117" t="s">
        <v>165</v>
      </c>
      <c r="I601" s="117" t="s">
        <v>206</v>
      </c>
    </row>
    <row r="602" spans="1:9" x14ac:dyDescent="0.25">
      <c r="A602" t="s">
        <v>2059</v>
      </c>
      <c r="B602" s="115" t="s">
        <v>2060</v>
      </c>
      <c r="C602" t="s">
        <v>2061</v>
      </c>
      <c r="D602" s="118"/>
      <c r="E602" s="118"/>
      <c r="F602" s="116" t="s">
        <v>1934</v>
      </c>
      <c r="G602" t="s">
        <v>1935</v>
      </c>
      <c r="H602" s="117" t="s">
        <v>115</v>
      </c>
      <c r="I602" s="117" t="s">
        <v>123</v>
      </c>
    </row>
    <row r="603" spans="1:9" x14ac:dyDescent="0.25">
      <c r="A603" t="s">
        <v>2062</v>
      </c>
      <c r="B603" s="115" t="s">
        <v>2063</v>
      </c>
      <c r="C603" t="s">
        <v>2064</v>
      </c>
      <c r="D603" s="118"/>
      <c r="E603" s="118"/>
      <c r="F603" s="116" t="s">
        <v>1937</v>
      </c>
      <c r="G603" t="s">
        <v>1938</v>
      </c>
      <c r="H603" s="117" t="s">
        <v>105</v>
      </c>
      <c r="I603" s="117" t="s">
        <v>106</v>
      </c>
    </row>
    <row r="604" spans="1:9" x14ac:dyDescent="0.25">
      <c r="A604" t="s">
        <v>2065</v>
      </c>
      <c r="B604" s="115" t="s">
        <v>2066</v>
      </c>
      <c r="C604" t="s">
        <v>2067</v>
      </c>
      <c r="D604" s="118"/>
      <c r="E604" s="118"/>
      <c r="F604" s="116" t="s">
        <v>1940</v>
      </c>
      <c r="G604" t="s">
        <v>1941</v>
      </c>
      <c r="H604" s="117" t="s">
        <v>328</v>
      </c>
      <c r="I604" s="117" t="s">
        <v>522</v>
      </c>
    </row>
    <row r="605" spans="1:9" x14ac:dyDescent="0.25">
      <c r="A605" t="s">
        <v>2068</v>
      </c>
      <c r="B605" s="115" t="s">
        <v>2069</v>
      </c>
      <c r="C605" t="s">
        <v>2070</v>
      </c>
      <c r="D605" s="118"/>
      <c r="E605" s="118"/>
      <c r="F605" s="116" t="s">
        <v>1943</v>
      </c>
      <c r="G605" t="s">
        <v>1944</v>
      </c>
      <c r="H605" s="117" t="s">
        <v>170</v>
      </c>
      <c r="I605" s="117" t="s">
        <v>202</v>
      </c>
    </row>
    <row r="606" spans="1:9" x14ac:dyDescent="0.25">
      <c r="A606" t="s">
        <v>2071</v>
      </c>
      <c r="B606" s="115" t="s">
        <v>2072</v>
      </c>
      <c r="C606" t="s">
        <v>2073</v>
      </c>
      <c r="D606" s="118"/>
      <c r="E606" s="118"/>
      <c r="F606" s="116" t="s">
        <v>1946</v>
      </c>
      <c r="G606" t="s">
        <v>1947</v>
      </c>
      <c r="H606" s="117" t="s">
        <v>105</v>
      </c>
      <c r="I606" s="117" t="s">
        <v>174</v>
      </c>
    </row>
    <row r="607" spans="1:9" x14ac:dyDescent="0.25">
      <c r="A607" t="s">
        <v>2074</v>
      </c>
      <c r="B607" s="115" t="s">
        <v>2075</v>
      </c>
      <c r="C607" t="s">
        <v>2076</v>
      </c>
      <c r="D607" s="118"/>
      <c r="E607" s="118"/>
      <c r="F607" s="116" t="s">
        <v>1951</v>
      </c>
      <c r="G607" t="s">
        <v>1952</v>
      </c>
      <c r="H607" s="117" t="s">
        <v>260</v>
      </c>
      <c r="I607" s="117" t="s">
        <v>261</v>
      </c>
    </row>
    <row r="608" spans="1:9" x14ac:dyDescent="0.25">
      <c r="A608" t="s">
        <v>2077</v>
      </c>
      <c r="B608" s="115" t="s">
        <v>2078</v>
      </c>
      <c r="C608" t="s">
        <v>2079</v>
      </c>
      <c r="D608" s="118"/>
      <c r="E608" s="118"/>
      <c r="F608" s="116" t="s">
        <v>1954</v>
      </c>
      <c r="G608" t="s">
        <v>1955</v>
      </c>
      <c r="H608" s="117" t="s">
        <v>100</v>
      </c>
      <c r="I608" s="117" t="s">
        <v>110</v>
      </c>
    </row>
    <row r="609" spans="1:9" x14ac:dyDescent="0.25">
      <c r="A609" t="s">
        <v>2080</v>
      </c>
      <c r="B609" s="115" t="s">
        <v>2081</v>
      </c>
      <c r="C609" t="s">
        <v>2082</v>
      </c>
      <c r="D609" s="118"/>
      <c r="E609" s="118"/>
      <c r="F609" s="116" t="s">
        <v>1957</v>
      </c>
      <c r="G609" t="s">
        <v>1958</v>
      </c>
      <c r="H609" s="117" t="s">
        <v>100</v>
      </c>
      <c r="I609" s="117" t="s">
        <v>110</v>
      </c>
    </row>
    <row r="610" spans="1:9" x14ac:dyDescent="0.25">
      <c r="A610" t="s">
        <v>2083</v>
      </c>
      <c r="B610" s="115" t="s">
        <v>2084</v>
      </c>
      <c r="C610" t="s">
        <v>2083</v>
      </c>
      <c r="D610" s="118"/>
      <c r="E610" s="118"/>
      <c r="F610" s="116" t="s">
        <v>2085</v>
      </c>
      <c r="G610" t="s">
        <v>2086</v>
      </c>
      <c r="H610" s="117" t="s">
        <v>100</v>
      </c>
      <c r="I610" s="117" t="s">
        <v>110</v>
      </c>
    </row>
    <row r="611" spans="1:9" x14ac:dyDescent="0.25">
      <c r="A611" t="s">
        <v>2087</v>
      </c>
      <c r="B611" s="115" t="s">
        <v>2088</v>
      </c>
      <c r="C611" t="s">
        <v>2089</v>
      </c>
      <c r="D611" s="118"/>
      <c r="E611" s="118"/>
      <c r="F611" s="116" t="s">
        <v>1960</v>
      </c>
      <c r="G611" t="s">
        <v>1961</v>
      </c>
      <c r="H611" s="117" t="s">
        <v>100</v>
      </c>
      <c r="I611" s="117" t="s">
        <v>250</v>
      </c>
    </row>
    <row r="612" spans="1:9" x14ac:dyDescent="0.25">
      <c r="A612" t="s">
        <v>2090</v>
      </c>
      <c r="B612" s="115" t="s">
        <v>2091</v>
      </c>
      <c r="C612" t="s">
        <v>2092</v>
      </c>
      <c r="D612" s="118"/>
      <c r="E612" s="118"/>
      <c r="F612" s="116" t="s">
        <v>1963</v>
      </c>
      <c r="G612" t="s">
        <v>1964</v>
      </c>
      <c r="H612" s="117" t="s">
        <v>160</v>
      </c>
      <c r="I612" s="117" t="s">
        <v>161</v>
      </c>
    </row>
    <row r="613" spans="1:9" x14ac:dyDescent="0.25">
      <c r="A613" t="s">
        <v>2093</v>
      </c>
      <c r="B613" s="115" t="s">
        <v>2094</v>
      </c>
      <c r="C613" t="s">
        <v>2095</v>
      </c>
      <c r="D613" s="118"/>
      <c r="E613" s="118"/>
      <c r="F613" s="116" t="s">
        <v>1966</v>
      </c>
      <c r="G613" t="s">
        <v>1967</v>
      </c>
      <c r="H613" s="117" t="s">
        <v>260</v>
      </c>
      <c r="I613" s="117" t="s">
        <v>261</v>
      </c>
    </row>
    <row r="614" spans="1:9" x14ac:dyDescent="0.25">
      <c r="A614" t="s">
        <v>2096</v>
      </c>
      <c r="B614" s="115" t="s">
        <v>2097</v>
      </c>
      <c r="C614" t="s">
        <v>2096</v>
      </c>
      <c r="D614" s="118"/>
      <c r="E614" s="118"/>
      <c r="F614" s="116" t="s">
        <v>2098</v>
      </c>
      <c r="G614" t="s">
        <v>261</v>
      </c>
      <c r="H614" s="117" t="s">
        <v>260</v>
      </c>
      <c r="I614" s="117" t="s">
        <v>261</v>
      </c>
    </row>
    <row r="615" spans="1:9" x14ac:dyDescent="0.25">
      <c r="A615" t="s">
        <v>2099</v>
      </c>
      <c r="B615" s="115" t="s">
        <v>2100</v>
      </c>
      <c r="C615" t="s">
        <v>2101</v>
      </c>
      <c r="D615" s="118"/>
      <c r="E615" s="118"/>
      <c r="F615" s="116" t="s">
        <v>1972</v>
      </c>
      <c r="G615" t="s">
        <v>1973</v>
      </c>
      <c r="H615" s="117" t="s">
        <v>170</v>
      </c>
      <c r="I615" s="117" t="s">
        <v>202</v>
      </c>
    </row>
    <row r="616" spans="1:9" x14ac:dyDescent="0.25">
      <c r="A616" t="s">
        <v>2102</v>
      </c>
      <c r="B616" s="115" t="s">
        <v>2103</v>
      </c>
      <c r="C616" t="s">
        <v>2104</v>
      </c>
      <c r="D616" s="118"/>
      <c r="E616" s="118"/>
      <c r="F616" s="116" t="s">
        <v>1975</v>
      </c>
      <c r="G616" t="s">
        <v>1976</v>
      </c>
      <c r="H616" s="117" t="s">
        <v>100</v>
      </c>
      <c r="I616" s="117" t="s">
        <v>250</v>
      </c>
    </row>
    <row r="617" spans="1:9" x14ac:dyDescent="0.25">
      <c r="A617" t="s">
        <v>2105</v>
      </c>
      <c r="B617" s="115" t="s">
        <v>2106</v>
      </c>
      <c r="C617" t="s">
        <v>2107</v>
      </c>
      <c r="D617" s="118"/>
      <c r="E617" s="118"/>
      <c r="F617" s="116" t="s">
        <v>1978</v>
      </c>
      <c r="G617" t="s">
        <v>1979</v>
      </c>
      <c r="H617" s="117" t="s">
        <v>105</v>
      </c>
      <c r="I617" s="117" t="s">
        <v>127</v>
      </c>
    </row>
    <row r="618" spans="1:9" x14ac:dyDescent="0.25">
      <c r="A618" t="s">
        <v>2108</v>
      </c>
      <c r="B618" s="115" t="s">
        <v>2109</v>
      </c>
      <c r="C618" t="s">
        <v>2110</v>
      </c>
      <c r="D618" s="118"/>
      <c r="E618" s="118"/>
      <c r="F618" s="116" t="s">
        <v>1981</v>
      </c>
      <c r="G618" t="s">
        <v>1982</v>
      </c>
      <c r="H618" s="117" t="s">
        <v>105</v>
      </c>
      <c r="I618" s="117" t="s">
        <v>280</v>
      </c>
    </row>
    <row r="619" spans="1:9" x14ac:dyDescent="0.25">
      <c r="A619" t="s">
        <v>2111</v>
      </c>
      <c r="B619" s="115" t="s">
        <v>2112</v>
      </c>
      <c r="C619" t="s">
        <v>2113</v>
      </c>
      <c r="D619" s="118"/>
      <c r="E619" s="118"/>
      <c r="F619" s="116" t="s">
        <v>2114</v>
      </c>
      <c r="G619" t="s">
        <v>2115</v>
      </c>
      <c r="H619" s="117" t="s">
        <v>160</v>
      </c>
      <c r="I619" s="117" t="s">
        <v>704</v>
      </c>
    </row>
    <row r="620" spans="1:9" x14ac:dyDescent="0.25">
      <c r="A620" t="s">
        <v>2116</v>
      </c>
      <c r="B620" s="115" t="s">
        <v>2117</v>
      </c>
      <c r="C620" t="s">
        <v>2118</v>
      </c>
      <c r="D620" s="118"/>
      <c r="E620" s="118"/>
      <c r="F620" s="116" t="s">
        <v>1986</v>
      </c>
      <c r="G620" t="s">
        <v>1987</v>
      </c>
      <c r="H620" s="117" t="s">
        <v>160</v>
      </c>
      <c r="I620" s="117" t="s">
        <v>704</v>
      </c>
    </row>
    <row r="621" spans="1:9" x14ac:dyDescent="0.25">
      <c r="A621" t="s">
        <v>2119</v>
      </c>
      <c r="B621" s="115" t="s">
        <v>2120</v>
      </c>
      <c r="C621" t="s">
        <v>2121</v>
      </c>
      <c r="D621" s="118"/>
      <c r="E621" s="118"/>
      <c r="F621" s="116" t="s">
        <v>1989</v>
      </c>
      <c r="G621" t="s">
        <v>57</v>
      </c>
      <c r="H621" s="117" t="s">
        <v>220</v>
      </c>
      <c r="I621" s="117" t="s">
        <v>221</v>
      </c>
    </row>
    <row r="622" spans="1:9" x14ac:dyDescent="0.25">
      <c r="A622" t="s">
        <v>2122</v>
      </c>
      <c r="B622" s="115" t="s">
        <v>2123</v>
      </c>
      <c r="C622" t="s">
        <v>2124</v>
      </c>
      <c r="D622" s="118"/>
      <c r="E622" s="118"/>
      <c r="F622" s="116" t="s">
        <v>1991</v>
      </c>
      <c r="G622" t="s">
        <v>1992</v>
      </c>
      <c r="H622" s="117" t="s">
        <v>194</v>
      </c>
      <c r="I622" s="117" t="s">
        <v>299</v>
      </c>
    </row>
    <row r="623" spans="1:9" x14ac:dyDescent="0.25">
      <c r="A623" t="s">
        <v>2125</v>
      </c>
      <c r="B623" s="115" t="s">
        <v>2126</v>
      </c>
      <c r="C623" t="s">
        <v>2127</v>
      </c>
      <c r="D623" s="118"/>
      <c r="E623" s="118"/>
      <c r="F623" s="116" t="s">
        <v>1994</v>
      </c>
      <c r="G623" t="s">
        <v>1995</v>
      </c>
      <c r="H623" s="117" t="s">
        <v>165</v>
      </c>
      <c r="I623" s="117" t="s">
        <v>166</v>
      </c>
    </row>
    <row r="624" spans="1:9" x14ac:dyDescent="0.25">
      <c r="A624" t="s">
        <v>2128</v>
      </c>
      <c r="B624" s="115" t="s">
        <v>2129</v>
      </c>
      <c r="C624" t="s">
        <v>2130</v>
      </c>
      <c r="D624" s="118"/>
      <c r="E624" s="118"/>
      <c r="F624" s="116" t="s">
        <v>1997</v>
      </c>
      <c r="G624" t="s">
        <v>1998</v>
      </c>
      <c r="H624" s="117" t="s">
        <v>260</v>
      </c>
      <c r="I624" s="117" t="s">
        <v>261</v>
      </c>
    </row>
    <row r="625" spans="1:9" x14ac:dyDescent="0.25">
      <c r="A625" t="s">
        <v>2131</v>
      </c>
      <c r="B625" s="115" t="s">
        <v>2132</v>
      </c>
      <c r="C625" t="s">
        <v>2133</v>
      </c>
      <c r="D625" s="118"/>
      <c r="E625" s="118"/>
      <c r="F625" s="116" t="s">
        <v>2000</v>
      </c>
      <c r="G625" t="s">
        <v>2001</v>
      </c>
      <c r="H625" s="117" t="s">
        <v>260</v>
      </c>
      <c r="I625" s="117" t="s">
        <v>261</v>
      </c>
    </row>
    <row r="626" spans="1:9" x14ac:dyDescent="0.25">
      <c r="A626" t="s">
        <v>2134</v>
      </c>
      <c r="B626" s="115" t="s">
        <v>2135</v>
      </c>
      <c r="C626" t="s">
        <v>2136</v>
      </c>
      <c r="D626" s="118"/>
      <c r="E626" s="118"/>
      <c r="F626" s="116" t="s">
        <v>2005</v>
      </c>
      <c r="G626" t="s">
        <v>2006</v>
      </c>
      <c r="H626" s="117" t="s">
        <v>115</v>
      </c>
      <c r="I626" s="117" t="s">
        <v>276</v>
      </c>
    </row>
    <row r="627" spans="1:9" x14ac:dyDescent="0.25">
      <c r="A627" t="s">
        <v>2137</v>
      </c>
      <c r="B627" s="115" t="s">
        <v>2138</v>
      </c>
      <c r="C627" t="s">
        <v>2139</v>
      </c>
      <c r="D627" s="118"/>
      <c r="E627" s="118"/>
      <c r="F627" s="116" t="s">
        <v>2008</v>
      </c>
      <c r="G627" t="s">
        <v>2009</v>
      </c>
      <c r="H627" s="117" t="s">
        <v>160</v>
      </c>
      <c r="I627" s="117" t="s">
        <v>387</v>
      </c>
    </row>
    <row r="628" spans="1:9" x14ac:dyDescent="0.25">
      <c r="A628" t="s">
        <v>2140</v>
      </c>
      <c r="B628" s="115" t="s">
        <v>250</v>
      </c>
      <c r="C628" t="s">
        <v>2141</v>
      </c>
      <c r="D628" s="118"/>
      <c r="E628" s="118"/>
      <c r="F628" s="116" t="s">
        <v>2142</v>
      </c>
      <c r="G628" t="s">
        <v>2143</v>
      </c>
      <c r="H628" s="117" t="s">
        <v>100</v>
      </c>
      <c r="I628" s="117" t="s">
        <v>339</v>
      </c>
    </row>
    <row r="629" spans="1:9" x14ac:dyDescent="0.25">
      <c r="A629" t="s">
        <v>2144</v>
      </c>
      <c r="B629" s="115" t="s">
        <v>2145</v>
      </c>
      <c r="C629" t="s">
        <v>2146</v>
      </c>
      <c r="D629" s="118"/>
      <c r="E629" s="118"/>
      <c r="F629" s="116" t="s">
        <v>2011</v>
      </c>
      <c r="G629" t="s">
        <v>2012</v>
      </c>
      <c r="H629" s="117" t="s">
        <v>194</v>
      </c>
      <c r="I629" s="117" t="s">
        <v>666</v>
      </c>
    </row>
    <row r="630" spans="1:9" x14ac:dyDescent="0.25">
      <c r="A630" t="s">
        <v>2147</v>
      </c>
      <c r="B630" s="115" t="s">
        <v>2148</v>
      </c>
      <c r="C630" t="s">
        <v>2149</v>
      </c>
      <c r="D630" s="118"/>
      <c r="E630" s="118"/>
      <c r="F630" s="116" t="s">
        <v>2016</v>
      </c>
      <c r="G630" t="s">
        <v>2017</v>
      </c>
      <c r="H630" s="117" t="s">
        <v>220</v>
      </c>
      <c r="I630" s="117" t="s">
        <v>367</v>
      </c>
    </row>
    <row r="631" spans="1:9" x14ac:dyDescent="0.25">
      <c r="A631" t="s">
        <v>2150</v>
      </c>
      <c r="B631" s="115" t="s">
        <v>2151</v>
      </c>
      <c r="C631" t="s">
        <v>2152</v>
      </c>
      <c r="D631" s="118"/>
      <c r="E631" s="118"/>
      <c r="F631" s="116" t="s">
        <v>2019</v>
      </c>
      <c r="G631" t="s">
        <v>2020</v>
      </c>
      <c r="H631" s="117" t="s">
        <v>160</v>
      </c>
      <c r="I631" s="117" t="s">
        <v>161</v>
      </c>
    </row>
    <row r="632" spans="1:9" x14ac:dyDescent="0.25">
      <c r="A632" t="s">
        <v>2153</v>
      </c>
      <c r="B632" s="115" t="s">
        <v>2154</v>
      </c>
      <c r="C632" t="s">
        <v>2155</v>
      </c>
      <c r="D632" s="118"/>
      <c r="E632" s="118"/>
      <c r="F632" s="116" t="s">
        <v>2022</v>
      </c>
      <c r="G632" t="s">
        <v>2023</v>
      </c>
      <c r="H632" s="117" t="s">
        <v>165</v>
      </c>
      <c r="I632" s="117" t="s">
        <v>166</v>
      </c>
    </row>
    <row r="633" spans="1:9" x14ac:dyDescent="0.25">
      <c r="A633" t="s">
        <v>2156</v>
      </c>
      <c r="B633" s="115" t="s">
        <v>2157</v>
      </c>
      <c r="C633" t="s">
        <v>2158</v>
      </c>
      <c r="D633" s="118"/>
      <c r="E633" s="118"/>
      <c r="F633" s="116" t="s">
        <v>2025</v>
      </c>
      <c r="G633" t="s">
        <v>2026</v>
      </c>
      <c r="H633" s="117" t="s">
        <v>220</v>
      </c>
      <c r="I633" s="117" t="s">
        <v>221</v>
      </c>
    </row>
    <row r="634" spans="1:9" x14ac:dyDescent="0.25">
      <c r="A634" t="s">
        <v>2159</v>
      </c>
      <c r="B634" s="115" t="s">
        <v>2160</v>
      </c>
      <c r="C634" t="s">
        <v>2161</v>
      </c>
      <c r="D634" s="118"/>
      <c r="E634" s="118"/>
      <c r="F634" s="116" t="s">
        <v>2030</v>
      </c>
      <c r="G634" t="s">
        <v>2031</v>
      </c>
      <c r="H634" s="117" t="s">
        <v>165</v>
      </c>
      <c r="I634" s="117" t="s">
        <v>166</v>
      </c>
    </row>
    <row r="635" spans="1:9" x14ac:dyDescent="0.25">
      <c r="A635" t="s">
        <v>2162</v>
      </c>
      <c r="B635" s="115" t="s">
        <v>2163</v>
      </c>
      <c r="C635" t="s">
        <v>2164</v>
      </c>
      <c r="D635" s="118"/>
      <c r="E635" s="118"/>
      <c r="F635" s="116" t="s">
        <v>2165</v>
      </c>
      <c r="G635" t="s">
        <v>2166</v>
      </c>
      <c r="H635" s="117" t="s">
        <v>165</v>
      </c>
      <c r="I635" s="117" t="s">
        <v>166</v>
      </c>
    </row>
    <row r="636" spans="1:9" x14ac:dyDescent="0.25">
      <c r="A636" t="s">
        <v>2167</v>
      </c>
      <c r="B636" s="115" t="s">
        <v>2168</v>
      </c>
      <c r="C636" t="s">
        <v>2169</v>
      </c>
      <c r="D636" s="118"/>
      <c r="E636" s="118"/>
      <c r="F636" s="116" t="s">
        <v>2033</v>
      </c>
      <c r="G636" t="s">
        <v>2034</v>
      </c>
      <c r="H636" s="117" t="s">
        <v>165</v>
      </c>
      <c r="I636" s="117" t="s">
        <v>206</v>
      </c>
    </row>
    <row r="637" spans="1:9" x14ac:dyDescent="0.25">
      <c r="A637" t="s">
        <v>2170</v>
      </c>
      <c r="B637" s="115" t="s">
        <v>2171</v>
      </c>
      <c r="C637" t="s">
        <v>2172</v>
      </c>
      <c r="D637" s="118"/>
      <c r="E637" s="118"/>
      <c r="F637" s="116" t="s">
        <v>2039</v>
      </c>
      <c r="G637" t="s">
        <v>2040</v>
      </c>
      <c r="H637" s="117" t="s">
        <v>194</v>
      </c>
      <c r="I637" s="117" t="s">
        <v>290</v>
      </c>
    </row>
    <row r="638" spans="1:9" x14ac:dyDescent="0.25">
      <c r="A638" t="s">
        <v>2173</v>
      </c>
      <c r="B638" s="115" t="s">
        <v>2174</v>
      </c>
      <c r="C638" t="s">
        <v>2175</v>
      </c>
      <c r="D638" s="118"/>
      <c r="E638" s="118"/>
      <c r="F638" s="116" t="s">
        <v>2176</v>
      </c>
      <c r="G638" t="s">
        <v>2037</v>
      </c>
      <c r="H638" s="117" t="s">
        <v>194</v>
      </c>
      <c r="I638" s="117" t="s">
        <v>290</v>
      </c>
    </row>
    <row r="639" spans="1:9" x14ac:dyDescent="0.25">
      <c r="A639" t="s">
        <v>2177</v>
      </c>
      <c r="B639" s="115" t="s">
        <v>2178</v>
      </c>
      <c r="C639" t="s">
        <v>2179</v>
      </c>
      <c r="D639" s="118"/>
      <c r="E639" s="118"/>
      <c r="F639" s="116" t="s">
        <v>2180</v>
      </c>
      <c r="G639" t="s">
        <v>2181</v>
      </c>
      <c r="H639" s="117" t="s">
        <v>170</v>
      </c>
      <c r="I639" s="117" t="s">
        <v>171</v>
      </c>
    </row>
    <row r="640" spans="1:9" x14ac:dyDescent="0.25">
      <c r="A640" t="s">
        <v>2182</v>
      </c>
      <c r="B640" s="115" t="s">
        <v>2183</v>
      </c>
      <c r="C640" t="s">
        <v>2184</v>
      </c>
      <c r="D640" s="118"/>
      <c r="E640" s="118"/>
      <c r="F640" s="116" t="s">
        <v>2042</v>
      </c>
      <c r="G640" t="s">
        <v>2043</v>
      </c>
      <c r="H640" s="117" t="s">
        <v>170</v>
      </c>
      <c r="I640" s="117" t="s">
        <v>171</v>
      </c>
    </row>
    <row r="641" spans="1:9" x14ac:dyDescent="0.25">
      <c r="A641" t="s">
        <v>2185</v>
      </c>
      <c r="B641" s="115" t="s">
        <v>2186</v>
      </c>
      <c r="C641" t="s">
        <v>2187</v>
      </c>
      <c r="D641" s="118"/>
      <c r="E641" s="118"/>
      <c r="F641" s="116" t="s">
        <v>2188</v>
      </c>
      <c r="G641" t="s">
        <v>2189</v>
      </c>
      <c r="H641" s="117" t="s">
        <v>170</v>
      </c>
      <c r="I641" s="117" t="s">
        <v>171</v>
      </c>
    </row>
    <row r="642" spans="1:9" x14ac:dyDescent="0.25">
      <c r="A642" t="s">
        <v>2190</v>
      </c>
      <c r="B642" s="115" t="s">
        <v>2191</v>
      </c>
      <c r="C642" t="s">
        <v>2192</v>
      </c>
      <c r="D642" s="118"/>
      <c r="E642" s="118"/>
      <c r="F642" s="116" t="s">
        <v>2045</v>
      </c>
      <c r="G642" t="s">
        <v>2046</v>
      </c>
      <c r="H642" s="117" t="s">
        <v>170</v>
      </c>
      <c r="I642" s="117" t="s">
        <v>171</v>
      </c>
    </row>
    <row r="643" spans="1:9" x14ac:dyDescent="0.25">
      <c r="A643" t="s">
        <v>2193</v>
      </c>
      <c r="B643" s="115" t="s">
        <v>2194</v>
      </c>
      <c r="C643" t="s">
        <v>2195</v>
      </c>
      <c r="D643" s="118"/>
      <c r="E643" s="118"/>
      <c r="F643" s="116" t="s">
        <v>2196</v>
      </c>
      <c r="G643" t="s">
        <v>2197</v>
      </c>
      <c r="H643" s="117" t="s">
        <v>260</v>
      </c>
      <c r="I643" s="117" t="s">
        <v>1146</v>
      </c>
    </row>
    <row r="644" spans="1:9" x14ac:dyDescent="0.25">
      <c r="A644" t="s">
        <v>2198</v>
      </c>
      <c r="B644" s="115" t="s">
        <v>2199</v>
      </c>
      <c r="C644" t="s">
        <v>2200</v>
      </c>
      <c r="D644" s="118"/>
      <c r="E644" s="118"/>
      <c r="F644" s="116" t="s">
        <v>2048</v>
      </c>
      <c r="G644" t="s">
        <v>2049</v>
      </c>
      <c r="H644" s="117" t="s">
        <v>260</v>
      </c>
      <c r="I644" s="117" t="s">
        <v>670</v>
      </c>
    </row>
    <row r="645" spans="1:9" x14ac:dyDescent="0.25">
      <c r="A645" t="s">
        <v>2201</v>
      </c>
      <c r="B645" s="115" t="s">
        <v>2202</v>
      </c>
      <c r="C645" t="s">
        <v>2203</v>
      </c>
      <c r="D645" s="118"/>
      <c r="E645" s="118"/>
      <c r="F645" s="116" t="s">
        <v>2051</v>
      </c>
      <c r="G645" t="s">
        <v>2052</v>
      </c>
      <c r="H645" s="117" t="s">
        <v>105</v>
      </c>
      <c r="I645" s="117" t="s">
        <v>127</v>
      </c>
    </row>
    <row r="646" spans="1:9" x14ac:dyDescent="0.25">
      <c r="A646" t="s">
        <v>2204</v>
      </c>
      <c r="B646" s="115" t="s">
        <v>2205</v>
      </c>
      <c r="C646" t="s">
        <v>2206</v>
      </c>
      <c r="D646" s="118"/>
      <c r="E646" s="118"/>
      <c r="F646" s="116" t="s">
        <v>2207</v>
      </c>
      <c r="G646" t="s">
        <v>2208</v>
      </c>
      <c r="H646" s="117" t="s">
        <v>165</v>
      </c>
      <c r="I646" s="117" t="s">
        <v>166</v>
      </c>
    </row>
    <row r="647" spans="1:9" x14ac:dyDescent="0.25">
      <c r="A647" t="s">
        <v>2209</v>
      </c>
      <c r="B647" s="115" t="s">
        <v>2210</v>
      </c>
      <c r="C647" t="s">
        <v>2211</v>
      </c>
      <c r="D647" s="118"/>
      <c r="E647" s="118"/>
      <c r="F647" s="116" t="s">
        <v>2056</v>
      </c>
      <c r="G647" t="s">
        <v>2057</v>
      </c>
      <c r="H647" s="117" t="s">
        <v>165</v>
      </c>
      <c r="I647" s="117" t="s">
        <v>206</v>
      </c>
    </row>
    <row r="648" spans="1:9" x14ac:dyDescent="0.25">
      <c r="A648" t="s">
        <v>2212</v>
      </c>
      <c r="B648" s="115" t="s">
        <v>2213</v>
      </c>
      <c r="C648" t="s">
        <v>2214</v>
      </c>
      <c r="D648" s="118"/>
      <c r="E648" s="118"/>
      <c r="F648" s="116" t="s">
        <v>2062</v>
      </c>
      <c r="G648" t="s">
        <v>2063</v>
      </c>
      <c r="H648" s="117" t="s">
        <v>100</v>
      </c>
      <c r="I648" s="117" t="s">
        <v>250</v>
      </c>
    </row>
    <row r="649" spans="1:9" x14ac:dyDescent="0.25">
      <c r="A649" t="s">
        <v>2215</v>
      </c>
      <c r="B649" s="115" t="s">
        <v>2216</v>
      </c>
      <c r="C649" t="s">
        <v>2217</v>
      </c>
      <c r="D649" s="118"/>
      <c r="E649" s="118"/>
      <c r="F649" s="116" t="s">
        <v>2218</v>
      </c>
      <c r="G649" t="s">
        <v>2219</v>
      </c>
      <c r="H649" s="117" t="s">
        <v>260</v>
      </c>
      <c r="I649" s="117" t="s">
        <v>440</v>
      </c>
    </row>
    <row r="650" spans="1:9" x14ac:dyDescent="0.25">
      <c r="A650" t="s">
        <v>2220</v>
      </c>
      <c r="B650" s="115" t="s">
        <v>2221</v>
      </c>
      <c r="C650" t="s">
        <v>2222</v>
      </c>
      <c r="D650" s="118"/>
      <c r="E650" s="118"/>
      <c r="F650" s="116" t="s">
        <v>2223</v>
      </c>
      <c r="G650" t="s">
        <v>2224</v>
      </c>
      <c r="H650" s="117" t="s">
        <v>220</v>
      </c>
      <c r="I650" s="117" t="s">
        <v>367</v>
      </c>
    </row>
    <row r="651" spans="1:9" x14ac:dyDescent="0.25">
      <c r="A651" t="s">
        <v>2225</v>
      </c>
      <c r="B651" s="115" t="s">
        <v>2226</v>
      </c>
      <c r="C651" t="s">
        <v>2227</v>
      </c>
      <c r="D651" s="118"/>
      <c r="E651" s="118"/>
      <c r="F651" s="116" t="s">
        <v>2065</v>
      </c>
      <c r="G651" t="s">
        <v>2066</v>
      </c>
      <c r="H651" s="117" t="s">
        <v>160</v>
      </c>
      <c r="I651" s="117" t="s">
        <v>387</v>
      </c>
    </row>
    <row r="652" spans="1:9" x14ac:dyDescent="0.25">
      <c r="A652" t="s">
        <v>2228</v>
      </c>
      <c r="B652" s="115" t="s">
        <v>2229</v>
      </c>
      <c r="C652" t="s">
        <v>2230</v>
      </c>
      <c r="D652" s="118"/>
      <c r="E652" s="118"/>
      <c r="F652" s="116" t="s">
        <v>2068</v>
      </c>
      <c r="G652" t="s">
        <v>2069</v>
      </c>
      <c r="H652" s="117" t="s">
        <v>194</v>
      </c>
      <c r="I652" s="117" t="s">
        <v>195</v>
      </c>
    </row>
    <row r="653" spans="1:9" x14ac:dyDescent="0.25">
      <c r="A653" t="s">
        <v>2231</v>
      </c>
      <c r="B653" s="115" t="s">
        <v>2232</v>
      </c>
      <c r="C653" t="s">
        <v>2233</v>
      </c>
      <c r="D653" s="118"/>
      <c r="E653" s="118"/>
      <c r="F653" s="116" t="s">
        <v>2071</v>
      </c>
      <c r="G653" t="s">
        <v>2072</v>
      </c>
      <c r="H653" s="117" t="s">
        <v>170</v>
      </c>
      <c r="I653" s="117" t="s">
        <v>171</v>
      </c>
    </row>
    <row r="654" spans="1:9" x14ac:dyDescent="0.25">
      <c r="A654" t="s">
        <v>2234</v>
      </c>
      <c r="B654" s="115" t="s">
        <v>2235</v>
      </c>
      <c r="C654" t="s">
        <v>2236</v>
      </c>
      <c r="D654" s="118"/>
      <c r="E654" s="118"/>
      <c r="F654" s="116" t="s">
        <v>2074</v>
      </c>
      <c r="G654" t="s">
        <v>2075</v>
      </c>
      <c r="H654" s="117" t="s">
        <v>160</v>
      </c>
      <c r="I654" s="117" t="s">
        <v>161</v>
      </c>
    </row>
    <row r="655" spans="1:9" x14ac:dyDescent="0.25">
      <c r="A655" t="s">
        <v>2237</v>
      </c>
      <c r="B655" s="115" t="s">
        <v>2238</v>
      </c>
      <c r="C655" t="s">
        <v>2239</v>
      </c>
      <c r="D655" s="118"/>
      <c r="E655" s="118"/>
      <c r="F655" s="116" t="s">
        <v>2080</v>
      </c>
      <c r="G655" t="s">
        <v>2081</v>
      </c>
      <c r="H655" s="117" t="s">
        <v>260</v>
      </c>
      <c r="I655" s="117" t="s">
        <v>670</v>
      </c>
    </row>
    <row r="656" spans="1:9" x14ac:dyDescent="0.25">
      <c r="A656" t="s">
        <v>2240</v>
      </c>
      <c r="B656" s="115" t="s">
        <v>2241</v>
      </c>
      <c r="C656" t="s">
        <v>2242</v>
      </c>
      <c r="D656" s="118"/>
      <c r="E656" s="118"/>
      <c r="F656" s="116" t="s">
        <v>2083</v>
      </c>
      <c r="G656" t="s">
        <v>2084</v>
      </c>
      <c r="H656" s="117" t="s">
        <v>105</v>
      </c>
      <c r="I656" s="117" t="s">
        <v>106</v>
      </c>
    </row>
    <row r="657" spans="1:9" x14ac:dyDescent="0.25">
      <c r="A657" t="s">
        <v>2243</v>
      </c>
      <c r="B657" s="115" t="s">
        <v>2244</v>
      </c>
      <c r="C657" t="s">
        <v>2243</v>
      </c>
      <c r="D657" s="118"/>
      <c r="E657" s="118"/>
      <c r="F657" s="116" t="s">
        <v>2090</v>
      </c>
      <c r="G657" t="s">
        <v>2091</v>
      </c>
      <c r="H657" s="117" t="s">
        <v>105</v>
      </c>
      <c r="I657" s="117" t="s">
        <v>174</v>
      </c>
    </row>
    <row r="658" spans="1:9" x14ac:dyDescent="0.25">
      <c r="A658" t="s">
        <v>2245</v>
      </c>
      <c r="B658" s="115" t="s">
        <v>166</v>
      </c>
      <c r="C658" t="s">
        <v>2246</v>
      </c>
      <c r="D658" s="118"/>
      <c r="E658" s="118"/>
      <c r="F658" s="116" t="s">
        <v>2093</v>
      </c>
      <c r="G658" t="s">
        <v>2094</v>
      </c>
      <c r="H658" s="117" t="s">
        <v>105</v>
      </c>
      <c r="I658" s="117" t="s">
        <v>174</v>
      </c>
    </row>
    <row r="659" spans="1:9" x14ac:dyDescent="0.25">
      <c r="A659" t="s">
        <v>2247</v>
      </c>
      <c r="B659" s="115" t="s">
        <v>2248</v>
      </c>
      <c r="C659" t="s">
        <v>2249</v>
      </c>
      <c r="D659" s="118"/>
      <c r="E659" s="118"/>
      <c r="F659" s="116" t="s">
        <v>2096</v>
      </c>
      <c r="G659" t="s">
        <v>2097</v>
      </c>
      <c r="H659" s="117" t="s">
        <v>105</v>
      </c>
      <c r="I659" s="117" t="s">
        <v>106</v>
      </c>
    </row>
    <row r="660" spans="1:9" x14ac:dyDescent="0.25">
      <c r="A660" t="s">
        <v>2250</v>
      </c>
      <c r="B660" s="115" t="s">
        <v>2251</v>
      </c>
      <c r="C660" t="s">
        <v>2252</v>
      </c>
      <c r="D660" s="118"/>
      <c r="E660" s="118"/>
      <c r="F660" s="116" t="s">
        <v>2099</v>
      </c>
      <c r="G660" t="s">
        <v>2100</v>
      </c>
      <c r="H660" s="117" t="s">
        <v>105</v>
      </c>
      <c r="I660" s="117" t="s">
        <v>127</v>
      </c>
    </row>
    <row r="661" spans="1:9" x14ac:dyDescent="0.25">
      <c r="A661" t="s">
        <v>2253</v>
      </c>
      <c r="B661" s="115" t="s">
        <v>2254</v>
      </c>
      <c r="C661" t="s">
        <v>2255</v>
      </c>
      <c r="D661" s="118"/>
      <c r="E661" s="118"/>
      <c r="F661" s="116" t="s">
        <v>2102</v>
      </c>
      <c r="G661" t="s">
        <v>2103</v>
      </c>
      <c r="H661" s="117" t="s">
        <v>100</v>
      </c>
      <c r="I661" s="117" t="s">
        <v>250</v>
      </c>
    </row>
    <row r="662" spans="1:9" x14ac:dyDescent="0.25">
      <c r="A662" t="s">
        <v>2256</v>
      </c>
      <c r="B662" s="115" t="s">
        <v>2257</v>
      </c>
      <c r="C662" t="s">
        <v>2258</v>
      </c>
      <c r="D662" s="118"/>
      <c r="E662" s="118"/>
      <c r="F662" s="116" t="s">
        <v>2105</v>
      </c>
      <c r="G662" t="s">
        <v>2106</v>
      </c>
      <c r="H662" s="117" t="s">
        <v>105</v>
      </c>
      <c r="I662" s="117" t="s">
        <v>174</v>
      </c>
    </row>
    <row r="663" spans="1:9" x14ac:dyDescent="0.25">
      <c r="A663" t="s">
        <v>2259</v>
      </c>
      <c r="B663" s="115" t="s">
        <v>2260</v>
      </c>
      <c r="C663" t="s">
        <v>2261</v>
      </c>
      <c r="D663" s="118"/>
      <c r="E663" s="118"/>
      <c r="F663" s="116" t="s">
        <v>2108</v>
      </c>
      <c r="G663" t="s">
        <v>2109</v>
      </c>
      <c r="H663" s="117" t="s">
        <v>115</v>
      </c>
      <c r="I663" s="117" t="s">
        <v>276</v>
      </c>
    </row>
    <row r="664" spans="1:9" x14ac:dyDescent="0.25">
      <c r="A664" t="s">
        <v>2262</v>
      </c>
      <c r="B664" s="115" t="s">
        <v>2263</v>
      </c>
      <c r="C664" t="s">
        <v>2264</v>
      </c>
      <c r="D664" s="118"/>
      <c r="E664" s="118"/>
      <c r="F664" s="116" t="s">
        <v>2111</v>
      </c>
      <c r="G664" t="s">
        <v>2112</v>
      </c>
      <c r="H664" s="117" t="s">
        <v>165</v>
      </c>
      <c r="I664" s="117" t="s">
        <v>166</v>
      </c>
    </row>
    <row r="665" spans="1:9" x14ac:dyDescent="0.25">
      <c r="A665" t="s">
        <v>2265</v>
      </c>
      <c r="B665" s="115" t="s">
        <v>2266</v>
      </c>
      <c r="C665" t="s">
        <v>2267</v>
      </c>
      <c r="D665" s="118"/>
      <c r="E665" s="118"/>
      <c r="F665" s="116" t="s">
        <v>2116</v>
      </c>
      <c r="G665" t="s">
        <v>2117</v>
      </c>
      <c r="H665" s="117" t="s">
        <v>100</v>
      </c>
      <c r="I665" s="117" t="s">
        <v>187</v>
      </c>
    </row>
    <row r="666" spans="1:9" x14ac:dyDescent="0.25">
      <c r="A666" t="s">
        <v>2268</v>
      </c>
      <c r="B666" s="115" t="s">
        <v>2269</v>
      </c>
      <c r="C666" t="s">
        <v>2270</v>
      </c>
      <c r="D666" s="118"/>
      <c r="E666" s="118"/>
      <c r="F666" s="116" t="s">
        <v>2271</v>
      </c>
      <c r="G666" t="s">
        <v>2272</v>
      </c>
      <c r="H666" s="117" t="s">
        <v>100</v>
      </c>
      <c r="I666" s="117" t="s">
        <v>187</v>
      </c>
    </row>
    <row r="667" spans="1:9" x14ac:dyDescent="0.25">
      <c r="A667" t="s">
        <v>2273</v>
      </c>
      <c r="B667" s="115" t="s">
        <v>2274</v>
      </c>
      <c r="C667" t="s">
        <v>2275</v>
      </c>
      <c r="D667" s="118"/>
      <c r="E667" s="118"/>
      <c r="F667" s="116" t="s">
        <v>2119</v>
      </c>
      <c r="G667" t="s">
        <v>2120</v>
      </c>
      <c r="H667" s="117" t="s">
        <v>220</v>
      </c>
      <c r="I667" s="117" t="s">
        <v>221</v>
      </c>
    </row>
    <row r="668" spans="1:9" x14ac:dyDescent="0.25">
      <c r="A668" t="s">
        <v>2276</v>
      </c>
      <c r="B668" s="115" t="s">
        <v>2277</v>
      </c>
      <c r="C668" t="s">
        <v>2278</v>
      </c>
      <c r="D668" s="118"/>
      <c r="E668" s="118"/>
      <c r="F668" s="116" t="s">
        <v>2122</v>
      </c>
      <c r="G668" t="s">
        <v>2123</v>
      </c>
      <c r="H668" s="117" t="s">
        <v>100</v>
      </c>
      <c r="I668" s="117" t="s">
        <v>187</v>
      </c>
    </row>
    <row r="669" spans="1:9" x14ac:dyDescent="0.25">
      <c r="A669" t="s">
        <v>2279</v>
      </c>
      <c r="B669" s="115" t="s">
        <v>2280</v>
      </c>
      <c r="C669" t="s">
        <v>2281</v>
      </c>
      <c r="D669" s="118"/>
      <c r="E669" s="118"/>
      <c r="F669" s="116" t="s">
        <v>2125</v>
      </c>
      <c r="G669" t="s">
        <v>2126</v>
      </c>
      <c r="H669" s="117" t="s">
        <v>100</v>
      </c>
      <c r="I669" s="117" t="s">
        <v>187</v>
      </c>
    </row>
    <row r="670" spans="1:9" x14ac:dyDescent="0.25">
      <c r="A670" t="s">
        <v>2282</v>
      </c>
      <c r="B670" s="115" t="s">
        <v>2283</v>
      </c>
      <c r="C670" t="s">
        <v>2284</v>
      </c>
      <c r="D670" s="118"/>
      <c r="E670" s="118"/>
      <c r="F670" s="116" t="s">
        <v>2128</v>
      </c>
      <c r="G670" t="s">
        <v>2129</v>
      </c>
      <c r="H670" s="117" t="s">
        <v>100</v>
      </c>
      <c r="I670" s="117" t="s">
        <v>187</v>
      </c>
    </row>
    <row r="671" spans="1:9" x14ac:dyDescent="0.25">
      <c r="A671" t="s">
        <v>2285</v>
      </c>
      <c r="B671" s="115" t="s">
        <v>2286</v>
      </c>
      <c r="C671" t="s">
        <v>2287</v>
      </c>
      <c r="D671" s="118"/>
      <c r="E671" s="118"/>
      <c r="F671" s="116" t="s">
        <v>2288</v>
      </c>
      <c r="G671" t="s">
        <v>2289</v>
      </c>
      <c r="H671" s="117" t="s">
        <v>100</v>
      </c>
      <c r="I671" s="117" t="s">
        <v>187</v>
      </c>
    </row>
    <row r="672" spans="1:9" x14ac:dyDescent="0.25">
      <c r="A672" t="s">
        <v>2290</v>
      </c>
      <c r="B672" s="115" t="s">
        <v>2291</v>
      </c>
      <c r="C672" t="s">
        <v>2292</v>
      </c>
      <c r="D672" s="118"/>
      <c r="E672" s="118"/>
      <c r="F672" s="116" t="s">
        <v>2293</v>
      </c>
      <c r="G672" t="s">
        <v>2294</v>
      </c>
      <c r="H672" s="117" t="s">
        <v>170</v>
      </c>
      <c r="I672" s="117" t="s">
        <v>171</v>
      </c>
    </row>
    <row r="673" spans="1:9" x14ac:dyDescent="0.25">
      <c r="A673" t="s">
        <v>2295</v>
      </c>
      <c r="B673" s="115" t="s">
        <v>2296</v>
      </c>
      <c r="C673" t="s">
        <v>2297</v>
      </c>
      <c r="D673" s="118"/>
      <c r="E673" s="118"/>
      <c r="F673" s="116" t="s">
        <v>2131</v>
      </c>
      <c r="G673" t="s">
        <v>2132</v>
      </c>
      <c r="H673" s="117" t="s">
        <v>105</v>
      </c>
      <c r="I673" s="117" t="s">
        <v>106</v>
      </c>
    </row>
    <row r="674" spans="1:9" x14ac:dyDescent="0.25">
      <c r="A674" t="s">
        <v>2298</v>
      </c>
      <c r="B674" s="115" t="s">
        <v>2299</v>
      </c>
      <c r="C674" t="s">
        <v>2300</v>
      </c>
      <c r="D674" s="118"/>
      <c r="E674" s="118"/>
      <c r="F674" s="116" t="s">
        <v>2134</v>
      </c>
      <c r="G674" t="s">
        <v>2135</v>
      </c>
      <c r="H674" s="117" t="s">
        <v>165</v>
      </c>
      <c r="I674" s="117" t="s">
        <v>233</v>
      </c>
    </row>
    <row r="675" spans="1:9" x14ac:dyDescent="0.25">
      <c r="A675" t="s">
        <v>2301</v>
      </c>
      <c r="B675" s="115" t="s">
        <v>299</v>
      </c>
      <c r="C675" t="s">
        <v>2302</v>
      </c>
      <c r="D675" s="118"/>
      <c r="E675" s="118"/>
      <c r="F675" s="116" t="s">
        <v>2137</v>
      </c>
      <c r="G675" t="s">
        <v>2138</v>
      </c>
      <c r="H675" s="117" t="s">
        <v>328</v>
      </c>
      <c r="I675" s="117" t="s">
        <v>295</v>
      </c>
    </row>
    <row r="676" spans="1:9" x14ac:dyDescent="0.25">
      <c r="A676" t="s">
        <v>2303</v>
      </c>
      <c r="B676" s="115" t="s">
        <v>2304</v>
      </c>
      <c r="C676" t="s">
        <v>2305</v>
      </c>
      <c r="D676" s="118"/>
      <c r="E676" s="118"/>
      <c r="F676" s="116" t="s">
        <v>2306</v>
      </c>
      <c r="G676" t="s">
        <v>2307</v>
      </c>
      <c r="H676" s="117" t="s">
        <v>328</v>
      </c>
      <c r="I676" s="117" t="s">
        <v>295</v>
      </c>
    </row>
    <row r="677" spans="1:9" x14ac:dyDescent="0.25">
      <c r="A677" t="s">
        <v>2308</v>
      </c>
      <c r="B677" s="115" t="s">
        <v>2309</v>
      </c>
      <c r="C677" t="s">
        <v>2310</v>
      </c>
      <c r="D677" s="118"/>
      <c r="E677" s="118"/>
      <c r="F677" s="116" t="s">
        <v>2140</v>
      </c>
      <c r="G677" t="s">
        <v>250</v>
      </c>
      <c r="H677" s="117" t="s">
        <v>294</v>
      </c>
      <c r="I677" s="117" t="s">
        <v>250</v>
      </c>
    </row>
    <row r="678" spans="1:9" x14ac:dyDescent="0.25">
      <c r="A678" t="s">
        <v>2311</v>
      </c>
      <c r="B678" s="115" t="s">
        <v>2312</v>
      </c>
      <c r="C678" t="s">
        <v>2313</v>
      </c>
      <c r="D678" s="118"/>
      <c r="E678" s="118"/>
      <c r="F678" s="116" t="s">
        <v>2144</v>
      </c>
      <c r="G678" t="s">
        <v>2145</v>
      </c>
      <c r="H678" s="117" t="s">
        <v>100</v>
      </c>
      <c r="I678" s="117" t="s">
        <v>250</v>
      </c>
    </row>
    <row r="679" spans="1:9" x14ac:dyDescent="0.25">
      <c r="A679" t="s">
        <v>2314</v>
      </c>
      <c r="B679" s="115" t="s">
        <v>2315</v>
      </c>
      <c r="C679" t="s">
        <v>2316</v>
      </c>
      <c r="D679" s="118"/>
      <c r="E679" s="118"/>
      <c r="F679" s="116" t="s">
        <v>2150</v>
      </c>
      <c r="G679" t="s">
        <v>2151</v>
      </c>
      <c r="H679" s="117" t="s">
        <v>194</v>
      </c>
      <c r="I679" s="117" t="s">
        <v>1264</v>
      </c>
    </row>
    <row r="680" spans="1:9" x14ac:dyDescent="0.25">
      <c r="A680" t="s">
        <v>2317</v>
      </c>
      <c r="B680" s="115" t="s">
        <v>2318</v>
      </c>
      <c r="C680" t="s">
        <v>2319</v>
      </c>
      <c r="D680" s="118"/>
      <c r="E680" s="118"/>
      <c r="F680" s="116" t="s">
        <v>2153</v>
      </c>
      <c r="G680" t="s">
        <v>2154</v>
      </c>
      <c r="H680" s="117" t="s">
        <v>160</v>
      </c>
      <c r="I680" s="117" t="s">
        <v>161</v>
      </c>
    </row>
    <row r="681" spans="1:9" x14ac:dyDescent="0.25">
      <c r="A681" t="s">
        <v>2320</v>
      </c>
      <c r="B681" s="115" t="s">
        <v>2321</v>
      </c>
      <c r="C681" t="s">
        <v>2322</v>
      </c>
      <c r="D681" s="118"/>
      <c r="E681" s="118"/>
      <c r="F681" s="116" t="s">
        <v>2159</v>
      </c>
      <c r="G681" t="s">
        <v>2160</v>
      </c>
      <c r="H681" s="117" t="s">
        <v>100</v>
      </c>
      <c r="I681" s="117" t="s">
        <v>110</v>
      </c>
    </row>
    <row r="682" spans="1:9" x14ac:dyDescent="0.25">
      <c r="A682" t="s">
        <v>2323</v>
      </c>
      <c r="B682" s="115" t="s">
        <v>2324</v>
      </c>
      <c r="C682" t="s">
        <v>2325</v>
      </c>
      <c r="D682" s="118"/>
      <c r="E682" s="118"/>
      <c r="F682" s="116" t="s">
        <v>2162</v>
      </c>
      <c r="G682" t="s">
        <v>2163</v>
      </c>
      <c r="H682" s="117" t="s">
        <v>220</v>
      </c>
      <c r="I682" s="117" t="s">
        <v>367</v>
      </c>
    </row>
    <row r="683" spans="1:9" x14ac:dyDescent="0.25">
      <c r="A683" t="s">
        <v>2326</v>
      </c>
      <c r="B683" s="115" t="s">
        <v>2327</v>
      </c>
      <c r="C683" t="s">
        <v>2328</v>
      </c>
      <c r="D683" s="118"/>
      <c r="E683" s="118"/>
      <c r="F683" s="116" t="s">
        <v>2167</v>
      </c>
      <c r="G683" t="s">
        <v>2168</v>
      </c>
      <c r="H683" s="117" t="s">
        <v>105</v>
      </c>
      <c r="I683" s="117" t="s">
        <v>174</v>
      </c>
    </row>
    <row r="684" spans="1:9" x14ac:dyDescent="0.25">
      <c r="A684" t="s">
        <v>2329</v>
      </c>
      <c r="B684" s="115" t="s">
        <v>2330</v>
      </c>
      <c r="C684" t="s">
        <v>2331</v>
      </c>
      <c r="D684" s="118"/>
      <c r="E684" s="118"/>
      <c r="F684" s="116" t="s">
        <v>2170</v>
      </c>
      <c r="G684" t="s">
        <v>2171</v>
      </c>
      <c r="H684" s="117" t="s">
        <v>194</v>
      </c>
      <c r="I684" s="117" t="s">
        <v>290</v>
      </c>
    </row>
    <row r="685" spans="1:9" x14ac:dyDescent="0.25">
      <c r="A685" t="s">
        <v>2332</v>
      </c>
      <c r="B685" s="115" t="s">
        <v>2333</v>
      </c>
      <c r="C685" t="s">
        <v>2334</v>
      </c>
      <c r="D685" s="118"/>
      <c r="E685" s="118"/>
      <c r="F685" s="116" t="s">
        <v>2335</v>
      </c>
      <c r="G685" t="s">
        <v>2174</v>
      </c>
      <c r="H685" s="117" t="s">
        <v>170</v>
      </c>
      <c r="I685" s="117" t="s">
        <v>171</v>
      </c>
    </row>
    <row r="686" spans="1:9" x14ac:dyDescent="0.25">
      <c r="A686" t="s">
        <v>2336</v>
      </c>
      <c r="B686" s="115" t="s">
        <v>2337</v>
      </c>
      <c r="C686" t="s">
        <v>2338</v>
      </c>
      <c r="D686" s="118"/>
      <c r="E686" s="118"/>
      <c r="F686" s="116" t="s">
        <v>2339</v>
      </c>
      <c r="G686" t="s">
        <v>2340</v>
      </c>
      <c r="H686" s="117" t="s">
        <v>260</v>
      </c>
      <c r="I686" s="117" t="s">
        <v>1146</v>
      </c>
    </row>
    <row r="687" spans="1:9" x14ac:dyDescent="0.25">
      <c r="A687" t="s">
        <v>2341</v>
      </c>
      <c r="B687" s="115" t="s">
        <v>2342</v>
      </c>
      <c r="C687" t="s">
        <v>2343</v>
      </c>
      <c r="D687" s="118"/>
      <c r="E687" s="118"/>
      <c r="F687" s="116" t="s">
        <v>2344</v>
      </c>
      <c r="G687" t="s">
        <v>2345</v>
      </c>
      <c r="H687" s="117" t="s">
        <v>100</v>
      </c>
      <c r="I687" s="117" t="s">
        <v>101</v>
      </c>
    </row>
    <row r="688" spans="1:9" x14ac:dyDescent="0.25">
      <c r="A688" t="s">
        <v>2346</v>
      </c>
      <c r="B688" s="115" t="s">
        <v>2347</v>
      </c>
      <c r="C688" t="s">
        <v>2348</v>
      </c>
      <c r="D688" s="118"/>
      <c r="E688" s="118"/>
      <c r="F688" s="116" t="s">
        <v>2177</v>
      </c>
      <c r="G688" t="s">
        <v>2178</v>
      </c>
      <c r="H688" s="117" t="s">
        <v>220</v>
      </c>
      <c r="I688" s="117" t="s">
        <v>339</v>
      </c>
    </row>
    <row r="689" spans="1:9" x14ac:dyDescent="0.25">
      <c r="A689" t="s">
        <v>2349</v>
      </c>
      <c r="B689" s="115" t="s">
        <v>666</v>
      </c>
      <c r="C689" t="s">
        <v>2350</v>
      </c>
      <c r="D689" s="118"/>
      <c r="E689" s="118"/>
      <c r="F689" s="116" t="s">
        <v>2182</v>
      </c>
      <c r="G689" t="s">
        <v>2183</v>
      </c>
      <c r="H689" s="117" t="s">
        <v>260</v>
      </c>
      <c r="I689" s="117" t="s">
        <v>261</v>
      </c>
    </row>
    <row r="690" spans="1:9" x14ac:dyDescent="0.25">
      <c r="A690" t="s">
        <v>2351</v>
      </c>
      <c r="B690" s="115" t="s">
        <v>2352</v>
      </c>
      <c r="C690" t="s">
        <v>2353</v>
      </c>
      <c r="D690" s="118"/>
      <c r="E690" s="118"/>
      <c r="F690" s="116" t="s">
        <v>2354</v>
      </c>
      <c r="G690" t="s">
        <v>2355</v>
      </c>
      <c r="H690" s="117" t="s">
        <v>100</v>
      </c>
      <c r="I690" s="117" t="s">
        <v>250</v>
      </c>
    </row>
    <row r="691" spans="1:9" x14ac:dyDescent="0.25">
      <c r="A691" t="s">
        <v>2356</v>
      </c>
      <c r="B691" s="115" t="s">
        <v>2357</v>
      </c>
      <c r="C691" t="s">
        <v>2358</v>
      </c>
      <c r="D691" s="118"/>
      <c r="E691" s="118"/>
      <c r="F691" s="116" t="s">
        <v>2185</v>
      </c>
      <c r="G691" t="s">
        <v>2186</v>
      </c>
      <c r="H691" s="117" t="s">
        <v>160</v>
      </c>
      <c r="I691" s="117" t="s">
        <v>387</v>
      </c>
    </row>
    <row r="692" spans="1:9" x14ac:dyDescent="0.25">
      <c r="A692" t="s">
        <v>2359</v>
      </c>
      <c r="B692" s="115" t="s">
        <v>2360</v>
      </c>
      <c r="C692" t="s">
        <v>2361</v>
      </c>
      <c r="D692" s="118"/>
      <c r="E692" s="118"/>
      <c r="F692" s="116" t="s">
        <v>2190</v>
      </c>
      <c r="G692" t="s">
        <v>2191</v>
      </c>
      <c r="H692" s="117" t="s">
        <v>328</v>
      </c>
      <c r="I692" s="117" t="s">
        <v>295</v>
      </c>
    </row>
    <row r="693" spans="1:9" x14ac:dyDescent="0.25">
      <c r="A693" t="s">
        <v>2362</v>
      </c>
      <c r="B693" s="115" t="s">
        <v>2363</v>
      </c>
      <c r="C693" t="s">
        <v>2362</v>
      </c>
      <c r="D693" s="118"/>
      <c r="E693" s="118"/>
      <c r="F693" s="116" t="s">
        <v>2364</v>
      </c>
      <c r="G693" t="s">
        <v>2365</v>
      </c>
      <c r="H693" s="117" t="s">
        <v>160</v>
      </c>
      <c r="I693" s="117" t="s">
        <v>387</v>
      </c>
    </row>
    <row r="694" spans="1:9" x14ac:dyDescent="0.25">
      <c r="A694" t="s">
        <v>2366</v>
      </c>
      <c r="B694" s="115" t="s">
        <v>2367</v>
      </c>
      <c r="C694" t="s">
        <v>2366</v>
      </c>
      <c r="D694" s="118"/>
      <c r="E694" s="118"/>
      <c r="F694" s="116" t="s">
        <v>2198</v>
      </c>
      <c r="G694" t="s">
        <v>2199</v>
      </c>
      <c r="H694" s="117" t="s">
        <v>105</v>
      </c>
      <c r="I694" s="117" t="s">
        <v>174</v>
      </c>
    </row>
    <row r="695" spans="1:9" x14ac:dyDescent="0.25">
      <c r="A695" t="s">
        <v>2368</v>
      </c>
      <c r="B695" s="115" t="s">
        <v>2369</v>
      </c>
      <c r="C695" t="s">
        <v>2370</v>
      </c>
      <c r="D695" s="118"/>
      <c r="E695" s="118"/>
      <c r="F695" s="116" t="s">
        <v>2201</v>
      </c>
      <c r="G695" t="s">
        <v>2202</v>
      </c>
      <c r="H695" s="117" t="s">
        <v>220</v>
      </c>
      <c r="I695" s="117" t="s">
        <v>339</v>
      </c>
    </row>
    <row r="696" spans="1:9" x14ac:dyDescent="0.25">
      <c r="A696" t="s">
        <v>2371</v>
      </c>
      <c r="B696" s="115" t="s">
        <v>2372</v>
      </c>
      <c r="C696" t="s">
        <v>2373</v>
      </c>
      <c r="D696" s="118"/>
      <c r="E696" s="118"/>
      <c r="F696" s="116" t="s">
        <v>2204</v>
      </c>
      <c r="G696" t="s">
        <v>2205</v>
      </c>
      <c r="H696" s="117" t="s">
        <v>100</v>
      </c>
      <c r="I696" s="117" t="s">
        <v>339</v>
      </c>
    </row>
    <row r="697" spans="1:9" x14ac:dyDescent="0.25">
      <c r="A697" t="s">
        <v>2374</v>
      </c>
      <c r="B697" s="115" t="s">
        <v>2375</v>
      </c>
      <c r="C697" t="s">
        <v>2376</v>
      </c>
      <c r="D697" s="118"/>
      <c r="E697" s="118"/>
      <c r="F697" s="116" t="s">
        <v>2209</v>
      </c>
      <c r="G697" t="s">
        <v>2210</v>
      </c>
      <c r="H697" s="117" t="s">
        <v>170</v>
      </c>
      <c r="I697" s="117" t="s">
        <v>171</v>
      </c>
    </row>
    <row r="698" spans="1:9" x14ac:dyDescent="0.25">
      <c r="A698" t="s">
        <v>2377</v>
      </c>
      <c r="B698" s="115" t="s">
        <v>2378</v>
      </c>
      <c r="C698" t="s">
        <v>2379</v>
      </c>
      <c r="D698" s="118"/>
      <c r="E698" s="118"/>
      <c r="F698" s="116" t="s">
        <v>2212</v>
      </c>
      <c r="G698" t="s">
        <v>2213</v>
      </c>
      <c r="H698" s="117" t="s">
        <v>105</v>
      </c>
      <c r="I698" s="117" t="s">
        <v>580</v>
      </c>
    </row>
    <row r="699" spans="1:9" x14ac:dyDescent="0.25">
      <c r="A699" t="s">
        <v>2380</v>
      </c>
      <c r="B699" s="115" t="s">
        <v>2381</v>
      </c>
      <c r="C699" t="s">
        <v>2380</v>
      </c>
      <c r="D699" s="118"/>
      <c r="E699" s="118"/>
      <c r="F699" s="116" t="s">
        <v>2215</v>
      </c>
      <c r="G699" t="s">
        <v>2216</v>
      </c>
      <c r="H699" s="117" t="s">
        <v>105</v>
      </c>
      <c r="I699" s="117" t="s">
        <v>174</v>
      </c>
    </row>
    <row r="700" spans="1:9" x14ac:dyDescent="0.25">
      <c r="A700" t="s">
        <v>2382</v>
      </c>
      <c r="B700" s="115" t="s">
        <v>2383</v>
      </c>
      <c r="C700" t="s">
        <v>2384</v>
      </c>
      <c r="D700" s="118"/>
      <c r="E700" s="118"/>
      <c r="F700" s="116" t="s">
        <v>2220</v>
      </c>
      <c r="G700" t="s">
        <v>2221</v>
      </c>
      <c r="H700" s="117" t="s">
        <v>170</v>
      </c>
      <c r="I700" s="117" t="s">
        <v>171</v>
      </c>
    </row>
    <row r="701" spans="1:9" x14ac:dyDescent="0.25">
      <c r="A701" t="s">
        <v>2385</v>
      </c>
      <c r="B701" s="115" t="s">
        <v>2386</v>
      </c>
      <c r="C701" t="s">
        <v>2387</v>
      </c>
      <c r="D701" s="118"/>
      <c r="E701" s="118"/>
      <c r="F701" s="116" t="s">
        <v>2225</v>
      </c>
      <c r="G701" t="s">
        <v>2226</v>
      </c>
      <c r="H701" s="117" t="s">
        <v>105</v>
      </c>
      <c r="I701" s="117" t="s">
        <v>106</v>
      </c>
    </row>
    <row r="702" spans="1:9" x14ac:dyDescent="0.25">
      <c r="A702" t="s">
        <v>2388</v>
      </c>
      <c r="B702" s="115" t="s">
        <v>2389</v>
      </c>
      <c r="C702" t="s">
        <v>2390</v>
      </c>
      <c r="D702" s="118"/>
      <c r="E702" s="118"/>
      <c r="F702" s="116" t="s">
        <v>2231</v>
      </c>
      <c r="G702" t="s">
        <v>2232</v>
      </c>
      <c r="H702" s="117" t="s">
        <v>165</v>
      </c>
      <c r="I702" s="117" t="s">
        <v>166</v>
      </c>
    </row>
    <row r="703" spans="1:9" x14ac:dyDescent="0.25">
      <c r="A703" t="s">
        <v>2391</v>
      </c>
      <c r="B703" s="115" t="s">
        <v>2392</v>
      </c>
      <c r="C703" t="s">
        <v>2393</v>
      </c>
      <c r="D703" s="118"/>
      <c r="E703" s="118"/>
      <c r="F703" s="116" t="s">
        <v>2234</v>
      </c>
      <c r="G703" t="s">
        <v>2235</v>
      </c>
      <c r="H703" s="117" t="s">
        <v>105</v>
      </c>
      <c r="I703" s="117" t="s">
        <v>174</v>
      </c>
    </row>
    <row r="704" spans="1:9" x14ac:dyDescent="0.25">
      <c r="A704" t="s">
        <v>2394</v>
      </c>
      <c r="B704" s="115" t="s">
        <v>2395</v>
      </c>
      <c r="C704" t="s">
        <v>2396</v>
      </c>
      <c r="D704" s="118"/>
      <c r="E704" s="118"/>
      <c r="F704" s="116" t="s">
        <v>2397</v>
      </c>
      <c r="G704" t="s">
        <v>2398</v>
      </c>
      <c r="H704" s="117" t="s">
        <v>194</v>
      </c>
      <c r="I704" s="117" t="s">
        <v>299</v>
      </c>
    </row>
    <row r="705" spans="1:9" x14ac:dyDescent="0.25">
      <c r="A705" t="s">
        <v>2399</v>
      </c>
      <c r="B705" s="115" t="s">
        <v>2400</v>
      </c>
      <c r="C705" t="s">
        <v>2401</v>
      </c>
      <c r="D705" s="118"/>
      <c r="E705" s="118"/>
      <c r="F705" s="116" t="s">
        <v>2237</v>
      </c>
      <c r="G705" t="s">
        <v>2238</v>
      </c>
      <c r="H705" s="117" t="s">
        <v>170</v>
      </c>
      <c r="I705" s="117" t="s">
        <v>171</v>
      </c>
    </row>
    <row r="706" spans="1:9" x14ac:dyDescent="0.25">
      <c r="A706" t="s">
        <v>2402</v>
      </c>
      <c r="B706" s="115" t="s">
        <v>2403</v>
      </c>
      <c r="C706" t="s">
        <v>2404</v>
      </c>
      <c r="D706" s="118"/>
      <c r="E706" s="118"/>
      <c r="F706" s="116" t="s">
        <v>2240</v>
      </c>
      <c r="G706" t="s">
        <v>2241</v>
      </c>
      <c r="H706" s="117" t="s">
        <v>165</v>
      </c>
      <c r="I706" s="117" t="s">
        <v>206</v>
      </c>
    </row>
    <row r="707" spans="1:9" x14ac:dyDescent="0.25">
      <c r="A707" t="s">
        <v>2405</v>
      </c>
      <c r="B707" s="115" t="s">
        <v>2406</v>
      </c>
      <c r="C707" t="s">
        <v>2407</v>
      </c>
      <c r="D707" s="118"/>
      <c r="E707" s="118"/>
      <c r="F707" s="116" t="s">
        <v>2243</v>
      </c>
      <c r="G707" t="s">
        <v>2244</v>
      </c>
      <c r="H707" s="117" t="s">
        <v>105</v>
      </c>
      <c r="I707" s="117" t="s">
        <v>174</v>
      </c>
    </row>
    <row r="708" spans="1:9" x14ac:dyDescent="0.25">
      <c r="A708" t="s">
        <v>2408</v>
      </c>
      <c r="B708" s="115" t="s">
        <v>2409</v>
      </c>
      <c r="C708" t="s">
        <v>2410</v>
      </c>
      <c r="D708" s="118"/>
      <c r="E708" s="118"/>
    </row>
    <row r="709" spans="1:9" x14ac:dyDescent="0.25">
      <c r="A709" t="s">
        <v>2411</v>
      </c>
      <c r="B709" s="115" t="s">
        <v>2412</v>
      </c>
      <c r="C709" t="s">
        <v>2413</v>
      </c>
      <c r="D709" s="118"/>
      <c r="E709" s="118"/>
      <c r="F709" s="116" t="s">
        <v>2245</v>
      </c>
      <c r="G709" t="s">
        <v>166</v>
      </c>
      <c r="H709" s="117" t="s">
        <v>165</v>
      </c>
      <c r="I709" s="117" t="s">
        <v>166</v>
      </c>
    </row>
    <row r="710" spans="1:9" x14ac:dyDescent="0.25">
      <c r="A710" t="s">
        <v>2414</v>
      </c>
      <c r="B710" s="115" t="s">
        <v>2415</v>
      </c>
      <c r="C710" t="s">
        <v>2416</v>
      </c>
      <c r="D710" s="118"/>
      <c r="E710" s="118"/>
      <c r="F710" s="116" t="s">
        <v>2250</v>
      </c>
      <c r="G710" t="s">
        <v>2251</v>
      </c>
      <c r="H710" s="117" t="s">
        <v>165</v>
      </c>
      <c r="I710" s="117" t="s">
        <v>166</v>
      </c>
    </row>
    <row r="711" spans="1:9" x14ac:dyDescent="0.25">
      <c r="A711" t="s">
        <v>2417</v>
      </c>
      <c r="B711" s="115" t="s">
        <v>2418</v>
      </c>
      <c r="C711" t="s">
        <v>2419</v>
      </c>
      <c r="D711" s="118"/>
      <c r="E711" s="118"/>
      <c r="F711" s="116" t="s">
        <v>2256</v>
      </c>
      <c r="G711" t="s">
        <v>2257</v>
      </c>
      <c r="H711" s="117" t="s">
        <v>100</v>
      </c>
      <c r="I711" s="117" t="s">
        <v>250</v>
      </c>
    </row>
    <row r="712" spans="1:9" x14ac:dyDescent="0.25">
      <c r="A712" t="s">
        <v>2420</v>
      </c>
      <c r="B712" s="115" t="s">
        <v>2421</v>
      </c>
      <c r="C712" t="s">
        <v>2422</v>
      </c>
      <c r="D712" s="118"/>
      <c r="E712" s="118"/>
      <c r="F712" s="116" t="s">
        <v>2259</v>
      </c>
      <c r="G712" t="s">
        <v>2260</v>
      </c>
      <c r="H712" s="117" t="s">
        <v>105</v>
      </c>
      <c r="I712" s="117" t="s">
        <v>174</v>
      </c>
    </row>
    <row r="713" spans="1:9" x14ac:dyDescent="0.25">
      <c r="A713" t="s">
        <v>2423</v>
      </c>
      <c r="B713" s="115" t="s">
        <v>2424</v>
      </c>
      <c r="C713" t="s">
        <v>2425</v>
      </c>
      <c r="D713" s="118"/>
      <c r="E713" s="118"/>
      <c r="F713" s="116" t="s">
        <v>2262</v>
      </c>
      <c r="G713" t="s">
        <v>2263</v>
      </c>
      <c r="H713" s="117" t="s">
        <v>105</v>
      </c>
      <c r="I713" s="117" t="s">
        <v>174</v>
      </c>
    </row>
    <row r="714" spans="1:9" x14ac:dyDescent="0.25">
      <c r="A714" t="s">
        <v>2426</v>
      </c>
      <c r="B714" s="115" t="s">
        <v>2427</v>
      </c>
      <c r="C714" t="s">
        <v>2428</v>
      </c>
      <c r="D714" s="118"/>
      <c r="E714" s="118"/>
      <c r="F714" s="116" t="s">
        <v>2265</v>
      </c>
      <c r="G714" t="s">
        <v>2266</v>
      </c>
      <c r="H714" s="117" t="s">
        <v>160</v>
      </c>
      <c r="I714" s="117" t="s">
        <v>829</v>
      </c>
    </row>
    <row r="715" spans="1:9" x14ac:dyDescent="0.25">
      <c r="A715" t="s">
        <v>2429</v>
      </c>
      <c r="B715" s="115" t="s">
        <v>2430</v>
      </c>
      <c r="C715" t="s">
        <v>2431</v>
      </c>
      <c r="D715" s="118"/>
      <c r="E715" s="118"/>
      <c r="F715" s="116" t="s">
        <v>2268</v>
      </c>
      <c r="G715" t="s">
        <v>2269</v>
      </c>
      <c r="H715" s="117" t="s">
        <v>328</v>
      </c>
      <c r="I715" s="117" t="s">
        <v>295</v>
      </c>
    </row>
    <row r="716" spans="1:9" x14ac:dyDescent="0.25">
      <c r="A716" t="s">
        <v>2432</v>
      </c>
      <c r="B716" s="115" t="s">
        <v>2433</v>
      </c>
      <c r="C716" t="s">
        <v>2434</v>
      </c>
      <c r="D716" s="118"/>
      <c r="E716" s="118"/>
      <c r="F716" s="116" t="s">
        <v>2273</v>
      </c>
      <c r="G716" t="s">
        <v>2274</v>
      </c>
      <c r="H716" s="117" t="s">
        <v>220</v>
      </c>
      <c r="I716" s="117" t="s">
        <v>339</v>
      </c>
    </row>
    <row r="717" spans="1:9" x14ac:dyDescent="0.25">
      <c r="A717" t="s">
        <v>2435</v>
      </c>
      <c r="B717" s="115" t="s">
        <v>2436</v>
      </c>
      <c r="C717" t="s">
        <v>2437</v>
      </c>
      <c r="D717" s="118"/>
      <c r="E717" s="118"/>
      <c r="F717" s="116" t="s">
        <v>2276</v>
      </c>
      <c r="G717" t="s">
        <v>2277</v>
      </c>
      <c r="H717" s="117" t="s">
        <v>100</v>
      </c>
      <c r="I717" s="117" t="s">
        <v>339</v>
      </c>
    </row>
    <row r="718" spans="1:9" x14ac:dyDescent="0.25">
      <c r="A718" t="s">
        <v>2438</v>
      </c>
      <c r="B718" s="115" t="s">
        <v>2439</v>
      </c>
      <c r="C718" t="s">
        <v>2440</v>
      </c>
      <c r="D718" s="118"/>
      <c r="E718" s="118"/>
      <c r="F718" s="116" t="s">
        <v>2441</v>
      </c>
      <c r="G718" t="s">
        <v>2280</v>
      </c>
      <c r="H718" s="117" t="s">
        <v>328</v>
      </c>
      <c r="I718" s="117" t="s">
        <v>796</v>
      </c>
    </row>
    <row r="719" spans="1:9" x14ac:dyDescent="0.25">
      <c r="A719" t="s">
        <v>2442</v>
      </c>
      <c r="B719" s="115" t="s">
        <v>2443</v>
      </c>
      <c r="C719" t="s">
        <v>2442</v>
      </c>
      <c r="D719" s="118"/>
      <c r="E719" s="118"/>
      <c r="F719" s="116" t="s">
        <v>2285</v>
      </c>
      <c r="G719" t="s">
        <v>2286</v>
      </c>
      <c r="H719" s="117" t="s">
        <v>328</v>
      </c>
      <c r="I719" s="117" t="s">
        <v>522</v>
      </c>
    </row>
    <row r="720" spans="1:9" x14ac:dyDescent="0.25">
      <c r="A720" t="s">
        <v>2444</v>
      </c>
      <c r="B720" s="115" t="s">
        <v>2445</v>
      </c>
      <c r="C720" t="s">
        <v>2446</v>
      </c>
      <c r="D720" s="118"/>
      <c r="E720" s="118"/>
      <c r="F720" s="116" t="s">
        <v>2290</v>
      </c>
      <c r="G720" t="s">
        <v>2291</v>
      </c>
      <c r="H720" s="117" t="s">
        <v>194</v>
      </c>
      <c r="I720" s="117" t="s">
        <v>299</v>
      </c>
    </row>
    <row r="721" spans="1:9" x14ac:dyDescent="0.25">
      <c r="A721" t="s">
        <v>2447</v>
      </c>
      <c r="B721" s="115" t="s">
        <v>2448</v>
      </c>
      <c r="C721" t="s">
        <v>2449</v>
      </c>
      <c r="D721" s="118"/>
      <c r="E721" s="118"/>
      <c r="F721" s="116" t="s">
        <v>2295</v>
      </c>
      <c r="G721" t="s">
        <v>2296</v>
      </c>
      <c r="H721" s="117" t="s">
        <v>194</v>
      </c>
      <c r="I721" s="117" t="s">
        <v>299</v>
      </c>
    </row>
    <row r="722" spans="1:9" x14ac:dyDescent="0.25">
      <c r="A722" t="s">
        <v>2450</v>
      </c>
      <c r="B722" s="115" t="s">
        <v>2451</v>
      </c>
      <c r="C722" t="s">
        <v>2452</v>
      </c>
      <c r="D722" s="118"/>
      <c r="E722" s="118"/>
      <c r="F722" s="116" t="s">
        <v>2298</v>
      </c>
      <c r="G722" t="s">
        <v>2299</v>
      </c>
      <c r="H722" s="117" t="s">
        <v>194</v>
      </c>
      <c r="I722" s="117" t="s">
        <v>299</v>
      </c>
    </row>
    <row r="723" spans="1:9" x14ac:dyDescent="0.25">
      <c r="A723" t="s">
        <v>2453</v>
      </c>
      <c r="B723" s="115" t="s">
        <v>2454</v>
      </c>
      <c r="C723" t="s">
        <v>2455</v>
      </c>
      <c r="D723" s="118"/>
      <c r="E723" s="118"/>
      <c r="F723" s="116" t="s">
        <v>2456</v>
      </c>
      <c r="G723" t="s">
        <v>2457</v>
      </c>
      <c r="H723" s="117" t="s">
        <v>194</v>
      </c>
      <c r="I723" s="117" t="s">
        <v>299</v>
      </c>
    </row>
    <row r="724" spans="1:9" x14ac:dyDescent="0.25">
      <c r="A724" t="s">
        <v>2458</v>
      </c>
      <c r="B724" s="115" t="s">
        <v>2459</v>
      </c>
      <c r="C724" t="s">
        <v>2460</v>
      </c>
      <c r="D724" s="118"/>
      <c r="E724" s="118"/>
      <c r="F724" s="116" t="s">
        <v>2301</v>
      </c>
      <c r="G724" t="s">
        <v>299</v>
      </c>
      <c r="H724" s="117" t="s">
        <v>194</v>
      </c>
      <c r="I724" s="117" t="s">
        <v>299</v>
      </c>
    </row>
    <row r="725" spans="1:9" x14ac:dyDescent="0.25">
      <c r="A725" t="s">
        <v>2461</v>
      </c>
      <c r="B725" s="115" t="s">
        <v>2462</v>
      </c>
      <c r="C725" t="s">
        <v>2463</v>
      </c>
      <c r="D725" s="118"/>
      <c r="E725" s="118"/>
      <c r="F725" s="116" t="s">
        <v>2464</v>
      </c>
      <c r="G725" t="s">
        <v>2304</v>
      </c>
      <c r="H725" s="117" t="s">
        <v>260</v>
      </c>
      <c r="I725" s="117" t="s">
        <v>432</v>
      </c>
    </row>
    <row r="726" spans="1:9" x14ac:dyDescent="0.25">
      <c r="A726" t="s">
        <v>2465</v>
      </c>
      <c r="B726" s="115" t="s">
        <v>2466</v>
      </c>
      <c r="C726" t="s">
        <v>2467</v>
      </c>
      <c r="D726" s="118"/>
      <c r="E726" s="118"/>
      <c r="F726" s="116" t="s">
        <v>2308</v>
      </c>
      <c r="G726" t="s">
        <v>2309</v>
      </c>
      <c r="H726" s="117" t="s">
        <v>260</v>
      </c>
      <c r="I726" s="117" t="s">
        <v>432</v>
      </c>
    </row>
    <row r="727" spans="1:9" x14ac:dyDescent="0.25">
      <c r="A727" t="s">
        <v>2468</v>
      </c>
      <c r="B727" s="115" t="s">
        <v>2469</v>
      </c>
      <c r="C727" t="s">
        <v>2470</v>
      </c>
      <c r="D727" s="118"/>
      <c r="E727" s="118"/>
      <c r="F727" s="116" t="s">
        <v>2311</v>
      </c>
      <c r="G727" t="s">
        <v>2312</v>
      </c>
      <c r="H727" s="117" t="s">
        <v>260</v>
      </c>
      <c r="I727" s="117" t="s">
        <v>440</v>
      </c>
    </row>
    <row r="728" spans="1:9" x14ac:dyDescent="0.25">
      <c r="A728" t="s">
        <v>2471</v>
      </c>
      <c r="B728" s="115" t="s">
        <v>2472</v>
      </c>
      <c r="C728" t="s">
        <v>2473</v>
      </c>
      <c r="D728" s="118"/>
      <c r="E728" s="118"/>
      <c r="F728" s="116" t="s">
        <v>2314</v>
      </c>
      <c r="G728" t="s">
        <v>2315</v>
      </c>
      <c r="H728" s="117" t="s">
        <v>105</v>
      </c>
      <c r="I728" s="117" t="s">
        <v>106</v>
      </c>
    </row>
    <row r="729" spans="1:9" x14ac:dyDescent="0.25">
      <c r="A729" t="s">
        <v>2474</v>
      </c>
      <c r="B729" s="115" t="s">
        <v>2475</v>
      </c>
      <c r="C729" t="s">
        <v>2474</v>
      </c>
      <c r="D729" s="118"/>
      <c r="E729" s="118"/>
      <c r="F729" s="116" t="s">
        <v>2317</v>
      </c>
      <c r="G729" t="s">
        <v>2318</v>
      </c>
      <c r="H729" s="117" t="s">
        <v>105</v>
      </c>
      <c r="I729" s="117" t="s">
        <v>127</v>
      </c>
    </row>
    <row r="730" spans="1:9" x14ac:dyDescent="0.25">
      <c r="A730" t="s">
        <v>2476</v>
      </c>
      <c r="B730" s="115" t="s">
        <v>2477</v>
      </c>
      <c r="C730" t="s">
        <v>2478</v>
      </c>
      <c r="D730" s="118"/>
      <c r="E730" s="118"/>
      <c r="F730" s="116" t="s">
        <v>2320</v>
      </c>
      <c r="G730" t="s">
        <v>2321</v>
      </c>
      <c r="H730" s="117" t="s">
        <v>260</v>
      </c>
      <c r="I730" s="117" t="s">
        <v>261</v>
      </c>
    </row>
    <row r="731" spans="1:9" x14ac:dyDescent="0.25">
      <c r="A731" t="s">
        <v>2479</v>
      </c>
      <c r="B731" s="115" t="s">
        <v>2480</v>
      </c>
      <c r="C731" t="s">
        <v>2481</v>
      </c>
      <c r="D731" s="118"/>
      <c r="E731" s="118"/>
      <c r="F731" s="116" t="s">
        <v>2323</v>
      </c>
      <c r="G731" t="s">
        <v>2324</v>
      </c>
      <c r="H731" s="117" t="s">
        <v>100</v>
      </c>
      <c r="I731" s="117" t="s">
        <v>101</v>
      </c>
    </row>
    <row r="732" spans="1:9" x14ac:dyDescent="0.25">
      <c r="A732" t="s">
        <v>2482</v>
      </c>
      <c r="B732" s="115" t="s">
        <v>2483</v>
      </c>
      <c r="C732" t="s">
        <v>2484</v>
      </c>
      <c r="D732" s="118"/>
      <c r="E732" s="118"/>
      <c r="F732" s="116" t="s">
        <v>2329</v>
      </c>
      <c r="G732" t="s">
        <v>2330</v>
      </c>
      <c r="H732" s="117" t="s">
        <v>165</v>
      </c>
      <c r="I732" s="117" t="s">
        <v>166</v>
      </c>
    </row>
    <row r="733" spans="1:9" x14ac:dyDescent="0.25">
      <c r="A733" t="s">
        <v>2485</v>
      </c>
      <c r="B733" s="115" t="s">
        <v>2486</v>
      </c>
      <c r="C733" t="s">
        <v>2487</v>
      </c>
      <c r="D733" s="118"/>
      <c r="E733" s="118"/>
      <c r="F733" s="116" t="s">
        <v>2332</v>
      </c>
      <c r="G733" t="s">
        <v>2333</v>
      </c>
      <c r="H733" s="117" t="s">
        <v>220</v>
      </c>
      <c r="I733" s="117" t="s">
        <v>367</v>
      </c>
    </row>
    <row r="734" spans="1:9" x14ac:dyDescent="0.25">
      <c r="A734" t="s">
        <v>2488</v>
      </c>
      <c r="B734" s="115" t="s">
        <v>2489</v>
      </c>
      <c r="C734" t="s">
        <v>2490</v>
      </c>
      <c r="D734" s="118"/>
      <c r="E734" s="118"/>
      <c r="F734" s="116" t="s">
        <v>2336</v>
      </c>
      <c r="G734" t="s">
        <v>2337</v>
      </c>
      <c r="H734" s="117" t="s">
        <v>328</v>
      </c>
      <c r="I734" s="117" t="s">
        <v>522</v>
      </c>
    </row>
    <row r="735" spans="1:9" x14ac:dyDescent="0.25">
      <c r="A735" t="s">
        <v>2491</v>
      </c>
      <c r="B735" s="115" t="s">
        <v>2492</v>
      </c>
      <c r="C735" t="s">
        <v>2493</v>
      </c>
      <c r="D735" s="118"/>
      <c r="E735" s="118"/>
      <c r="F735" s="116" t="s">
        <v>2494</v>
      </c>
      <c r="G735" t="s">
        <v>2495</v>
      </c>
      <c r="H735" s="117" t="s">
        <v>194</v>
      </c>
      <c r="I735" s="117" t="s">
        <v>666</v>
      </c>
    </row>
    <row r="736" spans="1:9" x14ac:dyDescent="0.25">
      <c r="A736" t="s">
        <v>2496</v>
      </c>
      <c r="B736" s="115" t="s">
        <v>2497</v>
      </c>
      <c r="C736" t="s">
        <v>2498</v>
      </c>
      <c r="D736" s="118"/>
      <c r="E736" s="118"/>
      <c r="F736" s="116" t="s">
        <v>2341</v>
      </c>
      <c r="G736" t="s">
        <v>2342</v>
      </c>
      <c r="H736" s="117" t="s">
        <v>194</v>
      </c>
      <c r="I736" s="117" t="s">
        <v>666</v>
      </c>
    </row>
    <row r="737" spans="1:9" x14ac:dyDescent="0.25">
      <c r="A737" t="s">
        <v>2499</v>
      </c>
      <c r="B737" s="115" t="s">
        <v>2500</v>
      </c>
      <c r="C737" t="s">
        <v>2501</v>
      </c>
      <c r="D737" s="118"/>
      <c r="E737" s="118"/>
      <c r="F737" s="116" t="s">
        <v>2346</v>
      </c>
      <c r="G737" t="s">
        <v>2347</v>
      </c>
      <c r="H737" s="117" t="s">
        <v>194</v>
      </c>
      <c r="I737" s="117" t="s">
        <v>666</v>
      </c>
    </row>
    <row r="738" spans="1:9" x14ac:dyDescent="0.25">
      <c r="A738" t="s">
        <v>2502</v>
      </c>
      <c r="B738" s="115" t="s">
        <v>2503</v>
      </c>
      <c r="C738" t="s">
        <v>2504</v>
      </c>
      <c r="D738" s="118"/>
      <c r="E738" s="118"/>
      <c r="F738" s="116" t="s">
        <v>2349</v>
      </c>
      <c r="G738" t="s">
        <v>666</v>
      </c>
      <c r="H738" s="117" t="s">
        <v>194</v>
      </c>
      <c r="I738" s="117" t="s">
        <v>666</v>
      </c>
    </row>
    <row r="739" spans="1:9" x14ac:dyDescent="0.25">
      <c r="A739" t="s">
        <v>2505</v>
      </c>
      <c r="B739" s="115" t="s">
        <v>2506</v>
      </c>
      <c r="C739" t="s">
        <v>2507</v>
      </c>
      <c r="D739" s="118"/>
      <c r="E739" s="118"/>
      <c r="F739" s="116" t="s">
        <v>2508</v>
      </c>
      <c r="G739" t="s">
        <v>2509</v>
      </c>
      <c r="H739" s="117" t="s">
        <v>194</v>
      </c>
      <c r="I739" s="117" t="s">
        <v>171</v>
      </c>
    </row>
    <row r="740" spans="1:9" x14ac:dyDescent="0.25">
      <c r="A740" t="s">
        <v>2510</v>
      </c>
      <c r="B740" s="115" t="s">
        <v>2511</v>
      </c>
      <c r="C740" t="s">
        <v>2512</v>
      </c>
      <c r="D740" s="118"/>
      <c r="E740" s="118"/>
      <c r="F740" s="116" t="s">
        <v>2351</v>
      </c>
      <c r="G740" t="s">
        <v>2352</v>
      </c>
      <c r="H740" s="117" t="s">
        <v>260</v>
      </c>
      <c r="I740" s="117" t="s">
        <v>432</v>
      </c>
    </row>
    <row r="741" spans="1:9" x14ac:dyDescent="0.25">
      <c r="A741" t="s">
        <v>2513</v>
      </c>
      <c r="B741" s="115" t="s">
        <v>2514</v>
      </c>
      <c r="C741" t="s">
        <v>2515</v>
      </c>
      <c r="D741" s="118"/>
      <c r="E741" s="118"/>
      <c r="F741" s="116" t="s">
        <v>2516</v>
      </c>
      <c r="G741" t="s">
        <v>2517</v>
      </c>
      <c r="H741" s="117" t="s">
        <v>160</v>
      </c>
      <c r="I741" s="117" t="s">
        <v>487</v>
      </c>
    </row>
    <row r="742" spans="1:9" x14ac:dyDescent="0.25">
      <c r="A742" t="s">
        <v>2518</v>
      </c>
      <c r="B742" s="115" t="s">
        <v>2519</v>
      </c>
      <c r="C742" t="s">
        <v>2520</v>
      </c>
      <c r="D742" s="118"/>
      <c r="E742" s="118"/>
      <c r="F742" s="116" t="s">
        <v>2521</v>
      </c>
      <c r="G742" t="s">
        <v>2522</v>
      </c>
      <c r="H742" s="117" t="s">
        <v>100</v>
      </c>
      <c r="I742" s="117" t="s">
        <v>101</v>
      </c>
    </row>
    <row r="743" spans="1:9" x14ac:dyDescent="0.25">
      <c r="A743" t="s">
        <v>2523</v>
      </c>
      <c r="B743" s="115" t="s">
        <v>2524</v>
      </c>
      <c r="C743" t="s">
        <v>2525</v>
      </c>
      <c r="D743" s="118"/>
      <c r="E743" s="118"/>
      <c r="F743" s="116" t="s">
        <v>2526</v>
      </c>
      <c r="G743" t="s">
        <v>2527</v>
      </c>
      <c r="H743" s="117" t="s">
        <v>165</v>
      </c>
      <c r="I743" s="117" t="s">
        <v>166</v>
      </c>
    </row>
    <row r="744" spans="1:9" x14ac:dyDescent="0.25">
      <c r="A744" t="s">
        <v>2528</v>
      </c>
      <c r="B744" s="115" t="s">
        <v>2529</v>
      </c>
      <c r="C744" t="s">
        <v>2530</v>
      </c>
      <c r="D744" s="118"/>
      <c r="E744" s="118"/>
      <c r="F744" s="116" t="s">
        <v>2356</v>
      </c>
      <c r="G744" t="s">
        <v>2357</v>
      </c>
      <c r="H744" s="117" t="s">
        <v>165</v>
      </c>
      <c r="I744" s="117" t="s">
        <v>166</v>
      </c>
    </row>
    <row r="745" spans="1:9" x14ac:dyDescent="0.25">
      <c r="A745" t="s">
        <v>2531</v>
      </c>
      <c r="B745" s="115" t="s">
        <v>2532</v>
      </c>
      <c r="C745" t="s">
        <v>2533</v>
      </c>
      <c r="D745" s="118"/>
      <c r="E745" s="118"/>
      <c r="F745" s="116" t="s">
        <v>2534</v>
      </c>
      <c r="G745" t="s">
        <v>2535</v>
      </c>
      <c r="H745" s="117" t="s">
        <v>165</v>
      </c>
      <c r="I745" s="117" t="s">
        <v>166</v>
      </c>
    </row>
    <row r="746" spans="1:9" x14ac:dyDescent="0.25">
      <c r="A746" t="s">
        <v>2536</v>
      </c>
      <c r="B746" s="115" t="s">
        <v>2537</v>
      </c>
      <c r="C746" t="s">
        <v>2538</v>
      </c>
      <c r="D746" s="118"/>
      <c r="E746" s="118"/>
      <c r="F746" s="116" t="s">
        <v>2359</v>
      </c>
      <c r="G746" t="s">
        <v>2360</v>
      </c>
      <c r="H746" s="117" t="s">
        <v>105</v>
      </c>
      <c r="I746" s="117" t="s">
        <v>106</v>
      </c>
    </row>
    <row r="747" spans="1:9" x14ac:dyDescent="0.25">
      <c r="A747" t="s">
        <v>2539</v>
      </c>
      <c r="B747" s="115" t="s">
        <v>2540</v>
      </c>
      <c r="C747" t="s">
        <v>2541</v>
      </c>
      <c r="D747" s="118"/>
      <c r="E747" s="118"/>
      <c r="F747" s="116" t="s">
        <v>2362</v>
      </c>
      <c r="G747" t="s">
        <v>2363</v>
      </c>
      <c r="H747" s="117" t="s">
        <v>115</v>
      </c>
      <c r="I747" s="117" t="s">
        <v>276</v>
      </c>
    </row>
    <row r="748" spans="1:9" x14ac:dyDescent="0.25">
      <c r="A748" t="s">
        <v>2542</v>
      </c>
      <c r="B748" s="115" t="s">
        <v>2543</v>
      </c>
      <c r="C748" t="s">
        <v>2544</v>
      </c>
      <c r="D748" s="118"/>
      <c r="E748" s="118"/>
      <c r="F748" s="116" t="s">
        <v>2366</v>
      </c>
      <c r="G748" t="s">
        <v>2367</v>
      </c>
      <c r="H748" s="117" t="s">
        <v>115</v>
      </c>
      <c r="I748" s="117" t="s">
        <v>116</v>
      </c>
    </row>
    <row r="749" spans="1:9" x14ac:dyDescent="0.25">
      <c r="A749" t="s">
        <v>2545</v>
      </c>
      <c r="B749" s="115" t="s">
        <v>2546</v>
      </c>
      <c r="C749" t="s">
        <v>2547</v>
      </c>
      <c r="D749" s="118"/>
      <c r="E749" s="118"/>
      <c r="F749" s="116" t="s">
        <v>2368</v>
      </c>
      <c r="G749" t="s">
        <v>2548</v>
      </c>
      <c r="H749" s="117" t="s">
        <v>105</v>
      </c>
      <c r="I749" s="117" t="s">
        <v>127</v>
      </c>
    </row>
    <row r="750" spans="1:9" x14ac:dyDescent="0.25">
      <c r="A750" t="s">
        <v>2549</v>
      </c>
      <c r="B750" s="115" t="s">
        <v>2550</v>
      </c>
      <c r="C750" t="s">
        <v>2551</v>
      </c>
      <c r="D750" s="118"/>
      <c r="E750" s="118"/>
      <c r="F750" s="116" t="s">
        <v>2371</v>
      </c>
      <c r="G750" t="s">
        <v>2372</v>
      </c>
      <c r="H750" s="117" t="s">
        <v>100</v>
      </c>
      <c r="I750" s="117" t="s">
        <v>187</v>
      </c>
    </row>
    <row r="751" spans="1:9" x14ac:dyDescent="0.25">
      <c r="A751" t="s">
        <v>2552</v>
      </c>
      <c r="B751" s="115" t="s">
        <v>2553</v>
      </c>
      <c r="C751" t="s">
        <v>2554</v>
      </c>
      <c r="D751" s="118"/>
      <c r="E751" s="118"/>
      <c r="F751" s="116" t="s">
        <v>2374</v>
      </c>
      <c r="G751" t="s">
        <v>2375</v>
      </c>
      <c r="H751" s="117" t="s">
        <v>260</v>
      </c>
      <c r="I751" s="117" t="s">
        <v>1146</v>
      </c>
    </row>
    <row r="752" spans="1:9" x14ac:dyDescent="0.25">
      <c r="A752" t="s">
        <v>2555</v>
      </c>
      <c r="B752" s="115" t="s">
        <v>221</v>
      </c>
      <c r="C752" t="s">
        <v>2556</v>
      </c>
      <c r="D752" s="118"/>
      <c r="E752" s="118"/>
      <c r="F752" s="116" t="s">
        <v>2377</v>
      </c>
      <c r="G752" t="s">
        <v>2378</v>
      </c>
      <c r="H752" s="117" t="s">
        <v>170</v>
      </c>
      <c r="I752" s="117" t="s">
        <v>202</v>
      </c>
    </row>
    <row r="753" spans="1:9" x14ac:dyDescent="0.25">
      <c r="A753" t="s">
        <v>2557</v>
      </c>
      <c r="B753" s="115" t="s">
        <v>2558</v>
      </c>
      <c r="C753" t="s">
        <v>2559</v>
      </c>
      <c r="D753" s="118"/>
      <c r="E753" s="118"/>
      <c r="F753" s="116" t="s">
        <v>2560</v>
      </c>
      <c r="G753" t="s">
        <v>2561</v>
      </c>
      <c r="H753" s="117" t="s">
        <v>220</v>
      </c>
      <c r="I753" s="117" t="s">
        <v>367</v>
      </c>
    </row>
    <row r="754" spans="1:9" x14ac:dyDescent="0.25">
      <c r="A754" t="s">
        <v>2562</v>
      </c>
      <c r="B754" s="115" t="s">
        <v>2563</v>
      </c>
      <c r="C754" t="s">
        <v>2564</v>
      </c>
      <c r="D754" s="118"/>
      <c r="E754" s="118"/>
      <c r="F754" s="116" t="s">
        <v>2382</v>
      </c>
      <c r="G754" t="s">
        <v>2383</v>
      </c>
      <c r="H754" s="117" t="s">
        <v>220</v>
      </c>
      <c r="I754" s="117" t="s">
        <v>221</v>
      </c>
    </row>
    <row r="755" spans="1:9" x14ac:dyDescent="0.25">
      <c r="A755" t="s">
        <v>2565</v>
      </c>
      <c r="B755" s="115" t="s">
        <v>2566</v>
      </c>
      <c r="C755" t="s">
        <v>2567</v>
      </c>
      <c r="D755" s="118"/>
      <c r="E755" s="118"/>
      <c r="F755" s="116" t="s">
        <v>2385</v>
      </c>
      <c r="G755" t="s">
        <v>2386</v>
      </c>
      <c r="H755" s="117" t="s">
        <v>220</v>
      </c>
      <c r="I755" s="117" t="s">
        <v>221</v>
      </c>
    </row>
    <row r="756" spans="1:9" x14ac:dyDescent="0.25">
      <c r="A756" t="s">
        <v>2568</v>
      </c>
      <c r="B756" s="115" t="s">
        <v>2569</v>
      </c>
      <c r="C756" t="s">
        <v>2570</v>
      </c>
      <c r="D756" s="118"/>
      <c r="E756" s="118"/>
      <c r="F756" s="116" t="s">
        <v>2388</v>
      </c>
      <c r="G756" t="s">
        <v>2389</v>
      </c>
      <c r="H756" s="117" t="s">
        <v>220</v>
      </c>
      <c r="I756" s="117" t="s">
        <v>367</v>
      </c>
    </row>
    <row r="757" spans="1:9" x14ac:dyDescent="0.25">
      <c r="A757" t="s">
        <v>2571</v>
      </c>
      <c r="B757" s="115" t="s">
        <v>2572</v>
      </c>
      <c r="C757" t="s">
        <v>2573</v>
      </c>
      <c r="D757" s="118"/>
      <c r="E757" s="118"/>
      <c r="F757" s="116" t="s">
        <v>2391</v>
      </c>
      <c r="G757" t="s">
        <v>2392</v>
      </c>
      <c r="H757" s="117" t="s">
        <v>220</v>
      </c>
      <c r="I757" s="117" t="s">
        <v>221</v>
      </c>
    </row>
    <row r="758" spans="1:9" x14ac:dyDescent="0.25">
      <c r="A758" t="s">
        <v>2574</v>
      </c>
      <c r="B758" s="115" t="s">
        <v>2575</v>
      </c>
      <c r="C758" t="s">
        <v>2576</v>
      </c>
      <c r="D758" s="118"/>
      <c r="E758" s="118"/>
      <c r="F758" s="116" t="s">
        <v>2394</v>
      </c>
      <c r="G758" t="s">
        <v>2395</v>
      </c>
      <c r="H758" s="117" t="s">
        <v>220</v>
      </c>
      <c r="I758" s="117" t="s">
        <v>1569</v>
      </c>
    </row>
    <row r="759" spans="1:9" x14ac:dyDescent="0.25">
      <c r="A759" t="s">
        <v>2577</v>
      </c>
      <c r="B759" s="115" t="s">
        <v>2578</v>
      </c>
      <c r="C759" t="s">
        <v>2579</v>
      </c>
      <c r="D759" s="118"/>
      <c r="E759" s="118"/>
      <c r="F759" s="116" t="s">
        <v>2399</v>
      </c>
      <c r="G759" t="s">
        <v>2400</v>
      </c>
      <c r="H759" s="117" t="s">
        <v>220</v>
      </c>
      <c r="I759" s="117" t="s">
        <v>221</v>
      </c>
    </row>
    <row r="760" spans="1:9" x14ac:dyDescent="0.25">
      <c r="A760" t="s">
        <v>2580</v>
      </c>
      <c r="B760" s="115" t="s">
        <v>2581</v>
      </c>
      <c r="C760" t="s">
        <v>2582</v>
      </c>
      <c r="D760" s="118"/>
      <c r="E760" s="118"/>
      <c r="F760" s="116" t="s">
        <v>2402</v>
      </c>
      <c r="G760" t="s">
        <v>2403</v>
      </c>
      <c r="H760" s="117" t="s">
        <v>194</v>
      </c>
      <c r="I760" s="117" t="s">
        <v>195</v>
      </c>
    </row>
    <row r="761" spans="1:9" x14ac:dyDescent="0.25">
      <c r="A761" t="s">
        <v>2583</v>
      </c>
      <c r="B761" s="115" t="s">
        <v>2584</v>
      </c>
      <c r="C761" t="s">
        <v>2583</v>
      </c>
      <c r="D761" s="118"/>
      <c r="E761" s="118"/>
      <c r="F761" s="116" t="s">
        <v>2408</v>
      </c>
      <c r="G761" t="s">
        <v>2409</v>
      </c>
      <c r="H761" s="117" t="s">
        <v>194</v>
      </c>
      <c r="I761" s="117" t="s">
        <v>299</v>
      </c>
    </row>
    <row r="762" spans="1:9" x14ac:dyDescent="0.25">
      <c r="A762" t="s">
        <v>2585</v>
      </c>
      <c r="B762" s="115" t="s">
        <v>2586</v>
      </c>
      <c r="C762" t="s">
        <v>2587</v>
      </c>
      <c r="D762" s="118"/>
      <c r="E762" s="118"/>
      <c r="F762" s="116" t="s">
        <v>2588</v>
      </c>
      <c r="G762" t="s">
        <v>2412</v>
      </c>
      <c r="H762" s="117" t="s">
        <v>194</v>
      </c>
      <c r="I762" s="117" t="s">
        <v>299</v>
      </c>
    </row>
    <row r="763" spans="1:9" x14ac:dyDescent="0.25">
      <c r="A763" t="s">
        <v>2589</v>
      </c>
      <c r="B763" s="115" t="s">
        <v>2590</v>
      </c>
      <c r="C763" t="s">
        <v>2589</v>
      </c>
      <c r="D763" s="118"/>
      <c r="E763" s="118"/>
      <c r="F763" s="116" t="s">
        <v>2417</v>
      </c>
      <c r="G763" t="s">
        <v>2418</v>
      </c>
      <c r="H763" s="117" t="s">
        <v>194</v>
      </c>
      <c r="I763" s="117" t="s">
        <v>666</v>
      </c>
    </row>
    <row r="764" spans="1:9" x14ac:dyDescent="0.25">
      <c r="A764" t="s">
        <v>2591</v>
      </c>
      <c r="B764" s="115" t="s">
        <v>2592</v>
      </c>
      <c r="C764" t="s">
        <v>2593</v>
      </c>
      <c r="D764" s="118"/>
      <c r="E764" s="118"/>
      <c r="F764" s="116" t="s">
        <v>2594</v>
      </c>
      <c r="G764" t="s">
        <v>2595</v>
      </c>
      <c r="H764" s="117" t="s">
        <v>260</v>
      </c>
      <c r="I764" s="117" t="s">
        <v>440</v>
      </c>
    </row>
    <row r="765" spans="1:9" x14ac:dyDescent="0.25">
      <c r="A765" t="s">
        <v>2596</v>
      </c>
      <c r="B765" s="115" t="s">
        <v>2597</v>
      </c>
      <c r="C765" t="s">
        <v>2598</v>
      </c>
      <c r="D765" s="118"/>
      <c r="E765" s="118"/>
      <c r="F765" s="116" t="s">
        <v>2423</v>
      </c>
      <c r="G765" t="s">
        <v>2424</v>
      </c>
      <c r="H765" s="117" t="s">
        <v>328</v>
      </c>
      <c r="I765" s="117" t="s">
        <v>1616</v>
      </c>
    </row>
    <row r="766" spans="1:9" x14ac:dyDescent="0.25">
      <c r="A766" t="s">
        <v>2599</v>
      </c>
      <c r="B766" s="115" t="s">
        <v>2600</v>
      </c>
      <c r="C766" t="s">
        <v>2601</v>
      </c>
      <c r="D766" s="118"/>
      <c r="E766" s="118"/>
      <c r="F766" s="116" t="s">
        <v>2426</v>
      </c>
      <c r="G766" t="s">
        <v>2427</v>
      </c>
      <c r="H766" s="117" t="s">
        <v>260</v>
      </c>
      <c r="I766" s="117" t="s">
        <v>432</v>
      </c>
    </row>
    <row r="767" spans="1:9" x14ac:dyDescent="0.25">
      <c r="A767" t="s">
        <v>2602</v>
      </c>
      <c r="B767" s="115" t="s">
        <v>2603</v>
      </c>
      <c r="C767" t="s">
        <v>2604</v>
      </c>
      <c r="D767" s="118"/>
      <c r="E767" s="118"/>
      <c r="F767" s="116" t="s">
        <v>2429</v>
      </c>
      <c r="G767" t="s">
        <v>2430</v>
      </c>
      <c r="H767" s="117" t="s">
        <v>160</v>
      </c>
      <c r="I767" s="117" t="s">
        <v>755</v>
      </c>
    </row>
    <row r="768" spans="1:9" x14ac:dyDescent="0.25">
      <c r="A768" t="s">
        <v>2605</v>
      </c>
      <c r="B768" s="115" t="s">
        <v>2606</v>
      </c>
      <c r="C768" t="s">
        <v>2607</v>
      </c>
      <c r="D768" s="118"/>
      <c r="E768" s="118"/>
      <c r="F768" s="116" t="s">
        <v>2432</v>
      </c>
      <c r="G768" t="s">
        <v>2433</v>
      </c>
      <c r="H768" s="117" t="s">
        <v>100</v>
      </c>
      <c r="I768" s="117" t="s">
        <v>187</v>
      </c>
    </row>
    <row r="769" spans="1:9" x14ac:dyDescent="0.25">
      <c r="A769" t="s">
        <v>2608</v>
      </c>
      <c r="B769" s="115" t="s">
        <v>2609</v>
      </c>
      <c r="C769" t="s">
        <v>2610</v>
      </c>
      <c r="D769" s="118"/>
      <c r="E769" s="118"/>
      <c r="F769" s="116" t="s">
        <v>2611</v>
      </c>
      <c r="G769" t="s">
        <v>2612</v>
      </c>
      <c r="H769" s="117" t="s">
        <v>165</v>
      </c>
      <c r="I769" s="117" t="s">
        <v>206</v>
      </c>
    </row>
    <row r="770" spans="1:9" x14ac:dyDescent="0.25">
      <c r="A770" t="s">
        <v>2613</v>
      </c>
      <c r="B770" s="115" t="s">
        <v>2614</v>
      </c>
      <c r="C770" t="s">
        <v>2615</v>
      </c>
      <c r="D770" s="118"/>
      <c r="E770" s="118"/>
      <c r="F770" s="116" t="s">
        <v>2438</v>
      </c>
      <c r="G770" t="s">
        <v>2439</v>
      </c>
      <c r="H770" s="117" t="s">
        <v>100</v>
      </c>
      <c r="I770" s="117" t="s">
        <v>181</v>
      </c>
    </row>
    <row r="771" spans="1:9" x14ac:dyDescent="0.25">
      <c r="A771" t="s">
        <v>2616</v>
      </c>
      <c r="B771" s="115" t="s">
        <v>2617</v>
      </c>
      <c r="C771" t="s">
        <v>2618</v>
      </c>
      <c r="D771" s="118"/>
      <c r="E771" s="118"/>
      <c r="F771" s="116" t="s">
        <v>2442</v>
      </c>
      <c r="G771" t="s">
        <v>2443</v>
      </c>
      <c r="H771" s="117" t="s">
        <v>100</v>
      </c>
      <c r="I771" s="117" t="s">
        <v>250</v>
      </c>
    </row>
    <row r="772" spans="1:9" x14ac:dyDescent="0.25">
      <c r="A772" t="s">
        <v>2619</v>
      </c>
      <c r="B772" s="115" t="s">
        <v>2620</v>
      </c>
      <c r="C772" t="s">
        <v>2621</v>
      </c>
      <c r="D772" s="118"/>
      <c r="E772" s="118"/>
      <c r="F772" s="116" t="s">
        <v>2444</v>
      </c>
      <c r="G772" t="s">
        <v>2622</v>
      </c>
      <c r="H772" s="117" t="s">
        <v>105</v>
      </c>
      <c r="I772" s="117" t="s">
        <v>174</v>
      </c>
    </row>
    <row r="773" spans="1:9" x14ac:dyDescent="0.25">
      <c r="A773" t="s">
        <v>2623</v>
      </c>
      <c r="B773" s="115" t="s">
        <v>2624</v>
      </c>
      <c r="C773" t="s">
        <v>2625</v>
      </c>
      <c r="D773" s="118"/>
      <c r="E773" s="118"/>
      <c r="F773" s="116" t="s">
        <v>2447</v>
      </c>
      <c r="G773" t="s">
        <v>2448</v>
      </c>
      <c r="H773" s="117" t="s">
        <v>260</v>
      </c>
      <c r="I773" s="117" t="s">
        <v>367</v>
      </c>
    </row>
    <row r="774" spans="1:9" x14ac:dyDescent="0.25">
      <c r="A774" t="s">
        <v>2626</v>
      </c>
      <c r="B774" s="115" t="s">
        <v>2627</v>
      </c>
      <c r="C774" t="s">
        <v>2628</v>
      </c>
      <c r="D774" s="118"/>
      <c r="E774" s="118"/>
      <c r="F774" s="116" t="s">
        <v>2450</v>
      </c>
      <c r="G774" t="s">
        <v>2451</v>
      </c>
      <c r="H774" s="117" t="s">
        <v>160</v>
      </c>
      <c r="I774" s="117" t="s">
        <v>704</v>
      </c>
    </row>
    <row r="775" spans="1:9" x14ac:dyDescent="0.25">
      <c r="A775" t="s">
        <v>2629</v>
      </c>
      <c r="B775" s="115" t="s">
        <v>2630</v>
      </c>
      <c r="C775" t="s">
        <v>2631</v>
      </c>
      <c r="D775" s="118"/>
      <c r="E775" s="118"/>
      <c r="F775" s="116" t="s">
        <v>2453</v>
      </c>
      <c r="G775" t="s">
        <v>2454</v>
      </c>
      <c r="H775" s="117" t="s">
        <v>170</v>
      </c>
      <c r="I775" s="117" t="s">
        <v>171</v>
      </c>
    </row>
    <row r="776" spans="1:9" x14ac:dyDescent="0.25">
      <c r="A776" t="s">
        <v>2632</v>
      </c>
      <c r="B776" s="115" t="s">
        <v>2633</v>
      </c>
      <c r="C776" t="s">
        <v>2634</v>
      </c>
      <c r="D776" s="118"/>
      <c r="E776" s="118"/>
      <c r="F776" s="116" t="s">
        <v>2458</v>
      </c>
      <c r="G776" t="s">
        <v>2459</v>
      </c>
      <c r="H776" s="117" t="s">
        <v>165</v>
      </c>
      <c r="I776" s="117" t="s">
        <v>166</v>
      </c>
    </row>
    <row r="777" spans="1:9" x14ac:dyDescent="0.25">
      <c r="A777" t="s">
        <v>2635</v>
      </c>
      <c r="B777" s="115" t="s">
        <v>2636</v>
      </c>
      <c r="C777" t="s">
        <v>2637</v>
      </c>
      <c r="D777" s="118"/>
      <c r="E777" s="118"/>
      <c r="F777" s="116" t="s">
        <v>2461</v>
      </c>
      <c r="G777" t="s">
        <v>2462</v>
      </c>
      <c r="H777" s="117" t="s">
        <v>165</v>
      </c>
      <c r="I777" s="117" t="s">
        <v>166</v>
      </c>
    </row>
    <row r="778" spans="1:9" x14ac:dyDescent="0.25">
      <c r="A778" t="s">
        <v>2638</v>
      </c>
      <c r="B778" s="115" t="s">
        <v>2639</v>
      </c>
      <c r="C778" t="s">
        <v>2640</v>
      </c>
      <c r="D778" s="118"/>
      <c r="E778" s="118"/>
      <c r="F778" s="116" t="s">
        <v>2465</v>
      </c>
      <c r="G778" t="s">
        <v>2466</v>
      </c>
      <c r="H778" s="117" t="s">
        <v>165</v>
      </c>
      <c r="I778" s="117" t="s">
        <v>166</v>
      </c>
    </row>
    <row r="779" spans="1:9" x14ac:dyDescent="0.25">
      <c r="A779" t="s">
        <v>2641</v>
      </c>
      <c r="B779" s="115" t="s">
        <v>2642</v>
      </c>
      <c r="C779" t="s">
        <v>2643</v>
      </c>
      <c r="D779" s="118"/>
      <c r="E779" s="118"/>
      <c r="F779" s="116" t="s">
        <v>2644</v>
      </c>
      <c r="G779" t="s">
        <v>2469</v>
      </c>
      <c r="H779" s="117" t="s">
        <v>165</v>
      </c>
      <c r="I779" s="117" t="s">
        <v>166</v>
      </c>
    </row>
    <row r="780" spans="1:9" x14ac:dyDescent="0.25">
      <c r="A780" t="s">
        <v>2645</v>
      </c>
      <c r="B780" s="115" t="s">
        <v>2646</v>
      </c>
      <c r="C780" t="s">
        <v>2647</v>
      </c>
      <c r="D780" s="118"/>
      <c r="E780" s="118"/>
      <c r="F780" s="116" t="s">
        <v>2471</v>
      </c>
      <c r="G780" t="s">
        <v>2472</v>
      </c>
      <c r="H780" s="117" t="s">
        <v>194</v>
      </c>
      <c r="I780" s="117" t="s">
        <v>290</v>
      </c>
    </row>
    <row r="781" spans="1:9" x14ac:dyDescent="0.25">
      <c r="A781" t="s">
        <v>2648</v>
      </c>
      <c r="B781" s="115" t="s">
        <v>2649</v>
      </c>
      <c r="C781" t="s">
        <v>2650</v>
      </c>
      <c r="D781" s="118"/>
      <c r="E781" s="118"/>
      <c r="F781" s="116" t="s">
        <v>2474</v>
      </c>
      <c r="G781" t="s">
        <v>2475</v>
      </c>
      <c r="H781" s="117" t="s">
        <v>165</v>
      </c>
      <c r="I781" s="117" t="s">
        <v>166</v>
      </c>
    </row>
    <row r="782" spans="1:9" x14ac:dyDescent="0.25">
      <c r="A782" t="s">
        <v>2651</v>
      </c>
      <c r="B782" s="115" t="s">
        <v>2652</v>
      </c>
      <c r="C782" t="s">
        <v>2653</v>
      </c>
      <c r="D782" s="118"/>
      <c r="E782" s="118"/>
      <c r="F782" s="116" t="s">
        <v>2476</v>
      </c>
      <c r="G782" t="s">
        <v>2477</v>
      </c>
      <c r="H782" s="117" t="s">
        <v>260</v>
      </c>
      <c r="I782" s="117" t="s">
        <v>670</v>
      </c>
    </row>
    <row r="783" spans="1:9" x14ac:dyDescent="0.25">
      <c r="A783" t="s">
        <v>2654</v>
      </c>
      <c r="B783" s="115" t="s">
        <v>2655</v>
      </c>
      <c r="C783" t="s">
        <v>2656</v>
      </c>
      <c r="D783" s="118"/>
      <c r="E783" s="118"/>
      <c r="F783" s="116" t="s">
        <v>2479</v>
      </c>
      <c r="G783" t="s">
        <v>2480</v>
      </c>
      <c r="H783" s="117" t="s">
        <v>328</v>
      </c>
      <c r="I783" s="117" t="s">
        <v>1616</v>
      </c>
    </row>
    <row r="784" spans="1:9" x14ac:dyDescent="0.25">
      <c r="A784" t="s">
        <v>2657</v>
      </c>
      <c r="B784" s="115" t="s">
        <v>2658</v>
      </c>
      <c r="C784" t="s">
        <v>2659</v>
      </c>
      <c r="D784" s="118"/>
      <c r="E784" s="118"/>
      <c r="F784" s="116" t="s">
        <v>2482</v>
      </c>
      <c r="G784" t="s">
        <v>2483</v>
      </c>
      <c r="H784" s="117" t="s">
        <v>194</v>
      </c>
      <c r="I784" s="117" t="s">
        <v>299</v>
      </c>
    </row>
    <row r="785" spans="1:9" x14ac:dyDescent="0.25">
      <c r="A785" t="s">
        <v>2660</v>
      </c>
      <c r="B785" s="115" t="s">
        <v>2661</v>
      </c>
      <c r="C785" t="s">
        <v>2662</v>
      </c>
      <c r="D785" s="118"/>
      <c r="E785" s="118"/>
      <c r="F785" s="116" t="s">
        <v>2663</v>
      </c>
      <c r="G785" t="s">
        <v>2664</v>
      </c>
      <c r="H785" s="117" t="s">
        <v>194</v>
      </c>
      <c r="I785" s="117" t="s">
        <v>299</v>
      </c>
    </row>
    <row r="786" spans="1:9" x14ac:dyDescent="0.25">
      <c r="A786" t="s">
        <v>2665</v>
      </c>
      <c r="B786" s="115" t="s">
        <v>2666</v>
      </c>
      <c r="C786" t="s">
        <v>2667</v>
      </c>
      <c r="D786" s="118"/>
      <c r="E786" s="118"/>
      <c r="F786" s="116" t="s">
        <v>2485</v>
      </c>
      <c r="G786" t="s">
        <v>2486</v>
      </c>
      <c r="H786" s="117" t="s">
        <v>160</v>
      </c>
      <c r="I786" s="117" t="s">
        <v>704</v>
      </c>
    </row>
    <row r="787" spans="1:9" x14ac:dyDescent="0.25">
      <c r="A787" t="s">
        <v>2668</v>
      </c>
      <c r="B787" s="115" t="s">
        <v>2669</v>
      </c>
      <c r="C787" t="s">
        <v>2670</v>
      </c>
      <c r="D787" s="118"/>
      <c r="E787" s="118"/>
      <c r="F787" s="116" t="s">
        <v>2488</v>
      </c>
      <c r="G787" t="s">
        <v>2489</v>
      </c>
      <c r="H787" s="117" t="s">
        <v>160</v>
      </c>
      <c r="I787" s="117" t="s">
        <v>704</v>
      </c>
    </row>
    <row r="788" spans="1:9" x14ac:dyDescent="0.25">
      <c r="A788" t="s">
        <v>2671</v>
      </c>
      <c r="B788" s="115" t="s">
        <v>2672</v>
      </c>
      <c r="C788" t="s">
        <v>2673</v>
      </c>
      <c r="D788" s="118"/>
      <c r="E788" s="118"/>
      <c r="F788" s="116" t="s">
        <v>2491</v>
      </c>
      <c r="G788" t="s">
        <v>2492</v>
      </c>
      <c r="H788" s="117" t="s">
        <v>165</v>
      </c>
      <c r="I788" s="117" t="s">
        <v>206</v>
      </c>
    </row>
    <row r="789" spans="1:9" x14ac:dyDescent="0.25">
      <c r="A789" t="s">
        <v>2674</v>
      </c>
      <c r="B789" s="115" t="s">
        <v>2675</v>
      </c>
      <c r="C789" t="s">
        <v>2676</v>
      </c>
      <c r="D789" s="118"/>
      <c r="E789" s="118"/>
      <c r="F789" s="116" t="s">
        <v>2677</v>
      </c>
      <c r="G789" t="s">
        <v>2678</v>
      </c>
      <c r="H789" s="117" t="s">
        <v>165</v>
      </c>
      <c r="I789" s="117" t="s">
        <v>233</v>
      </c>
    </row>
    <row r="790" spans="1:9" x14ac:dyDescent="0.25">
      <c r="A790" t="s">
        <v>2679</v>
      </c>
      <c r="B790" s="115" t="s">
        <v>2680</v>
      </c>
      <c r="C790" t="s">
        <v>2681</v>
      </c>
      <c r="D790" s="118"/>
      <c r="E790" s="118"/>
      <c r="F790" s="116" t="s">
        <v>2496</v>
      </c>
      <c r="G790" t="s">
        <v>2497</v>
      </c>
      <c r="H790" s="117" t="s">
        <v>194</v>
      </c>
      <c r="I790" s="117" t="s">
        <v>195</v>
      </c>
    </row>
    <row r="791" spans="1:9" x14ac:dyDescent="0.25">
      <c r="A791" t="s">
        <v>2682</v>
      </c>
      <c r="B791" s="115" t="s">
        <v>2683</v>
      </c>
      <c r="C791" t="s">
        <v>2684</v>
      </c>
      <c r="D791" s="118"/>
      <c r="E791" s="118"/>
      <c r="F791" s="116" t="s">
        <v>2499</v>
      </c>
      <c r="G791" t="s">
        <v>2500</v>
      </c>
      <c r="H791" s="117" t="s">
        <v>194</v>
      </c>
      <c r="I791" s="117" t="s">
        <v>195</v>
      </c>
    </row>
    <row r="792" spans="1:9" x14ac:dyDescent="0.25">
      <c r="A792" t="s">
        <v>2685</v>
      </c>
      <c r="B792" s="115" t="s">
        <v>2686</v>
      </c>
      <c r="C792" t="s">
        <v>2687</v>
      </c>
      <c r="D792" s="118"/>
      <c r="E792" s="118"/>
      <c r="F792" s="116" t="s">
        <v>2502</v>
      </c>
      <c r="G792" t="s">
        <v>2503</v>
      </c>
      <c r="H792" s="117" t="s">
        <v>100</v>
      </c>
      <c r="I792" s="117" t="s">
        <v>110</v>
      </c>
    </row>
    <row r="793" spans="1:9" x14ac:dyDescent="0.25">
      <c r="A793" t="s">
        <v>2688</v>
      </c>
      <c r="B793" s="115" t="s">
        <v>2689</v>
      </c>
      <c r="C793" t="s">
        <v>2690</v>
      </c>
      <c r="D793" s="118"/>
      <c r="E793" s="118"/>
      <c r="F793" s="116" t="s">
        <v>2691</v>
      </c>
      <c r="G793" t="s">
        <v>2506</v>
      </c>
      <c r="H793" s="117" t="s">
        <v>100</v>
      </c>
      <c r="I793" s="117" t="s">
        <v>250</v>
      </c>
    </row>
    <row r="794" spans="1:9" x14ac:dyDescent="0.25">
      <c r="A794" t="s">
        <v>2692</v>
      </c>
      <c r="B794" s="115" t="s">
        <v>2693</v>
      </c>
      <c r="C794" t="s">
        <v>2694</v>
      </c>
      <c r="D794" s="118"/>
      <c r="E794" s="118"/>
      <c r="F794" s="116" t="s">
        <v>2513</v>
      </c>
      <c r="G794" t="s">
        <v>2514</v>
      </c>
      <c r="H794" s="117" t="s">
        <v>160</v>
      </c>
      <c r="I794" s="117" t="s">
        <v>704</v>
      </c>
    </row>
    <row r="795" spans="1:9" x14ac:dyDescent="0.25">
      <c r="A795" t="s">
        <v>2695</v>
      </c>
      <c r="B795" s="115" t="s">
        <v>2696</v>
      </c>
      <c r="C795" t="s">
        <v>2695</v>
      </c>
      <c r="D795" s="118"/>
      <c r="E795" s="118"/>
      <c r="F795" s="116" t="s">
        <v>2518</v>
      </c>
      <c r="G795" t="s">
        <v>2519</v>
      </c>
      <c r="H795" s="117" t="s">
        <v>194</v>
      </c>
      <c r="I795" s="117" t="s">
        <v>299</v>
      </c>
    </row>
    <row r="796" spans="1:9" x14ac:dyDescent="0.25">
      <c r="A796" t="s">
        <v>2697</v>
      </c>
      <c r="B796" s="115" t="s">
        <v>2698</v>
      </c>
      <c r="C796" t="s">
        <v>2699</v>
      </c>
      <c r="D796" s="118"/>
      <c r="E796" s="118"/>
      <c r="F796" s="116" t="s">
        <v>2523</v>
      </c>
      <c r="G796" t="s">
        <v>2700</v>
      </c>
      <c r="H796" s="117" t="s">
        <v>105</v>
      </c>
      <c r="I796" s="117" t="s">
        <v>580</v>
      </c>
    </row>
    <row r="797" spans="1:9" x14ac:dyDescent="0.25">
      <c r="A797" t="s">
        <v>2701</v>
      </c>
      <c r="B797" s="115" t="s">
        <v>1146</v>
      </c>
      <c r="C797" t="s">
        <v>2702</v>
      </c>
      <c r="D797" s="118"/>
      <c r="E797" s="118"/>
      <c r="F797" s="116" t="s">
        <v>2528</v>
      </c>
      <c r="G797" t="s">
        <v>2529</v>
      </c>
      <c r="H797" s="117" t="s">
        <v>105</v>
      </c>
      <c r="I797" s="117" t="s">
        <v>174</v>
      </c>
    </row>
    <row r="798" spans="1:9" x14ac:dyDescent="0.25">
      <c r="A798" t="s">
        <v>2703</v>
      </c>
      <c r="B798" s="115" t="s">
        <v>2704</v>
      </c>
      <c r="C798" t="s">
        <v>2705</v>
      </c>
      <c r="D798" s="118"/>
      <c r="E798" s="118"/>
      <c r="F798" s="116" t="s">
        <v>2531</v>
      </c>
      <c r="G798" t="s">
        <v>2532</v>
      </c>
      <c r="H798" s="117" t="s">
        <v>115</v>
      </c>
      <c r="I798" s="117" t="s">
        <v>123</v>
      </c>
    </row>
    <row r="799" spans="1:9" x14ac:dyDescent="0.25">
      <c r="A799" t="s">
        <v>2706</v>
      </c>
      <c r="B799" s="115" t="s">
        <v>2707</v>
      </c>
      <c r="C799" t="s">
        <v>2708</v>
      </c>
      <c r="D799" s="118"/>
      <c r="E799" s="118"/>
      <c r="F799" s="116" t="s">
        <v>2536</v>
      </c>
      <c r="G799" t="s">
        <v>2537</v>
      </c>
      <c r="H799" s="117" t="s">
        <v>220</v>
      </c>
      <c r="I799" s="117" t="s">
        <v>339</v>
      </c>
    </row>
    <row r="800" spans="1:9" x14ac:dyDescent="0.25">
      <c r="A800" t="s">
        <v>2709</v>
      </c>
      <c r="B800" s="115" t="s">
        <v>2710</v>
      </c>
      <c r="C800" t="s">
        <v>2711</v>
      </c>
      <c r="D800" s="118"/>
      <c r="E800" s="118"/>
      <c r="F800" s="116" t="s">
        <v>2539</v>
      </c>
      <c r="G800" t="s">
        <v>2540</v>
      </c>
      <c r="H800" s="117" t="s">
        <v>220</v>
      </c>
      <c r="I800" s="117" t="s">
        <v>339</v>
      </c>
    </row>
    <row r="801" spans="1:9" x14ac:dyDescent="0.25">
      <c r="A801" t="s">
        <v>2712</v>
      </c>
      <c r="B801" s="115" t="s">
        <v>2713</v>
      </c>
      <c r="C801" t="s">
        <v>2714</v>
      </c>
      <c r="D801" s="118"/>
      <c r="E801" s="118"/>
      <c r="F801" s="116" t="s">
        <v>2542</v>
      </c>
      <c r="G801" t="s">
        <v>2543</v>
      </c>
      <c r="H801" s="117" t="s">
        <v>220</v>
      </c>
      <c r="I801" s="117" t="s">
        <v>339</v>
      </c>
    </row>
    <row r="802" spans="1:9" x14ac:dyDescent="0.25">
      <c r="A802" t="s">
        <v>2715</v>
      </c>
      <c r="B802" s="115" t="s">
        <v>2716</v>
      </c>
      <c r="C802" t="s">
        <v>2717</v>
      </c>
      <c r="D802" s="118"/>
      <c r="E802" s="118"/>
      <c r="F802" s="116" t="s">
        <v>2545</v>
      </c>
      <c r="G802" t="s">
        <v>2546</v>
      </c>
      <c r="H802" s="117" t="s">
        <v>220</v>
      </c>
      <c r="I802" s="117" t="s">
        <v>221</v>
      </c>
    </row>
    <row r="803" spans="1:9" x14ac:dyDescent="0.25">
      <c r="A803" t="s">
        <v>2718</v>
      </c>
      <c r="B803" s="115" t="s">
        <v>2719</v>
      </c>
      <c r="C803" t="s">
        <v>2720</v>
      </c>
      <c r="D803" s="118"/>
      <c r="E803" s="118"/>
      <c r="F803" s="116" t="s">
        <v>2549</v>
      </c>
      <c r="G803" t="s">
        <v>2550</v>
      </c>
      <c r="H803" s="117" t="s">
        <v>100</v>
      </c>
      <c r="I803" s="117" t="s">
        <v>101</v>
      </c>
    </row>
    <row r="804" spans="1:9" x14ac:dyDescent="0.25">
      <c r="A804" t="s">
        <v>2721</v>
      </c>
      <c r="B804" s="115" t="s">
        <v>2722</v>
      </c>
      <c r="C804" t="s">
        <v>2723</v>
      </c>
      <c r="D804" s="118"/>
      <c r="E804" s="118"/>
      <c r="F804" s="116" t="s">
        <v>2552</v>
      </c>
      <c r="G804" t="s">
        <v>2553</v>
      </c>
      <c r="H804" s="117" t="s">
        <v>170</v>
      </c>
      <c r="I804" s="117" t="s">
        <v>202</v>
      </c>
    </row>
    <row r="805" spans="1:9" x14ac:dyDescent="0.25">
      <c r="A805" t="s">
        <v>2724</v>
      </c>
      <c r="B805" s="115" t="s">
        <v>2725</v>
      </c>
      <c r="C805" t="s">
        <v>2726</v>
      </c>
      <c r="D805" s="118"/>
      <c r="E805" s="118"/>
      <c r="F805" s="116" t="s">
        <v>2555</v>
      </c>
      <c r="G805" t="s">
        <v>221</v>
      </c>
      <c r="H805" s="117" t="s">
        <v>220</v>
      </c>
      <c r="I805" s="117" t="s">
        <v>221</v>
      </c>
    </row>
    <row r="806" spans="1:9" x14ac:dyDescent="0.25">
      <c r="A806" t="s">
        <v>2727</v>
      </c>
      <c r="B806" s="115" t="s">
        <v>2728</v>
      </c>
      <c r="C806" t="s">
        <v>2729</v>
      </c>
      <c r="D806" s="118"/>
      <c r="E806" s="118"/>
      <c r="F806" s="116" t="s">
        <v>2730</v>
      </c>
      <c r="G806" t="s">
        <v>2731</v>
      </c>
      <c r="H806" s="117" t="s">
        <v>100</v>
      </c>
      <c r="I806" s="117" t="s">
        <v>101</v>
      </c>
    </row>
    <row r="807" spans="1:9" x14ac:dyDescent="0.25">
      <c r="A807" t="s">
        <v>2732</v>
      </c>
      <c r="B807" s="115" t="s">
        <v>2733</v>
      </c>
      <c r="C807" t="s">
        <v>2734</v>
      </c>
      <c r="D807" s="118"/>
      <c r="E807" s="118"/>
      <c r="F807" s="116" t="s">
        <v>2557</v>
      </c>
      <c r="G807" t="s">
        <v>2558</v>
      </c>
      <c r="H807" s="117" t="s">
        <v>105</v>
      </c>
      <c r="I807" s="117" t="s">
        <v>106</v>
      </c>
    </row>
    <row r="808" spans="1:9" x14ac:dyDescent="0.25">
      <c r="A808" t="s">
        <v>2735</v>
      </c>
      <c r="B808" s="115" t="s">
        <v>276</v>
      </c>
      <c r="C808" t="s">
        <v>2736</v>
      </c>
      <c r="D808" s="118"/>
      <c r="E808" s="118"/>
      <c r="F808" s="116" t="s">
        <v>2562</v>
      </c>
      <c r="G808" t="s">
        <v>2563</v>
      </c>
      <c r="H808" s="117" t="s">
        <v>260</v>
      </c>
      <c r="I808" s="117" t="s">
        <v>440</v>
      </c>
    </row>
    <row r="809" spans="1:9" x14ac:dyDescent="0.25">
      <c r="A809" t="s">
        <v>2737</v>
      </c>
      <c r="B809" s="115" t="s">
        <v>2738</v>
      </c>
      <c r="C809" t="s">
        <v>2739</v>
      </c>
      <c r="D809" s="118"/>
      <c r="E809" s="118"/>
      <c r="F809" s="116" t="s">
        <v>2565</v>
      </c>
      <c r="G809" t="s">
        <v>2566</v>
      </c>
      <c r="H809" s="117" t="s">
        <v>115</v>
      </c>
      <c r="I809" s="117" t="s">
        <v>116</v>
      </c>
    </row>
    <row r="810" spans="1:9" x14ac:dyDescent="0.25">
      <c r="A810" t="s">
        <v>2740</v>
      </c>
      <c r="B810" s="115" t="s">
        <v>2741</v>
      </c>
      <c r="C810" t="s">
        <v>2742</v>
      </c>
      <c r="D810" s="118"/>
      <c r="E810" s="118"/>
      <c r="F810" s="116" t="s">
        <v>2568</v>
      </c>
      <c r="G810" t="s">
        <v>2569</v>
      </c>
      <c r="H810" s="117" t="s">
        <v>160</v>
      </c>
      <c r="I810" s="117" t="s">
        <v>161</v>
      </c>
    </row>
    <row r="811" spans="1:9" x14ac:dyDescent="0.25">
      <c r="A811" t="s">
        <v>2743</v>
      </c>
      <c r="B811" s="115" t="s">
        <v>2744</v>
      </c>
      <c r="C811" t="s">
        <v>2745</v>
      </c>
      <c r="D811" s="118"/>
      <c r="E811" s="118"/>
      <c r="F811" s="116" t="s">
        <v>2571</v>
      </c>
      <c r="G811" t="s">
        <v>2572</v>
      </c>
      <c r="H811" s="117" t="s">
        <v>105</v>
      </c>
      <c r="I811" s="117" t="s">
        <v>174</v>
      </c>
    </row>
    <row r="812" spans="1:9" x14ac:dyDescent="0.25">
      <c r="A812" t="s">
        <v>2746</v>
      </c>
      <c r="B812" s="115" t="s">
        <v>2747</v>
      </c>
      <c r="C812" t="s">
        <v>2748</v>
      </c>
      <c r="D812" s="118"/>
      <c r="E812" s="118"/>
      <c r="F812" s="116" t="s">
        <v>2574</v>
      </c>
      <c r="G812" t="s">
        <v>2575</v>
      </c>
      <c r="H812" s="117" t="s">
        <v>160</v>
      </c>
      <c r="I812" s="117" t="s">
        <v>161</v>
      </c>
    </row>
    <row r="813" spans="1:9" x14ac:dyDescent="0.25">
      <c r="A813" t="s">
        <v>2749</v>
      </c>
      <c r="B813" s="115" t="s">
        <v>1264</v>
      </c>
      <c r="C813" t="s">
        <v>2750</v>
      </c>
      <c r="D813" s="118"/>
      <c r="E813" s="118"/>
      <c r="F813" s="116" t="s">
        <v>2751</v>
      </c>
      <c r="G813" t="s">
        <v>2752</v>
      </c>
      <c r="H813" s="117" t="s">
        <v>170</v>
      </c>
      <c r="I813" s="117" t="s">
        <v>171</v>
      </c>
    </row>
    <row r="814" spans="1:9" x14ac:dyDescent="0.25">
      <c r="A814" t="s">
        <v>2753</v>
      </c>
      <c r="B814" s="115" t="s">
        <v>2754</v>
      </c>
      <c r="C814" t="s">
        <v>2755</v>
      </c>
      <c r="D814" s="118"/>
      <c r="E814" s="118"/>
      <c r="F814" s="116" t="s">
        <v>2580</v>
      </c>
      <c r="G814" t="s">
        <v>2581</v>
      </c>
      <c r="H814" s="117" t="s">
        <v>260</v>
      </c>
      <c r="I814" s="117" t="s">
        <v>432</v>
      </c>
    </row>
    <row r="815" spans="1:9" x14ac:dyDescent="0.25">
      <c r="A815" t="s">
        <v>2756</v>
      </c>
      <c r="B815" s="115" t="s">
        <v>2757</v>
      </c>
      <c r="C815" t="s">
        <v>2758</v>
      </c>
      <c r="D815" s="118"/>
      <c r="E815" s="118"/>
      <c r="F815" s="116" t="s">
        <v>2583</v>
      </c>
      <c r="G815" t="s">
        <v>2584</v>
      </c>
      <c r="H815" s="117" t="s">
        <v>115</v>
      </c>
      <c r="I815" s="117" t="s">
        <v>276</v>
      </c>
    </row>
    <row r="816" spans="1:9" x14ac:dyDescent="0.25">
      <c r="A816" t="s">
        <v>2759</v>
      </c>
      <c r="B816" s="115" t="s">
        <v>2760</v>
      </c>
      <c r="C816" t="s">
        <v>2761</v>
      </c>
      <c r="D816" s="118"/>
      <c r="E816" s="118"/>
      <c r="F816" s="116" t="s">
        <v>2585</v>
      </c>
      <c r="G816" t="s">
        <v>2586</v>
      </c>
      <c r="H816" s="117" t="s">
        <v>105</v>
      </c>
      <c r="I816" s="117" t="s">
        <v>580</v>
      </c>
    </row>
    <row r="817" spans="1:9" x14ac:dyDescent="0.25">
      <c r="A817" t="s">
        <v>2762</v>
      </c>
      <c r="B817" s="115" t="s">
        <v>2763</v>
      </c>
      <c r="C817" t="s">
        <v>2764</v>
      </c>
      <c r="D817" s="118"/>
      <c r="E817" s="118"/>
      <c r="F817" s="116" t="s">
        <v>2589</v>
      </c>
      <c r="G817" t="s">
        <v>2590</v>
      </c>
      <c r="H817" s="117" t="s">
        <v>115</v>
      </c>
      <c r="I817" s="117" t="s">
        <v>123</v>
      </c>
    </row>
    <row r="818" spans="1:9" x14ac:dyDescent="0.25">
      <c r="A818" t="s">
        <v>2765</v>
      </c>
      <c r="B818" s="115" t="s">
        <v>202</v>
      </c>
      <c r="C818" t="s">
        <v>2766</v>
      </c>
      <c r="D818" s="118"/>
      <c r="E818" s="118"/>
      <c r="F818" s="116" t="s">
        <v>2591</v>
      </c>
      <c r="G818" t="s">
        <v>2592</v>
      </c>
      <c r="H818" s="117" t="s">
        <v>105</v>
      </c>
      <c r="I818" s="117" t="s">
        <v>580</v>
      </c>
    </row>
    <row r="819" spans="1:9" x14ac:dyDescent="0.25">
      <c r="A819" t="s">
        <v>2767</v>
      </c>
      <c r="B819" s="115" t="s">
        <v>2768</v>
      </c>
      <c r="C819" t="s">
        <v>2769</v>
      </c>
      <c r="D819" s="118"/>
      <c r="E819" s="118"/>
      <c r="F819" s="116" t="s">
        <v>2596</v>
      </c>
      <c r="G819" t="s">
        <v>2597</v>
      </c>
      <c r="H819" s="117" t="s">
        <v>170</v>
      </c>
      <c r="I819" s="117" t="s">
        <v>202</v>
      </c>
    </row>
    <row r="820" spans="1:9" x14ac:dyDescent="0.25">
      <c r="A820" t="s">
        <v>2770</v>
      </c>
      <c r="B820" s="115" t="s">
        <v>2771</v>
      </c>
      <c r="C820" t="s">
        <v>2772</v>
      </c>
      <c r="D820" s="118"/>
      <c r="E820" s="118"/>
      <c r="F820" s="116" t="s">
        <v>2599</v>
      </c>
      <c r="G820" t="s">
        <v>2600</v>
      </c>
      <c r="H820" s="117" t="s">
        <v>220</v>
      </c>
      <c r="I820" s="117" t="s">
        <v>339</v>
      </c>
    </row>
    <row r="821" spans="1:9" x14ac:dyDescent="0.25">
      <c r="A821" t="s">
        <v>2773</v>
      </c>
      <c r="B821" s="115" t="s">
        <v>2774</v>
      </c>
      <c r="C821" t="s">
        <v>2775</v>
      </c>
      <c r="D821" s="118"/>
      <c r="E821" s="118"/>
      <c r="F821" s="116" t="s">
        <v>2602</v>
      </c>
      <c r="G821" t="s">
        <v>2603</v>
      </c>
      <c r="H821" s="117" t="s">
        <v>170</v>
      </c>
      <c r="I821" s="117" t="s">
        <v>171</v>
      </c>
    </row>
    <row r="822" spans="1:9" x14ac:dyDescent="0.25">
      <c r="A822" t="s">
        <v>2776</v>
      </c>
      <c r="B822" s="115" t="s">
        <v>2777</v>
      </c>
      <c r="C822" t="s">
        <v>2778</v>
      </c>
      <c r="D822" s="118"/>
      <c r="E822" s="118"/>
      <c r="F822" s="116" t="s">
        <v>2605</v>
      </c>
      <c r="G822" t="s">
        <v>2606</v>
      </c>
      <c r="H822" s="117" t="s">
        <v>170</v>
      </c>
      <c r="I822" s="117" t="s">
        <v>202</v>
      </c>
    </row>
    <row r="823" spans="1:9" x14ac:dyDescent="0.25">
      <c r="A823" t="s">
        <v>2779</v>
      </c>
      <c r="B823" s="115" t="s">
        <v>2780</v>
      </c>
      <c r="C823" t="s">
        <v>2781</v>
      </c>
      <c r="D823" s="118"/>
      <c r="E823" s="118"/>
      <c r="F823" s="116" t="s">
        <v>2608</v>
      </c>
      <c r="G823" t="s">
        <v>2609</v>
      </c>
      <c r="H823" s="117" t="s">
        <v>105</v>
      </c>
      <c r="I823" s="117" t="s">
        <v>174</v>
      </c>
    </row>
    <row r="824" spans="1:9" x14ac:dyDescent="0.25">
      <c r="A824" t="s">
        <v>2782</v>
      </c>
      <c r="B824" s="115" t="s">
        <v>2783</v>
      </c>
      <c r="C824" t="s">
        <v>2784</v>
      </c>
      <c r="D824" s="118"/>
      <c r="E824" s="118"/>
      <c r="F824" s="116" t="s">
        <v>2613</v>
      </c>
      <c r="G824" t="s">
        <v>2614</v>
      </c>
      <c r="H824" s="117" t="s">
        <v>160</v>
      </c>
      <c r="I824" s="117" t="s">
        <v>387</v>
      </c>
    </row>
    <row r="825" spans="1:9" x14ac:dyDescent="0.25">
      <c r="A825" t="s">
        <v>2785</v>
      </c>
      <c r="B825" s="115" t="s">
        <v>2786</v>
      </c>
      <c r="C825" t="s">
        <v>2787</v>
      </c>
      <c r="D825" s="118"/>
      <c r="E825" s="118"/>
      <c r="F825" s="116" t="s">
        <v>2616</v>
      </c>
      <c r="G825" t="s">
        <v>2617</v>
      </c>
      <c r="H825" s="117" t="s">
        <v>105</v>
      </c>
      <c r="I825" s="117" t="s">
        <v>106</v>
      </c>
    </row>
    <row r="826" spans="1:9" x14ac:dyDescent="0.25">
      <c r="A826" t="s">
        <v>2788</v>
      </c>
      <c r="B826" s="115" t="s">
        <v>2789</v>
      </c>
      <c r="C826" t="s">
        <v>2790</v>
      </c>
      <c r="D826" s="118"/>
      <c r="E826" s="118"/>
      <c r="F826" s="116" t="s">
        <v>2619</v>
      </c>
      <c r="G826" t="s">
        <v>2620</v>
      </c>
      <c r="H826" s="117" t="s">
        <v>105</v>
      </c>
      <c r="I826" s="117" t="s">
        <v>127</v>
      </c>
    </row>
    <row r="827" spans="1:9" x14ac:dyDescent="0.25">
      <c r="A827" t="s">
        <v>2791</v>
      </c>
      <c r="B827" s="115" t="s">
        <v>290</v>
      </c>
      <c r="C827" t="s">
        <v>2792</v>
      </c>
      <c r="D827" s="118"/>
      <c r="E827" s="118"/>
      <c r="F827" s="116" t="s">
        <v>2623</v>
      </c>
      <c r="G827" t="s">
        <v>2624</v>
      </c>
      <c r="H827" s="117" t="s">
        <v>105</v>
      </c>
      <c r="I827" s="117" t="s">
        <v>127</v>
      </c>
    </row>
    <row r="828" spans="1:9" x14ac:dyDescent="0.25">
      <c r="A828" t="s">
        <v>2793</v>
      </c>
      <c r="B828" s="115" t="s">
        <v>2794</v>
      </c>
      <c r="C828" t="s">
        <v>2795</v>
      </c>
      <c r="D828" s="118"/>
      <c r="E828" s="118"/>
      <c r="F828" s="116" t="s">
        <v>2626</v>
      </c>
      <c r="G828" t="s">
        <v>2627</v>
      </c>
      <c r="H828" s="117" t="s">
        <v>165</v>
      </c>
      <c r="I828" s="117" t="s">
        <v>206</v>
      </c>
    </row>
    <row r="829" spans="1:9" x14ac:dyDescent="0.25">
      <c r="A829" t="s">
        <v>2796</v>
      </c>
      <c r="B829" s="115" t="s">
        <v>2797</v>
      </c>
      <c r="C829" t="s">
        <v>2798</v>
      </c>
      <c r="D829" s="118"/>
      <c r="E829" s="118"/>
      <c r="F829" s="116" t="s">
        <v>2799</v>
      </c>
      <c r="G829" t="s">
        <v>2800</v>
      </c>
      <c r="H829" s="117" t="s">
        <v>220</v>
      </c>
      <c r="I829" s="117" t="s">
        <v>221</v>
      </c>
    </row>
    <row r="830" spans="1:9" x14ac:dyDescent="0.25">
      <c r="A830" t="s">
        <v>2801</v>
      </c>
      <c r="B830" s="115" t="s">
        <v>2802</v>
      </c>
      <c r="C830" t="s">
        <v>2803</v>
      </c>
      <c r="D830" s="118"/>
      <c r="E830" s="118"/>
      <c r="F830" s="116" t="s">
        <v>2629</v>
      </c>
      <c r="G830" t="s">
        <v>2630</v>
      </c>
      <c r="H830" s="117" t="s">
        <v>115</v>
      </c>
      <c r="I830" s="117" t="s">
        <v>116</v>
      </c>
    </row>
    <row r="831" spans="1:9" x14ac:dyDescent="0.25">
      <c r="A831" t="s">
        <v>2804</v>
      </c>
      <c r="B831" s="115" t="s">
        <v>2805</v>
      </c>
      <c r="C831" t="s">
        <v>2806</v>
      </c>
      <c r="D831" s="118"/>
      <c r="E831" s="118"/>
      <c r="F831" s="116" t="s">
        <v>2632</v>
      </c>
      <c r="G831" t="s">
        <v>2633</v>
      </c>
      <c r="H831" s="117" t="s">
        <v>194</v>
      </c>
      <c r="I831" s="117" t="s">
        <v>1264</v>
      </c>
    </row>
    <row r="832" spans="1:9" x14ac:dyDescent="0.25">
      <c r="A832" t="s">
        <v>2807</v>
      </c>
      <c r="B832" s="115" t="s">
        <v>2808</v>
      </c>
      <c r="C832" t="s">
        <v>2809</v>
      </c>
      <c r="D832" s="118"/>
      <c r="E832" s="118"/>
      <c r="F832" s="116" t="s">
        <v>2635</v>
      </c>
      <c r="G832" t="s">
        <v>2636</v>
      </c>
      <c r="H832" s="117" t="s">
        <v>194</v>
      </c>
      <c r="I832" s="117" t="s">
        <v>299</v>
      </c>
    </row>
    <row r="833" spans="1:9" x14ac:dyDescent="0.25">
      <c r="A833" t="s">
        <v>2810</v>
      </c>
      <c r="B833" s="115" t="s">
        <v>2811</v>
      </c>
      <c r="C833" t="s">
        <v>2812</v>
      </c>
      <c r="D833" s="118"/>
      <c r="E833" s="118"/>
      <c r="F833" s="116" t="s">
        <v>2638</v>
      </c>
      <c r="G833" t="s">
        <v>2639</v>
      </c>
      <c r="H833" s="117" t="s">
        <v>165</v>
      </c>
      <c r="I833" s="117" t="s">
        <v>206</v>
      </c>
    </row>
    <row r="834" spans="1:9" x14ac:dyDescent="0.25">
      <c r="A834" t="s">
        <v>2813</v>
      </c>
      <c r="B834" s="115" t="s">
        <v>2814</v>
      </c>
      <c r="C834" t="s">
        <v>2815</v>
      </c>
      <c r="D834" s="118"/>
      <c r="E834" s="118"/>
      <c r="F834" s="116" t="s">
        <v>2641</v>
      </c>
      <c r="G834" t="s">
        <v>2642</v>
      </c>
      <c r="H834" s="117" t="s">
        <v>170</v>
      </c>
      <c r="I834" s="117" t="s">
        <v>171</v>
      </c>
    </row>
    <row r="835" spans="1:9" x14ac:dyDescent="0.25">
      <c r="A835" t="s">
        <v>2816</v>
      </c>
      <c r="B835" s="115" t="s">
        <v>2817</v>
      </c>
      <c r="C835" t="s">
        <v>2818</v>
      </c>
      <c r="D835" s="118"/>
      <c r="E835" s="118"/>
      <c r="F835" s="116" t="s">
        <v>2819</v>
      </c>
      <c r="G835" t="s">
        <v>2820</v>
      </c>
      <c r="H835" s="117" t="s">
        <v>100</v>
      </c>
      <c r="I835" s="117" t="s">
        <v>250</v>
      </c>
    </row>
    <row r="836" spans="1:9" x14ac:dyDescent="0.25">
      <c r="A836" t="s">
        <v>2821</v>
      </c>
      <c r="B836" s="115" t="s">
        <v>2822</v>
      </c>
      <c r="C836" t="s">
        <v>2823</v>
      </c>
      <c r="D836" s="118"/>
      <c r="E836" s="118"/>
      <c r="F836" s="116" t="s">
        <v>2648</v>
      </c>
      <c r="G836" t="s">
        <v>2649</v>
      </c>
      <c r="H836" s="117" t="s">
        <v>194</v>
      </c>
      <c r="I836" s="117" t="s">
        <v>290</v>
      </c>
    </row>
    <row r="837" spans="1:9" x14ac:dyDescent="0.25">
      <c r="A837" t="s">
        <v>2824</v>
      </c>
      <c r="B837" s="115" t="s">
        <v>2825</v>
      </c>
      <c r="C837" t="s">
        <v>2826</v>
      </c>
      <c r="D837" s="118"/>
      <c r="E837" s="118"/>
      <c r="F837" s="116" t="s">
        <v>2651</v>
      </c>
      <c r="G837" t="s">
        <v>2652</v>
      </c>
      <c r="H837" s="117" t="s">
        <v>100</v>
      </c>
      <c r="I837" s="117" t="s">
        <v>181</v>
      </c>
    </row>
    <row r="838" spans="1:9" x14ac:dyDescent="0.25">
      <c r="A838" t="s">
        <v>2827</v>
      </c>
      <c r="B838" s="115" t="s">
        <v>2828</v>
      </c>
      <c r="C838" t="s">
        <v>2829</v>
      </c>
      <c r="D838" s="118"/>
      <c r="E838" s="118"/>
      <c r="F838" s="116" t="s">
        <v>2654</v>
      </c>
      <c r="G838" t="s">
        <v>2655</v>
      </c>
      <c r="H838" s="117" t="s">
        <v>328</v>
      </c>
      <c r="I838" s="117" t="s">
        <v>522</v>
      </c>
    </row>
    <row r="839" spans="1:9" x14ac:dyDescent="0.25">
      <c r="A839" t="s">
        <v>2830</v>
      </c>
      <c r="B839" s="115" t="s">
        <v>2831</v>
      </c>
      <c r="C839" t="s">
        <v>2832</v>
      </c>
      <c r="D839" s="118"/>
      <c r="E839" s="118"/>
      <c r="F839" s="116" t="s">
        <v>2657</v>
      </c>
      <c r="G839" t="s">
        <v>2658</v>
      </c>
      <c r="H839" s="117" t="s">
        <v>170</v>
      </c>
      <c r="I839" s="117" t="s">
        <v>202</v>
      </c>
    </row>
    <row r="840" spans="1:9" x14ac:dyDescent="0.25">
      <c r="A840" t="s">
        <v>2833</v>
      </c>
      <c r="B840" s="115" t="s">
        <v>2834</v>
      </c>
      <c r="C840" t="s">
        <v>2835</v>
      </c>
      <c r="D840" s="118"/>
      <c r="E840" s="118"/>
      <c r="F840" s="116" t="s">
        <v>2660</v>
      </c>
      <c r="G840" t="s">
        <v>2661</v>
      </c>
      <c r="H840" s="117" t="s">
        <v>220</v>
      </c>
      <c r="I840" s="117" t="s">
        <v>367</v>
      </c>
    </row>
    <row r="841" spans="1:9" x14ac:dyDescent="0.25">
      <c r="A841" t="s">
        <v>2836</v>
      </c>
      <c r="B841" s="115" t="s">
        <v>2837</v>
      </c>
      <c r="C841" t="s">
        <v>2838</v>
      </c>
      <c r="D841" s="118"/>
      <c r="E841" s="118"/>
      <c r="F841" s="116" t="s">
        <v>2839</v>
      </c>
      <c r="G841" t="s">
        <v>2840</v>
      </c>
      <c r="H841" s="117" t="s">
        <v>220</v>
      </c>
      <c r="I841" s="117" t="s">
        <v>367</v>
      </c>
    </row>
    <row r="842" spans="1:9" x14ac:dyDescent="0.25">
      <c r="A842" t="s">
        <v>2841</v>
      </c>
      <c r="B842" s="115" t="s">
        <v>2842</v>
      </c>
      <c r="C842" t="s">
        <v>2843</v>
      </c>
      <c r="D842" s="118"/>
      <c r="E842" s="118"/>
      <c r="F842" s="116" t="s">
        <v>2665</v>
      </c>
      <c r="G842" t="s">
        <v>2666</v>
      </c>
      <c r="H842" s="117" t="s">
        <v>260</v>
      </c>
      <c r="I842" s="117" t="s">
        <v>440</v>
      </c>
    </row>
    <row r="843" spans="1:9" x14ac:dyDescent="0.25">
      <c r="A843" t="s">
        <v>2844</v>
      </c>
      <c r="B843" s="115" t="s">
        <v>2845</v>
      </c>
      <c r="C843" t="s">
        <v>2846</v>
      </c>
      <c r="D843" s="118"/>
      <c r="E843" s="118"/>
      <c r="F843" s="116" t="s">
        <v>2668</v>
      </c>
      <c r="G843" t="s">
        <v>2669</v>
      </c>
      <c r="H843" s="117" t="s">
        <v>328</v>
      </c>
      <c r="I843" s="117" t="s">
        <v>1616</v>
      </c>
    </row>
    <row r="844" spans="1:9" x14ac:dyDescent="0.25">
      <c r="A844" t="s">
        <v>2847</v>
      </c>
      <c r="B844" s="115" t="s">
        <v>2848</v>
      </c>
      <c r="C844" t="s">
        <v>2847</v>
      </c>
      <c r="D844" s="118"/>
      <c r="E844" s="118"/>
      <c r="F844" s="116" t="s">
        <v>2671</v>
      </c>
      <c r="G844" t="s">
        <v>2672</v>
      </c>
      <c r="H844" s="117" t="s">
        <v>100</v>
      </c>
      <c r="I844" s="117" t="s">
        <v>110</v>
      </c>
    </row>
    <row r="845" spans="1:9" x14ac:dyDescent="0.25">
      <c r="A845" t="s">
        <v>2849</v>
      </c>
      <c r="B845" s="115" t="s">
        <v>2850</v>
      </c>
      <c r="C845" t="s">
        <v>2851</v>
      </c>
      <c r="D845" s="118"/>
      <c r="E845" s="118"/>
      <c r="F845" s="116" t="s">
        <v>2674</v>
      </c>
      <c r="G845" t="s">
        <v>2675</v>
      </c>
      <c r="H845" s="117" t="s">
        <v>160</v>
      </c>
      <c r="I845" s="117" t="s">
        <v>829</v>
      </c>
    </row>
    <row r="846" spans="1:9" x14ac:dyDescent="0.25">
      <c r="A846" t="s">
        <v>2852</v>
      </c>
      <c r="B846" s="115" t="s">
        <v>2853</v>
      </c>
      <c r="C846" t="s">
        <v>2854</v>
      </c>
      <c r="D846" s="118"/>
      <c r="E846" s="118"/>
      <c r="F846" s="116" t="s">
        <v>2679</v>
      </c>
      <c r="G846" t="s">
        <v>2680</v>
      </c>
      <c r="H846" s="117" t="s">
        <v>160</v>
      </c>
      <c r="I846" s="117" t="s">
        <v>829</v>
      </c>
    </row>
    <row r="847" spans="1:9" x14ac:dyDescent="0.25">
      <c r="A847" t="s">
        <v>2855</v>
      </c>
      <c r="B847" s="115" t="s">
        <v>2856</v>
      </c>
      <c r="C847" t="s">
        <v>2857</v>
      </c>
      <c r="D847" s="118"/>
      <c r="E847" s="118"/>
      <c r="F847" s="116" t="s">
        <v>2858</v>
      </c>
      <c r="G847" t="s">
        <v>2683</v>
      </c>
      <c r="H847" s="117" t="s">
        <v>160</v>
      </c>
      <c r="I847" s="117" t="s">
        <v>387</v>
      </c>
    </row>
    <row r="848" spans="1:9" x14ac:dyDescent="0.25">
      <c r="A848" t="s">
        <v>2859</v>
      </c>
      <c r="B848" s="115" t="s">
        <v>2860</v>
      </c>
      <c r="C848" t="s">
        <v>2861</v>
      </c>
      <c r="D848" s="118"/>
      <c r="E848" s="118"/>
      <c r="F848" s="116" t="s">
        <v>2685</v>
      </c>
      <c r="G848" t="s">
        <v>2686</v>
      </c>
      <c r="H848" s="117" t="s">
        <v>165</v>
      </c>
      <c r="I848" s="117" t="s">
        <v>166</v>
      </c>
    </row>
    <row r="849" spans="1:9" x14ac:dyDescent="0.25">
      <c r="A849" t="s">
        <v>2862</v>
      </c>
      <c r="B849" s="115" t="s">
        <v>110</v>
      </c>
      <c r="C849" t="s">
        <v>2863</v>
      </c>
      <c r="D849" s="118"/>
      <c r="E849" s="118"/>
      <c r="F849" s="116" t="s">
        <v>2688</v>
      </c>
      <c r="G849" t="s">
        <v>2689</v>
      </c>
      <c r="H849" s="117" t="s">
        <v>115</v>
      </c>
      <c r="I849" s="117" t="s">
        <v>276</v>
      </c>
    </row>
    <row r="850" spans="1:9" x14ac:dyDescent="0.25">
      <c r="A850" t="s">
        <v>2864</v>
      </c>
      <c r="B850" s="115" t="s">
        <v>2865</v>
      </c>
      <c r="C850" t="s">
        <v>2866</v>
      </c>
      <c r="D850" s="118"/>
      <c r="E850" s="118"/>
      <c r="F850" s="116" t="s">
        <v>2692</v>
      </c>
      <c r="G850" t="s">
        <v>2693</v>
      </c>
      <c r="H850" s="117" t="s">
        <v>115</v>
      </c>
      <c r="I850" s="117" t="s">
        <v>116</v>
      </c>
    </row>
    <row r="851" spans="1:9" x14ac:dyDescent="0.25">
      <c r="A851" t="s">
        <v>2867</v>
      </c>
      <c r="B851" s="115" t="s">
        <v>2868</v>
      </c>
      <c r="C851" t="s">
        <v>2869</v>
      </c>
      <c r="D851" s="118"/>
      <c r="E851" s="118"/>
      <c r="F851" s="116" t="s">
        <v>2695</v>
      </c>
      <c r="G851" t="s">
        <v>2696</v>
      </c>
      <c r="H851" s="117" t="s">
        <v>115</v>
      </c>
      <c r="I851" s="117" t="s">
        <v>276</v>
      </c>
    </row>
    <row r="852" spans="1:9" x14ac:dyDescent="0.25">
      <c r="A852" t="s">
        <v>2870</v>
      </c>
      <c r="B852" s="115" t="s">
        <v>2871</v>
      </c>
      <c r="C852" t="s">
        <v>2872</v>
      </c>
      <c r="D852" s="118"/>
      <c r="E852" s="118"/>
      <c r="F852" s="116" t="s">
        <v>2873</v>
      </c>
      <c r="G852" t="s">
        <v>2874</v>
      </c>
      <c r="H852" s="117" t="s">
        <v>115</v>
      </c>
      <c r="I852" s="117" t="s">
        <v>2875</v>
      </c>
    </row>
    <row r="853" spans="1:9" x14ac:dyDescent="0.25">
      <c r="A853" t="s">
        <v>2876</v>
      </c>
      <c r="B853" s="115" t="s">
        <v>2877</v>
      </c>
      <c r="C853" t="s">
        <v>2878</v>
      </c>
      <c r="D853" s="118"/>
      <c r="E853" s="118"/>
      <c r="F853" s="116" t="s">
        <v>2697</v>
      </c>
      <c r="G853" t="s">
        <v>2698</v>
      </c>
      <c r="H853" s="117" t="s">
        <v>115</v>
      </c>
      <c r="I853" s="117" t="s">
        <v>116</v>
      </c>
    </row>
    <row r="854" spans="1:9" x14ac:dyDescent="0.25">
      <c r="A854" t="s">
        <v>2879</v>
      </c>
      <c r="B854" s="115" t="s">
        <v>2880</v>
      </c>
      <c r="C854" t="s">
        <v>2881</v>
      </c>
      <c r="D854" s="118"/>
      <c r="E854" s="118"/>
      <c r="F854" s="116" t="s">
        <v>2701</v>
      </c>
      <c r="G854" t="s">
        <v>1146</v>
      </c>
      <c r="H854" s="117" t="s">
        <v>260</v>
      </c>
      <c r="I854" s="117" t="s">
        <v>1146</v>
      </c>
    </row>
    <row r="855" spans="1:9" x14ac:dyDescent="0.25">
      <c r="A855" t="s">
        <v>2882</v>
      </c>
      <c r="B855" s="115" t="s">
        <v>2883</v>
      </c>
      <c r="C855" t="s">
        <v>2884</v>
      </c>
      <c r="D855" s="118"/>
      <c r="E855" s="118"/>
      <c r="F855" s="116" t="s">
        <v>2703</v>
      </c>
      <c r="G855" t="s">
        <v>2704</v>
      </c>
      <c r="H855" s="117" t="s">
        <v>105</v>
      </c>
      <c r="I855" s="117" t="s">
        <v>174</v>
      </c>
    </row>
    <row r="856" spans="1:9" x14ac:dyDescent="0.25">
      <c r="A856" t="s">
        <v>2885</v>
      </c>
      <c r="B856" s="115" t="s">
        <v>2886</v>
      </c>
      <c r="C856" t="s">
        <v>2887</v>
      </c>
      <c r="D856" s="118"/>
      <c r="E856" s="118"/>
      <c r="F856" s="116" t="s">
        <v>2888</v>
      </c>
      <c r="G856" t="s">
        <v>2889</v>
      </c>
      <c r="H856" s="117" t="s">
        <v>260</v>
      </c>
      <c r="I856" s="117" t="s">
        <v>432</v>
      </c>
    </row>
    <row r="857" spans="1:9" x14ac:dyDescent="0.25">
      <c r="A857" t="s">
        <v>2890</v>
      </c>
      <c r="B857" s="115" t="s">
        <v>2891</v>
      </c>
      <c r="C857" t="s">
        <v>2890</v>
      </c>
      <c r="D857" s="118"/>
      <c r="E857" s="118"/>
      <c r="F857" s="116" t="s">
        <v>2709</v>
      </c>
      <c r="G857" t="s">
        <v>2710</v>
      </c>
      <c r="H857" s="117" t="s">
        <v>328</v>
      </c>
      <c r="I857" s="117" t="s">
        <v>295</v>
      </c>
    </row>
    <row r="858" spans="1:9" x14ac:dyDescent="0.25">
      <c r="A858" t="s">
        <v>2892</v>
      </c>
      <c r="B858" s="115" t="s">
        <v>2893</v>
      </c>
      <c r="C858" t="s">
        <v>2894</v>
      </c>
      <c r="D858" s="118"/>
      <c r="E858" s="118"/>
      <c r="F858" s="116" t="s">
        <v>2712</v>
      </c>
      <c r="G858" t="s">
        <v>2713</v>
      </c>
      <c r="H858" s="117" t="s">
        <v>160</v>
      </c>
      <c r="I858" s="117" t="s">
        <v>829</v>
      </c>
    </row>
    <row r="859" spans="1:9" x14ac:dyDescent="0.25">
      <c r="A859" t="s">
        <v>2895</v>
      </c>
      <c r="B859" s="115" t="s">
        <v>2896</v>
      </c>
      <c r="C859" t="s">
        <v>2895</v>
      </c>
      <c r="D859" s="118"/>
      <c r="E859" s="118"/>
      <c r="F859" s="116" t="s">
        <v>2897</v>
      </c>
      <c r="G859" t="s">
        <v>2898</v>
      </c>
      <c r="H859" s="117" t="s">
        <v>160</v>
      </c>
      <c r="I859" s="117" t="s">
        <v>387</v>
      </c>
    </row>
    <row r="860" spans="1:9" x14ac:dyDescent="0.25">
      <c r="A860" t="s">
        <v>2899</v>
      </c>
      <c r="B860" s="115" t="s">
        <v>2900</v>
      </c>
      <c r="C860" t="s">
        <v>2901</v>
      </c>
      <c r="D860" s="118"/>
      <c r="E860" s="118"/>
      <c r="F860" s="116" t="s">
        <v>2715</v>
      </c>
      <c r="G860" t="s">
        <v>2716</v>
      </c>
      <c r="H860" s="117" t="s">
        <v>160</v>
      </c>
      <c r="I860" s="117" t="s">
        <v>487</v>
      </c>
    </row>
    <row r="861" spans="1:9" x14ac:dyDescent="0.25">
      <c r="A861" t="s">
        <v>2902</v>
      </c>
      <c r="B861" s="115" t="s">
        <v>2903</v>
      </c>
      <c r="C861" t="s">
        <v>2904</v>
      </c>
      <c r="D861" s="118"/>
      <c r="E861" s="118"/>
      <c r="F861" s="116" t="s">
        <v>2718</v>
      </c>
      <c r="G861" t="s">
        <v>2719</v>
      </c>
      <c r="H861" s="117" t="s">
        <v>170</v>
      </c>
      <c r="I861" s="117" t="s">
        <v>202</v>
      </c>
    </row>
    <row r="862" spans="1:9" x14ac:dyDescent="0.25">
      <c r="A862" t="s">
        <v>2905</v>
      </c>
      <c r="B862" s="115" t="s">
        <v>2906</v>
      </c>
      <c r="C862" t="s">
        <v>2907</v>
      </c>
      <c r="D862" s="118"/>
      <c r="E862" s="118"/>
      <c r="F862" s="116" t="s">
        <v>2908</v>
      </c>
      <c r="G862" t="s">
        <v>2909</v>
      </c>
      <c r="H862" s="117" t="s">
        <v>170</v>
      </c>
      <c r="I862" s="117" t="s">
        <v>1569</v>
      </c>
    </row>
    <row r="863" spans="1:9" x14ac:dyDescent="0.25">
      <c r="A863" t="s">
        <v>2910</v>
      </c>
      <c r="B863" s="115" t="s">
        <v>2911</v>
      </c>
      <c r="C863" t="s">
        <v>2912</v>
      </c>
      <c r="D863" s="118"/>
      <c r="E863" s="118"/>
      <c r="F863" s="116" t="s">
        <v>2721</v>
      </c>
      <c r="G863" t="s">
        <v>2722</v>
      </c>
      <c r="H863" s="117" t="s">
        <v>105</v>
      </c>
      <c r="I863" s="117" t="s">
        <v>280</v>
      </c>
    </row>
    <row r="864" spans="1:9" x14ac:dyDescent="0.25">
      <c r="A864" t="s">
        <v>2913</v>
      </c>
      <c r="B864" s="115" t="s">
        <v>2914</v>
      </c>
      <c r="C864" t="s">
        <v>2915</v>
      </c>
      <c r="D864" s="118"/>
      <c r="E864" s="118"/>
      <c r="F864" s="116" t="s">
        <v>2727</v>
      </c>
      <c r="G864" t="s">
        <v>2728</v>
      </c>
      <c r="H864" s="117" t="s">
        <v>260</v>
      </c>
      <c r="I864" s="117" t="s">
        <v>1146</v>
      </c>
    </row>
    <row r="865" spans="1:9" x14ac:dyDescent="0.25">
      <c r="A865" t="s">
        <v>2916</v>
      </c>
      <c r="B865" s="115" t="s">
        <v>2917</v>
      </c>
      <c r="C865" t="s">
        <v>2918</v>
      </c>
      <c r="D865" s="118"/>
      <c r="E865" s="118"/>
      <c r="F865" s="116" t="s">
        <v>2732</v>
      </c>
      <c r="G865" t="s">
        <v>2733</v>
      </c>
      <c r="H865" s="117" t="s">
        <v>170</v>
      </c>
      <c r="I865" s="117" t="s">
        <v>202</v>
      </c>
    </row>
    <row r="866" spans="1:9" x14ac:dyDescent="0.25">
      <c r="A866" t="s">
        <v>2919</v>
      </c>
      <c r="B866" s="115" t="s">
        <v>2920</v>
      </c>
      <c r="C866" t="s">
        <v>2921</v>
      </c>
      <c r="D866" s="118"/>
      <c r="E866" s="118"/>
      <c r="F866" s="116" t="s">
        <v>2735</v>
      </c>
      <c r="G866" t="s">
        <v>276</v>
      </c>
      <c r="H866" s="117" t="s">
        <v>115</v>
      </c>
      <c r="I866" s="117" t="s">
        <v>2875</v>
      </c>
    </row>
    <row r="867" spans="1:9" x14ac:dyDescent="0.25">
      <c r="A867" t="s">
        <v>2922</v>
      </c>
      <c r="B867" s="115" t="s">
        <v>2923</v>
      </c>
      <c r="C867" t="s">
        <v>2924</v>
      </c>
      <c r="D867" s="118"/>
      <c r="E867" s="118"/>
      <c r="F867" s="116" t="s">
        <v>2737</v>
      </c>
      <c r="G867" t="s">
        <v>2738</v>
      </c>
      <c r="H867" s="117" t="s">
        <v>165</v>
      </c>
      <c r="I867" s="117" t="s">
        <v>1569</v>
      </c>
    </row>
    <row r="868" spans="1:9" x14ac:dyDescent="0.25">
      <c r="A868" t="s">
        <v>2925</v>
      </c>
      <c r="B868" s="115" t="s">
        <v>2926</v>
      </c>
      <c r="C868" t="s">
        <v>2927</v>
      </c>
      <c r="D868" s="118"/>
      <c r="E868" s="118"/>
      <c r="F868" s="116" t="s">
        <v>2740</v>
      </c>
      <c r="G868" t="s">
        <v>2741</v>
      </c>
      <c r="H868" s="117" t="s">
        <v>170</v>
      </c>
      <c r="I868" s="117" t="s">
        <v>171</v>
      </c>
    </row>
    <row r="869" spans="1:9" x14ac:dyDescent="0.25">
      <c r="A869" t="s">
        <v>2928</v>
      </c>
      <c r="B869" s="115" t="s">
        <v>2929</v>
      </c>
      <c r="C869" t="s">
        <v>2930</v>
      </c>
      <c r="D869" s="118"/>
      <c r="E869" s="118"/>
      <c r="F869" s="116" t="s">
        <v>2743</v>
      </c>
      <c r="G869" t="s">
        <v>2744</v>
      </c>
      <c r="H869" s="117" t="s">
        <v>194</v>
      </c>
      <c r="I869" s="117" t="s">
        <v>1264</v>
      </c>
    </row>
    <row r="870" spans="1:9" x14ac:dyDescent="0.25">
      <c r="A870" t="s">
        <v>2931</v>
      </c>
      <c r="B870" s="115" t="s">
        <v>2932</v>
      </c>
      <c r="C870" t="s">
        <v>2933</v>
      </c>
      <c r="D870" s="118"/>
      <c r="E870" s="118"/>
      <c r="F870" s="116" t="s">
        <v>2746</v>
      </c>
      <c r="G870" t="s">
        <v>2747</v>
      </c>
      <c r="H870" s="117" t="s">
        <v>194</v>
      </c>
      <c r="I870" s="117" t="s">
        <v>1264</v>
      </c>
    </row>
    <row r="871" spans="1:9" x14ac:dyDescent="0.25">
      <c r="A871" t="s">
        <v>2934</v>
      </c>
      <c r="B871" s="115" t="s">
        <v>2935</v>
      </c>
      <c r="C871" t="s">
        <v>2936</v>
      </c>
      <c r="D871" s="118"/>
      <c r="E871" s="118"/>
      <c r="F871" s="116" t="s">
        <v>2749</v>
      </c>
      <c r="G871" t="s">
        <v>1264</v>
      </c>
      <c r="H871" s="117" t="s">
        <v>194</v>
      </c>
      <c r="I871" s="117" t="s">
        <v>1264</v>
      </c>
    </row>
    <row r="872" spans="1:9" x14ac:dyDescent="0.25">
      <c r="A872" t="s">
        <v>2937</v>
      </c>
      <c r="B872" s="115" t="s">
        <v>2938</v>
      </c>
      <c r="C872" t="s">
        <v>2939</v>
      </c>
      <c r="D872" s="118"/>
      <c r="E872" s="118"/>
      <c r="F872" s="116" t="s">
        <v>2756</v>
      </c>
      <c r="G872" t="s">
        <v>2757</v>
      </c>
      <c r="H872" s="117" t="s">
        <v>165</v>
      </c>
      <c r="I872" s="117" t="s">
        <v>166</v>
      </c>
    </row>
    <row r="873" spans="1:9" x14ac:dyDescent="0.25">
      <c r="A873" t="s">
        <v>2940</v>
      </c>
      <c r="B873" s="115" t="s">
        <v>2941</v>
      </c>
      <c r="C873" t="s">
        <v>2942</v>
      </c>
      <c r="D873" s="118"/>
      <c r="E873" s="118"/>
      <c r="F873" s="116" t="s">
        <v>2759</v>
      </c>
      <c r="G873" t="s">
        <v>2760</v>
      </c>
      <c r="H873" s="117" t="s">
        <v>328</v>
      </c>
      <c r="I873" s="117" t="s">
        <v>1616</v>
      </c>
    </row>
    <row r="874" spans="1:9" x14ac:dyDescent="0.25">
      <c r="A874" t="s">
        <v>2943</v>
      </c>
      <c r="B874" s="115" t="s">
        <v>2944</v>
      </c>
      <c r="C874" t="s">
        <v>2945</v>
      </c>
      <c r="D874" s="118"/>
      <c r="E874" s="118"/>
      <c r="F874" s="116" t="s">
        <v>2946</v>
      </c>
      <c r="G874" t="s">
        <v>202</v>
      </c>
      <c r="H874" s="117" t="s">
        <v>170</v>
      </c>
      <c r="I874" s="117" t="s">
        <v>202</v>
      </c>
    </row>
    <row r="875" spans="1:9" x14ac:dyDescent="0.25">
      <c r="A875" t="s">
        <v>2947</v>
      </c>
      <c r="B875" s="115" t="s">
        <v>2948</v>
      </c>
      <c r="C875" t="s">
        <v>2949</v>
      </c>
      <c r="D875" s="118"/>
      <c r="E875" s="118"/>
      <c r="F875" s="116" t="s">
        <v>2767</v>
      </c>
      <c r="G875" t="s">
        <v>2768</v>
      </c>
      <c r="H875" s="117" t="s">
        <v>165</v>
      </c>
      <c r="I875" s="117" t="s">
        <v>206</v>
      </c>
    </row>
    <row r="876" spans="1:9" x14ac:dyDescent="0.25">
      <c r="A876" t="s">
        <v>2950</v>
      </c>
      <c r="B876" s="115" t="s">
        <v>2951</v>
      </c>
      <c r="C876" t="s">
        <v>2952</v>
      </c>
      <c r="D876" s="118"/>
      <c r="E876" s="118"/>
      <c r="F876" s="116" t="s">
        <v>2770</v>
      </c>
      <c r="G876" t="s">
        <v>2771</v>
      </c>
      <c r="H876" s="117" t="s">
        <v>160</v>
      </c>
      <c r="I876" s="117" t="s">
        <v>161</v>
      </c>
    </row>
    <row r="877" spans="1:9" x14ac:dyDescent="0.25">
      <c r="A877" t="s">
        <v>2953</v>
      </c>
      <c r="B877" s="115" t="s">
        <v>2954</v>
      </c>
      <c r="C877" t="s">
        <v>2953</v>
      </c>
      <c r="D877" s="118"/>
      <c r="E877" s="118"/>
      <c r="F877" s="116" t="s">
        <v>2955</v>
      </c>
      <c r="G877" t="s">
        <v>2780</v>
      </c>
      <c r="H877" s="117" t="s">
        <v>260</v>
      </c>
      <c r="I877" s="117" t="s">
        <v>1146</v>
      </c>
    </row>
    <row r="878" spans="1:9" x14ac:dyDescent="0.25">
      <c r="A878" t="s">
        <v>2956</v>
      </c>
      <c r="B878" s="115" t="s">
        <v>2957</v>
      </c>
      <c r="C878" t="s">
        <v>2958</v>
      </c>
      <c r="D878" s="118"/>
      <c r="E878" s="118"/>
      <c r="F878" s="116" t="s">
        <v>2773</v>
      </c>
      <c r="G878" t="s">
        <v>2774</v>
      </c>
      <c r="H878" s="117" t="s">
        <v>260</v>
      </c>
      <c r="I878" s="117" t="s">
        <v>1146</v>
      </c>
    </row>
    <row r="879" spans="1:9" x14ac:dyDescent="0.25">
      <c r="A879" t="s">
        <v>2959</v>
      </c>
      <c r="B879" s="115" t="s">
        <v>2960</v>
      </c>
      <c r="C879" t="s">
        <v>2961</v>
      </c>
      <c r="D879" s="118"/>
      <c r="E879" s="118"/>
      <c r="F879" s="116" t="s">
        <v>2776</v>
      </c>
      <c r="G879" t="s">
        <v>2777</v>
      </c>
      <c r="H879" s="117" t="s">
        <v>260</v>
      </c>
      <c r="I879" s="117" t="s">
        <v>1146</v>
      </c>
    </row>
    <row r="880" spans="1:9" x14ac:dyDescent="0.25">
      <c r="A880" t="s">
        <v>2962</v>
      </c>
      <c r="B880" s="115" t="s">
        <v>2963</v>
      </c>
      <c r="C880" t="s">
        <v>2964</v>
      </c>
      <c r="D880" s="118"/>
      <c r="E880" s="118"/>
      <c r="F880" s="116" t="s">
        <v>2782</v>
      </c>
      <c r="G880" t="s">
        <v>2783</v>
      </c>
      <c r="H880" s="117" t="s">
        <v>194</v>
      </c>
      <c r="I880" s="117" t="s">
        <v>290</v>
      </c>
    </row>
    <row r="881" spans="1:9" x14ac:dyDescent="0.25">
      <c r="A881" t="s">
        <v>2965</v>
      </c>
      <c r="B881" s="115" t="s">
        <v>2966</v>
      </c>
      <c r="C881" t="s">
        <v>2967</v>
      </c>
      <c r="D881" s="118"/>
      <c r="E881" s="118"/>
      <c r="F881" s="116" t="s">
        <v>2785</v>
      </c>
      <c r="G881" t="s">
        <v>2786</v>
      </c>
      <c r="H881" s="117" t="s">
        <v>194</v>
      </c>
      <c r="I881" s="117" t="s">
        <v>290</v>
      </c>
    </row>
    <row r="882" spans="1:9" x14ac:dyDescent="0.25">
      <c r="A882" t="s">
        <v>2968</v>
      </c>
      <c r="B882" s="115" t="s">
        <v>2969</v>
      </c>
      <c r="C882" t="s">
        <v>2970</v>
      </c>
      <c r="D882" s="118"/>
      <c r="E882" s="118"/>
      <c r="F882" s="116" t="s">
        <v>2788</v>
      </c>
      <c r="G882" t="s">
        <v>2789</v>
      </c>
      <c r="H882" s="117" t="s">
        <v>194</v>
      </c>
      <c r="I882" s="117" t="s">
        <v>290</v>
      </c>
    </row>
    <row r="883" spans="1:9" x14ac:dyDescent="0.25">
      <c r="A883" t="s">
        <v>2971</v>
      </c>
      <c r="B883" s="115" t="s">
        <v>2972</v>
      </c>
      <c r="C883" t="s">
        <v>2973</v>
      </c>
      <c r="D883" s="118"/>
      <c r="E883" s="118"/>
      <c r="F883" s="116" t="s">
        <v>2791</v>
      </c>
      <c r="G883" t="s">
        <v>290</v>
      </c>
      <c r="H883" s="117" t="s">
        <v>194</v>
      </c>
      <c r="I883" s="117" t="s">
        <v>290</v>
      </c>
    </row>
    <row r="884" spans="1:9" x14ac:dyDescent="0.25">
      <c r="A884" t="s">
        <v>2974</v>
      </c>
      <c r="B884" s="115" t="s">
        <v>2975</v>
      </c>
      <c r="C884" t="s">
        <v>2976</v>
      </c>
      <c r="D884" s="118"/>
      <c r="E884" s="118"/>
      <c r="F884" s="116" t="s">
        <v>2793</v>
      </c>
      <c r="G884" t="s">
        <v>2794</v>
      </c>
      <c r="H884" s="117" t="s">
        <v>194</v>
      </c>
      <c r="I884" s="117" t="s">
        <v>290</v>
      </c>
    </row>
    <row r="885" spans="1:9" x14ac:dyDescent="0.25">
      <c r="A885" t="s">
        <v>2977</v>
      </c>
      <c r="B885" s="115" t="s">
        <v>2978</v>
      </c>
      <c r="C885" t="s">
        <v>2979</v>
      </c>
      <c r="D885" s="118"/>
      <c r="E885" s="118"/>
      <c r="F885" s="116" t="s">
        <v>2796</v>
      </c>
      <c r="G885" t="s">
        <v>2797</v>
      </c>
      <c r="H885" s="117" t="s">
        <v>328</v>
      </c>
      <c r="I885" s="117" t="s">
        <v>295</v>
      </c>
    </row>
    <row r="886" spans="1:9" x14ac:dyDescent="0.25">
      <c r="A886" t="s">
        <v>2980</v>
      </c>
      <c r="B886" s="115" t="s">
        <v>2981</v>
      </c>
      <c r="C886" t="s">
        <v>2982</v>
      </c>
      <c r="D886" s="118"/>
      <c r="E886" s="118"/>
      <c r="F886" s="116" t="s">
        <v>2801</v>
      </c>
      <c r="G886" t="s">
        <v>2802</v>
      </c>
      <c r="H886" s="117" t="s">
        <v>194</v>
      </c>
      <c r="I886" s="117" t="s">
        <v>299</v>
      </c>
    </row>
    <row r="887" spans="1:9" x14ac:dyDescent="0.25">
      <c r="A887" t="s">
        <v>2983</v>
      </c>
      <c r="B887" s="115" t="s">
        <v>2984</v>
      </c>
      <c r="C887" t="s">
        <v>2985</v>
      </c>
      <c r="D887" s="118"/>
      <c r="E887" s="118"/>
      <c r="F887" s="116" t="s">
        <v>2804</v>
      </c>
      <c r="G887" t="s">
        <v>2805</v>
      </c>
      <c r="H887" s="117" t="s">
        <v>105</v>
      </c>
      <c r="I887" s="117" t="s">
        <v>174</v>
      </c>
    </row>
    <row r="888" spans="1:9" x14ac:dyDescent="0.25">
      <c r="A888" t="s">
        <v>2986</v>
      </c>
      <c r="B888" s="115" t="s">
        <v>2987</v>
      </c>
      <c r="C888" t="s">
        <v>2988</v>
      </c>
      <c r="D888" s="118"/>
      <c r="E888" s="118"/>
      <c r="F888" s="116" t="s">
        <v>2989</v>
      </c>
      <c r="G888" t="s">
        <v>2990</v>
      </c>
      <c r="H888" s="117" t="s">
        <v>160</v>
      </c>
      <c r="I888" s="117" t="s">
        <v>387</v>
      </c>
    </row>
    <row r="889" spans="1:9" x14ac:dyDescent="0.25">
      <c r="A889" t="s">
        <v>2991</v>
      </c>
      <c r="B889" s="115" t="s">
        <v>2992</v>
      </c>
      <c r="C889" t="s">
        <v>2993</v>
      </c>
      <c r="D889" s="118"/>
      <c r="E889" s="118"/>
      <c r="F889" s="116" t="s">
        <v>2807</v>
      </c>
      <c r="G889" t="s">
        <v>2808</v>
      </c>
      <c r="H889" s="117" t="s">
        <v>160</v>
      </c>
      <c r="I889" s="117" t="s">
        <v>387</v>
      </c>
    </row>
    <row r="890" spans="1:9" x14ac:dyDescent="0.25">
      <c r="A890" t="s">
        <v>2994</v>
      </c>
      <c r="B890" s="115" t="s">
        <v>2995</v>
      </c>
      <c r="C890" t="s">
        <v>2996</v>
      </c>
      <c r="D890" s="118"/>
      <c r="E890" s="118"/>
      <c r="F890" s="116" t="s">
        <v>2997</v>
      </c>
      <c r="G890" t="s">
        <v>2998</v>
      </c>
      <c r="H890" s="117" t="s">
        <v>160</v>
      </c>
      <c r="I890" s="117" t="s">
        <v>387</v>
      </c>
    </row>
    <row r="891" spans="1:9" x14ac:dyDescent="0.25">
      <c r="A891" t="s">
        <v>2999</v>
      </c>
      <c r="B891" s="115" t="s">
        <v>3000</v>
      </c>
      <c r="C891" t="s">
        <v>3001</v>
      </c>
      <c r="D891" s="118"/>
      <c r="E891" s="118"/>
      <c r="F891" s="116" t="s">
        <v>3002</v>
      </c>
      <c r="G891" t="s">
        <v>3003</v>
      </c>
      <c r="H891" s="117" t="s">
        <v>220</v>
      </c>
      <c r="I891" s="117" t="s">
        <v>339</v>
      </c>
    </row>
    <row r="892" spans="1:9" x14ac:dyDescent="0.25">
      <c r="A892" t="s">
        <v>3004</v>
      </c>
      <c r="B892" s="115" t="s">
        <v>3005</v>
      </c>
      <c r="C892" t="s">
        <v>3006</v>
      </c>
      <c r="D892" s="118"/>
      <c r="E892" s="118"/>
      <c r="F892" s="116" t="s">
        <v>3007</v>
      </c>
      <c r="G892" t="s">
        <v>2825</v>
      </c>
      <c r="H892" s="117" t="s">
        <v>165</v>
      </c>
      <c r="I892" s="117" t="s">
        <v>166</v>
      </c>
    </row>
    <row r="893" spans="1:9" x14ac:dyDescent="0.25">
      <c r="A893" t="s">
        <v>3008</v>
      </c>
      <c r="B893" s="115" t="s">
        <v>3009</v>
      </c>
      <c r="C893" t="s">
        <v>3010</v>
      </c>
      <c r="D893" s="118"/>
      <c r="E893" s="118"/>
      <c r="F893" s="116" t="s">
        <v>2810</v>
      </c>
      <c r="G893" t="s">
        <v>2811</v>
      </c>
      <c r="H893" s="117" t="s">
        <v>220</v>
      </c>
      <c r="I893" s="117" t="s">
        <v>339</v>
      </c>
    </row>
    <row r="894" spans="1:9" x14ac:dyDescent="0.25">
      <c r="A894" t="s">
        <v>3011</v>
      </c>
      <c r="B894" s="115" t="s">
        <v>3012</v>
      </c>
      <c r="C894" t="s">
        <v>3013</v>
      </c>
      <c r="D894" s="118"/>
      <c r="E894" s="118"/>
      <c r="F894" s="116" t="s">
        <v>3014</v>
      </c>
      <c r="G894" t="s">
        <v>3015</v>
      </c>
      <c r="H894" s="117" t="s">
        <v>328</v>
      </c>
      <c r="I894" s="117" t="s">
        <v>796</v>
      </c>
    </row>
    <row r="895" spans="1:9" x14ac:dyDescent="0.25">
      <c r="A895" t="s">
        <v>3016</v>
      </c>
      <c r="B895" s="115" t="s">
        <v>3017</v>
      </c>
      <c r="C895" t="s">
        <v>3018</v>
      </c>
      <c r="D895" s="118"/>
      <c r="E895" s="118"/>
      <c r="F895" s="116" t="s">
        <v>2813</v>
      </c>
      <c r="G895" t="s">
        <v>2814</v>
      </c>
      <c r="H895" s="117" t="s">
        <v>165</v>
      </c>
      <c r="I895" s="117" t="s">
        <v>166</v>
      </c>
    </row>
    <row r="896" spans="1:9" x14ac:dyDescent="0.25">
      <c r="A896" t="s">
        <v>3019</v>
      </c>
      <c r="B896" s="115" t="s">
        <v>3020</v>
      </c>
      <c r="C896" t="s">
        <v>3021</v>
      </c>
      <c r="D896" s="118"/>
      <c r="E896" s="118"/>
      <c r="F896" s="116" t="s">
        <v>2816</v>
      </c>
      <c r="G896" t="s">
        <v>2817</v>
      </c>
      <c r="H896" s="117" t="s">
        <v>165</v>
      </c>
      <c r="I896" s="117" t="s">
        <v>166</v>
      </c>
    </row>
    <row r="897" spans="1:9" x14ac:dyDescent="0.25">
      <c r="A897" t="s">
        <v>3022</v>
      </c>
      <c r="B897" s="115" t="s">
        <v>3023</v>
      </c>
      <c r="C897" t="s">
        <v>3024</v>
      </c>
      <c r="D897" s="118"/>
      <c r="E897" s="118"/>
      <c r="F897" s="116" t="s">
        <v>2821</v>
      </c>
      <c r="G897" t="s">
        <v>2822</v>
      </c>
      <c r="H897" s="117" t="s">
        <v>165</v>
      </c>
      <c r="I897" s="117" t="s">
        <v>166</v>
      </c>
    </row>
    <row r="898" spans="1:9" x14ac:dyDescent="0.25">
      <c r="A898" t="s">
        <v>3025</v>
      </c>
      <c r="B898" s="115" t="s">
        <v>3026</v>
      </c>
      <c r="C898" t="s">
        <v>3027</v>
      </c>
      <c r="D898" s="118"/>
      <c r="E898" s="118"/>
      <c r="F898" s="116" t="s">
        <v>2827</v>
      </c>
      <c r="G898" t="s">
        <v>2828</v>
      </c>
      <c r="H898" s="117" t="s">
        <v>328</v>
      </c>
      <c r="I898" s="117" t="s">
        <v>295</v>
      </c>
    </row>
    <row r="899" spans="1:9" x14ac:dyDescent="0.25">
      <c r="A899" t="s">
        <v>3028</v>
      </c>
      <c r="B899" s="115" t="s">
        <v>3029</v>
      </c>
      <c r="C899" t="s">
        <v>3030</v>
      </c>
      <c r="D899" s="118"/>
      <c r="E899" s="118"/>
      <c r="F899" s="116" t="s">
        <v>2830</v>
      </c>
      <c r="G899" t="s">
        <v>2831</v>
      </c>
      <c r="H899" s="117" t="s">
        <v>105</v>
      </c>
      <c r="I899" s="117" t="s">
        <v>127</v>
      </c>
    </row>
    <row r="900" spans="1:9" x14ac:dyDescent="0.25">
      <c r="A900" t="s">
        <v>3031</v>
      </c>
      <c r="B900" s="115" t="s">
        <v>3032</v>
      </c>
      <c r="C900" t="s">
        <v>3033</v>
      </c>
      <c r="D900" s="118"/>
      <c r="E900" s="118"/>
      <c r="F900" s="116" t="s">
        <v>2833</v>
      </c>
      <c r="G900" t="s">
        <v>2834</v>
      </c>
      <c r="H900" s="117" t="s">
        <v>165</v>
      </c>
      <c r="I900" s="117" t="s">
        <v>166</v>
      </c>
    </row>
    <row r="901" spans="1:9" x14ac:dyDescent="0.25">
      <c r="A901" t="s">
        <v>3034</v>
      </c>
      <c r="B901" s="115" t="s">
        <v>3035</v>
      </c>
      <c r="C901" t="s">
        <v>3036</v>
      </c>
      <c r="D901" s="118"/>
      <c r="E901" s="118"/>
      <c r="F901" s="116" t="s">
        <v>2836</v>
      </c>
      <c r="G901" t="s">
        <v>2837</v>
      </c>
      <c r="H901" s="117" t="s">
        <v>220</v>
      </c>
      <c r="I901" s="117" t="s">
        <v>250</v>
      </c>
    </row>
    <row r="902" spans="1:9" x14ac:dyDescent="0.25">
      <c r="A902" t="s">
        <v>3037</v>
      </c>
      <c r="B902" s="115" t="s">
        <v>3038</v>
      </c>
      <c r="C902" t="s">
        <v>3039</v>
      </c>
      <c r="D902" s="118"/>
      <c r="E902" s="118"/>
      <c r="F902" s="116" t="s">
        <v>2841</v>
      </c>
      <c r="G902" t="s">
        <v>2842</v>
      </c>
      <c r="H902" s="117" t="s">
        <v>328</v>
      </c>
      <c r="I902" s="117" t="s">
        <v>1616</v>
      </c>
    </row>
    <row r="903" spans="1:9" x14ac:dyDescent="0.25">
      <c r="A903" t="s">
        <v>3040</v>
      </c>
      <c r="B903" s="115" t="s">
        <v>3041</v>
      </c>
      <c r="C903" t="s">
        <v>3042</v>
      </c>
      <c r="D903" s="118"/>
      <c r="E903" s="118"/>
      <c r="F903" s="116" t="s">
        <v>3043</v>
      </c>
      <c r="G903" t="s">
        <v>3044</v>
      </c>
      <c r="H903" s="117" t="s">
        <v>170</v>
      </c>
      <c r="I903" s="117" t="s">
        <v>171</v>
      </c>
    </row>
    <row r="904" spans="1:9" x14ac:dyDescent="0.25">
      <c r="A904" t="s">
        <v>3045</v>
      </c>
      <c r="B904" s="115" t="s">
        <v>3046</v>
      </c>
      <c r="C904" t="s">
        <v>3047</v>
      </c>
      <c r="D904" s="118"/>
      <c r="E904" s="118"/>
      <c r="F904" s="116" t="s">
        <v>2844</v>
      </c>
      <c r="G904" t="s">
        <v>2845</v>
      </c>
      <c r="H904" s="117" t="s">
        <v>220</v>
      </c>
      <c r="I904" s="117" t="s">
        <v>221</v>
      </c>
    </row>
    <row r="905" spans="1:9" x14ac:dyDescent="0.25">
      <c r="A905" t="s">
        <v>3048</v>
      </c>
      <c r="B905" s="115" t="s">
        <v>3049</v>
      </c>
      <c r="C905" t="s">
        <v>3050</v>
      </c>
      <c r="D905" s="118"/>
      <c r="E905" s="118"/>
      <c r="F905" s="116" t="s">
        <v>2847</v>
      </c>
      <c r="G905" t="s">
        <v>2848</v>
      </c>
      <c r="H905" s="117" t="s">
        <v>220</v>
      </c>
      <c r="I905" s="117" t="s">
        <v>221</v>
      </c>
    </row>
    <row r="906" spans="1:9" x14ac:dyDescent="0.25">
      <c r="A906" t="s">
        <v>3051</v>
      </c>
      <c r="B906" s="115" t="s">
        <v>3052</v>
      </c>
      <c r="C906" t="s">
        <v>3051</v>
      </c>
      <c r="D906" s="118"/>
      <c r="E906" s="118"/>
      <c r="F906" s="116" t="s">
        <v>2855</v>
      </c>
      <c r="G906" t="s">
        <v>2856</v>
      </c>
      <c r="H906" s="117" t="s">
        <v>100</v>
      </c>
      <c r="I906" s="117" t="s">
        <v>110</v>
      </c>
    </row>
    <row r="907" spans="1:9" x14ac:dyDescent="0.25">
      <c r="A907" t="s">
        <v>3053</v>
      </c>
      <c r="B907" s="115" t="s">
        <v>3054</v>
      </c>
      <c r="C907" t="s">
        <v>3055</v>
      </c>
      <c r="D907" s="118"/>
      <c r="E907" s="118"/>
      <c r="F907" s="116" t="s">
        <v>2859</v>
      </c>
      <c r="G907" t="s">
        <v>2860</v>
      </c>
      <c r="H907" s="117" t="s">
        <v>100</v>
      </c>
      <c r="I907" s="117" t="s">
        <v>110</v>
      </c>
    </row>
    <row r="908" spans="1:9" x14ac:dyDescent="0.25">
      <c r="A908" t="s">
        <v>3056</v>
      </c>
      <c r="B908" s="115" t="s">
        <v>3057</v>
      </c>
      <c r="C908" t="s">
        <v>3058</v>
      </c>
      <c r="D908" s="118"/>
      <c r="E908" s="118"/>
      <c r="F908" s="116" t="s">
        <v>2862</v>
      </c>
      <c r="G908" t="s">
        <v>110</v>
      </c>
      <c r="H908" s="117" t="s">
        <v>100</v>
      </c>
      <c r="I908" s="117" t="s">
        <v>110</v>
      </c>
    </row>
    <row r="909" spans="1:9" x14ac:dyDescent="0.25">
      <c r="A909" t="s">
        <v>3059</v>
      </c>
      <c r="B909" s="115" t="s">
        <v>3060</v>
      </c>
      <c r="C909" t="s">
        <v>3061</v>
      </c>
      <c r="D909" s="118"/>
      <c r="E909" s="118"/>
      <c r="F909" s="116" t="s">
        <v>3062</v>
      </c>
      <c r="G909" t="s">
        <v>3063</v>
      </c>
      <c r="H909" s="117" t="s">
        <v>260</v>
      </c>
      <c r="I909" s="117" t="s">
        <v>261</v>
      </c>
    </row>
    <row r="910" spans="1:9" x14ac:dyDescent="0.25">
      <c r="A910" t="s">
        <v>3064</v>
      </c>
      <c r="B910" s="115" t="s">
        <v>3065</v>
      </c>
      <c r="C910" t="s">
        <v>3064</v>
      </c>
      <c r="D910" s="118"/>
      <c r="E910" s="118"/>
      <c r="F910" s="116" t="s">
        <v>2864</v>
      </c>
      <c r="G910" t="s">
        <v>2865</v>
      </c>
      <c r="H910" s="117" t="s">
        <v>160</v>
      </c>
      <c r="I910" s="117" t="s">
        <v>387</v>
      </c>
    </row>
    <row r="911" spans="1:9" x14ac:dyDescent="0.25">
      <c r="A911" t="s">
        <v>3066</v>
      </c>
      <c r="B911" s="115" t="s">
        <v>3067</v>
      </c>
      <c r="C911" t="s">
        <v>3068</v>
      </c>
      <c r="D911" s="118"/>
      <c r="E911" s="118"/>
      <c r="F911" s="116" t="s">
        <v>3069</v>
      </c>
      <c r="G911" t="s">
        <v>3070</v>
      </c>
      <c r="H911" s="117" t="s">
        <v>328</v>
      </c>
      <c r="I911" s="117" t="s">
        <v>522</v>
      </c>
    </row>
    <row r="912" spans="1:9" x14ac:dyDescent="0.25">
      <c r="A912" t="s">
        <v>3071</v>
      </c>
      <c r="B912" s="115" t="s">
        <v>3072</v>
      </c>
      <c r="C912" t="s">
        <v>3073</v>
      </c>
      <c r="D912" s="118"/>
      <c r="E912" s="118"/>
      <c r="F912" s="116" t="s">
        <v>2870</v>
      </c>
      <c r="G912" t="s">
        <v>2871</v>
      </c>
      <c r="H912" s="117" t="s">
        <v>105</v>
      </c>
      <c r="I912" s="117" t="s">
        <v>106</v>
      </c>
    </row>
    <row r="913" spans="1:9" x14ac:dyDescent="0.25">
      <c r="A913" t="s">
        <v>3074</v>
      </c>
      <c r="B913" s="115" t="s">
        <v>3075</v>
      </c>
      <c r="C913" t="s">
        <v>3076</v>
      </c>
      <c r="D913" s="118"/>
      <c r="E913" s="118"/>
      <c r="F913" s="116" t="s">
        <v>2876</v>
      </c>
      <c r="G913" t="s">
        <v>2877</v>
      </c>
      <c r="H913" s="117" t="s">
        <v>165</v>
      </c>
      <c r="I913" s="117" t="s">
        <v>166</v>
      </c>
    </row>
    <row r="914" spans="1:9" x14ac:dyDescent="0.25">
      <c r="A914" t="s">
        <v>3077</v>
      </c>
      <c r="B914" s="115" t="s">
        <v>3078</v>
      </c>
      <c r="C914" t="s">
        <v>3079</v>
      </c>
      <c r="D914" s="118"/>
      <c r="E914" s="118"/>
      <c r="F914" s="116" t="s">
        <v>2879</v>
      </c>
      <c r="G914" t="s">
        <v>2880</v>
      </c>
      <c r="H914" s="117" t="s">
        <v>115</v>
      </c>
      <c r="I914" s="117" t="s">
        <v>116</v>
      </c>
    </row>
    <row r="915" spans="1:9" x14ac:dyDescent="0.25">
      <c r="A915" t="s">
        <v>3080</v>
      </c>
      <c r="B915" s="115" t="s">
        <v>3081</v>
      </c>
      <c r="C915" t="s">
        <v>3082</v>
      </c>
      <c r="D915" s="118"/>
      <c r="E915" s="118"/>
      <c r="F915" s="116" t="s">
        <v>2882</v>
      </c>
      <c r="G915" t="s">
        <v>2883</v>
      </c>
      <c r="H915" s="117" t="s">
        <v>115</v>
      </c>
      <c r="I915" s="117" t="s">
        <v>116</v>
      </c>
    </row>
    <row r="916" spans="1:9" x14ac:dyDescent="0.25">
      <c r="A916" t="s">
        <v>3083</v>
      </c>
      <c r="B916" s="115" t="s">
        <v>3084</v>
      </c>
      <c r="C916" t="s">
        <v>3085</v>
      </c>
      <c r="D916" s="118"/>
      <c r="E916" s="118"/>
      <c r="F916" s="116" t="s">
        <v>2885</v>
      </c>
      <c r="G916" t="s">
        <v>2886</v>
      </c>
      <c r="H916" s="117" t="s">
        <v>115</v>
      </c>
      <c r="I916" s="117" t="s">
        <v>116</v>
      </c>
    </row>
    <row r="917" spans="1:9" x14ac:dyDescent="0.25">
      <c r="A917" t="s">
        <v>3086</v>
      </c>
      <c r="B917" s="115" t="s">
        <v>3087</v>
      </c>
      <c r="C917" t="s">
        <v>3088</v>
      </c>
      <c r="D917" s="118"/>
      <c r="E917" s="118"/>
      <c r="F917" s="116" t="s">
        <v>3089</v>
      </c>
      <c r="G917" t="s">
        <v>3090</v>
      </c>
      <c r="H917" s="117" t="s">
        <v>115</v>
      </c>
      <c r="I917" s="117" t="s">
        <v>116</v>
      </c>
    </row>
    <row r="918" spans="1:9" x14ac:dyDescent="0.25">
      <c r="A918" t="s">
        <v>3091</v>
      </c>
      <c r="B918" s="115" t="s">
        <v>3092</v>
      </c>
      <c r="C918" t="s">
        <v>3093</v>
      </c>
      <c r="D918" s="118"/>
      <c r="E918" s="118"/>
      <c r="F918" s="116" t="s">
        <v>2890</v>
      </c>
      <c r="G918" t="s">
        <v>2891</v>
      </c>
      <c r="H918" s="117" t="s">
        <v>115</v>
      </c>
      <c r="I918" s="117" t="s">
        <v>123</v>
      </c>
    </row>
    <row r="919" spans="1:9" x14ac:dyDescent="0.25">
      <c r="A919" t="s">
        <v>3094</v>
      </c>
      <c r="B919" s="115" t="s">
        <v>3095</v>
      </c>
      <c r="C919" t="s">
        <v>3096</v>
      </c>
      <c r="D919" s="118"/>
      <c r="E919" s="118"/>
      <c r="F919" s="116" t="s">
        <v>2892</v>
      </c>
      <c r="G919" t="s">
        <v>2893</v>
      </c>
      <c r="H919" s="117" t="s">
        <v>165</v>
      </c>
      <c r="I919" s="117" t="s">
        <v>233</v>
      </c>
    </row>
    <row r="920" spans="1:9" x14ac:dyDescent="0.25">
      <c r="A920" t="s">
        <v>3097</v>
      </c>
      <c r="B920" s="115" t="s">
        <v>3098</v>
      </c>
      <c r="C920" t="s">
        <v>3099</v>
      </c>
      <c r="D920" s="118"/>
      <c r="E920" s="118"/>
      <c r="F920" s="116" t="s">
        <v>2895</v>
      </c>
      <c r="G920" t="s">
        <v>2896</v>
      </c>
      <c r="H920" s="117" t="s">
        <v>115</v>
      </c>
      <c r="I920" s="117" t="s">
        <v>116</v>
      </c>
    </row>
    <row r="921" spans="1:9" x14ac:dyDescent="0.25">
      <c r="A921" t="s">
        <v>3100</v>
      </c>
      <c r="B921" s="115" t="s">
        <v>3101</v>
      </c>
      <c r="C921" t="s">
        <v>3102</v>
      </c>
      <c r="D921" s="118"/>
      <c r="E921" s="118"/>
      <c r="F921" s="116" t="s">
        <v>2899</v>
      </c>
      <c r="G921" t="s">
        <v>2900</v>
      </c>
      <c r="H921" s="117" t="s">
        <v>160</v>
      </c>
      <c r="I921" s="117" t="s">
        <v>829</v>
      </c>
    </row>
    <row r="922" spans="1:9" x14ac:dyDescent="0.25">
      <c r="A922" t="s">
        <v>3103</v>
      </c>
      <c r="B922" s="115" t="s">
        <v>3104</v>
      </c>
      <c r="C922" t="s">
        <v>3105</v>
      </c>
      <c r="D922" s="118"/>
      <c r="E922" s="118"/>
      <c r="F922" s="116" t="s">
        <v>2902</v>
      </c>
      <c r="G922" t="s">
        <v>2903</v>
      </c>
      <c r="H922" s="117" t="s">
        <v>328</v>
      </c>
      <c r="I922" s="117" t="s">
        <v>295</v>
      </c>
    </row>
    <row r="923" spans="1:9" x14ac:dyDescent="0.25">
      <c r="A923" t="s">
        <v>3106</v>
      </c>
      <c r="B923" s="115" t="s">
        <v>3107</v>
      </c>
      <c r="C923" t="s">
        <v>3108</v>
      </c>
      <c r="D923" s="118"/>
      <c r="E923" s="118"/>
      <c r="F923" s="116" t="s">
        <v>2905</v>
      </c>
      <c r="G923" t="s">
        <v>2906</v>
      </c>
      <c r="H923" s="117" t="s">
        <v>328</v>
      </c>
      <c r="I923" s="117" t="s">
        <v>796</v>
      </c>
    </row>
    <row r="924" spans="1:9" x14ac:dyDescent="0.25">
      <c r="A924" t="s">
        <v>3109</v>
      </c>
      <c r="B924" s="115" t="s">
        <v>3110</v>
      </c>
      <c r="C924" t="s">
        <v>3111</v>
      </c>
      <c r="D924" s="118"/>
      <c r="E924" s="118"/>
      <c r="F924" s="116" t="s">
        <v>2910</v>
      </c>
      <c r="G924" t="s">
        <v>2911</v>
      </c>
      <c r="H924" s="117" t="s">
        <v>105</v>
      </c>
      <c r="I924" s="117" t="s">
        <v>580</v>
      </c>
    </row>
    <row r="925" spans="1:9" x14ac:dyDescent="0.25">
      <c r="A925" t="s">
        <v>3112</v>
      </c>
      <c r="B925" s="115" t="s">
        <v>3113</v>
      </c>
      <c r="C925" t="s">
        <v>3114</v>
      </c>
      <c r="D925" s="118"/>
      <c r="E925" s="118"/>
      <c r="F925" s="116" t="s">
        <v>2913</v>
      </c>
      <c r="G925" t="s">
        <v>2914</v>
      </c>
      <c r="H925" s="117" t="s">
        <v>105</v>
      </c>
      <c r="I925" s="117" t="s">
        <v>580</v>
      </c>
    </row>
    <row r="926" spans="1:9" x14ac:dyDescent="0.25">
      <c r="A926" t="s">
        <v>3115</v>
      </c>
      <c r="B926" s="115" t="s">
        <v>3116</v>
      </c>
      <c r="C926" t="s">
        <v>3117</v>
      </c>
      <c r="D926" s="118"/>
      <c r="E926" s="118"/>
      <c r="F926" s="116" t="s">
        <v>2919</v>
      </c>
      <c r="G926" t="s">
        <v>2920</v>
      </c>
      <c r="H926" s="117" t="s">
        <v>105</v>
      </c>
      <c r="I926" s="117" t="s">
        <v>127</v>
      </c>
    </row>
    <row r="927" spans="1:9" x14ac:dyDescent="0.25">
      <c r="A927" t="s">
        <v>3118</v>
      </c>
      <c r="B927" s="115" t="s">
        <v>3119</v>
      </c>
      <c r="C927" t="s">
        <v>3120</v>
      </c>
      <c r="D927" s="118"/>
      <c r="E927" s="118"/>
      <c r="F927" s="116" t="s">
        <v>2922</v>
      </c>
      <c r="G927" t="s">
        <v>2923</v>
      </c>
      <c r="H927" s="117" t="s">
        <v>170</v>
      </c>
      <c r="I927" s="117" t="s">
        <v>202</v>
      </c>
    </row>
    <row r="928" spans="1:9" x14ac:dyDescent="0.25">
      <c r="A928" t="s">
        <v>3121</v>
      </c>
      <c r="B928" s="115" t="s">
        <v>3122</v>
      </c>
      <c r="C928" t="s">
        <v>3123</v>
      </c>
      <c r="D928" s="118"/>
      <c r="E928" s="118"/>
      <c r="F928" s="116" t="s">
        <v>2925</v>
      </c>
      <c r="G928" t="s">
        <v>2926</v>
      </c>
      <c r="H928" s="117" t="s">
        <v>100</v>
      </c>
      <c r="I928" s="117" t="s">
        <v>101</v>
      </c>
    </row>
    <row r="929" spans="1:9" x14ac:dyDescent="0.25">
      <c r="A929" t="s">
        <v>3124</v>
      </c>
      <c r="B929" s="115" t="s">
        <v>3125</v>
      </c>
      <c r="C929" t="s">
        <v>3126</v>
      </c>
      <c r="D929" s="118"/>
      <c r="E929" s="118"/>
      <c r="F929" s="116" t="s">
        <v>3127</v>
      </c>
      <c r="G929" t="s">
        <v>3128</v>
      </c>
      <c r="H929" s="117" t="s">
        <v>160</v>
      </c>
      <c r="I929" s="117" t="s">
        <v>704</v>
      </c>
    </row>
    <row r="930" spans="1:9" x14ac:dyDescent="0.25">
      <c r="A930" t="s">
        <v>3129</v>
      </c>
      <c r="B930" s="115" t="s">
        <v>3130</v>
      </c>
      <c r="C930" t="s">
        <v>3131</v>
      </c>
      <c r="D930" s="118"/>
      <c r="E930" s="118"/>
      <c r="F930" s="116" t="s">
        <v>3132</v>
      </c>
      <c r="G930" t="s">
        <v>3133</v>
      </c>
      <c r="H930" s="117" t="s">
        <v>328</v>
      </c>
      <c r="I930" s="117" t="s">
        <v>295</v>
      </c>
    </row>
    <row r="931" spans="1:9" x14ac:dyDescent="0.25">
      <c r="A931" t="s">
        <v>3134</v>
      </c>
      <c r="B931" s="115" t="s">
        <v>3135</v>
      </c>
      <c r="C931" t="s">
        <v>3136</v>
      </c>
      <c r="D931" s="118"/>
      <c r="E931" s="118"/>
      <c r="F931" s="116" t="s">
        <v>2928</v>
      </c>
      <c r="G931" t="s">
        <v>2929</v>
      </c>
      <c r="H931" s="117" t="s">
        <v>105</v>
      </c>
      <c r="I931" s="117" t="s">
        <v>174</v>
      </c>
    </row>
    <row r="932" spans="1:9" x14ac:dyDescent="0.25">
      <c r="A932" t="s">
        <v>3137</v>
      </c>
      <c r="B932" s="115" t="s">
        <v>3138</v>
      </c>
      <c r="C932" t="s">
        <v>3139</v>
      </c>
      <c r="D932" s="118"/>
      <c r="E932" s="118"/>
      <c r="F932" s="116" t="s">
        <v>2931</v>
      </c>
      <c r="G932" t="s">
        <v>2932</v>
      </c>
      <c r="H932" s="117" t="s">
        <v>165</v>
      </c>
      <c r="I932" s="117" t="s">
        <v>166</v>
      </c>
    </row>
    <row r="933" spans="1:9" x14ac:dyDescent="0.25">
      <c r="A933" t="s">
        <v>3140</v>
      </c>
      <c r="B933" s="115" t="s">
        <v>3141</v>
      </c>
      <c r="C933" t="s">
        <v>3142</v>
      </c>
      <c r="D933" s="118"/>
      <c r="E933" s="118"/>
      <c r="F933" s="116" t="s">
        <v>2934</v>
      </c>
      <c r="G933" t="s">
        <v>2935</v>
      </c>
      <c r="H933" s="117" t="s">
        <v>160</v>
      </c>
      <c r="I933" s="117" t="s">
        <v>387</v>
      </c>
    </row>
    <row r="934" spans="1:9" x14ac:dyDescent="0.25">
      <c r="A934" t="s">
        <v>3143</v>
      </c>
      <c r="B934" s="115" t="s">
        <v>3144</v>
      </c>
      <c r="C934" t="s">
        <v>3145</v>
      </c>
      <c r="D934" s="118"/>
      <c r="E934" s="118"/>
      <c r="F934" s="116" t="s">
        <v>2937</v>
      </c>
      <c r="G934" t="s">
        <v>2938</v>
      </c>
      <c r="H934" s="117" t="s">
        <v>160</v>
      </c>
      <c r="I934" s="117" t="s">
        <v>387</v>
      </c>
    </row>
    <row r="935" spans="1:9" x14ac:dyDescent="0.25">
      <c r="A935" t="s">
        <v>3146</v>
      </c>
      <c r="B935" s="115" t="s">
        <v>3147</v>
      </c>
      <c r="C935" t="s">
        <v>3148</v>
      </c>
      <c r="D935" s="118"/>
      <c r="E935" s="118"/>
      <c r="F935" s="116" t="s">
        <v>2940</v>
      </c>
      <c r="G935" t="s">
        <v>2941</v>
      </c>
      <c r="H935" s="117" t="s">
        <v>160</v>
      </c>
      <c r="I935" s="117" t="s">
        <v>387</v>
      </c>
    </row>
    <row r="936" spans="1:9" x14ac:dyDescent="0.25">
      <c r="A936" t="s">
        <v>3149</v>
      </c>
      <c r="B936" s="115" t="s">
        <v>3150</v>
      </c>
      <c r="C936" t="s">
        <v>3151</v>
      </c>
      <c r="D936" s="118"/>
      <c r="E936" s="118"/>
      <c r="F936" s="116" t="s">
        <v>2943</v>
      </c>
      <c r="G936" t="s">
        <v>2944</v>
      </c>
      <c r="H936" s="117" t="s">
        <v>170</v>
      </c>
      <c r="I936" s="117" t="s">
        <v>171</v>
      </c>
    </row>
    <row r="937" spans="1:9" x14ac:dyDescent="0.25">
      <c r="A937" t="s">
        <v>3152</v>
      </c>
      <c r="B937" s="115" t="s">
        <v>3153</v>
      </c>
      <c r="C937" t="s">
        <v>3154</v>
      </c>
      <c r="D937" s="118"/>
      <c r="E937" s="118"/>
      <c r="F937" s="116" t="s">
        <v>2947</v>
      </c>
      <c r="G937" t="s">
        <v>2948</v>
      </c>
      <c r="H937" s="117" t="s">
        <v>220</v>
      </c>
      <c r="I937" s="117" t="s">
        <v>221</v>
      </c>
    </row>
    <row r="938" spans="1:9" x14ac:dyDescent="0.25">
      <c r="A938" t="s">
        <v>3155</v>
      </c>
      <c r="B938" s="115" t="s">
        <v>3156</v>
      </c>
      <c r="C938" t="s">
        <v>3157</v>
      </c>
      <c r="D938" s="118"/>
      <c r="E938" s="118"/>
      <c r="F938" s="116" t="s">
        <v>2953</v>
      </c>
      <c r="G938" t="s">
        <v>2954</v>
      </c>
      <c r="H938" s="117" t="s">
        <v>115</v>
      </c>
      <c r="I938" s="117" t="s">
        <v>123</v>
      </c>
    </row>
    <row r="939" spans="1:9" x14ac:dyDescent="0.25">
      <c r="A939" t="s">
        <v>3158</v>
      </c>
      <c r="B939" s="115" t="s">
        <v>3159</v>
      </c>
      <c r="C939" t="s">
        <v>3160</v>
      </c>
      <c r="D939" s="118"/>
      <c r="E939" s="118"/>
      <c r="F939" s="116" t="s">
        <v>2956</v>
      </c>
      <c r="G939" t="s">
        <v>2957</v>
      </c>
      <c r="H939" s="117" t="s">
        <v>160</v>
      </c>
      <c r="I939" s="117" t="s">
        <v>487</v>
      </c>
    </row>
    <row r="940" spans="1:9" x14ac:dyDescent="0.25">
      <c r="A940" t="s">
        <v>3161</v>
      </c>
      <c r="B940" s="115" t="s">
        <v>3162</v>
      </c>
      <c r="C940" t="s">
        <v>3163</v>
      </c>
      <c r="D940" s="118"/>
      <c r="E940" s="118"/>
      <c r="F940" s="116" t="s">
        <v>2959</v>
      </c>
      <c r="G940" t="s">
        <v>2960</v>
      </c>
      <c r="H940" s="117" t="s">
        <v>165</v>
      </c>
      <c r="I940" s="117" t="s">
        <v>206</v>
      </c>
    </row>
    <row r="941" spans="1:9" x14ac:dyDescent="0.25">
      <c r="A941" t="s">
        <v>3164</v>
      </c>
      <c r="B941" s="115" t="s">
        <v>3165</v>
      </c>
      <c r="C941" t="s">
        <v>3166</v>
      </c>
      <c r="D941" s="118"/>
      <c r="E941" s="118"/>
      <c r="F941" s="116" t="s">
        <v>2962</v>
      </c>
      <c r="G941" t="s">
        <v>2963</v>
      </c>
      <c r="H941" s="117" t="s">
        <v>115</v>
      </c>
      <c r="I941" s="117" t="s">
        <v>116</v>
      </c>
    </row>
    <row r="942" spans="1:9" x14ac:dyDescent="0.25">
      <c r="A942" t="s">
        <v>3167</v>
      </c>
      <c r="B942" s="115" t="s">
        <v>3168</v>
      </c>
      <c r="C942" t="s">
        <v>3167</v>
      </c>
      <c r="D942" s="118"/>
      <c r="E942" s="118"/>
      <c r="F942" s="116" t="s">
        <v>2965</v>
      </c>
      <c r="G942" t="s">
        <v>2966</v>
      </c>
      <c r="H942" s="117" t="s">
        <v>160</v>
      </c>
      <c r="I942" s="117" t="s">
        <v>161</v>
      </c>
    </row>
    <row r="943" spans="1:9" x14ac:dyDescent="0.25">
      <c r="A943" t="s">
        <v>3169</v>
      </c>
      <c r="B943" s="115" t="s">
        <v>3170</v>
      </c>
      <c r="C943" t="s">
        <v>3171</v>
      </c>
      <c r="D943" s="118"/>
      <c r="E943" s="118"/>
      <c r="F943" s="116" t="s">
        <v>2968</v>
      </c>
      <c r="G943" t="s">
        <v>2969</v>
      </c>
      <c r="H943" s="117" t="s">
        <v>105</v>
      </c>
      <c r="I943" s="117" t="s">
        <v>106</v>
      </c>
    </row>
    <row r="944" spans="1:9" x14ac:dyDescent="0.25">
      <c r="A944" t="s">
        <v>3172</v>
      </c>
      <c r="B944" s="115" t="s">
        <v>3173</v>
      </c>
      <c r="C944" t="s">
        <v>3174</v>
      </c>
      <c r="D944" s="118"/>
      <c r="E944" s="118"/>
      <c r="F944" s="116" t="s">
        <v>3175</v>
      </c>
      <c r="G944" t="s">
        <v>2972</v>
      </c>
      <c r="H944" s="117" t="s">
        <v>100</v>
      </c>
      <c r="I944" s="117" t="s">
        <v>187</v>
      </c>
    </row>
    <row r="945" spans="1:9" x14ac:dyDescent="0.25">
      <c r="A945" t="s">
        <v>3176</v>
      </c>
      <c r="B945" s="115" t="s">
        <v>3177</v>
      </c>
      <c r="C945" t="s">
        <v>3178</v>
      </c>
      <c r="D945" s="118"/>
      <c r="E945" s="118"/>
      <c r="F945" s="116" t="s">
        <v>2974</v>
      </c>
      <c r="G945" t="s">
        <v>2975</v>
      </c>
      <c r="H945" s="117" t="s">
        <v>100</v>
      </c>
      <c r="I945" s="117" t="s">
        <v>187</v>
      </c>
    </row>
    <row r="946" spans="1:9" x14ac:dyDescent="0.25">
      <c r="A946" t="s">
        <v>3179</v>
      </c>
      <c r="B946" s="115" t="s">
        <v>3180</v>
      </c>
      <c r="C946" t="s">
        <v>3181</v>
      </c>
      <c r="D946" s="118"/>
      <c r="E946" s="118"/>
      <c r="F946" s="116" t="s">
        <v>2977</v>
      </c>
      <c r="G946" t="s">
        <v>2978</v>
      </c>
      <c r="H946" s="117" t="s">
        <v>100</v>
      </c>
      <c r="I946" s="117" t="s">
        <v>187</v>
      </c>
    </row>
    <row r="947" spans="1:9" x14ac:dyDescent="0.25">
      <c r="A947" t="s">
        <v>3182</v>
      </c>
      <c r="B947" s="115" t="s">
        <v>3183</v>
      </c>
      <c r="C947" t="s">
        <v>3184</v>
      </c>
      <c r="D947" s="118"/>
      <c r="E947" s="118"/>
      <c r="F947" s="116" t="s">
        <v>2980</v>
      </c>
      <c r="G947" t="s">
        <v>2981</v>
      </c>
      <c r="H947" s="117" t="s">
        <v>100</v>
      </c>
      <c r="I947" s="117" t="s">
        <v>187</v>
      </c>
    </row>
    <row r="948" spans="1:9" x14ac:dyDescent="0.25">
      <c r="A948" t="s">
        <v>3185</v>
      </c>
      <c r="B948" s="115" t="s">
        <v>3186</v>
      </c>
      <c r="C948" t="s">
        <v>3187</v>
      </c>
      <c r="D948" s="118"/>
      <c r="E948" s="118"/>
      <c r="F948" s="116" t="s">
        <v>3188</v>
      </c>
      <c r="G948" t="s">
        <v>3189</v>
      </c>
      <c r="H948" s="117" t="s">
        <v>160</v>
      </c>
      <c r="I948" s="117" t="s">
        <v>755</v>
      </c>
    </row>
    <row r="949" spans="1:9" x14ac:dyDescent="0.25">
      <c r="A949" t="s">
        <v>3190</v>
      </c>
      <c r="B949" s="115" t="s">
        <v>3191</v>
      </c>
      <c r="C949" t="s">
        <v>3192</v>
      </c>
      <c r="D949" s="118"/>
      <c r="E949" s="118"/>
      <c r="F949" s="116" t="s">
        <v>2986</v>
      </c>
      <c r="G949" t="s">
        <v>2987</v>
      </c>
      <c r="H949" s="117" t="s">
        <v>260</v>
      </c>
      <c r="I949" s="117" t="s">
        <v>261</v>
      </c>
    </row>
    <row r="950" spans="1:9" x14ac:dyDescent="0.25">
      <c r="A950" t="s">
        <v>3193</v>
      </c>
      <c r="B950" s="115" t="s">
        <v>3194</v>
      </c>
      <c r="C950" t="s">
        <v>3195</v>
      </c>
      <c r="D950" s="118"/>
      <c r="E950" s="118"/>
      <c r="F950" s="116" t="s">
        <v>3196</v>
      </c>
      <c r="G950" t="s">
        <v>2984</v>
      </c>
      <c r="H950" s="117" t="s">
        <v>260</v>
      </c>
      <c r="I950" s="117" t="s">
        <v>261</v>
      </c>
    </row>
    <row r="951" spans="1:9" x14ac:dyDescent="0.25">
      <c r="A951" t="s">
        <v>3197</v>
      </c>
      <c r="B951" s="115" t="s">
        <v>3198</v>
      </c>
      <c r="C951" t="s">
        <v>3199</v>
      </c>
      <c r="D951" s="118"/>
      <c r="E951" s="118"/>
      <c r="F951" s="116" t="s">
        <v>2991</v>
      </c>
      <c r="G951" t="s">
        <v>2992</v>
      </c>
      <c r="H951" s="117" t="s">
        <v>165</v>
      </c>
      <c r="I951" s="117" t="s">
        <v>206</v>
      </c>
    </row>
    <row r="952" spans="1:9" x14ac:dyDescent="0.25">
      <c r="A952" t="s">
        <v>3200</v>
      </c>
      <c r="B952" s="115" t="s">
        <v>3201</v>
      </c>
      <c r="C952" t="s">
        <v>3202</v>
      </c>
      <c r="D952" s="118"/>
      <c r="E952" s="118"/>
      <c r="F952" s="116" t="s">
        <v>2994</v>
      </c>
      <c r="G952" t="s">
        <v>2995</v>
      </c>
      <c r="H952" s="117" t="s">
        <v>165</v>
      </c>
      <c r="I952" s="117" t="s">
        <v>166</v>
      </c>
    </row>
    <row r="953" spans="1:9" x14ac:dyDescent="0.25">
      <c r="A953" t="s">
        <v>3203</v>
      </c>
      <c r="B953" s="115" t="s">
        <v>3204</v>
      </c>
      <c r="C953" t="s">
        <v>3205</v>
      </c>
      <c r="D953" s="118"/>
      <c r="E953" s="118"/>
      <c r="F953" s="116" t="s">
        <v>3206</v>
      </c>
      <c r="G953" t="s">
        <v>3207</v>
      </c>
      <c r="H953" s="117" t="s">
        <v>115</v>
      </c>
      <c r="I953" s="117" t="s">
        <v>116</v>
      </c>
    </row>
    <row r="954" spans="1:9" x14ac:dyDescent="0.25">
      <c r="A954" t="s">
        <v>3208</v>
      </c>
      <c r="B954" s="115" t="s">
        <v>3209</v>
      </c>
      <c r="C954" t="s">
        <v>3210</v>
      </c>
      <c r="D954" s="118"/>
      <c r="E954" s="118"/>
      <c r="F954" s="116" t="s">
        <v>3211</v>
      </c>
      <c r="G954" t="s">
        <v>3000</v>
      </c>
      <c r="H954" s="117" t="s">
        <v>165</v>
      </c>
      <c r="I954" s="117" t="s">
        <v>166</v>
      </c>
    </row>
    <row r="955" spans="1:9" x14ac:dyDescent="0.25">
      <c r="A955" t="s">
        <v>3212</v>
      </c>
      <c r="B955" s="115" t="s">
        <v>3213</v>
      </c>
      <c r="C955" t="s">
        <v>3214</v>
      </c>
      <c r="D955" s="118"/>
      <c r="E955" s="118"/>
      <c r="F955" s="116" t="s">
        <v>3215</v>
      </c>
      <c r="G955" t="s">
        <v>3216</v>
      </c>
      <c r="H955" s="117" t="s">
        <v>170</v>
      </c>
      <c r="I955" s="117" t="s">
        <v>171</v>
      </c>
    </row>
    <row r="956" spans="1:9" x14ac:dyDescent="0.25">
      <c r="A956" t="s">
        <v>3217</v>
      </c>
      <c r="B956" s="115" t="s">
        <v>3218</v>
      </c>
      <c r="C956" t="s">
        <v>3219</v>
      </c>
      <c r="D956" s="118"/>
      <c r="E956" s="118"/>
      <c r="F956" s="116" t="s">
        <v>3004</v>
      </c>
      <c r="G956" t="s">
        <v>3005</v>
      </c>
      <c r="H956" s="117" t="s">
        <v>260</v>
      </c>
      <c r="I956" s="117" t="s">
        <v>432</v>
      </c>
    </row>
    <row r="957" spans="1:9" x14ac:dyDescent="0.25">
      <c r="A957" t="s">
        <v>3220</v>
      </c>
      <c r="B957" s="115" t="s">
        <v>3221</v>
      </c>
      <c r="C957" t="s">
        <v>3222</v>
      </c>
      <c r="D957" s="118"/>
      <c r="E957" s="118"/>
      <c r="F957" s="116" t="s">
        <v>3011</v>
      </c>
      <c r="G957" t="s">
        <v>3012</v>
      </c>
      <c r="H957" s="117" t="s">
        <v>165</v>
      </c>
      <c r="I957" s="117" t="s">
        <v>166</v>
      </c>
    </row>
    <row r="958" spans="1:9" x14ac:dyDescent="0.25">
      <c r="A958" t="s">
        <v>3223</v>
      </c>
      <c r="B958" s="115" t="s">
        <v>3224</v>
      </c>
      <c r="C958" t="s">
        <v>3225</v>
      </c>
      <c r="D958" s="118"/>
      <c r="E958" s="118"/>
      <c r="F958" s="116" t="s">
        <v>3016</v>
      </c>
      <c r="G958" t="s">
        <v>3017</v>
      </c>
      <c r="H958" s="117" t="s">
        <v>194</v>
      </c>
      <c r="I958" s="117" t="s">
        <v>290</v>
      </c>
    </row>
    <row r="959" spans="1:9" x14ac:dyDescent="0.25">
      <c r="A959" t="s">
        <v>3226</v>
      </c>
      <c r="B959" s="115" t="s">
        <v>280</v>
      </c>
      <c r="C959" t="s">
        <v>3227</v>
      </c>
      <c r="D959" s="118"/>
      <c r="E959" s="118"/>
      <c r="F959" s="116" t="s">
        <v>3228</v>
      </c>
      <c r="G959" t="s">
        <v>3229</v>
      </c>
      <c r="H959" s="117" t="s">
        <v>165</v>
      </c>
      <c r="I959" s="117" t="s">
        <v>166</v>
      </c>
    </row>
    <row r="960" spans="1:9" x14ac:dyDescent="0.25">
      <c r="A960" t="s">
        <v>3230</v>
      </c>
      <c r="B960" s="115" t="s">
        <v>106</v>
      </c>
      <c r="C960" t="s">
        <v>3231</v>
      </c>
      <c r="D960" s="118"/>
      <c r="E960" s="118"/>
      <c r="F960" s="116" t="s">
        <v>3019</v>
      </c>
      <c r="G960" t="s">
        <v>3020</v>
      </c>
      <c r="H960" s="117" t="s">
        <v>165</v>
      </c>
      <c r="I960" s="117" t="s">
        <v>166</v>
      </c>
    </row>
    <row r="961" spans="1:9" x14ac:dyDescent="0.25">
      <c r="A961" t="s">
        <v>3232</v>
      </c>
      <c r="B961" s="115" t="s">
        <v>580</v>
      </c>
      <c r="C961" t="s">
        <v>3233</v>
      </c>
      <c r="D961" s="118"/>
      <c r="E961" s="118"/>
      <c r="F961" s="116" t="s">
        <v>3022</v>
      </c>
      <c r="G961" t="s">
        <v>3023</v>
      </c>
      <c r="H961" s="117" t="s">
        <v>165</v>
      </c>
      <c r="I961" s="117" t="s">
        <v>166</v>
      </c>
    </row>
    <row r="962" spans="1:9" x14ac:dyDescent="0.25">
      <c r="A962" t="s">
        <v>3234</v>
      </c>
      <c r="B962" s="115" t="s">
        <v>127</v>
      </c>
      <c r="C962" t="s">
        <v>3235</v>
      </c>
      <c r="D962" s="118"/>
      <c r="E962" s="118"/>
      <c r="F962" s="116" t="s">
        <v>3025</v>
      </c>
      <c r="G962" t="s">
        <v>3026</v>
      </c>
      <c r="H962" s="117" t="s">
        <v>100</v>
      </c>
      <c r="I962" s="117" t="s">
        <v>250</v>
      </c>
    </row>
    <row r="963" spans="1:9" x14ac:dyDescent="0.25">
      <c r="A963" t="s">
        <v>3236</v>
      </c>
      <c r="B963" s="115" t="s">
        <v>174</v>
      </c>
      <c r="C963" t="s">
        <v>3237</v>
      </c>
      <c r="D963" s="118"/>
      <c r="E963" s="118"/>
      <c r="F963" s="116" t="s">
        <v>3238</v>
      </c>
      <c r="G963" t="s">
        <v>3239</v>
      </c>
      <c r="H963" s="117" t="s">
        <v>165</v>
      </c>
      <c r="I963" s="117" t="s">
        <v>166</v>
      </c>
    </row>
    <row r="964" spans="1:9" x14ac:dyDescent="0.25">
      <c r="A964" t="s">
        <v>3240</v>
      </c>
      <c r="B964" s="115" t="s">
        <v>3241</v>
      </c>
      <c r="C964" t="s">
        <v>3242</v>
      </c>
      <c r="D964" s="118"/>
      <c r="E964" s="118"/>
      <c r="F964" s="116" t="s">
        <v>3028</v>
      </c>
      <c r="G964" t="s">
        <v>3029</v>
      </c>
      <c r="H964" s="117" t="s">
        <v>100</v>
      </c>
      <c r="I964" s="117" t="s">
        <v>181</v>
      </c>
    </row>
    <row r="965" spans="1:9" x14ac:dyDescent="0.25">
      <c r="A965" t="s">
        <v>3243</v>
      </c>
      <c r="B965" s="115" t="s">
        <v>3244</v>
      </c>
      <c r="C965" t="s">
        <v>3245</v>
      </c>
      <c r="D965" s="118"/>
      <c r="E965" s="118"/>
      <c r="F965" s="116" t="s">
        <v>3246</v>
      </c>
      <c r="G965" t="s">
        <v>3032</v>
      </c>
      <c r="H965" s="117" t="s">
        <v>100</v>
      </c>
      <c r="I965" s="117" t="s">
        <v>181</v>
      </c>
    </row>
    <row r="966" spans="1:9" x14ac:dyDescent="0.25">
      <c r="A966" t="s">
        <v>3247</v>
      </c>
      <c r="B966" s="115" t="s">
        <v>3248</v>
      </c>
      <c r="C966" t="s">
        <v>3249</v>
      </c>
      <c r="D966" s="118"/>
      <c r="E966" s="118"/>
      <c r="F966" s="116" t="s">
        <v>3034</v>
      </c>
      <c r="G966" t="s">
        <v>3035</v>
      </c>
      <c r="H966" s="117" t="s">
        <v>100</v>
      </c>
      <c r="I966" s="117" t="s">
        <v>181</v>
      </c>
    </row>
    <row r="967" spans="1:9" x14ac:dyDescent="0.25">
      <c r="A967" t="s">
        <v>3250</v>
      </c>
      <c r="B967" s="115" t="s">
        <v>3251</v>
      </c>
      <c r="C967" t="s">
        <v>3252</v>
      </c>
      <c r="D967" s="118"/>
      <c r="E967" s="118"/>
      <c r="F967" s="116" t="s">
        <v>3253</v>
      </c>
      <c r="G967" t="s">
        <v>3254</v>
      </c>
      <c r="H967" s="117" t="s">
        <v>220</v>
      </c>
      <c r="I967" s="117" t="s">
        <v>367</v>
      </c>
    </row>
    <row r="968" spans="1:9" x14ac:dyDescent="0.25">
      <c r="A968" t="s">
        <v>3255</v>
      </c>
      <c r="B968" s="115" t="s">
        <v>3256</v>
      </c>
      <c r="C968" t="s">
        <v>3257</v>
      </c>
      <c r="D968" s="118"/>
      <c r="E968" s="118"/>
      <c r="F968" s="116" t="s">
        <v>3037</v>
      </c>
      <c r="G968" t="s">
        <v>3038</v>
      </c>
      <c r="H968" s="117" t="s">
        <v>328</v>
      </c>
      <c r="I968" s="117" t="s">
        <v>796</v>
      </c>
    </row>
    <row r="969" spans="1:9" x14ac:dyDescent="0.25">
      <c r="A969" t="s">
        <v>3258</v>
      </c>
      <c r="B969" s="115" t="s">
        <v>3259</v>
      </c>
      <c r="C969" t="s">
        <v>3260</v>
      </c>
      <c r="D969" s="118"/>
      <c r="E969" s="118"/>
      <c r="F969" s="116" t="s">
        <v>3040</v>
      </c>
      <c r="G969" t="s">
        <v>3041</v>
      </c>
      <c r="H969" s="117" t="s">
        <v>100</v>
      </c>
      <c r="I969" s="117" t="s">
        <v>339</v>
      </c>
    </row>
    <row r="970" spans="1:9" x14ac:dyDescent="0.25">
      <c r="A970" t="s">
        <v>3261</v>
      </c>
      <c r="B970" s="115" t="s">
        <v>3262</v>
      </c>
      <c r="C970" t="s">
        <v>3263</v>
      </c>
      <c r="D970" s="118"/>
      <c r="E970" s="118"/>
      <c r="F970" s="116" t="s">
        <v>3045</v>
      </c>
      <c r="G970" t="s">
        <v>3046</v>
      </c>
      <c r="H970" s="117" t="s">
        <v>100</v>
      </c>
      <c r="I970" s="117" t="s">
        <v>339</v>
      </c>
    </row>
    <row r="971" spans="1:9" x14ac:dyDescent="0.25">
      <c r="A971" t="s">
        <v>3264</v>
      </c>
      <c r="B971" s="115" t="s">
        <v>3265</v>
      </c>
      <c r="C971" t="s">
        <v>3266</v>
      </c>
      <c r="D971" s="118"/>
      <c r="E971" s="118"/>
      <c r="F971" s="116" t="s">
        <v>3051</v>
      </c>
      <c r="G971" t="s">
        <v>3052</v>
      </c>
      <c r="H971" s="117" t="s">
        <v>105</v>
      </c>
      <c r="I971" s="117" t="s">
        <v>174</v>
      </c>
    </row>
    <row r="972" spans="1:9" x14ac:dyDescent="0.25">
      <c r="A972" t="s">
        <v>3267</v>
      </c>
      <c r="B972" s="115" t="s">
        <v>3268</v>
      </c>
      <c r="C972" t="s">
        <v>3269</v>
      </c>
      <c r="D972" s="118"/>
      <c r="E972" s="118"/>
      <c r="F972" s="116" t="s">
        <v>3053</v>
      </c>
      <c r="G972" t="s">
        <v>3054</v>
      </c>
      <c r="H972" s="117" t="s">
        <v>105</v>
      </c>
      <c r="I972" s="117" t="s">
        <v>174</v>
      </c>
    </row>
    <row r="973" spans="1:9" x14ac:dyDescent="0.25">
      <c r="A973" t="s">
        <v>3270</v>
      </c>
      <c r="B973" s="115" t="s">
        <v>3271</v>
      </c>
      <c r="C973" t="s">
        <v>3272</v>
      </c>
      <c r="D973" s="118"/>
      <c r="E973" s="118"/>
      <c r="F973" s="116" t="s">
        <v>3059</v>
      </c>
      <c r="G973" t="s">
        <v>3060</v>
      </c>
      <c r="H973" s="117" t="s">
        <v>194</v>
      </c>
      <c r="I973" s="117" t="s">
        <v>290</v>
      </c>
    </row>
    <row r="974" spans="1:9" x14ac:dyDescent="0.25">
      <c r="A974" t="s">
        <v>3273</v>
      </c>
      <c r="B974" s="115" t="s">
        <v>3274</v>
      </c>
      <c r="C974" t="s">
        <v>3275</v>
      </c>
      <c r="D974" s="118"/>
      <c r="E974" s="118"/>
      <c r="F974" s="116" t="s">
        <v>3064</v>
      </c>
      <c r="G974" t="s">
        <v>3065</v>
      </c>
      <c r="H974" s="117" t="s">
        <v>115</v>
      </c>
      <c r="I974" s="117" t="s">
        <v>123</v>
      </c>
    </row>
    <row r="975" spans="1:9" x14ac:dyDescent="0.25">
      <c r="A975" t="s">
        <v>3276</v>
      </c>
      <c r="B975" s="115" t="s">
        <v>3277</v>
      </c>
      <c r="C975" t="s">
        <v>3278</v>
      </c>
      <c r="D975" s="118"/>
      <c r="E975" s="118"/>
      <c r="F975" s="116" t="s">
        <v>3066</v>
      </c>
      <c r="G975" t="s">
        <v>3067</v>
      </c>
      <c r="H975" s="117" t="s">
        <v>115</v>
      </c>
      <c r="I975" s="117" t="s">
        <v>123</v>
      </c>
    </row>
    <row r="976" spans="1:9" x14ac:dyDescent="0.25">
      <c r="A976" t="s">
        <v>3279</v>
      </c>
      <c r="B976" s="115" t="s">
        <v>3280</v>
      </c>
      <c r="C976" t="s">
        <v>3281</v>
      </c>
      <c r="D976" s="118"/>
      <c r="E976" s="118"/>
      <c r="F976" s="116" t="s">
        <v>3071</v>
      </c>
      <c r="G976" t="s">
        <v>3072</v>
      </c>
      <c r="H976" s="117" t="s">
        <v>115</v>
      </c>
      <c r="I976" s="117" t="s">
        <v>276</v>
      </c>
    </row>
    <row r="977" spans="1:9" x14ac:dyDescent="0.25">
      <c r="A977" t="s">
        <v>3282</v>
      </c>
      <c r="B977" s="115" t="s">
        <v>3283</v>
      </c>
      <c r="C977" t="s">
        <v>3284</v>
      </c>
      <c r="D977" s="118"/>
      <c r="E977" s="118"/>
      <c r="F977" s="116" t="s">
        <v>3074</v>
      </c>
      <c r="G977" t="s">
        <v>3075</v>
      </c>
      <c r="H977" s="117" t="s">
        <v>170</v>
      </c>
      <c r="I977" s="117" t="s">
        <v>202</v>
      </c>
    </row>
    <row r="978" spans="1:9" x14ac:dyDescent="0.25">
      <c r="A978" t="s">
        <v>3285</v>
      </c>
      <c r="B978" s="115" t="s">
        <v>3286</v>
      </c>
      <c r="C978" t="s">
        <v>3287</v>
      </c>
      <c r="D978" s="118"/>
      <c r="E978" s="118"/>
      <c r="F978" s="116" t="s">
        <v>3077</v>
      </c>
      <c r="G978" t="s">
        <v>3078</v>
      </c>
      <c r="H978" s="117" t="s">
        <v>220</v>
      </c>
      <c r="I978" s="117" t="s">
        <v>339</v>
      </c>
    </row>
    <row r="979" spans="1:9" x14ac:dyDescent="0.25">
      <c r="A979" t="s">
        <v>3288</v>
      </c>
      <c r="B979" s="115" t="s">
        <v>3289</v>
      </c>
      <c r="C979" t="s">
        <v>3290</v>
      </c>
      <c r="D979" s="118"/>
      <c r="E979" s="118"/>
      <c r="F979" s="116" t="s">
        <v>3080</v>
      </c>
      <c r="G979" t="s">
        <v>3081</v>
      </c>
      <c r="H979" s="117" t="s">
        <v>100</v>
      </c>
      <c r="I979" s="117" t="s">
        <v>187</v>
      </c>
    </row>
    <row r="980" spans="1:9" x14ac:dyDescent="0.25">
      <c r="A980" t="s">
        <v>3291</v>
      </c>
      <c r="B980" s="115" t="s">
        <v>3292</v>
      </c>
      <c r="C980" t="s">
        <v>3293</v>
      </c>
      <c r="D980" s="118"/>
      <c r="E980" s="118"/>
      <c r="F980" s="116" t="s">
        <v>3083</v>
      </c>
      <c r="G980" t="s">
        <v>3084</v>
      </c>
      <c r="H980" s="117" t="s">
        <v>194</v>
      </c>
      <c r="I980" s="117" t="s">
        <v>195</v>
      </c>
    </row>
    <row r="981" spans="1:9" x14ac:dyDescent="0.25">
      <c r="A981" t="s">
        <v>3294</v>
      </c>
      <c r="B981" s="115" t="s">
        <v>3295</v>
      </c>
      <c r="C981" t="s">
        <v>3296</v>
      </c>
      <c r="D981" s="118"/>
      <c r="E981" s="118"/>
      <c r="F981" s="116" t="s">
        <v>3091</v>
      </c>
      <c r="G981" t="s">
        <v>3092</v>
      </c>
      <c r="H981" s="117" t="s">
        <v>165</v>
      </c>
      <c r="I981" s="117" t="s">
        <v>166</v>
      </c>
    </row>
    <row r="982" spans="1:9" x14ac:dyDescent="0.25">
      <c r="A982" t="s">
        <v>3297</v>
      </c>
      <c r="B982" s="115" t="s">
        <v>3298</v>
      </c>
      <c r="C982" t="s">
        <v>3299</v>
      </c>
      <c r="D982" s="118"/>
      <c r="E982" s="118"/>
      <c r="F982" s="116" t="s">
        <v>3094</v>
      </c>
      <c r="G982" t="s">
        <v>3095</v>
      </c>
      <c r="H982" s="117" t="s">
        <v>260</v>
      </c>
      <c r="I982" s="117" t="s">
        <v>367</v>
      </c>
    </row>
    <row r="983" spans="1:9" x14ac:dyDescent="0.25">
      <c r="A983" t="s">
        <v>3300</v>
      </c>
      <c r="B983" s="115" t="s">
        <v>3301</v>
      </c>
      <c r="C983" t="s">
        <v>3302</v>
      </c>
      <c r="D983" s="118"/>
      <c r="E983" s="118"/>
      <c r="F983" s="116" t="s">
        <v>3097</v>
      </c>
      <c r="G983" t="s">
        <v>3098</v>
      </c>
      <c r="H983" s="117" t="s">
        <v>165</v>
      </c>
      <c r="I983" s="117" t="s">
        <v>166</v>
      </c>
    </row>
    <row r="984" spans="1:9" x14ac:dyDescent="0.25">
      <c r="A984" t="s">
        <v>3303</v>
      </c>
      <c r="B984" s="115" t="s">
        <v>3304</v>
      </c>
      <c r="C984" t="s">
        <v>3305</v>
      </c>
      <c r="D984" s="118"/>
      <c r="E984" s="118"/>
      <c r="F984" s="116" t="s">
        <v>3100</v>
      </c>
      <c r="G984" t="s">
        <v>3101</v>
      </c>
      <c r="H984" s="117" t="s">
        <v>220</v>
      </c>
      <c r="I984" s="117" t="s">
        <v>367</v>
      </c>
    </row>
    <row r="985" spans="1:9" x14ac:dyDescent="0.25">
      <c r="A985" t="s">
        <v>3306</v>
      </c>
      <c r="B985" s="115" t="s">
        <v>3307</v>
      </c>
      <c r="C985" t="s">
        <v>3308</v>
      </c>
      <c r="D985" s="118"/>
      <c r="E985" s="118"/>
      <c r="F985" s="116" t="s">
        <v>3103</v>
      </c>
      <c r="G985" t="s">
        <v>3104</v>
      </c>
      <c r="H985" s="117" t="s">
        <v>165</v>
      </c>
      <c r="I985" s="117" t="s">
        <v>206</v>
      </c>
    </row>
    <row r="986" spans="1:9" x14ac:dyDescent="0.25">
      <c r="A986" t="s">
        <v>3309</v>
      </c>
      <c r="B986" s="115" t="s">
        <v>3310</v>
      </c>
      <c r="C986" t="s">
        <v>3311</v>
      </c>
      <c r="D986" s="118"/>
      <c r="E986" s="118"/>
      <c r="F986" s="116" t="s">
        <v>3106</v>
      </c>
      <c r="G986" t="s">
        <v>3107</v>
      </c>
      <c r="H986" s="117" t="s">
        <v>100</v>
      </c>
      <c r="I986" s="117" t="s">
        <v>187</v>
      </c>
    </row>
    <row r="987" spans="1:9" x14ac:dyDescent="0.25">
      <c r="A987" t="s">
        <v>3312</v>
      </c>
      <c r="B987" s="115" t="s">
        <v>3313</v>
      </c>
      <c r="C987" t="s">
        <v>3314</v>
      </c>
      <c r="D987" s="118"/>
      <c r="E987" s="118"/>
      <c r="F987" s="116" t="s">
        <v>3315</v>
      </c>
      <c r="G987" t="s">
        <v>3316</v>
      </c>
      <c r="H987" s="117" t="s">
        <v>170</v>
      </c>
      <c r="I987" s="117" t="s">
        <v>171</v>
      </c>
    </row>
    <row r="988" spans="1:9" x14ac:dyDescent="0.25">
      <c r="A988" t="s">
        <v>3317</v>
      </c>
      <c r="B988" s="115" t="s">
        <v>3318</v>
      </c>
      <c r="C988" t="s">
        <v>3319</v>
      </c>
      <c r="D988" s="118"/>
      <c r="E988" s="118"/>
      <c r="F988" s="116" t="s">
        <v>3109</v>
      </c>
      <c r="G988" t="s">
        <v>3110</v>
      </c>
      <c r="H988" s="117" t="s">
        <v>170</v>
      </c>
      <c r="I988" s="117" t="s">
        <v>171</v>
      </c>
    </row>
    <row r="989" spans="1:9" x14ac:dyDescent="0.25">
      <c r="A989" t="s">
        <v>3320</v>
      </c>
      <c r="B989" s="115" t="s">
        <v>3321</v>
      </c>
      <c r="C989" t="s">
        <v>3322</v>
      </c>
      <c r="D989" s="118"/>
      <c r="E989" s="118"/>
      <c r="F989" s="116" t="s">
        <v>3115</v>
      </c>
      <c r="G989" t="s">
        <v>3116</v>
      </c>
      <c r="H989" s="117" t="s">
        <v>194</v>
      </c>
      <c r="I989" s="117" t="s">
        <v>1264</v>
      </c>
    </row>
    <row r="990" spans="1:9" x14ac:dyDescent="0.25">
      <c r="A990" t="s">
        <v>3323</v>
      </c>
      <c r="B990" s="115" t="s">
        <v>1616</v>
      </c>
      <c r="C990" t="s">
        <v>3324</v>
      </c>
      <c r="D990" s="118"/>
      <c r="E990" s="118"/>
      <c r="F990" s="116" t="s">
        <v>3118</v>
      </c>
      <c r="G990" t="s">
        <v>3119</v>
      </c>
      <c r="H990" s="117" t="s">
        <v>194</v>
      </c>
      <c r="I990" s="117" t="s">
        <v>666</v>
      </c>
    </row>
    <row r="991" spans="1:9" x14ac:dyDescent="0.25">
      <c r="A991" t="s">
        <v>3325</v>
      </c>
      <c r="B991" s="115" t="s">
        <v>3326</v>
      </c>
      <c r="C991" t="s">
        <v>3327</v>
      </c>
      <c r="D991" s="118"/>
      <c r="E991" s="118"/>
      <c r="F991" s="116" t="s">
        <v>3121</v>
      </c>
      <c r="G991" t="s">
        <v>3122</v>
      </c>
      <c r="H991" s="117" t="s">
        <v>100</v>
      </c>
      <c r="I991" s="117" t="s">
        <v>187</v>
      </c>
    </row>
    <row r="992" spans="1:9" x14ac:dyDescent="0.25">
      <c r="A992" t="s">
        <v>3328</v>
      </c>
      <c r="B992" s="115" t="s">
        <v>3329</v>
      </c>
      <c r="C992" t="s">
        <v>3330</v>
      </c>
      <c r="D992" s="118"/>
      <c r="E992" s="118"/>
      <c r="F992" s="116" t="s">
        <v>3124</v>
      </c>
      <c r="G992" t="s">
        <v>3125</v>
      </c>
      <c r="H992" s="117" t="s">
        <v>100</v>
      </c>
      <c r="I992" s="117" t="s">
        <v>250</v>
      </c>
    </row>
    <row r="993" spans="1:9" x14ac:dyDescent="0.25">
      <c r="A993" t="s">
        <v>3331</v>
      </c>
      <c r="B993" s="115" t="s">
        <v>3332</v>
      </c>
      <c r="C993" t="s">
        <v>3333</v>
      </c>
      <c r="D993" s="118"/>
      <c r="E993" s="118"/>
      <c r="F993" s="116" t="s">
        <v>3129</v>
      </c>
      <c r="G993" t="s">
        <v>3130</v>
      </c>
      <c r="H993" s="117" t="s">
        <v>100</v>
      </c>
      <c r="I993" s="117" t="s">
        <v>250</v>
      </c>
    </row>
    <row r="994" spans="1:9" x14ac:dyDescent="0.25">
      <c r="A994" t="s">
        <v>3334</v>
      </c>
      <c r="B994" s="115" t="s">
        <v>3335</v>
      </c>
      <c r="C994" t="s">
        <v>3336</v>
      </c>
      <c r="D994" s="118"/>
      <c r="E994" s="118"/>
      <c r="F994" s="116" t="s">
        <v>3134</v>
      </c>
      <c r="G994" t="s">
        <v>3135</v>
      </c>
      <c r="H994" s="117" t="s">
        <v>160</v>
      </c>
      <c r="I994" s="117" t="s">
        <v>704</v>
      </c>
    </row>
    <row r="995" spans="1:9" x14ac:dyDescent="0.25">
      <c r="A995" t="s">
        <v>3337</v>
      </c>
      <c r="B995" s="115" t="s">
        <v>3338</v>
      </c>
      <c r="C995" t="s">
        <v>3339</v>
      </c>
      <c r="D995" s="118"/>
      <c r="E995" s="118"/>
      <c r="F995" s="116" t="s">
        <v>3137</v>
      </c>
      <c r="G995" t="s">
        <v>3138</v>
      </c>
      <c r="H995" s="117" t="s">
        <v>260</v>
      </c>
      <c r="I995" s="117" t="s">
        <v>261</v>
      </c>
    </row>
    <row r="996" spans="1:9" x14ac:dyDescent="0.25">
      <c r="A996" t="s">
        <v>3340</v>
      </c>
      <c r="B996" s="115" t="s">
        <v>3341</v>
      </c>
      <c r="C996" t="s">
        <v>3342</v>
      </c>
      <c r="D996" s="118"/>
      <c r="E996" s="118"/>
      <c r="F996" s="116" t="s">
        <v>3140</v>
      </c>
      <c r="G996" t="s">
        <v>3141</v>
      </c>
      <c r="H996" s="117" t="s">
        <v>328</v>
      </c>
      <c r="I996" s="117" t="s">
        <v>295</v>
      </c>
    </row>
    <row r="997" spans="1:9" x14ac:dyDescent="0.25">
      <c r="A997" t="s">
        <v>3343</v>
      </c>
      <c r="B997" s="115" t="s">
        <v>3344</v>
      </c>
      <c r="C997" t="s">
        <v>3345</v>
      </c>
      <c r="D997" s="118"/>
      <c r="E997" s="118"/>
      <c r="F997" s="116" t="s">
        <v>3346</v>
      </c>
      <c r="G997" t="s">
        <v>3144</v>
      </c>
      <c r="H997" s="117" t="s">
        <v>220</v>
      </c>
      <c r="I997" s="117" t="s">
        <v>221</v>
      </c>
    </row>
    <row r="998" spans="1:9" x14ac:dyDescent="0.25">
      <c r="A998" t="s">
        <v>3347</v>
      </c>
      <c r="B998" s="115" t="s">
        <v>3348</v>
      </c>
      <c r="C998" t="s">
        <v>3349</v>
      </c>
      <c r="D998" s="118"/>
      <c r="E998" s="118"/>
      <c r="F998" s="116" t="s">
        <v>3146</v>
      </c>
      <c r="G998" t="s">
        <v>3147</v>
      </c>
      <c r="H998" s="117" t="s">
        <v>165</v>
      </c>
      <c r="I998" s="117" t="s">
        <v>206</v>
      </c>
    </row>
    <row r="999" spans="1:9" x14ac:dyDescent="0.25">
      <c r="A999" t="s">
        <v>3350</v>
      </c>
      <c r="B999" s="115" t="s">
        <v>3351</v>
      </c>
      <c r="C999" t="s">
        <v>3352</v>
      </c>
      <c r="D999" s="118"/>
      <c r="E999" s="118"/>
      <c r="F999" s="116" t="s">
        <v>3149</v>
      </c>
      <c r="G999" t="s">
        <v>3150</v>
      </c>
      <c r="H999" s="117" t="s">
        <v>260</v>
      </c>
      <c r="I999" s="117" t="s">
        <v>367</v>
      </c>
    </row>
    <row r="1000" spans="1:9" x14ac:dyDescent="0.25">
      <c r="A1000" t="s">
        <v>3353</v>
      </c>
      <c r="B1000" s="115" t="s">
        <v>161</v>
      </c>
      <c r="C1000" t="s">
        <v>3354</v>
      </c>
      <c r="D1000" s="118"/>
      <c r="E1000" s="118"/>
      <c r="F1000" s="116" t="s">
        <v>3152</v>
      </c>
      <c r="G1000" t="s">
        <v>3153</v>
      </c>
      <c r="H1000" s="117" t="s">
        <v>194</v>
      </c>
      <c r="I1000" s="117" t="s">
        <v>290</v>
      </c>
    </row>
    <row r="1001" spans="1:9" x14ac:dyDescent="0.25">
      <c r="A1001" t="s">
        <v>3355</v>
      </c>
      <c r="B1001" s="115" t="s">
        <v>3356</v>
      </c>
      <c r="C1001" t="s">
        <v>3357</v>
      </c>
      <c r="D1001" s="118"/>
      <c r="E1001" s="118"/>
      <c r="F1001" s="116" t="s">
        <v>3155</v>
      </c>
      <c r="G1001" t="s">
        <v>3156</v>
      </c>
      <c r="H1001" s="117" t="s">
        <v>194</v>
      </c>
      <c r="I1001" s="117" t="s">
        <v>1264</v>
      </c>
    </row>
    <row r="1002" spans="1:9" x14ac:dyDescent="0.25">
      <c r="A1002" t="s">
        <v>3358</v>
      </c>
      <c r="B1002" s="115" t="s">
        <v>3359</v>
      </c>
      <c r="C1002" t="s">
        <v>3360</v>
      </c>
      <c r="D1002" s="118"/>
      <c r="E1002" s="118"/>
      <c r="F1002" s="116" t="s">
        <v>3161</v>
      </c>
      <c r="G1002" t="s">
        <v>3162</v>
      </c>
      <c r="H1002" s="117" t="s">
        <v>100</v>
      </c>
      <c r="I1002" s="117" t="s">
        <v>187</v>
      </c>
    </row>
    <row r="1003" spans="1:9" x14ac:dyDescent="0.25">
      <c r="A1003" t="s">
        <v>3361</v>
      </c>
      <c r="B1003" s="115" t="s">
        <v>3362</v>
      </c>
      <c r="C1003" t="s">
        <v>3363</v>
      </c>
      <c r="D1003" s="118"/>
      <c r="E1003" s="118"/>
      <c r="F1003" s="116" t="s">
        <v>3364</v>
      </c>
      <c r="G1003" t="s">
        <v>3159</v>
      </c>
      <c r="H1003" s="117" t="s">
        <v>100</v>
      </c>
      <c r="I1003" s="117" t="s">
        <v>187</v>
      </c>
    </row>
    <row r="1004" spans="1:9" x14ac:dyDescent="0.25">
      <c r="A1004" t="s">
        <v>3365</v>
      </c>
      <c r="B1004" s="115" t="s">
        <v>3366</v>
      </c>
      <c r="C1004" t="s">
        <v>3367</v>
      </c>
      <c r="D1004" s="118"/>
      <c r="E1004" s="118"/>
      <c r="F1004" s="116" t="s">
        <v>3164</v>
      </c>
      <c r="G1004" t="s">
        <v>3165</v>
      </c>
      <c r="H1004" s="117" t="s">
        <v>105</v>
      </c>
      <c r="I1004" s="117" t="s">
        <v>174</v>
      </c>
    </row>
    <row r="1005" spans="1:9" x14ac:dyDescent="0.25">
      <c r="A1005" t="s">
        <v>3368</v>
      </c>
      <c r="B1005" s="115" t="s">
        <v>3369</v>
      </c>
      <c r="C1005" t="s">
        <v>3370</v>
      </c>
      <c r="D1005" s="118"/>
      <c r="E1005" s="118"/>
      <c r="F1005" s="116" t="s">
        <v>3167</v>
      </c>
      <c r="G1005" t="s">
        <v>3168</v>
      </c>
      <c r="H1005" s="117" t="s">
        <v>115</v>
      </c>
      <c r="I1005" s="117" t="s">
        <v>276</v>
      </c>
    </row>
    <row r="1006" spans="1:9" x14ac:dyDescent="0.25">
      <c r="A1006" t="s">
        <v>3371</v>
      </c>
      <c r="B1006" s="115" t="s">
        <v>3372</v>
      </c>
      <c r="C1006" t="s">
        <v>3373</v>
      </c>
      <c r="D1006" s="118"/>
      <c r="E1006" s="118"/>
      <c r="F1006" s="116" t="s">
        <v>3169</v>
      </c>
      <c r="G1006" t="s">
        <v>3170</v>
      </c>
      <c r="H1006" s="117" t="s">
        <v>100</v>
      </c>
      <c r="I1006" s="117" t="s">
        <v>187</v>
      </c>
    </row>
    <row r="1007" spans="1:9" x14ac:dyDescent="0.25">
      <c r="A1007" t="s">
        <v>3374</v>
      </c>
      <c r="B1007" s="115" t="s">
        <v>3375</v>
      </c>
      <c r="C1007" t="s">
        <v>3376</v>
      </c>
      <c r="D1007" s="118"/>
      <c r="E1007" s="118"/>
      <c r="F1007" s="116" t="s">
        <v>3172</v>
      </c>
      <c r="G1007" t="s">
        <v>3173</v>
      </c>
      <c r="H1007" s="117" t="s">
        <v>170</v>
      </c>
      <c r="I1007" s="117" t="s">
        <v>171</v>
      </c>
    </row>
    <row r="1008" spans="1:9" x14ac:dyDescent="0.25">
      <c r="A1008" t="s">
        <v>3377</v>
      </c>
      <c r="B1008" s="115" t="s">
        <v>3378</v>
      </c>
      <c r="C1008" t="s">
        <v>3379</v>
      </c>
      <c r="D1008" s="118"/>
      <c r="E1008" s="118"/>
      <c r="F1008" s="116" t="s">
        <v>3176</v>
      </c>
      <c r="G1008" t="s">
        <v>3177</v>
      </c>
      <c r="H1008" s="117" t="s">
        <v>194</v>
      </c>
      <c r="I1008" s="117" t="s">
        <v>195</v>
      </c>
    </row>
    <row r="1009" spans="1:9" x14ac:dyDescent="0.25">
      <c r="A1009" t="s">
        <v>3380</v>
      </c>
      <c r="B1009" s="115" t="s">
        <v>3381</v>
      </c>
      <c r="C1009" t="s">
        <v>3382</v>
      </c>
      <c r="D1009" s="118"/>
      <c r="E1009" s="118"/>
      <c r="F1009" s="116" t="s">
        <v>3179</v>
      </c>
      <c r="G1009" t="s">
        <v>3180</v>
      </c>
      <c r="H1009" s="117" t="s">
        <v>165</v>
      </c>
      <c r="I1009" s="117" t="s">
        <v>166</v>
      </c>
    </row>
    <row r="1010" spans="1:9" x14ac:dyDescent="0.25">
      <c r="A1010" t="s">
        <v>3383</v>
      </c>
      <c r="B1010" s="115" t="s">
        <v>123</v>
      </c>
      <c r="C1010" t="s">
        <v>3384</v>
      </c>
      <c r="D1010" s="118"/>
      <c r="E1010" s="118"/>
      <c r="F1010" s="116" t="s">
        <v>3182</v>
      </c>
      <c r="G1010" t="s">
        <v>3183</v>
      </c>
      <c r="H1010" s="117" t="s">
        <v>260</v>
      </c>
      <c r="I1010" s="117" t="s">
        <v>367</v>
      </c>
    </row>
    <row r="1011" spans="1:9" x14ac:dyDescent="0.25">
      <c r="A1011" t="s">
        <v>3385</v>
      </c>
      <c r="B1011" s="115" t="s">
        <v>3386</v>
      </c>
      <c r="C1011" t="s">
        <v>3387</v>
      </c>
      <c r="D1011" s="118"/>
      <c r="E1011" s="118"/>
      <c r="F1011" s="116" t="s">
        <v>3185</v>
      </c>
      <c r="G1011" t="s">
        <v>3186</v>
      </c>
      <c r="H1011" s="117" t="s">
        <v>165</v>
      </c>
      <c r="I1011" s="117" t="s">
        <v>166</v>
      </c>
    </row>
    <row r="1012" spans="1:9" x14ac:dyDescent="0.25">
      <c r="A1012" t="s">
        <v>3388</v>
      </c>
      <c r="B1012" s="115" t="s">
        <v>3389</v>
      </c>
      <c r="C1012" t="s">
        <v>3390</v>
      </c>
      <c r="D1012" s="118"/>
      <c r="E1012" s="118"/>
      <c r="F1012" s="116" t="s">
        <v>3391</v>
      </c>
      <c r="G1012" t="s">
        <v>3191</v>
      </c>
      <c r="H1012" s="117" t="s">
        <v>160</v>
      </c>
      <c r="I1012" s="117" t="s">
        <v>704</v>
      </c>
    </row>
    <row r="1013" spans="1:9" x14ac:dyDescent="0.25">
      <c r="A1013" t="s">
        <v>3392</v>
      </c>
      <c r="B1013" s="115" t="s">
        <v>3393</v>
      </c>
      <c r="C1013" t="s">
        <v>3394</v>
      </c>
      <c r="D1013" s="118"/>
      <c r="E1013" s="118"/>
      <c r="F1013" s="116" t="s">
        <v>3193</v>
      </c>
      <c r="G1013" t="s">
        <v>3194</v>
      </c>
      <c r="H1013" s="117" t="s">
        <v>170</v>
      </c>
      <c r="I1013" s="117" t="s">
        <v>202</v>
      </c>
    </row>
    <row r="1014" spans="1:9" x14ac:dyDescent="0.25">
      <c r="A1014" t="s">
        <v>3395</v>
      </c>
      <c r="B1014" s="115" t="s">
        <v>3396</v>
      </c>
      <c r="C1014" t="s">
        <v>3397</v>
      </c>
      <c r="D1014" s="118"/>
      <c r="E1014" s="118"/>
      <c r="F1014" s="116" t="s">
        <v>3197</v>
      </c>
      <c r="G1014" t="s">
        <v>3198</v>
      </c>
      <c r="H1014" s="117" t="s">
        <v>165</v>
      </c>
      <c r="I1014" s="117" t="s">
        <v>206</v>
      </c>
    </row>
    <row r="1015" spans="1:9" x14ac:dyDescent="0.25">
      <c r="A1015" t="s">
        <v>3398</v>
      </c>
      <c r="B1015" s="115" t="s">
        <v>3399</v>
      </c>
      <c r="C1015" t="s">
        <v>3400</v>
      </c>
      <c r="D1015" s="118"/>
      <c r="E1015" s="118"/>
      <c r="F1015" s="116" t="s">
        <v>3401</v>
      </c>
      <c r="G1015" t="s">
        <v>3402</v>
      </c>
      <c r="H1015" s="117" t="s">
        <v>100</v>
      </c>
      <c r="I1015" s="117" t="s">
        <v>187</v>
      </c>
    </row>
    <row r="1016" spans="1:9" x14ac:dyDescent="0.25">
      <c r="A1016" t="s">
        <v>3403</v>
      </c>
      <c r="B1016" s="115" t="s">
        <v>3404</v>
      </c>
      <c r="C1016" t="s">
        <v>3405</v>
      </c>
      <c r="D1016" s="118"/>
      <c r="E1016" s="118"/>
      <c r="F1016" s="116" t="s">
        <v>3406</v>
      </c>
      <c r="G1016" t="s">
        <v>3209</v>
      </c>
      <c r="H1016" s="117" t="s">
        <v>165</v>
      </c>
      <c r="I1016" s="117" t="s">
        <v>206</v>
      </c>
    </row>
    <row r="1017" spans="1:9" x14ac:dyDescent="0.25">
      <c r="A1017" t="s">
        <v>3407</v>
      </c>
      <c r="B1017" s="115" t="s">
        <v>3408</v>
      </c>
      <c r="C1017" t="s">
        <v>3409</v>
      </c>
      <c r="D1017" s="118"/>
      <c r="E1017" s="118"/>
      <c r="F1017" s="116" t="s">
        <v>3212</v>
      </c>
      <c r="G1017" t="s">
        <v>3213</v>
      </c>
      <c r="H1017" s="117" t="s">
        <v>220</v>
      </c>
      <c r="I1017" s="117" t="s">
        <v>250</v>
      </c>
    </row>
    <row r="1018" spans="1:9" x14ac:dyDescent="0.25">
      <c r="A1018" t="s">
        <v>3410</v>
      </c>
      <c r="B1018" s="115" t="s">
        <v>3411</v>
      </c>
      <c r="C1018" t="s">
        <v>3412</v>
      </c>
      <c r="D1018" s="118"/>
      <c r="E1018" s="118"/>
      <c r="F1018" s="116" t="s">
        <v>3217</v>
      </c>
      <c r="G1018" t="s">
        <v>3218</v>
      </c>
      <c r="H1018" s="117" t="s">
        <v>170</v>
      </c>
      <c r="I1018" s="117" t="s">
        <v>171</v>
      </c>
    </row>
    <row r="1019" spans="1:9" x14ac:dyDescent="0.25">
      <c r="A1019" t="s">
        <v>3413</v>
      </c>
      <c r="B1019" s="115" t="s">
        <v>3414</v>
      </c>
      <c r="C1019" t="s">
        <v>3415</v>
      </c>
      <c r="D1019" s="118"/>
      <c r="E1019" s="118"/>
      <c r="F1019" s="116" t="s">
        <v>3220</v>
      </c>
      <c r="G1019" t="s">
        <v>3221</v>
      </c>
      <c r="H1019" s="117" t="s">
        <v>105</v>
      </c>
      <c r="I1019" s="117" t="s">
        <v>106</v>
      </c>
    </row>
    <row r="1020" spans="1:9" x14ac:dyDescent="0.25">
      <c r="A1020" t="s">
        <v>3416</v>
      </c>
      <c r="B1020" s="115" t="s">
        <v>116</v>
      </c>
      <c r="C1020" t="s">
        <v>3417</v>
      </c>
      <c r="D1020" s="118"/>
      <c r="E1020" s="118"/>
      <c r="F1020" s="116" t="s">
        <v>3223</v>
      </c>
      <c r="G1020" t="s">
        <v>3224</v>
      </c>
      <c r="H1020" s="117" t="s">
        <v>105</v>
      </c>
      <c r="I1020" s="117" t="s">
        <v>174</v>
      </c>
    </row>
    <row r="1021" spans="1:9" x14ac:dyDescent="0.25">
      <c r="A1021" t="s">
        <v>3418</v>
      </c>
      <c r="B1021" s="115" t="s">
        <v>3419</v>
      </c>
      <c r="C1021" t="s">
        <v>3420</v>
      </c>
      <c r="D1021" s="118"/>
      <c r="E1021" s="118"/>
      <c r="F1021" s="116" t="s">
        <v>3226</v>
      </c>
      <c r="G1021" t="s">
        <v>280</v>
      </c>
      <c r="H1021" s="117" t="s">
        <v>105</v>
      </c>
      <c r="I1021" s="117" t="s">
        <v>3421</v>
      </c>
    </row>
    <row r="1022" spans="1:9" x14ac:dyDescent="0.25">
      <c r="A1022" t="s">
        <v>3422</v>
      </c>
      <c r="B1022" s="115" t="s">
        <v>3423</v>
      </c>
      <c r="C1022" t="s">
        <v>3424</v>
      </c>
      <c r="D1022" s="118"/>
      <c r="E1022" s="118"/>
      <c r="F1022" s="116" t="s">
        <v>3230</v>
      </c>
      <c r="G1022" t="s">
        <v>106</v>
      </c>
      <c r="H1022" s="117" t="s">
        <v>105</v>
      </c>
      <c r="I1022" s="117" t="s">
        <v>3421</v>
      </c>
    </row>
    <row r="1023" spans="1:9" x14ac:dyDescent="0.25">
      <c r="A1023" t="s">
        <v>3425</v>
      </c>
      <c r="B1023" s="115" t="s">
        <v>3426</v>
      </c>
      <c r="C1023" t="s">
        <v>3427</v>
      </c>
      <c r="D1023" s="118"/>
      <c r="E1023" s="118"/>
      <c r="F1023" s="116" t="s">
        <v>3232</v>
      </c>
      <c r="G1023" t="s">
        <v>580</v>
      </c>
      <c r="H1023" s="117" t="s">
        <v>105</v>
      </c>
      <c r="I1023" s="117" t="s">
        <v>3421</v>
      </c>
    </row>
    <row r="1024" spans="1:9" x14ac:dyDescent="0.25">
      <c r="A1024" t="s">
        <v>3428</v>
      </c>
      <c r="B1024" s="115" t="s">
        <v>3429</v>
      </c>
      <c r="C1024" t="s">
        <v>3430</v>
      </c>
      <c r="D1024" s="118"/>
      <c r="E1024" s="118"/>
      <c r="F1024" s="116" t="s">
        <v>3234</v>
      </c>
      <c r="G1024" t="s">
        <v>127</v>
      </c>
      <c r="H1024" s="117" t="s">
        <v>105</v>
      </c>
      <c r="I1024" s="117" t="s">
        <v>3421</v>
      </c>
    </row>
    <row r="1025" spans="1:9" x14ac:dyDescent="0.25">
      <c r="A1025" t="s">
        <v>3431</v>
      </c>
      <c r="B1025" s="115" t="s">
        <v>3432</v>
      </c>
      <c r="C1025" t="s">
        <v>3433</v>
      </c>
      <c r="D1025" s="118"/>
      <c r="E1025" s="118"/>
      <c r="F1025" s="116" t="s">
        <v>3236</v>
      </c>
      <c r="G1025" t="s">
        <v>174</v>
      </c>
      <c r="H1025" s="117" t="s">
        <v>105</v>
      </c>
      <c r="I1025" s="117" t="s">
        <v>3421</v>
      </c>
    </row>
    <row r="1026" spans="1:9" x14ac:dyDescent="0.25">
      <c r="A1026" t="s">
        <v>3434</v>
      </c>
      <c r="B1026" s="115" t="s">
        <v>3435</v>
      </c>
      <c r="C1026" t="s">
        <v>3436</v>
      </c>
      <c r="D1026" s="118"/>
      <c r="E1026" s="118"/>
      <c r="F1026" s="116" t="s">
        <v>3240</v>
      </c>
      <c r="G1026" t="s">
        <v>3241</v>
      </c>
      <c r="H1026" s="117" t="s">
        <v>105</v>
      </c>
      <c r="I1026" s="117" t="s">
        <v>3421</v>
      </c>
    </row>
    <row r="1027" spans="1:9" x14ac:dyDescent="0.25">
      <c r="A1027" t="s">
        <v>3437</v>
      </c>
      <c r="B1027" s="115" t="s">
        <v>3438</v>
      </c>
      <c r="C1027" t="s">
        <v>3439</v>
      </c>
      <c r="D1027" s="118"/>
      <c r="E1027" s="118"/>
      <c r="F1027" s="116" t="s">
        <v>3243</v>
      </c>
      <c r="G1027" t="s">
        <v>3244</v>
      </c>
      <c r="H1027" s="117" t="s">
        <v>105</v>
      </c>
      <c r="I1027" s="117" t="s">
        <v>3421</v>
      </c>
    </row>
    <row r="1028" spans="1:9" x14ac:dyDescent="0.25">
      <c r="A1028" t="s">
        <v>3440</v>
      </c>
      <c r="B1028" s="115" t="s">
        <v>3441</v>
      </c>
      <c r="C1028" t="s">
        <v>3442</v>
      </c>
      <c r="D1028" s="118"/>
      <c r="E1028" s="118"/>
      <c r="F1028" s="116" t="s">
        <v>3247</v>
      </c>
      <c r="G1028" t="s">
        <v>3248</v>
      </c>
      <c r="H1028" s="117" t="s">
        <v>105</v>
      </c>
      <c r="I1028" s="117" t="s">
        <v>280</v>
      </c>
    </row>
    <row r="1029" spans="1:9" x14ac:dyDescent="0.25">
      <c r="A1029" t="s">
        <v>3443</v>
      </c>
      <c r="B1029" s="115" t="s">
        <v>3444</v>
      </c>
      <c r="C1029" t="s">
        <v>3445</v>
      </c>
      <c r="D1029" s="118"/>
      <c r="E1029" s="118"/>
      <c r="F1029" s="116" t="s">
        <v>3250</v>
      </c>
      <c r="G1029" t="s">
        <v>3251</v>
      </c>
      <c r="H1029" s="117" t="s">
        <v>105</v>
      </c>
      <c r="I1029" s="117" t="s">
        <v>280</v>
      </c>
    </row>
    <row r="1030" spans="1:9" x14ac:dyDescent="0.25">
      <c r="A1030" t="s">
        <v>3446</v>
      </c>
      <c r="B1030" s="115" t="s">
        <v>3447</v>
      </c>
      <c r="C1030" t="s">
        <v>3448</v>
      </c>
      <c r="D1030" s="118"/>
      <c r="E1030" s="118"/>
      <c r="F1030" s="116" t="s">
        <v>3255</v>
      </c>
      <c r="G1030" t="s">
        <v>3256</v>
      </c>
      <c r="H1030" s="117" t="s">
        <v>170</v>
      </c>
      <c r="I1030" s="117" t="s">
        <v>171</v>
      </c>
    </row>
    <row r="1031" spans="1:9" x14ac:dyDescent="0.25">
      <c r="A1031" t="s">
        <v>3449</v>
      </c>
      <c r="B1031" s="115" t="s">
        <v>3450</v>
      </c>
      <c r="C1031" t="s">
        <v>3451</v>
      </c>
      <c r="D1031" s="118"/>
      <c r="E1031" s="118"/>
      <c r="F1031" s="116" t="s">
        <v>3452</v>
      </c>
      <c r="G1031" t="s">
        <v>3453</v>
      </c>
      <c r="H1031" s="117" t="s">
        <v>220</v>
      </c>
      <c r="I1031" s="117" t="s">
        <v>221</v>
      </c>
    </row>
    <row r="1032" spans="1:9" x14ac:dyDescent="0.25">
      <c r="A1032" t="s">
        <v>3454</v>
      </c>
      <c r="B1032" s="115" t="s">
        <v>3455</v>
      </c>
      <c r="C1032" t="s">
        <v>3456</v>
      </c>
      <c r="D1032" s="118"/>
      <c r="E1032" s="118"/>
      <c r="F1032" s="116" t="s">
        <v>3258</v>
      </c>
      <c r="G1032" t="s">
        <v>3259</v>
      </c>
      <c r="H1032" s="117" t="s">
        <v>100</v>
      </c>
      <c r="I1032" s="117" t="s">
        <v>187</v>
      </c>
    </row>
    <row r="1033" spans="1:9" x14ac:dyDescent="0.25">
      <c r="A1033" t="s">
        <v>3457</v>
      </c>
      <c r="B1033" s="115" t="s">
        <v>3458</v>
      </c>
      <c r="C1033" t="s">
        <v>3459</v>
      </c>
      <c r="D1033" s="118"/>
      <c r="E1033" s="118"/>
      <c r="F1033" s="116" t="s">
        <v>3261</v>
      </c>
      <c r="G1033" t="s">
        <v>3262</v>
      </c>
      <c r="H1033" s="117" t="s">
        <v>160</v>
      </c>
      <c r="I1033" s="117" t="s">
        <v>487</v>
      </c>
    </row>
    <row r="1034" spans="1:9" x14ac:dyDescent="0.25">
      <c r="A1034" t="s">
        <v>3460</v>
      </c>
      <c r="B1034" s="115" t="s">
        <v>3461</v>
      </c>
      <c r="C1034" t="s">
        <v>3462</v>
      </c>
      <c r="D1034" s="118"/>
      <c r="E1034" s="118"/>
      <c r="F1034" s="116" t="s">
        <v>3463</v>
      </c>
      <c r="G1034" t="s">
        <v>3464</v>
      </c>
      <c r="H1034" s="117" t="s">
        <v>165</v>
      </c>
      <c r="I1034" s="117" t="s">
        <v>206</v>
      </c>
    </row>
    <row r="1035" spans="1:9" x14ac:dyDescent="0.25">
      <c r="A1035" t="s">
        <v>3465</v>
      </c>
      <c r="B1035" s="115" t="s">
        <v>3466</v>
      </c>
      <c r="C1035" t="s">
        <v>3467</v>
      </c>
      <c r="D1035" s="118"/>
      <c r="E1035" s="118"/>
      <c r="F1035" s="116" t="s">
        <v>3264</v>
      </c>
      <c r="G1035" t="s">
        <v>3265</v>
      </c>
      <c r="H1035" s="117" t="s">
        <v>170</v>
      </c>
      <c r="I1035" s="117" t="s">
        <v>202</v>
      </c>
    </row>
    <row r="1036" spans="1:9" x14ac:dyDescent="0.25">
      <c r="A1036" t="s">
        <v>3468</v>
      </c>
      <c r="B1036" s="115" t="s">
        <v>3469</v>
      </c>
      <c r="C1036" t="s">
        <v>3470</v>
      </c>
      <c r="D1036" s="118"/>
      <c r="E1036" s="118"/>
      <c r="F1036" s="116" t="s">
        <v>3267</v>
      </c>
      <c r="G1036" t="s">
        <v>3268</v>
      </c>
      <c r="H1036" s="117" t="s">
        <v>170</v>
      </c>
      <c r="I1036" s="117" t="s">
        <v>202</v>
      </c>
    </row>
    <row r="1037" spans="1:9" x14ac:dyDescent="0.25">
      <c r="A1037" t="s">
        <v>3471</v>
      </c>
      <c r="B1037" s="115" t="s">
        <v>3472</v>
      </c>
      <c r="C1037" t="s">
        <v>3473</v>
      </c>
      <c r="D1037" s="118"/>
      <c r="E1037" s="118"/>
      <c r="F1037" s="116" t="s">
        <v>3270</v>
      </c>
      <c r="G1037" t="s">
        <v>3271</v>
      </c>
      <c r="H1037" s="117" t="s">
        <v>170</v>
      </c>
      <c r="I1037" s="117" t="s">
        <v>171</v>
      </c>
    </row>
    <row r="1038" spans="1:9" x14ac:dyDescent="0.25">
      <c r="A1038" t="s">
        <v>3474</v>
      </c>
      <c r="B1038" s="115" t="s">
        <v>3475</v>
      </c>
      <c r="C1038" t="s">
        <v>3476</v>
      </c>
      <c r="D1038" s="118"/>
      <c r="E1038" s="118"/>
      <c r="F1038" s="116" t="s">
        <v>3273</v>
      </c>
      <c r="G1038" t="s">
        <v>3274</v>
      </c>
      <c r="H1038" s="117" t="s">
        <v>220</v>
      </c>
      <c r="I1038" s="117" t="s">
        <v>221</v>
      </c>
    </row>
    <row r="1039" spans="1:9" x14ac:dyDescent="0.25">
      <c r="A1039" t="s">
        <v>3477</v>
      </c>
      <c r="B1039" s="115" t="s">
        <v>3478</v>
      </c>
      <c r="C1039" t="s">
        <v>3479</v>
      </c>
      <c r="D1039" s="118"/>
      <c r="E1039" s="118"/>
      <c r="F1039" s="116" t="s">
        <v>3276</v>
      </c>
      <c r="G1039" t="s">
        <v>3277</v>
      </c>
      <c r="H1039" s="117" t="s">
        <v>170</v>
      </c>
      <c r="I1039" s="117" t="s">
        <v>171</v>
      </c>
    </row>
    <row r="1040" spans="1:9" x14ac:dyDescent="0.25">
      <c r="A1040" t="s">
        <v>3480</v>
      </c>
      <c r="B1040" s="115" t="s">
        <v>3481</v>
      </c>
      <c r="C1040" t="s">
        <v>3482</v>
      </c>
      <c r="D1040" s="118"/>
      <c r="E1040" s="118"/>
      <c r="F1040" s="116" t="s">
        <v>3279</v>
      </c>
      <c r="G1040" t="s">
        <v>3280</v>
      </c>
      <c r="H1040" s="117" t="s">
        <v>100</v>
      </c>
      <c r="I1040" s="117" t="s">
        <v>250</v>
      </c>
    </row>
    <row r="1041" spans="1:9" x14ac:dyDescent="0.25">
      <c r="A1041" t="s">
        <v>3483</v>
      </c>
      <c r="B1041" s="115" t="s">
        <v>3484</v>
      </c>
      <c r="C1041" t="s">
        <v>3485</v>
      </c>
      <c r="D1041" s="118"/>
      <c r="E1041" s="118"/>
      <c r="F1041" s="116" t="s">
        <v>3486</v>
      </c>
      <c r="G1041" t="s">
        <v>3487</v>
      </c>
      <c r="H1041" s="117" t="s">
        <v>100</v>
      </c>
      <c r="I1041" s="117" t="s">
        <v>250</v>
      </c>
    </row>
    <row r="1042" spans="1:9" x14ac:dyDescent="0.25">
      <c r="A1042" t="s">
        <v>3488</v>
      </c>
      <c r="B1042" s="115" t="s">
        <v>3489</v>
      </c>
      <c r="C1042" t="s">
        <v>3490</v>
      </c>
      <c r="D1042" s="118"/>
      <c r="E1042" s="118"/>
      <c r="F1042" s="116" t="s">
        <v>3491</v>
      </c>
      <c r="G1042" t="s">
        <v>3283</v>
      </c>
      <c r="H1042" s="117" t="s">
        <v>160</v>
      </c>
      <c r="I1042" s="117" t="s">
        <v>755</v>
      </c>
    </row>
    <row r="1043" spans="1:9" x14ac:dyDescent="0.25">
      <c r="A1043" t="s">
        <v>3492</v>
      </c>
      <c r="B1043" s="115" t="s">
        <v>3493</v>
      </c>
      <c r="C1043" t="s">
        <v>3494</v>
      </c>
      <c r="D1043" s="118"/>
      <c r="E1043" s="118"/>
      <c r="F1043" s="116" t="s">
        <v>3285</v>
      </c>
      <c r="G1043" t="s">
        <v>3286</v>
      </c>
      <c r="H1043" s="117" t="s">
        <v>220</v>
      </c>
      <c r="I1043" s="117" t="s">
        <v>221</v>
      </c>
    </row>
    <row r="1044" spans="1:9" x14ac:dyDescent="0.25">
      <c r="A1044" t="s">
        <v>3495</v>
      </c>
      <c r="B1044" s="115" t="s">
        <v>3496</v>
      </c>
      <c r="C1044" t="s">
        <v>3497</v>
      </c>
      <c r="D1044" s="118"/>
      <c r="E1044" s="118"/>
      <c r="F1044" s="116" t="s">
        <v>3288</v>
      </c>
      <c r="G1044" t="s">
        <v>3289</v>
      </c>
      <c r="H1044" s="117" t="s">
        <v>220</v>
      </c>
      <c r="I1044" s="117" t="s">
        <v>250</v>
      </c>
    </row>
    <row r="1045" spans="1:9" x14ac:dyDescent="0.25">
      <c r="A1045" t="s">
        <v>3498</v>
      </c>
      <c r="B1045" s="115" t="s">
        <v>3499</v>
      </c>
      <c r="C1045" t="s">
        <v>3500</v>
      </c>
      <c r="D1045" s="118"/>
      <c r="E1045" s="118"/>
      <c r="F1045" s="116" t="s">
        <v>3291</v>
      </c>
      <c r="G1045" t="s">
        <v>3292</v>
      </c>
      <c r="H1045" s="117" t="s">
        <v>100</v>
      </c>
      <c r="I1045" s="117" t="s">
        <v>250</v>
      </c>
    </row>
    <row r="1046" spans="1:9" x14ac:dyDescent="0.25">
      <c r="A1046" t="s">
        <v>3501</v>
      </c>
      <c r="B1046" s="115" t="s">
        <v>3502</v>
      </c>
      <c r="C1046" t="s">
        <v>3503</v>
      </c>
      <c r="D1046" s="118"/>
      <c r="E1046" s="118"/>
      <c r="F1046" s="116" t="s">
        <v>3294</v>
      </c>
      <c r="G1046" t="s">
        <v>3295</v>
      </c>
      <c r="H1046" s="117" t="s">
        <v>170</v>
      </c>
      <c r="I1046" s="117" t="s">
        <v>171</v>
      </c>
    </row>
    <row r="1047" spans="1:9" x14ac:dyDescent="0.25">
      <c r="A1047" t="s">
        <v>3504</v>
      </c>
      <c r="B1047" s="115" t="s">
        <v>3505</v>
      </c>
      <c r="C1047" t="s">
        <v>3506</v>
      </c>
      <c r="D1047" s="118"/>
      <c r="E1047" s="118"/>
      <c r="F1047" s="116" t="s">
        <v>3297</v>
      </c>
      <c r="G1047" t="s">
        <v>3298</v>
      </c>
      <c r="H1047" s="117" t="s">
        <v>194</v>
      </c>
      <c r="I1047" s="117" t="s">
        <v>299</v>
      </c>
    </row>
    <row r="1048" spans="1:9" x14ac:dyDescent="0.25">
      <c r="A1048" t="s">
        <v>3507</v>
      </c>
      <c r="B1048" s="115" t="s">
        <v>3508</v>
      </c>
      <c r="C1048" t="s">
        <v>3509</v>
      </c>
      <c r="D1048" s="118"/>
      <c r="E1048" s="118"/>
      <c r="F1048" s="116" t="s">
        <v>3300</v>
      </c>
      <c r="G1048" t="s">
        <v>3301</v>
      </c>
      <c r="H1048" s="117" t="s">
        <v>100</v>
      </c>
      <c r="I1048" s="117" t="s">
        <v>250</v>
      </c>
    </row>
    <row r="1049" spans="1:9" x14ac:dyDescent="0.25">
      <c r="A1049" t="s">
        <v>3510</v>
      </c>
      <c r="B1049" s="115" t="s">
        <v>3511</v>
      </c>
      <c r="C1049" t="s">
        <v>3512</v>
      </c>
      <c r="D1049" s="118"/>
      <c r="E1049" s="118"/>
      <c r="F1049" s="116" t="s">
        <v>3513</v>
      </c>
      <c r="G1049" t="s">
        <v>3514</v>
      </c>
      <c r="H1049" s="117" t="s">
        <v>160</v>
      </c>
      <c r="I1049" s="117" t="s">
        <v>487</v>
      </c>
    </row>
    <row r="1050" spans="1:9" x14ac:dyDescent="0.25">
      <c r="A1050" t="s">
        <v>3515</v>
      </c>
      <c r="B1050" s="115" t="s">
        <v>3516</v>
      </c>
      <c r="C1050" t="s">
        <v>3517</v>
      </c>
      <c r="D1050" s="118"/>
      <c r="E1050" s="118"/>
      <c r="F1050" s="116" t="s">
        <v>3303</v>
      </c>
      <c r="G1050" t="s">
        <v>3304</v>
      </c>
      <c r="H1050" s="117" t="s">
        <v>194</v>
      </c>
      <c r="I1050" s="117" t="s">
        <v>290</v>
      </c>
    </row>
    <row r="1051" spans="1:9" x14ac:dyDescent="0.25">
      <c r="A1051" t="s">
        <v>3518</v>
      </c>
      <c r="B1051" s="115" t="s">
        <v>3519</v>
      </c>
      <c r="C1051" t="s">
        <v>3520</v>
      </c>
      <c r="D1051" s="118"/>
      <c r="E1051" s="118"/>
      <c r="F1051" s="116" t="s">
        <v>3306</v>
      </c>
      <c r="G1051" t="s">
        <v>3307</v>
      </c>
      <c r="H1051" s="117" t="s">
        <v>194</v>
      </c>
      <c r="I1051" s="117" t="s">
        <v>290</v>
      </c>
    </row>
    <row r="1052" spans="1:9" x14ac:dyDescent="0.25">
      <c r="A1052" t="s">
        <v>3521</v>
      </c>
      <c r="B1052" s="115" t="s">
        <v>522</v>
      </c>
      <c r="C1052" t="s">
        <v>3522</v>
      </c>
      <c r="D1052" s="118"/>
      <c r="E1052" s="118"/>
      <c r="F1052" s="116" t="s">
        <v>3309</v>
      </c>
      <c r="G1052" t="s">
        <v>3310</v>
      </c>
      <c r="H1052" s="117" t="s">
        <v>105</v>
      </c>
      <c r="I1052" s="117" t="s">
        <v>127</v>
      </c>
    </row>
    <row r="1053" spans="1:9" x14ac:dyDescent="0.25">
      <c r="A1053" t="s">
        <v>3523</v>
      </c>
      <c r="B1053" s="115" t="s">
        <v>3524</v>
      </c>
      <c r="C1053" t="s">
        <v>3525</v>
      </c>
      <c r="D1053" s="118"/>
      <c r="E1053" s="118"/>
      <c r="F1053" s="116" t="s">
        <v>3312</v>
      </c>
      <c r="G1053" t="s">
        <v>3313</v>
      </c>
      <c r="H1053" s="117" t="s">
        <v>105</v>
      </c>
      <c r="I1053" s="117" t="s">
        <v>127</v>
      </c>
    </row>
    <row r="1054" spans="1:9" x14ac:dyDescent="0.25">
      <c r="A1054" t="s">
        <v>3526</v>
      </c>
      <c r="B1054" s="115" t="s">
        <v>3527</v>
      </c>
      <c r="C1054" t="s">
        <v>3528</v>
      </c>
      <c r="D1054" s="118"/>
      <c r="E1054" s="118"/>
      <c r="F1054" s="116" t="s">
        <v>3317</v>
      </c>
      <c r="G1054" t="s">
        <v>3318</v>
      </c>
      <c r="H1054" s="117" t="s">
        <v>100</v>
      </c>
      <c r="I1054" s="117" t="s">
        <v>101</v>
      </c>
    </row>
    <row r="1055" spans="1:9" x14ac:dyDescent="0.25">
      <c r="A1055" t="s">
        <v>3529</v>
      </c>
      <c r="B1055" s="115" t="s">
        <v>3530</v>
      </c>
      <c r="C1055" t="s">
        <v>3531</v>
      </c>
      <c r="D1055" s="118"/>
      <c r="E1055" s="118"/>
      <c r="F1055" s="116" t="s">
        <v>3532</v>
      </c>
      <c r="G1055" t="s">
        <v>3533</v>
      </c>
      <c r="H1055" s="117" t="s">
        <v>100</v>
      </c>
      <c r="I1055" s="117" t="s">
        <v>101</v>
      </c>
    </row>
    <row r="1056" spans="1:9" x14ac:dyDescent="0.25">
      <c r="A1056" t="s">
        <v>3534</v>
      </c>
      <c r="B1056" s="115" t="s">
        <v>3535</v>
      </c>
      <c r="C1056" t="s">
        <v>3536</v>
      </c>
      <c r="D1056" s="118"/>
      <c r="E1056" s="118"/>
      <c r="F1056" s="116" t="s">
        <v>3320</v>
      </c>
      <c r="G1056" t="s">
        <v>3321</v>
      </c>
      <c r="H1056" s="117" t="s">
        <v>328</v>
      </c>
      <c r="I1056" s="117" t="s">
        <v>1616</v>
      </c>
    </row>
    <row r="1057" spans="1:9" x14ac:dyDescent="0.25">
      <c r="A1057" t="s">
        <v>3537</v>
      </c>
      <c r="B1057" s="115" t="s">
        <v>3538</v>
      </c>
      <c r="C1057" t="s">
        <v>3539</v>
      </c>
      <c r="D1057" s="118"/>
      <c r="E1057" s="118"/>
      <c r="F1057" s="116" t="s">
        <v>3323</v>
      </c>
      <c r="G1057" t="s">
        <v>1616</v>
      </c>
      <c r="H1057" s="117" t="s">
        <v>328</v>
      </c>
      <c r="I1057" s="117" t="s">
        <v>1616</v>
      </c>
    </row>
    <row r="1058" spans="1:9" x14ac:dyDescent="0.25">
      <c r="A1058" t="s">
        <v>3540</v>
      </c>
      <c r="B1058" s="115" t="s">
        <v>28</v>
      </c>
      <c r="C1058" t="s">
        <v>3541</v>
      </c>
      <c r="D1058" s="118"/>
      <c r="E1058" s="118"/>
      <c r="F1058" s="116" t="s">
        <v>3325</v>
      </c>
      <c r="G1058" t="s">
        <v>3326</v>
      </c>
      <c r="H1058" s="117" t="s">
        <v>160</v>
      </c>
      <c r="I1058" s="117" t="s">
        <v>387</v>
      </c>
    </row>
    <row r="1059" spans="1:9" x14ac:dyDescent="0.25">
      <c r="A1059" t="s">
        <v>3542</v>
      </c>
      <c r="B1059" s="115" t="s">
        <v>3543</v>
      </c>
      <c r="C1059" t="s">
        <v>3544</v>
      </c>
      <c r="D1059" s="118"/>
      <c r="E1059" s="118"/>
      <c r="F1059" s="116" t="s">
        <v>3545</v>
      </c>
      <c r="G1059" t="s">
        <v>3546</v>
      </c>
      <c r="H1059" s="117" t="s">
        <v>160</v>
      </c>
      <c r="I1059" s="117" t="s">
        <v>161</v>
      </c>
    </row>
    <row r="1060" spans="1:9" x14ac:dyDescent="0.25">
      <c r="A1060" t="s">
        <v>3547</v>
      </c>
      <c r="B1060" s="115" t="s">
        <v>3548</v>
      </c>
      <c r="C1060" t="s">
        <v>3549</v>
      </c>
      <c r="D1060" s="118"/>
      <c r="E1060" s="118"/>
      <c r="F1060" s="116" t="s">
        <v>3328</v>
      </c>
      <c r="G1060" t="s">
        <v>3329</v>
      </c>
      <c r="H1060" s="117" t="s">
        <v>105</v>
      </c>
      <c r="I1060" s="117" t="s">
        <v>127</v>
      </c>
    </row>
    <row r="1061" spans="1:9" x14ac:dyDescent="0.25">
      <c r="A1061" t="s">
        <v>3550</v>
      </c>
      <c r="B1061" s="115" t="s">
        <v>3551</v>
      </c>
      <c r="C1061" t="s">
        <v>3552</v>
      </c>
      <c r="D1061" s="118"/>
      <c r="E1061" s="118"/>
      <c r="F1061" s="116" t="s">
        <v>3331</v>
      </c>
      <c r="G1061" t="s">
        <v>3332</v>
      </c>
      <c r="H1061" s="117" t="s">
        <v>100</v>
      </c>
      <c r="I1061" s="117" t="s">
        <v>250</v>
      </c>
    </row>
    <row r="1062" spans="1:9" x14ac:dyDescent="0.25">
      <c r="A1062" t="s">
        <v>3553</v>
      </c>
      <c r="B1062" s="115" t="s">
        <v>3554</v>
      </c>
      <c r="C1062" t="s">
        <v>3555</v>
      </c>
      <c r="D1062" s="118"/>
      <c r="E1062" s="118"/>
      <c r="F1062" s="116" t="s">
        <v>3334</v>
      </c>
      <c r="G1062" t="s">
        <v>3335</v>
      </c>
      <c r="H1062" s="117" t="s">
        <v>194</v>
      </c>
      <c r="I1062" s="117" t="s">
        <v>666</v>
      </c>
    </row>
    <row r="1063" spans="1:9" x14ac:dyDescent="0.25">
      <c r="A1063" t="s">
        <v>3556</v>
      </c>
      <c r="B1063" s="115" t="s">
        <v>3557</v>
      </c>
      <c r="C1063" t="s">
        <v>3558</v>
      </c>
      <c r="D1063" s="118"/>
      <c r="E1063" s="118"/>
      <c r="F1063" s="116" t="s">
        <v>3337</v>
      </c>
      <c r="G1063" t="s">
        <v>3338</v>
      </c>
      <c r="H1063" s="117" t="s">
        <v>170</v>
      </c>
      <c r="I1063" s="117" t="s">
        <v>171</v>
      </c>
    </row>
    <row r="1064" spans="1:9" x14ac:dyDescent="0.25">
      <c r="A1064" t="s">
        <v>3559</v>
      </c>
      <c r="B1064" s="115" t="s">
        <v>3560</v>
      </c>
      <c r="C1064" t="s">
        <v>3561</v>
      </c>
      <c r="D1064" s="118"/>
      <c r="E1064" s="118"/>
      <c r="F1064" s="116" t="s">
        <v>3340</v>
      </c>
      <c r="G1064" t="s">
        <v>3341</v>
      </c>
      <c r="H1064" s="117" t="s">
        <v>105</v>
      </c>
      <c r="I1064" s="117" t="s">
        <v>127</v>
      </c>
    </row>
    <row r="1065" spans="1:9" x14ac:dyDescent="0.25">
      <c r="A1065" t="s">
        <v>3562</v>
      </c>
      <c r="B1065" s="115" t="s">
        <v>3563</v>
      </c>
      <c r="C1065" t="s">
        <v>3564</v>
      </c>
      <c r="D1065" s="118"/>
      <c r="E1065" s="118"/>
      <c r="F1065" s="116" t="s">
        <v>3565</v>
      </c>
      <c r="G1065" t="s">
        <v>3344</v>
      </c>
      <c r="H1065" s="117" t="s">
        <v>100</v>
      </c>
      <c r="I1065" s="117" t="s">
        <v>181</v>
      </c>
    </row>
    <row r="1066" spans="1:9" x14ac:dyDescent="0.25">
      <c r="A1066" t="s">
        <v>3566</v>
      </c>
      <c r="B1066" s="115" t="s">
        <v>3567</v>
      </c>
      <c r="C1066" t="s">
        <v>3568</v>
      </c>
      <c r="D1066" s="118"/>
      <c r="E1066" s="118"/>
      <c r="F1066" s="116" t="s">
        <v>3569</v>
      </c>
      <c r="G1066" t="s">
        <v>3570</v>
      </c>
      <c r="H1066" s="117" t="s">
        <v>100</v>
      </c>
      <c r="I1066" s="117" t="s">
        <v>187</v>
      </c>
    </row>
    <row r="1067" spans="1:9" x14ac:dyDescent="0.25">
      <c r="A1067" t="s">
        <v>3571</v>
      </c>
      <c r="B1067" s="115" t="s">
        <v>3572</v>
      </c>
      <c r="C1067" t="s">
        <v>3573</v>
      </c>
      <c r="D1067" s="118"/>
      <c r="E1067" s="118"/>
      <c r="F1067" s="116" t="s">
        <v>3350</v>
      </c>
      <c r="G1067" t="s">
        <v>3351</v>
      </c>
      <c r="H1067" s="117" t="s">
        <v>328</v>
      </c>
      <c r="I1067" s="117" t="s">
        <v>295</v>
      </c>
    </row>
    <row r="1068" spans="1:9" x14ac:dyDescent="0.25">
      <c r="A1068" t="s">
        <v>3574</v>
      </c>
      <c r="B1068" s="115" t="s">
        <v>3575</v>
      </c>
      <c r="C1068" t="s">
        <v>3576</v>
      </c>
      <c r="D1068" s="118"/>
      <c r="E1068" s="118"/>
      <c r="F1068" s="116" t="s">
        <v>3353</v>
      </c>
      <c r="G1068" t="s">
        <v>161</v>
      </c>
      <c r="H1068" s="117" t="s">
        <v>160</v>
      </c>
      <c r="I1068" s="117" t="s">
        <v>161</v>
      </c>
    </row>
    <row r="1069" spans="1:9" x14ac:dyDescent="0.25">
      <c r="A1069" t="s">
        <v>3577</v>
      </c>
      <c r="B1069" s="115" t="s">
        <v>3578</v>
      </c>
      <c r="C1069" t="s">
        <v>3579</v>
      </c>
      <c r="D1069" s="118"/>
      <c r="E1069" s="118"/>
      <c r="F1069" s="116" t="s">
        <v>3355</v>
      </c>
      <c r="G1069" t="s">
        <v>3356</v>
      </c>
      <c r="H1069" s="117" t="s">
        <v>160</v>
      </c>
      <c r="I1069" s="117" t="s">
        <v>755</v>
      </c>
    </row>
    <row r="1070" spans="1:9" x14ac:dyDescent="0.25">
      <c r="A1070" t="s">
        <v>3580</v>
      </c>
      <c r="B1070" s="115" t="s">
        <v>3581</v>
      </c>
      <c r="C1070" t="s">
        <v>3582</v>
      </c>
      <c r="D1070" s="118"/>
      <c r="E1070" s="118"/>
      <c r="F1070" s="116" t="s">
        <v>3358</v>
      </c>
      <c r="G1070" t="s">
        <v>3359</v>
      </c>
      <c r="H1070" s="117" t="s">
        <v>105</v>
      </c>
      <c r="I1070" s="117" t="s">
        <v>280</v>
      </c>
    </row>
    <row r="1071" spans="1:9" x14ac:dyDescent="0.25">
      <c r="A1071" t="s">
        <v>3583</v>
      </c>
      <c r="B1071" s="115" t="s">
        <v>3584</v>
      </c>
      <c r="C1071" t="s">
        <v>3585</v>
      </c>
      <c r="D1071" s="118"/>
      <c r="E1071" s="118"/>
      <c r="F1071" s="116" t="s">
        <v>3361</v>
      </c>
      <c r="G1071" t="s">
        <v>3362</v>
      </c>
      <c r="H1071" s="117" t="s">
        <v>170</v>
      </c>
      <c r="I1071" s="117" t="s">
        <v>171</v>
      </c>
    </row>
    <row r="1072" spans="1:9" x14ac:dyDescent="0.25">
      <c r="A1072" t="s">
        <v>3586</v>
      </c>
      <c r="B1072" s="115" t="s">
        <v>3587</v>
      </c>
      <c r="C1072" t="s">
        <v>3588</v>
      </c>
      <c r="D1072" s="118"/>
      <c r="E1072" s="118"/>
      <c r="F1072" s="116" t="s">
        <v>3365</v>
      </c>
      <c r="G1072" t="s">
        <v>3366</v>
      </c>
      <c r="H1072" s="117" t="s">
        <v>105</v>
      </c>
      <c r="I1072" s="117" t="s">
        <v>174</v>
      </c>
    </row>
    <row r="1073" spans="1:9" x14ac:dyDescent="0.25">
      <c r="A1073" t="s">
        <v>3589</v>
      </c>
      <c r="B1073" s="115" t="s">
        <v>3590</v>
      </c>
      <c r="C1073" t="s">
        <v>3591</v>
      </c>
      <c r="D1073" s="118"/>
      <c r="E1073" s="118"/>
      <c r="F1073" s="116" t="s">
        <v>3368</v>
      </c>
      <c r="G1073" t="s">
        <v>3369</v>
      </c>
      <c r="H1073" s="117" t="s">
        <v>260</v>
      </c>
      <c r="I1073" s="117" t="s">
        <v>432</v>
      </c>
    </row>
    <row r="1074" spans="1:9" x14ac:dyDescent="0.25">
      <c r="A1074" t="s">
        <v>3592</v>
      </c>
      <c r="B1074" s="115" t="s">
        <v>3593</v>
      </c>
      <c r="C1074" t="s">
        <v>3594</v>
      </c>
      <c r="D1074" s="118"/>
      <c r="E1074" s="118"/>
      <c r="F1074" s="116" t="s">
        <v>3371</v>
      </c>
      <c r="G1074" t="s">
        <v>3372</v>
      </c>
      <c r="H1074" s="117" t="s">
        <v>220</v>
      </c>
      <c r="I1074" s="117" t="s">
        <v>339</v>
      </c>
    </row>
    <row r="1075" spans="1:9" x14ac:dyDescent="0.25">
      <c r="A1075" t="s">
        <v>3595</v>
      </c>
      <c r="B1075" s="115" t="s">
        <v>3596</v>
      </c>
      <c r="C1075" t="s">
        <v>3597</v>
      </c>
      <c r="D1075" s="118"/>
      <c r="E1075" s="118"/>
      <c r="F1075" s="116" t="s">
        <v>3374</v>
      </c>
      <c r="G1075" t="s">
        <v>3375</v>
      </c>
      <c r="H1075" s="117" t="s">
        <v>194</v>
      </c>
      <c r="I1075" s="117" t="s">
        <v>195</v>
      </c>
    </row>
    <row r="1076" spans="1:9" x14ac:dyDescent="0.25">
      <c r="A1076" t="s">
        <v>3598</v>
      </c>
      <c r="B1076" s="115" t="s">
        <v>3599</v>
      </c>
      <c r="C1076" t="s">
        <v>3600</v>
      </c>
      <c r="D1076" s="118"/>
      <c r="E1076" s="118"/>
      <c r="F1076" s="116" t="s">
        <v>3380</v>
      </c>
      <c r="G1076" t="s">
        <v>3381</v>
      </c>
      <c r="H1076" s="117" t="s">
        <v>100</v>
      </c>
      <c r="I1076" s="117" t="s">
        <v>1569</v>
      </c>
    </row>
    <row r="1077" spans="1:9" x14ac:dyDescent="0.25">
      <c r="A1077" t="s">
        <v>3601</v>
      </c>
      <c r="B1077" s="115" t="s">
        <v>3602</v>
      </c>
      <c r="C1077" t="s">
        <v>3603</v>
      </c>
      <c r="D1077" s="118"/>
      <c r="E1077" s="118"/>
      <c r="F1077" s="116" t="s">
        <v>3383</v>
      </c>
      <c r="G1077" t="s">
        <v>123</v>
      </c>
      <c r="H1077" s="117" t="s">
        <v>115</v>
      </c>
      <c r="I1077" s="117" t="s">
        <v>2875</v>
      </c>
    </row>
    <row r="1078" spans="1:9" x14ac:dyDescent="0.25">
      <c r="A1078" t="s">
        <v>3604</v>
      </c>
      <c r="B1078" s="115" t="s">
        <v>3605</v>
      </c>
      <c r="C1078" t="s">
        <v>3606</v>
      </c>
      <c r="D1078" s="118"/>
      <c r="E1078" s="118"/>
      <c r="F1078" s="116" t="s">
        <v>3607</v>
      </c>
      <c r="G1078" t="s">
        <v>3608</v>
      </c>
      <c r="H1078" s="117" t="s">
        <v>160</v>
      </c>
      <c r="I1078" s="117" t="s">
        <v>755</v>
      </c>
    </row>
    <row r="1079" spans="1:9" x14ac:dyDescent="0.25">
      <c r="A1079" t="s">
        <v>3609</v>
      </c>
      <c r="B1079" s="115" t="s">
        <v>339</v>
      </c>
      <c r="C1079" t="s">
        <v>3610</v>
      </c>
      <c r="D1079" s="118"/>
      <c r="E1079" s="118"/>
      <c r="F1079" s="116" t="s">
        <v>3385</v>
      </c>
      <c r="G1079" t="s">
        <v>3386</v>
      </c>
      <c r="H1079" s="117" t="s">
        <v>170</v>
      </c>
      <c r="I1079" s="117" t="s">
        <v>171</v>
      </c>
    </row>
    <row r="1080" spans="1:9" x14ac:dyDescent="0.25">
      <c r="A1080" t="s">
        <v>3611</v>
      </c>
      <c r="B1080" s="115" t="s">
        <v>3612</v>
      </c>
      <c r="C1080" t="s">
        <v>3613</v>
      </c>
      <c r="D1080" s="118"/>
      <c r="E1080" s="118"/>
      <c r="F1080" s="116" t="s">
        <v>3388</v>
      </c>
      <c r="G1080" t="s">
        <v>3389</v>
      </c>
      <c r="H1080" s="117" t="s">
        <v>170</v>
      </c>
      <c r="I1080" s="117" t="s">
        <v>171</v>
      </c>
    </row>
    <row r="1081" spans="1:9" x14ac:dyDescent="0.25">
      <c r="A1081" t="s">
        <v>3614</v>
      </c>
      <c r="B1081" s="115" t="s">
        <v>101</v>
      </c>
      <c r="C1081" t="s">
        <v>3615</v>
      </c>
      <c r="D1081" s="118"/>
      <c r="E1081" s="118"/>
      <c r="F1081" s="116" t="s">
        <v>3392</v>
      </c>
      <c r="G1081" t="s">
        <v>3393</v>
      </c>
      <c r="H1081" s="117" t="s">
        <v>105</v>
      </c>
      <c r="I1081" s="117" t="s">
        <v>280</v>
      </c>
    </row>
    <row r="1082" spans="1:9" x14ac:dyDescent="0.25">
      <c r="A1082" t="s">
        <v>3616</v>
      </c>
      <c r="B1082" s="115" t="s">
        <v>3617</v>
      </c>
      <c r="C1082" t="s">
        <v>3618</v>
      </c>
      <c r="D1082" s="118"/>
      <c r="E1082" s="118"/>
      <c r="F1082" s="116" t="s">
        <v>3395</v>
      </c>
      <c r="G1082" t="s">
        <v>3396</v>
      </c>
      <c r="H1082" s="117" t="s">
        <v>194</v>
      </c>
      <c r="I1082" s="117" t="s">
        <v>666</v>
      </c>
    </row>
    <row r="1083" spans="1:9" x14ac:dyDescent="0.25">
      <c r="A1083" t="s">
        <v>3619</v>
      </c>
      <c r="B1083" s="115" t="s">
        <v>3620</v>
      </c>
      <c r="C1083" t="s">
        <v>3621</v>
      </c>
      <c r="D1083" s="118"/>
      <c r="E1083" s="118"/>
      <c r="F1083" s="116" t="s">
        <v>3398</v>
      </c>
      <c r="G1083" t="s">
        <v>3399</v>
      </c>
      <c r="H1083" s="117" t="s">
        <v>220</v>
      </c>
      <c r="I1083" s="117" t="s">
        <v>339</v>
      </c>
    </row>
    <row r="1084" spans="1:9" x14ac:dyDescent="0.25">
      <c r="A1084" t="s">
        <v>3622</v>
      </c>
      <c r="B1084" s="115" t="s">
        <v>3623</v>
      </c>
      <c r="C1084" t="s">
        <v>3624</v>
      </c>
      <c r="D1084" s="118"/>
      <c r="E1084" s="118"/>
      <c r="F1084" s="116" t="s">
        <v>3403</v>
      </c>
      <c r="G1084" t="s">
        <v>3404</v>
      </c>
      <c r="H1084" s="117" t="s">
        <v>105</v>
      </c>
      <c r="I1084" s="117" t="s">
        <v>127</v>
      </c>
    </row>
    <row r="1085" spans="1:9" x14ac:dyDescent="0.25">
      <c r="A1085" t="s">
        <v>3625</v>
      </c>
      <c r="B1085" s="115" t="s">
        <v>3626</v>
      </c>
      <c r="C1085" t="s">
        <v>3627</v>
      </c>
      <c r="D1085" s="118"/>
      <c r="E1085" s="118"/>
      <c r="F1085" s="116" t="s">
        <v>3407</v>
      </c>
      <c r="G1085" t="s">
        <v>3408</v>
      </c>
      <c r="H1085" s="117" t="s">
        <v>170</v>
      </c>
      <c r="I1085" s="117" t="s">
        <v>202</v>
      </c>
    </row>
    <row r="1086" spans="1:9" x14ac:dyDescent="0.25">
      <c r="A1086" t="s">
        <v>3628</v>
      </c>
      <c r="B1086" s="115" t="s">
        <v>3629</v>
      </c>
      <c r="C1086" t="s">
        <v>3630</v>
      </c>
      <c r="D1086" s="118"/>
      <c r="E1086" s="118"/>
      <c r="F1086" s="116" t="s">
        <v>3631</v>
      </c>
      <c r="G1086" t="s">
        <v>3632</v>
      </c>
      <c r="H1086" s="117" t="s">
        <v>115</v>
      </c>
      <c r="I1086" s="117" t="s">
        <v>123</v>
      </c>
    </row>
    <row r="1087" spans="1:9" x14ac:dyDescent="0.25">
      <c r="A1087" t="s">
        <v>3633</v>
      </c>
      <c r="B1087" s="115" t="s">
        <v>3634</v>
      </c>
      <c r="C1087" t="s">
        <v>3635</v>
      </c>
      <c r="D1087" s="118"/>
      <c r="E1087" s="118"/>
      <c r="F1087" s="116" t="s">
        <v>3413</v>
      </c>
      <c r="G1087" t="s">
        <v>3414</v>
      </c>
      <c r="H1087" s="117" t="s">
        <v>160</v>
      </c>
      <c r="I1087" s="117" t="s">
        <v>1569</v>
      </c>
    </row>
    <row r="1088" spans="1:9" x14ac:dyDescent="0.25">
      <c r="A1088" t="s">
        <v>3636</v>
      </c>
      <c r="B1088" s="115" t="s">
        <v>3637</v>
      </c>
      <c r="C1088" t="s">
        <v>3638</v>
      </c>
      <c r="D1088" s="118"/>
      <c r="E1088" s="118"/>
      <c r="F1088" s="116" t="s">
        <v>3416</v>
      </c>
      <c r="G1088" t="s">
        <v>116</v>
      </c>
      <c r="H1088" s="117" t="s">
        <v>115</v>
      </c>
      <c r="I1088" s="117" t="s">
        <v>2875</v>
      </c>
    </row>
    <row r="1089" spans="1:9" x14ac:dyDescent="0.25">
      <c r="A1089" t="s">
        <v>3639</v>
      </c>
      <c r="B1089" s="115" t="s">
        <v>3640</v>
      </c>
      <c r="C1089" t="s">
        <v>3641</v>
      </c>
      <c r="D1089" s="118"/>
      <c r="E1089" s="118"/>
      <c r="F1089" s="116" t="s">
        <v>3418</v>
      </c>
      <c r="G1089" t="s">
        <v>3419</v>
      </c>
      <c r="H1089" s="117" t="s">
        <v>170</v>
      </c>
      <c r="I1089" s="117" t="s">
        <v>171</v>
      </c>
    </row>
    <row r="1090" spans="1:9" x14ac:dyDescent="0.25">
      <c r="A1090" t="s">
        <v>3642</v>
      </c>
      <c r="B1090" s="115" t="s">
        <v>3643</v>
      </c>
      <c r="C1090" t="s">
        <v>3644</v>
      </c>
      <c r="D1090" s="118"/>
      <c r="E1090" s="118"/>
      <c r="F1090" s="116" t="s">
        <v>3422</v>
      </c>
      <c r="G1090" t="s">
        <v>3423</v>
      </c>
      <c r="H1090" s="117" t="s">
        <v>328</v>
      </c>
      <c r="I1090" s="117" t="s">
        <v>295</v>
      </c>
    </row>
    <row r="1091" spans="1:9" x14ac:dyDescent="0.25">
      <c r="A1091" t="s">
        <v>3645</v>
      </c>
      <c r="B1091" s="115" t="s">
        <v>1253</v>
      </c>
      <c r="C1091" t="s">
        <v>3646</v>
      </c>
      <c r="D1091" s="118"/>
      <c r="E1091" s="118"/>
      <c r="F1091" s="116" t="s">
        <v>3425</v>
      </c>
      <c r="G1091" t="s">
        <v>3426</v>
      </c>
      <c r="H1091" s="117" t="s">
        <v>100</v>
      </c>
      <c r="I1091" s="117" t="s">
        <v>187</v>
      </c>
    </row>
    <row r="1092" spans="1:9" x14ac:dyDescent="0.25">
      <c r="A1092" t="s">
        <v>3647</v>
      </c>
      <c r="B1092" s="115" t="s">
        <v>670</v>
      </c>
      <c r="C1092" t="s">
        <v>3648</v>
      </c>
      <c r="D1092" s="118"/>
      <c r="E1092" s="118"/>
      <c r="F1092" s="116" t="s">
        <v>3428</v>
      </c>
      <c r="G1092" t="s">
        <v>3429</v>
      </c>
      <c r="H1092" s="117" t="s">
        <v>100</v>
      </c>
      <c r="I1092" s="117" t="s">
        <v>187</v>
      </c>
    </row>
    <row r="1093" spans="1:9" x14ac:dyDescent="0.25">
      <c r="A1093" t="s">
        <v>3649</v>
      </c>
      <c r="B1093" s="115" t="s">
        <v>3650</v>
      </c>
      <c r="C1093" t="s">
        <v>3651</v>
      </c>
      <c r="D1093" s="118"/>
      <c r="E1093" s="118"/>
      <c r="F1093" s="116" t="s">
        <v>3431</v>
      </c>
      <c r="G1093" t="s">
        <v>3432</v>
      </c>
      <c r="H1093" s="117" t="s">
        <v>100</v>
      </c>
      <c r="I1093" s="117" t="s">
        <v>187</v>
      </c>
    </row>
    <row r="1094" spans="1:9" x14ac:dyDescent="0.25">
      <c r="A1094" t="s">
        <v>3652</v>
      </c>
      <c r="B1094" s="115" t="s">
        <v>367</v>
      </c>
      <c r="C1094" t="s">
        <v>3653</v>
      </c>
      <c r="D1094" s="118"/>
      <c r="E1094" s="118"/>
      <c r="F1094" s="116" t="s">
        <v>3434</v>
      </c>
      <c r="G1094" t="s">
        <v>3435</v>
      </c>
      <c r="H1094" s="117" t="s">
        <v>100</v>
      </c>
      <c r="I1094" s="117" t="s">
        <v>187</v>
      </c>
    </row>
    <row r="1095" spans="1:9" x14ac:dyDescent="0.25">
      <c r="A1095" t="s">
        <v>3654</v>
      </c>
      <c r="B1095" s="115" t="s">
        <v>261</v>
      </c>
      <c r="C1095" t="s">
        <v>3655</v>
      </c>
      <c r="D1095" s="118"/>
      <c r="E1095" s="118"/>
      <c r="F1095" s="116" t="s">
        <v>3437</v>
      </c>
      <c r="G1095" t="s">
        <v>3438</v>
      </c>
      <c r="H1095" s="117" t="s">
        <v>100</v>
      </c>
      <c r="I1095" s="117" t="s">
        <v>187</v>
      </c>
    </row>
    <row r="1096" spans="1:9" x14ac:dyDescent="0.25">
      <c r="A1096" t="s">
        <v>3656</v>
      </c>
      <c r="B1096" s="115" t="s">
        <v>2909</v>
      </c>
      <c r="C1096" t="s">
        <v>3657</v>
      </c>
      <c r="D1096" s="118"/>
      <c r="E1096" s="118"/>
      <c r="F1096" s="116" t="s">
        <v>3440</v>
      </c>
      <c r="G1096" t="s">
        <v>3441</v>
      </c>
      <c r="H1096" s="117" t="s">
        <v>260</v>
      </c>
      <c r="I1096" s="117" t="s">
        <v>367</v>
      </c>
    </row>
    <row r="1097" spans="1:9" x14ac:dyDescent="0.25">
      <c r="A1097" t="s">
        <v>3658</v>
      </c>
      <c r="B1097" s="115" t="s">
        <v>440</v>
      </c>
      <c r="C1097" t="s">
        <v>3659</v>
      </c>
      <c r="D1097" s="118"/>
      <c r="E1097" s="118"/>
      <c r="F1097" s="116" t="s">
        <v>3660</v>
      </c>
      <c r="G1097" t="s">
        <v>1132</v>
      </c>
      <c r="H1097" s="117" t="s">
        <v>260</v>
      </c>
      <c r="I1097" s="117" t="s">
        <v>367</v>
      </c>
    </row>
    <row r="1098" spans="1:9" x14ac:dyDescent="0.25">
      <c r="A1098" t="s">
        <v>3661</v>
      </c>
      <c r="B1098" s="115" t="s">
        <v>3662</v>
      </c>
      <c r="C1098" t="s">
        <v>3663</v>
      </c>
      <c r="D1098" s="118"/>
      <c r="E1098" s="118"/>
      <c r="F1098" s="116" t="s">
        <v>3443</v>
      </c>
      <c r="G1098" t="s">
        <v>3444</v>
      </c>
      <c r="H1098" s="117" t="s">
        <v>165</v>
      </c>
      <c r="I1098" s="117" t="s">
        <v>166</v>
      </c>
    </row>
    <row r="1099" spans="1:9" x14ac:dyDescent="0.25">
      <c r="A1099" t="s">
        <v>3664</v>
      </c>
      <c r="B1099" s="115" t="s">
        <v>3665</v>
      </c>
      <c r="C1099" t="s">
        <v>3666</v>
      </c>
      <c r="D1099" s="118"/>
      <c r="E1099" s="118"/>
      <c r="F1099" s="116" t="s">
        <v>3446</v>
      </c>
      <c r="G1099" t="s">
        <v>3447</v>
      </c>
      <c r="H1099" s="117" t="s">
        <v>165</v>
      </c>
      <c r="I1099" s="117" t="s">
        <v>166</v>
      </c>
    </row>
    <row r="1100" spans="1:9" x14ac:dyDescent="0.25">
      <c r="A1100" t="s">
        <v>3667</v>
      </c>
      <c r="B1100" s="115" t="s">
        <v>3668</v>
      </c>
      <c r="C1100" t="s">
        <v>3669</v>
      </c>
      <c r="D1100" s="118"/>
      <c r="E1100" s="118"/>
      <c r="F1100" s="116" t="s">
        <v>3449</v>
      </c>
      <c r="G1100" t="s">
        <v>3450</v>
      </c>
      <c r="H1100" s="117" t="s">
        <v>220</v>
      </c>
      <c r="I1100" s="117" t="s">
        <v>339</v>
      </c>
    </row>
    <row r="1101" spans="1:9" x14ac:dyDescent="0.25">
      <c r="A1101" t="s">
        <v>3670</v>
      </c>
      <c r="B1101" s="115" t="s">
        <v>3671</v>
      </c>
      <c r="C1101" t="s">
        <v>3672</v>
      </c>
      <c r="D1101" s="118"/>
      <c r="E1101" s="118"/>
      <c r="F1101" s="116" t="s">
        <v>3454</v>
      </c>
      <c r="G1101" t="s">
        <v>3455</v>
      </c>
      <c r="H1101" s="117" t="s">
        <v>194</v>
      </c>
      <c r="I1101" s="117" t="s">
        <v>290</v>
      </c>
    </row>
    <row r="1102" spans="1:9" x14ac:dyDescent="0.25">
      <c r="A1102" t="s">
        <v>3673</v>
      </c>
      <c r="B1102" s="115" t="s">
        <v>3674</v>
      </c>
      <c r="C1102" t="s">
        <v>3675</v>
      </c>
      <c r="D1102" s="118"/>
      <c r="E1102" s="118"/>
      <c r="F1102" s="116" t="s">
        <v>3460</v>
      </c>
      <c r="G1102" t="s">
        <v>3461</v>
      </c>
      <c r="H1102" s="117" t="s">
        <v>160</v>
      </c>
      <c r="I1102" s="117" t="s">
        <v>755</v>
      </c>
    </row>
    <row r="1103" spans="1:9" x14ac:dyDescent="0.25">
      <c r="A1103" t="s">
        <v>3676</v>
      </c>
      <c r="B1103" s="115" t="s">
        <v>3677</v>
      </c>
      <c r="C1103" t="s">
        <v>3676</v>
      </c>
      <c r="D1103" s="118"/>
      <c r="E1103" s="118"/>
      <c r="F1103" s="116" t="s">
        <v>3465</v>
      </c>
      <c r="G1103" t="s">
        <v>3466</v>
      </c>
      <c r="H1103" s="117" t="s">
        <v>170</v>
      </c>
      <c r="I1103" s="117" t="s">
        <v>171</v>
      </c>
    </row>
    <row r="1104" spans="1:9" x14ac:dyDescent="0.25">
      <c r="A1104" t="s">
        <v>3678</v>
      </c>
      <c r="B1104" s="115" t="s">
        <v>3679</v>
      </c>
      <c r="C1104" t="s">
        <v>3680</v>
      </c>
      <c r="D1104" s="118"/>
      <c r="E1104" s="118"/>
      <c r="F1104" s="116" t="s">
        <v>3468</v>
      </c>
      <c r="G1104" t="s">
        <v>3469</v>
      </c>
      <c r="H1104" s="117" t="s">
        <v>170</v>
      </c>
      <c r="I1104" s="117" t="s">
        <v>171</v>
      </c>
    </row>
    <row r="1105" spans="1:9" x14ac:dyDescent="0.25">
      <c r="A1105" t="s">
        <v>3681</v>
      </c>
      <c r="B1105" s="115" t="s">
        <v>3682</v>
      </c>
      <c r="C1105" t="s">
        <v>3683</v>
      </c>
      <c r="D1105" s="118"/>
      <c r="E1105" s="118"/>
      <c r="F1105" s="116" t="s">
        <v>3471</v>
      </c>
      <c r="G1105" t="s">
        <v>3472</v>
      </c>
      <c r="H1105" s="117" t="s">
        <v>194</v>
      </c>
      <c r="I1105" s="117" t="s">
        <v>666</v>
      </c>
    </row>
    <row r="1106" spans="1:9" x14ac:dyDescent="0.25">
      <c r="A1106" t="s">
        <v>3684</v>
      </c>
      <c r="B1106" s="115" t="s">
        <v>3685</v>
      </c>
      <c r="C1106" t="s">
        <v>3686</v>
      </c>
      <c r="D1106" s="118"/>
      <c r="E1106" s="118"/>
      <c r="F1106" s="116" t="s">
        <v>3474</v>
      </c>
      <c r="G1106" t="s">
        <v>3475</v>
      </c>
      <c r="H1106" s="117" t="s">
        <v>170</v>
      </c>
      <c r="I1106" s="117" t="s">
        <v>171</v>
      </c>
    </row>
    <row r="1107" spans="1:9" x14ac:dyDescent="0.25">
      <c r="A1107" t="s">
        <v>3687</v>
      </c>
      <c r="B1107" s="115" t="s">
        <v>3688</v>
      </c>
      <c r="C1107" t="s">
        <v>3689</v>
      </c>
      <c r="D1107" s="118"/>
      <c r="E1107" s="118"/>
      <c r="F1107" s="116" t="s">
        <v>3477</v>
      </c>
      <c r="G1107" t="s">
        <v>3478</v>
      </c>
      <c r="H1107" s="117" t="s">
        <v>220</v>
      </c>
      <c r="I1107" s="117" t="s">
        <v>339</v>
      </c>
    </row>
    <row r="1108" spans="1:9" x14ac:dyDescent="0.25">
      <c r="A1108" t="s">
        <v>3690</v>
      </c>
      <c r="B1108" s="115" t="s">
        <v>3691</v>
      </c>
      <c r="C1108" t="s">
        <v>3692</v>
      </c>
      <c r="D1108" s="118"/>
      <c r="E1108" s="118"/>
      <c r="F1108" s="116" t="s">
        <v>3693</v>
      </c>
      <c r="G1108" t="s">
        <v>3694</v>
      </c>
      <c r="H1108" s="117" t="s">
        <v>100</v>
      </c>
      <c r="I1108" s="117" t="s">
        <v>187</v>
      </c>
    </row>
    <row r="1109" spans="1:9" x14ac:dyDescent="0.25">
      <c r="A1109" t="s">
        <v>3695</v>
      </c>
      <c r="B1109" s="115" t="s">
        <v>3696</v>
      </c>
      <c r="C1109" t="s">
        <v>3697</v>
      </c>
      <c r="D1109" s="118"/>
      <c r="E1109" s="118"/>
      <c r="F1109" s="116" t="s">
        <v>3480</v>
      </c>
      <c r="G1109" t="s">
        <v>3481</v>
      </c>
      <c r="H1109" s="117" t="s">
        <v>194</v>
      </c>
      <c r="I1109" s="117" t="s">
        <v>195</v>
      </c>
    </row>
    <row r="1110" spans="1:9" x14ac:dyDescent="0.25">
      <c r="A1110" t="s">
        <v>3698</v>
      </c>
      <c r="B1110" s="115" t="s">
        <v>3699</v>
      </c>
      <c r="C1110" t="s">
        <v>3700</v>
      </c>
      <c r="D1110" s="118"/>
      <c r="E1110" s="118"/>
      <c r="F1110" s="116" t="s">
        <v>3483</v>
      </c>
      <c r="G1110" t="s">
        <v>3484</v>
      </c>
      <c r="H1110" s="117" t="s">
        <v>260</v>
      </c>
      <c r="I1110" s="117" t="s">
        <v>261</v>
      </c>
    </row>
    <row r="1111" spans="1:9" x14ac:dyDescent="0.25">
      <c r="A1111" t="s">
        <v>3701</v>
      </c>
      <c r="B1111" s="115" t="s">
        <v>3702</v>
      </c>
      <c r="C1111" t="s">
        <v>3703</v>
      </c>
      <c r="D1111" s="118"/>
      <c r="E1111" s="118"/>
      <c r="F1111" s="116" t="s">
        <v>3492</v>
      </c>
      <c r="G1111" t="s">
        <v>3493</v>
      </c>
      <c r="H1111" s="117" t="s">
        <v>160</v>
      </c>
      <c r="I1111" s="117" t="s">
        <v>829</v>
      </c>
    </row>
    <row r="1112" spans="1:9" x14ac:dyDescent="0.25">
      <c r="A1112" t="s">
        <v>3704</v>
      </c>
      <c r="B1112" s="115" t="s">
        <v>3705</v>
      </c>
      <c r="C1112" t="s">
        <v>3706</v>
      </c>
      <c r="D1112" s="118"/>
      <c r="E1112" s="118"/>
      <c r="F1112" s="116" t="s">
        <v>3495</v>
      </c>
      <c r="G1112" t="s">
        <v>3496</v>
      </c>
      <c r="H1112" s="117" t="s">
        <v>260</v>
      </c>
      <c r="I1112" s="117" t="s">
        <v>440</v>
      </c>
    </row>
    <row r="1113" spans="1:9" x14ac:dyDescent="0.25">
      <c r="A1113" t="s">
        <v>3707</v>
      </c>
      <c r="B1113" s="115" t="s">
        <v>3708</v>
      </c>
      <c r="C1113" t="s">
        <v>3707</v>
      </c>
      <c r="D1113" s="118"/>
      <c r="E1113" s="118"/>
      <c r="F1113" s="116" t="s">
        <v>3498</v>
      </c>
      <c r="G1113" t="s">
        <v>3499</v>
      </c>
      <c r="H1113" s="117" t="s">
        <v>165</v>
      </c>
      <c r="I1113" s="117" t="s">
        <v>166</v>
      </c>
    </row>
    <row r="1114" spans="1:9" x14ac:dyDescent="0.25">
      <c r="A1114" t="s">
        <v>3709</v>
      </c>
      <c r="B1114" s="115" t="s">
        <v>3710</v>
      </c>
      <c r="C1114" t="s">
        <v>3711</v>
      </c>
      <c r="D1114" s="118"/>
      <c r="E1114" s="118"/>
      <c r="F1114" s="116" t="s">
        <v>3712</v>
      </c>
      <c r="G1114" t="s">
        <v>3713</v>
      </c>
      <c r="H1114" s="117" t="s">
        <v>160</v>
      </c>
      <c r="I1114" s="117" t="s">
        <v>829</v>
      </c>
    </row>
    <row r="1115" spans="1:9" x14ac:dyDescent="0.25">
      <c r="A1115" t="s">
        <v>3714</v>
      </c>
      <c r="B1115" s="115" t="s">
        <v>3715</v>
      </c>
      <c r="C1115" t="s">
        <v>3714</v>
      </c>
      <c r="D1115" s="118"/>
      <c r="E1115" s="118"/>
      <c r="F1115" s="116" t="s">
        <v>3501</v>
      </c>
      <c r="G1115" t="s">
        <v>3502</v>
      </c>
      <c r="H1115" s="117" t="s">
        <v>260</v>
      </c>
      <c r="I1115" s="117" t="s">
        <v>670</v>
      </c>
    </row>
    <row r="1116" spans="1:9" x14ac:dyDescent="0.25">
      <c r="A1116" t="s">
        <v>3716</v>
      </c>
      <c r="B1116" s="115" t="s">
        <v>3717</v>
      </c>
      <c r="C1116" t="s">
        <v>3718</v>
      </c>
      <c r="D1116" s="118"/>
      <c r="E1116" s="118"/>
      <c r="F1116" s="116" t="s">
        <v>3504</v>
      </c>
      <c r="G1116" t="s">
        <v>3505</v>
      </c>
      <c r="H1116" s="117" t="s">
        <v>220</v>
      </c>
      <c r="I1116" s="117" t="s">
        <v>339</v>
      </c>
    </row>
    <row r="1117" spans="1:9" x14ac:dyDescent="0.25">
      <c r="A1117" t="s">
        <v>3719</v>
      </c>
      <c r="B1117" s="115" t="s">
        <v>3720</v>
      </c>
      <c r="C1117" t="s">
        <v>3719</v>
      </c>
      <c r="D1117" s="118"/>
      <c r="E1117" s="118"/>
      <c r="F1117" s="116" t="s">
        <v>3507</v>
      </c>
      <c r="G1117" t="s">
        <v>3508</v>
      </c>
      <c r="H1117" s="117" t="s">
        <v>260</v>
      </c>
      <c r="I1117" s="117" t="s">
        <v>670</v>
      </c>
    </row>
    <row r="1118" spans="1:9" x14ac:dyDescent="0.25">
      <c r="A1118" t="s">
        <v>3721</v>
      </c>
      <c r="B1118" s="115" t="s">
        <v>3722</v>
      </c>
      <c r="C1118" t="s">
        <v>3723</v>
      </c>
      <c r="D1118" s="118"/>
      <c r="E1118" s="118"/>
      <c r="F1118" s="116" t="s">
        <v>3510</v>
      </c>
      <c r="G1118" t="s">
        <v>3511</v>
      </c>
      <c r="H1118" s="117" t="s">
        <v>220</v>
      </c>
      <c r="I1118" s="117" t="s">
        <v>339</v>
      </c>
    </row>
    <row r="1119" spans="1:9" x14ac:dyDescent="0.25">
      <c r="A1119" t="s">
        <v>3724</v>
      </c>
      <c r="B1119" s="115" t="s">
        <v>3725</v>
      </c>
      <c r="C1119" t="s">
        <v>3726</v>
      </c>
      <c r="D1119" s="118"/>
      <c r="E1119" s="118"/>
      <c r="F1119" s="116" t="s">
        <v>3515</v>
      </c>
      <c r="G1119" t="s">
        <v>3516</v>
      </c>
      <c r="H1119" s="117" t="s">
        <v>105</v>
      </c>
      <c r="I1119" s="117" t="s">
        <v>580</v>
      </c>
    </row>
    <row r="1120" spans="1:9" x14ac:dyDescent="0.25">
      <c r="A1120" t="s">
        <v>3727</v>
      </c>
      <c r="B1120" s="115" t="s">
        <v>3728</v>
      </c>
      <c r="C1120" t="s">
        <v>3729</v>
      </c>
      <c r="D1120" s="118"/>
      <c r="E1120" s="118"/>
      <c r="F1120" s="116" t="s">
        <v>3518</v>
      </c>
      <c r="G1120" t="s">
        <v>3519</v>
      </c>
      <c r="H1120" s="117" t="s">
        <v>328</v>
      </c>
      <c r="I1120" s="117" t="s">
        <v>522</v>
      </c>
    </row>
    <row r="1121" spans="1:9" x14ac:dyDescent="0.25">
      <c r="A1121" t="s">
        <v>3730</v>
      </c>
      <c r="B1121" s="115" t="s">
        <v>3731</v>
      </c>
      <c r="C1121" t="s">
        <v>3732</v>
      </c>
      <c r="D1121" s="118"/>
      <c r="E1121" s="118"/>
      <c r="F1121" s="116" t="s">
        <v>3521</v>
      </c>
      <c r="G1121" t="s">
        <v>522</v>
      </c>
      <c r="H1121" s="117" t="s">
        <v>328</v>
      </c>
      <c r="I1121" s="117" t="s">
        <v>522</v>
      </c>
    </row>
    <row r="1122" spans="1:9" x14ac:dyDescent="0.25">
      <c r="A1122" t="s">
        <v>3733</v>
      </c>
      <c r="B1122" s="115" t="s">
        <v>3734</v>
      </c>
      <c r="C1122" t="s">
        <v>3735</v>
      </c>
      <c r="D1122" s="118"/>
      <c r="E1122" s="118"/>
      <c r="F1122" s="116" t="s">
        <v>3523</v>
      </c>
      <c r="G1122" t="s">
        <v>3524</v>
      </c>
      <c r="H1122" s="117" t="s">
        <v>100</v>
      </c>
      <c r="I1122" s="117" t="s">
        <v>221</v>
      </c>
    </row>
    <row r="1123" spans="1:9" x14ac:dyDescent="0.25">
      <c r="A1123" t="s">
        <v>3736</v>
      </c>
      <c r="B1123" s="115" t="s">
        <v>3737</v>
      </c>
      <c r="C1123" t="s">
        <v>3738</v>
      </c>
      <c r="D1123" s="118"/>
      <c r="E1123" s="118"/>
      <c r="F1123" s="116" t="s">
        <v>3526</v>
      </c>
      <c r="G1123" t="s">
        <v>3527</v>
      </c>
      <c r="H1123" s="117" t="s">
        <v>165</v>
      </c>
      <c r="I1123" s="117" t="s">
        <v>206</v>
      </c>
    </row>
    <row r="1124" spans="1:9" x14ac:dyDescent="0.25">
      <c r="A1124" t="s">
        <v>3739</v>
      </c>
      <c r="B1124" s="115" t="s">
        <v>3740</v>
      </c>
      <c r="C1124" t="s">
        <v>3741</v>
      </c>
      <c r="D1124" s="118"/>
      <c r="E1124" s="118"/>
      <c r="F1124" s="116" t="s">
        <v>3529</v>
      </c>
      <c r="G1124" t="s">
        <v>3530</v>
      </c>
      <c r="H1124" s="117" t="s">
        <v>260</v>
      </c>
      <c r="I1124" s="117" t="s">
        <v>367</v>
      </c>
    </row>
    <row r="1125" spans="1:9" x14ac:dyDescent="0.25">
      <c r="A1125" t="s">
        <v>3742</v>
      </c>
      <c r="B1125" s="115" t="s">
        <v>3743</v>
      </c>
      <c r="C1125" t="s">
        <v>3744</v>
      </c>
      <c r="D1125" s="118"/>
      <c r="E1125" s="118"/>
      <c r="F1125" s="116" t="s">
        <v>3534</v>
      </c>
      <c r="G1125" t="s">
        <v>3535</v>
      </c>
      <c r="H1125" s="117" t="s">
        <v>100</v>
      </c>
      <c r="I1125" s="117" t="s">
        <v>339</v>
      </c>
    </row>
    <row r="1126" spans="1:9" x14ac:dyDescent="0.25">
      <c r="A1126" t="s">
        <v>3745</v>
      </c>
      <c r="B1126" s="115" t="s">
        <v>3746</v>
      </c>
      <c r="C1126" t="s">
        <v>3747</v>
      </c>
      <c r="D1126" s="118"/>
      <c r="E1126" s="118"/>
      <c r="F1126" s="116" t="s">
        <v>3537</v>
      </c>
      <c r="G1126" t="s">
        <v>3538</v>
      </c>
      <c r="H1126" s="117" t="s">
        <v>105</v>
      </c>
      <c r="I1126" s="117" t="s">
        <v>106</v>
      </c>
    </row>
    <row r="1127" spans="1:9" x14ac:dyDescent="0.25">
      <c r="A1127" t="s">
        <v>3748</v>
      </c>
      <c r="B1127" s="115" t="s">
        <v>3749</v>
      </c>
      <c r="C1127" t="s">
        <v>3748</v>
      </c>
      <c r="D1127" s="118"/>
      <c r="E1127" s="118"/>
      <c r="F1127" s="116" t="s">
        <v>3540</v>
      </c>
      <c r="G1127" t="s">
        <v>28</v>
      </c>
      <c r="H1127" s="117" t="s">
        <v>260</v>
      </c>
      <c r="I1127" s="117" t="s">
        <v>261</v>
      </c>
    </row>
    <row r="1128" spans="1:9" x14ac:dyDescent="0.25">
      <c r="A1128" t="s">
        <v>3750</v>
      </c>
      <c r="B1128" s="115" t="s">
        <v>3751</v>
      </c>
      <c r="C1128" t="s">
        <v>3752</v>
      </c>
      <c r="D1128" s="118"/>
      <c r="E1128" s="118"/>
      <c r="F1128" s="116" t="s">
        <v>3542</v>
      </c>
      <c r="G1128" t="s">
        <v>3543</v>
      </c>
      <c r="H1128" s="117" t="s">
        <v>105</v>
      </c>
      <c r="I1128" s="117" t="s">
        <v>174</v>
      </c>
    </row>
    <row r="1129" spans="1:9" x14ac:dyDescent="0.25">
      <c r="A1129" t="s">
        <v>3753</v>
      </c>
      <c r="B1129" s="115" t="s">
        <v>3754</v>
      </c>
      <c r="C1129" t="s">
        <v>3755</v>
      </c>
      <c r="D1129" s="118"/>
      <c r="E1129" s="118"/>
      <c r="F1129" s="116" t="s">
        <v>3756</v>
      </c>
      <c r="G1129" t="s">
        <v>3757</v>
      </c>
      <c r="H1129" s="117" t="s">
        <v>220</v>
      </c>
      <c r="I1129" s="117" t="s">
        <v>221</v>
      </c>
    </row>
    <row r="1130" spans="1:9" x14ac:dyDescent="0.25">
      <c r="A1130" t="s">
        <v>3758</v>
      </c>
      <c r="B1130" s="115" t="s">
        <v>3759</v>
      </c>
      <c r="C1130" t="s">
        <v>3760</v>
      </c>
      <c r="D1130" s="118"/>
      <c r="E1130" s="118"/>
      <c r="F1130" s="116" t="s">
        <v>3547</v>
      </c>
      <c r="G1130" t="s">
        <v>3548</v>
      </c>
      <c r="H1130" s="117" t="s">
        <v>165</v>
      </c>
      <c r="I1130" s="117" t="s">
        <v>206</v>
      </c>
    </row>
    <row r="1131" spans="1:9" x14ac:dyDescent="0.25">
      <c r="A1131" t="s">
        <v>3761</v>
      </c>
      <c r="B1131" s="115" t="s">
        <v>3762</v>
      </c>
      <c r="C1131" t="s">
        <v>3763</v>
      </c>
      <c r="D1131" s="118"/>
      <c r="E1131" s="118"/>
      <c r="F1131" s="116" t="s">
        <v>3550</v>
      </c>
      <c r="G1131" t="s">
        <v>3551</v>
      </c>
      <c r="H1131" s="117" t="s">
        <v>165</v>
      </c>
      <c r="I1131" s="117" t="s">
        <v>206</v>
      </c>
    </row>
    <row r="1132" spans="1:9" x14ac:dyDescent="0.25">
      <c r="A1132" t="s">
        <v>3764</v>
      </c>
      <c r="B1132" s="115" t="s">
        <v>3765</v>
      </c>
      <c r="C1132" t="s">
        <v>3766</v>
      </c>
      <c r="D1132" s="118"/>
      <c r="E1132" s="118"/>
      <c r="F1132" s="116" t="s">
        <v>3553</v>
      </c>
      <c r="G1132" t="s">
        <v>3554</v>
      </c>
      <c r="H1132" s="117" t="s">
        <v>170</v>
      </c>
      <c r="I1132" s="117" t="s">
        <v>171</v>
      </c>
    </row>
    <row r="1133" spans="1:9" x14ac:dyDescent="0.25">
      <c r="A1133" t="s">
        <v>3767</v>
      </c>
      <c r="B1133" s="115" t="s">
        <v>3768</v>
      </c>
      <c r="C1133" t="s">
        <v>3769</v>
      </c>
      <c r="D1133" s="118"/>
      <c r="E1133" s="118"/>
      <c r="F1133" s="116" t="s">
        <v>3556</v>
      </c>
      <c r="G1133" t="s">
        <v>3557</v>
      </c>
      <c r="H1133" s="117" t="s">
        <v>170</v>
      </c>
      <c r="I1133" s="117" t="s">
        <v>202</v>
      </c>
    </row>
    <row r="1134" spans="1:9" x14ac:dyDescent="0.25">
      <c r="A1134" t="s">
        <v>3770</v>
      </c>
      <c r="B1134" s="115" t="s">
        <v>3771</v>
      </c>
      <c r="C1134" t="s">
        <v>3772</v>
      </c>
      <c r="D1134" s="118"/>
      <c r="E1134" s="118"/>
      <c r="F1134" s="116" t="s">
        <v>3559</v>
      </c>
      <c r="G1134" t="s">
        <v>3560</v>
      </c>
      <c r="H1134" s="117" t="s">
        <v>170</v>
      </c>
      <c r="I1134" s="117" t="s">
        <v>202</v>
      </c>
    </row>
    <row r="1135" spans="1:9" x14ac:dyDescent="0.25">
      <c r="A1135" t="s">
        <v>3773</v>
      </c>
      <c r="B1135" s="115" t="s">
        <v>3774</v>
      </c>
      <c r="C1135" t="s">
        <v>3775</v>
      </c>
      <c r="D1135" s="118"/>
      <c r="E1135" s="118"/>
      <c r="F1135" s="116" t="s">
        <v>3562</v>
      </c>
      <c r="G1135" t="s">
        <v>3563</v>
      </c>
      <c r="H1135" s="117" t="s">
        <v>328</v>
      </c>
      <c r="I1135" s="117" t="s">
        <v>522</v>
      </c>
    </row>
    <row r="1136" spans="1:9" x14ac:dyDescent="0.25">
      <c r="A1136" t="s">
        <v>3776</v>
      </c>
      <c r="B1136" s="115" t="s">
        <v>3777</v>
      </c>
      <c r="C1136" t="s">
        <v>3778</v>
      </c>
      <c r="D1136" s="118"/>
      <c r="E1136" s="118"/>
      <c r="F1136" s="116" t="s">
        <v>3566</v>
      </c>
      <c r="G1136" t="s">
        <v>3567</v>
      </c>
      <c r="H1136" s="117" t="s">
        <v>105</v>
      </c>
      <c r="I1136" s="117" t="s">
        <v>127</v>
      </c>
    </row>
    <row r="1137" spans="1:9" x14ac:dyDescent="0.25">
      <c r="A1137" t="s">
        <v>3779</v>
      </c>
      <c r="B1137" s="115" t="s">
        <v>3780</v>
      </c>
      <c r="C1137" t="s">
        <v>3781</v>
      </c>
      <c r="D1137" s="118"/>
      <c r="E1137" s="118"/>
      <c r="F1137" s="116" t="s">
        <v>3571</v>
      </c>
      <c r="G1137" t="s">
        <v>3572</v>
      </c>
      <c r="H1137" s="117" t="s">
        <v>328</v>
      </c>
      <c r="I1137" s="117" t="s">
        <v>796</v>
      </c>
    </row>
    <row r="1138" spans="1:9" x14ac:dyDescent="0.25">
      <c r="A1138" t="s">
        <v>3782</v>
      </c>
      <c r="B1138" s="115" t="s">
        <v>3783</v>
      </c>
      <c r="C1138" t="s">
        <v>3784</v>
      </c>
      <c r="D1138" s="118"/>
      <c r="E1138" s="118"/>
      <c r="F1138" s="116" t="s">
        <v>3574</v>
      </c>
      <c r="G1138" t="s">
        <v>3575</v>
      </c>
      <c r="H1138" s="117" t="s">
        <v>260</v>
      </c>
      <c r="I1138" s="117" t="s">
        <v>440</v>
      </c>
    </row>
    <row r="1139" spans="1:9" x14ac:dyDescent="0.25">
      <c r="A1139" t="s">
        <v>3785</v>
      </c>
      <c r="B1139" s="115" t="s">
        <v>3786</v>
      </c>
      <c r="C1139" t="s">
        <v>3787</v>
      </c>
      <c r="D1139" s="118"/>
      <c r="E1139" s="118"/>
      <c r="F1139" s="116" t="s">
        <v>3577</v>
      </c>
      <c r="G1139" t="s">
        <v>3578</v>
      </c>
      <c r="H1139" s="117" t="s">
        <v>105</v>
      </c>
      <c r="I1139" s="117" t="s">
        <v>174</v>
      </c>
    </row>
    <row r="1140" spans="1:9" x14ac:dyDescent="0.25">
      <c r="A1140" t="s">
        <v>3788</v>
      </c>
      <c r="B1140" s="115" t="s">
        <v>3789</v>
      </c>
      <c r="C1140" t="s">
        <v>3790</v>
      </c>
      <c r="D1140" s="118"/>
      <c r="E1140" s="118"/>
      <c r="F1140" s="116" t="s">
        <v>3580</v>
      </c>
      <c r="G1140" t="s">
        <v>3581</v>
      </c>
      <c r="H1140" s="117" t="s">
        <v>328</v>
      </c>
      <c r="I1140" s="117" t="s">
        <v>295</v>
      </c>
    </row>
    <row r="1141" spans="1:9" x14ac:dyDescent="0.25">
      <c r="A1141" t="s">
        <v>3791</v>
      </c>
      <c r="B1141" s="115" t="s">
        <v>3792</v>
      </c>
      <c r="C1141" t="s">
        <v>3793</v>
      </c>
      <c r="D1141" s="118"/>
      <c r="E1141" s="118"/>
      <c r="F1141" s="116" t="s">
        <v>3586</v>
      </c>
      <c r="G1141" t="s">
        <v>3587</v>
      </c>
      <c r="H1141" s="117" t="s">
        <v>220</v>
      </c>
      <c r="I1141" s="117" t="s">
        <v>339</v>
      </c>
    </row>
    <row r="1142" spans="1:9" x14ac:dyDescent="0.25">
      <c r="A1142" t="s">
        <v>3794</v>
      </c>
      <c r="B1142" s="115" t="s">
        <v>3795</v>
      </c>
      <c r="C1142" t="s">
        <v>3796</v>
      </c>
      <c r="D1142" s="118"/>
      <c r="E1142" s="118"/>
      <c r="F1142" s="116" t="s">
        <v>3589</v>
      </c>
      <c r="G1142" t="s">
        <v>3590</v>
      </c>
      <c r="H1142" s="117" t="s">
        <v>160</v>
      </c>
      <c r="I1142" s="117" t="s">
        <v>161</v>
      </c>
    </row>
    <row r="1143" spans="1:9" x14ac:dyDescent="0.25">
      <c r="A1143" t="s">
        <v>3797</v>
      </c>
      <c r="B1143" s="115" t="s">
        <v>3798</v>
      </c>
      <c r="C1143" t="s">
        <v>3799</v>
      </c>
      <c r="D1143" s="118"/>
      <c r="E1143" s="118"/>
      <c r="F1143" s="116" t="s">
        <v>3592</v>
      </c>
      <c r="G1143" t="s">
        <v>3593</v>
      </c>
      <c r="H1143" s="117" t="s">
        <v>165</v>
      </c>
      <c r="I1143" s="117" t="s">
        <v>166</v>
      </c>
    </row>
    <row r="1144" spans="1:9" x14ac:dyDescent="0.25">
      <c r="A1144" t="s">
        <v>3800</v>
      </c>
      <c r="B1144" s="115" t="s">
        <v>3801</v>
      </c>
      <c r="C1144" t="s">
        <v>3802</v>
      </c>
      <c r="D1144" s="118"/>
      <c r="E1144" s="118"/>
      <c r="F1144" s="116" t="s">
        <v>3595</v>
      </c>
      <c r="G1144" t="s">
        <v>3596</v>
      </c>
      <c r="H1144" s="117" t="s">
        <v>160</v>
      </c>
      <c r="I1144" s="117" t="s">
        <v>755</v>
      </c>
    </row>
    <row r="1145" spans="1:9" x14ac:dyDescent="0.25">
      <c r="A1145" t="s">
        <v>3803</v>
      </c>
      <c r="B1145" s="115" t="s">
        <v>3804</v>
      </c>
      <c r="C1145" t="s">
        <v>3805</v>
      </c>
      <c r="D1145" s="118"/>
      <c r="E1145" s="118"/>
      <c r="F1145" s="116" t="s">
        <v>3806</v>
      </c>
      <c r="G1145" t="s">
        <v>3807</v>
      </c>
      <c r="H1145" s="117" t="s">
        <v>165</v>
      </c>
      <c r="I1145" s="117" t="s">
        <v>166</v>
      </c>
    </row>
    <row r="1146" spans="1:9" x14ac:dyDescent="0.25">
      <c r="A1146" t="s">
        <v>3808</v>
      </c>
      <c r="B1146" s="115" t="s">
        <v>3809</v>
      </c>
      <c r="C1146" t="s">
        <v>3810</v>
      </c>
      <c r="D1146" s="118"/>
      <c r="E1146" s="118"/>
      <c r="F1146" s="116" t="s">
        <v>3811</v>
      </c>
      <c r="G1146" t="s">
        <v>3812</v>
      </c>
      <c r="H1146" s="117" t="s">
        <v>260</v>
      </c>
      <c r="I1146" s="117" t="s">
        <v>440</v>
      </c>
    </row>
    <row r="1147" spans="1:9" x14ac:dyDescent="0.25">
      <c r="A1147" t="s">
        <v>3813</v>
      </c>
      <c r="B1147" s="115" t="s">
        <v>3814</v>
      </c>
      <c r="C1147" t="s">
        <v>3815</v>
      </c>
      <c r="D1147" s="118"/>
      <c r="E1147" s="118"/>
      <c r="F1147" s="116" t="s">
        <v>3816</v>
      </c>
      <c r="G1147" t="s">
        <v>440</v>
      </c>
      <c r="H1147" s="117" t="s">
        <v>260</v>
      </c>
      <c r="I1147" s="117" t="s">
        <v>440</v>
      </c>
    </row>
    <row r="1148" spans="1:9" x14ac:dyDescent="0.25">
      <c r="A1148" t="s">
        <v>3817</v>
      </c>
      <c r="B1148" s="115" t="s">
        <v>3818</v>
      </c>
      <c r="C1148" t="s">
        <v>3819</v>
      </c>
      <c r="D1148" s="118"/>
      <c r="E1148" s="118"/>
      <c r="F1148" s="116" t="s">
        <v>3598</v>
      </c>
      <c r="G1148" t="s">
        <v>3599</v>
      </c>
      <c r="H1148" s="117" t="s">
        <v>260</v>
      </c>
      <c r="I1148" s="117" t="s">
        <v>440</v>
      </c>
    </row>
    <row r="1149" spans="1:9" x14ac:dyDescent="0.25">
      <c r="A1149" t="s">
        <v>3820</v>
      </c>
      <c r="B1149" s="115" t="s">
        <v>3821</v>
      </c>
      <c r="C1149" t="s">
        <v>3822</v>
      </c>
      <c r="D1149" s="118"/>
      <c r="E1149" s="118"/>
      <c r="F1149" s="116" t="s">
        <v>3601</v>
      </c>
      <c r="G1149" t="s">
        <v>3602</v>
      </c>
      <c r="H1149" s="117" t="s">
        <v>170</v>
      </c>
      <c r="I1149" s="117" t="s">
        <v>202</v>
      </c>
    </row>
    <row r="1150" spans="1:9" x14ac:dyDescent="0.25">
      <c r="A1150" t="s">
        <v>3823</v>
      </c>
      <c r="B1150" s="115" t="s">
        <v>3824</v>
      </c>
      <c r="C1150" t="s">
        <v>3825</v>
      </c>
      <c r="D1150" s="118"/>
      <c r="E1150" s="118"/>
      <c r="F1150" s="116" t="s">
        <v>3826</v>
      </c>
      <c r="G1150" t="s">
        <v>3827</v>
      </c>
      <c r="H1150" s="117" t="s">
        <v>170</v>
      </c>
      <c r="I1150" s="117" t="s">
        <v>202</v>
      </c>
    </row>
    <row r="1151" spans="1:9" x14ac:dyDescent="0.25">
      <c r="A1151" t="s">
        <v>3828</v>
      </c>
      <c r="B1151" s="115" t="s">
        <v>3829</v>
      </c>
      <c r="C1151" t="s">
        <v>3830</v>
      </c>
      <c r="D1151" s="118"/>
      <c r="E1151" s="118"/>
      <c r="F1151" s="116" t="s">
        <v>3609</v>
      </c>
      <c r="G1151" t="s">
        <v>339</v>
      </c>
      <c r="H1151" s="117" t="s">
        <v>294</v>
      </c>
      <c r="I1151" s="117" t="s">
        <v>339</v>
      </c>
    </row>
    <row r="1152" spans="1:9" x14ac:dyDescent="0.25">
      <c r="A1152" t="s">
        <v>3831</v>
      </c>
      <c r="B1152" s="115" t="s">
        <v>3832</v>
      </c>
      <c r="C1152" t="s">
        <v>3833</v>
      </c>
      <c r="D1152" s="118"/>
      <c r="E1152" s="118"/>
      <c r="F1152" s="116" t="s">
        <v>3611</v>
      </c>
      <c r="G1152" t="s">
        <v>3612</v>
      </c>
      <c r="H1152" s="117" t="s">
        <v>220</v>
      </c>
      <c r="I1152" s="117" t="s">
        <v>221</v>
      </c>
    </row>
    <row r="1153" spans="1:9" x14ac:dyDescent="0.25">
      <c r="A1153" t="s">
        <v>3834</v>
      </c>
      <c r="B1153" s="115" t="s">
        <v>3835</v>
      </c>
      <c r="C1153" t="s">
        <v>3836</v>
      </c>
      <c r="D1153" s="118"/>
      <c r="E1153" s="118"/>
      <c r="F1153" s="116" t="s">
        <v>3614</v>
      </c>
      <c r="G1153" t="s">
        <v>101</v>
      </c>
      <c r="H1153" s="117" t="s">
        <v>100</v>
      </c>
      <c r="I1153" s="117" t="s">
        <v>101</v>
      </c>
    </row>
    <row r="1154" spans="1:9" x14ac:dyDescent="0.25">
      <c r="A1154" t="s">
        <v>3837</v>
      </c>
      <c r="B1154" s="115" t="s">
        <v>3838</v>
      </c>
      <c r="C1154" t="s">
        <v>3839</v>
      </c>
      <c r="D1154" s="118"/>
      <c r="E1154" s="118"/>
      <c r="F1154" s="116" t="s">
        <v>3840</v>
      </c>
      <c r="G1154" t="s">
        <v>3841</v>
      </c>
      <c r="H1154" s="117" t="s">
        <v>100</v>
      </c>
      <c r="I1154" s="117" t="s">
        <v>101</v>
      </c>
    </row>
    <row r="1155" spans="1:9" x14ac:dyDescent="0.25">
      <c r="A1155" t="s">
        <v>3842</v>
      </c>
      <c r="B1155" s="115" t="s">
        <v>3843</v>
      </c>
      <c r="C1155" t="s">
        <v>3844</v>
      </c>
      <c r="D1155" s="118"/>
      <c r="E1155" s="118"/>
      <c r="F1155" s="116" t="s">
        <v>3845</v>
      </c>
      <c r="G1155" t="s">
        <v>3846</v>
      </c>
      <c r="H1155" s="117" t="s">
        <v>100</v>
      </c>
      <c r="I1155" s="117" t="s">
        <v>101</v>
      </c>
    </row>
    <row r="1156" spans="1:9" x14ac:dyDescent="0.25">
      <c r="A1156" t="s">
        <v>3847</v>
      </c>
      <c r="B1156" s="115" t="s">
        <v>988</v>
      </c>
      <c r="C1156" t="s">
        <v>3848</v>
      </c>
      <c r="D1156" s="118"/>
      <c r="E1156" s="118"/>
      <c r="F1156" s="116" t="s">
        <v>3616</v>
      </c>
      <c r="G1156" t="s">
        <v>3617</v>
      </c>
      <c r="H1156" s="117" t="s">
        <v>220</v>
      </c>
      <c r="I1156" s="117" t="s">
        <v>339</v>
      </c>
    </row>
    <row r="1157" spans="1:9" x14ac:dyDescent="0.25">
      <c r="A1157" t="s">
        <v>3849</v>
      </c>
      <c r="B1157" s="115" t="s">
        <v>3850</v>
      </c>
      <c r="C1157" t="s">
        <v>3851</v>
      </c>
      <c r="D1157" s="118"/>
      <c r="E1157" s="118"/>
      <c r="F1157" s="116" t="s">
        <v>3852</v>
      </c>
      <c r="G1157" t="s">
        <v>3853</v>
      </c>
      <c r="H1157" s="117" t="s">
        <v>220</v>
      </c>
      <c r="I1157" s="117" t="s">
        <v>339</v>
      </c>
    </row>
    <row r="1158" spans="1:9" x14ac:dyDescent="0.25">
      <c r="A1158" t="s">
        <v>3854</v>
      </c>
      <c r="B1158" s="115" t="s">
        <v>3855</v>
      </c>
      <c r="C1158" t="s">
        <v>3854</v>
      </c>
      <c r="D1158" s="118"/>
      <c r="E1158" s="118"/>
      <c r="F1158" s="116" t="s">
        <v>3619</v>
      </c>
      <c r="G1158" t="s">
        <v>3620</v>
      </c>
      <c r="H1158" s="117" t="s">
        <v>194</v>
      </c>
      <c r="I1158" s="117" t="s">
        <v>290</v>
      </c>
    </row>
    <row r="1159" spans="1:9" x14ac:dyDescent="0.25">
      <c r="A1159" t="s">
        <v>3856</v>
      </c>
      <c r="B1159" s="115" t="s">
        <v>3857</v>
      </c>
      <c r="C1159" t="s">
        <v>3858</v>
      </c>
      <c r="D1159" s="118"/>
      <c r="E1159" s="118"/>
      <c r="F1159" s="116" t="s">
        <v>3622</v>
      </c>
      <c r="G1159" t="s">
        <v>3623</v>
      </c>
      <c r="H1159" s="117" t="s">
        <v>194</v>
      </c>
      <c r="I1159" s="117" t="s">
        <v>195</v>
      </c>
    </row>
    <row r="1160" spans="1:9" x14ac:dyDescent="0.25">
      <c r="A1160" t="s">
        <v>3859</v>
      </c>
      <c r="B1160" s="115" t="s">
        <v>3860</v>
      </c>
      <c r="C1160" t="s">
        <v>3861</v>
      </c>
      <c r="D1160" s="118"/>
      <c r="E1160" s="118"/>
      <c r="F1160" s="116" t="s">
        <v>3862</v>
      </c>
      <c r="G1160" t="s">
        <v>3863</v>
      </c>
      <c r="H1160" s="117" t="s">
        <v>115</v>
      </c>
      <c r="I1160" s="117" t="s">
        <v>3864</v>
      </c>
    </row>
    <row r="1161" spans="1:9" x14ac:dyDescent="0.25">
      <c r="A1161" t="s">
        <v>3865</v>
      </c>
      <c r="B1161" s="115" t="s">
        <v>3866</v>
      </c>
      <c r="C1161" t="s">
        <v>3867</v>
      </c>
      <c r="D1161" s="118"/>
      <c r="E1161" s="118"/>
      <c r="F1161" s="116" t="s">
        <v>3628</v>
      </c>
      <c r="G1161" t="s">
        <v>3629</v>
      </c>
      <c r="H1161" s="117" t="s">
        <v>115</v>
      </c>
      <c r="I1161" s="117" t="s">
        <v>116</v>
      </c>
    </row>
    <row r="1162" spans="1:9" x14ac:dyDescent="0.25">
      <c r="A1162" t="s">
        <v>3868</v>
      </c>
      <c r="B1162" s="115" t="s">
        <v>3869</v>
      </c>
      <c r="C1162" t="s">
        <v>3870</v>
      </c>
      <c r="D1162" s="118"/>
      <c r="E1162" s="118"/>
      <c r="F1162" s="116" t="s">
        <v>3636</v>
      </c>
      <c r="G1162" t="s">
        <v>3637</v>
      </c>
      <c r="H1162" s="117" t="s">
        <v>115</v>
      </c>
      <c r="I1162" s="117" t="s">
        <v>116</v>
      </c>
    </row>
    <row r="1163" spans="1:9" x14ac:dyDescent="0.25">
      <c r="A1163" t="s">
        <v>3871</v>
      </c>
      <c r="B1163" s="115" t="s">
        <v>3872</v>
      </c>
      <c r="C1163" t="s">
        <v>3873</v>
      </c>
      <c r="D1163" s="118"/>
      <c r="E1163" s="118"/>
      <c r="F1163" s="116" t="s">
        <v>3642</v>
      </c>
      <c r="G1163" t="s">
        <v>3643</v>
      </c>
      <c r="H1163" s="117" t="s">
        <v>160</v>
      </c>
      <c r="I1163" s="117" t="s">
        <v>487</v>
      </c>
    </row>
    <row r="1164" spans="1:9" x14ac:dyDescent="0.25">
      <c r="A1164" t="s">
        <v>3874</v>
      </c>
      <c r="B1164" s="115" t="s">
        <v>3875</v>
      </c>
      <c r="C1164" t="s">
        <v>3876</v>
      </c>
      <c r="D1164" s="118"/>
      <c r="E1164" s="118"/>
      <c r="F1164" s="116" t="s">
        <v>3877</v>
      </c>
      <c r="G1164" t="s">
        <v>3878</v>
      </c>
      <c r="H1164" s="117" t="s">
        <v>100</v>
      </c>
      <c r="I1164" s="117" t="s">
        <v>187</v>
      </c>
    </row>
    <row r="1165" spans="1:9" x14ac:dyDescent="0.25">
      <c r="A1165" t="s">
        <v>3879</v>
      </c>
      <c r="B1165" s="115" t="s">
        <v>3880</v>
      </c>
      <c r="C1165" t="s">
        <v>3881</v>
      </c>
      <c r="D1165" s="118"/>
      <c r="E1165" s="118"/>
      <c r="F1165" s="116" t="s">
        <v>3664</v>
      </c>
      <c r="G1165" t="s">
        <v>3665</v>
      </c>
      <c r="H1165" s="117" t="s">
        <v>260</v>
      </c>
      <c r="I1165" s="117" t="s">
        <v>440</v>
      </c>
    </row>
    <row r="1166" spans="1:9" x14ac:dyDescent="0.25">
      <c r="A1166" t="s">
        <v>3882</v>
      </c>
      <c r="B1166" s="115" t="s">
        <v>3883</v>
      </c>
      <c r="C1166" t="s">
        <v>3884</v>
      </c>
      <c r="D1166" s="118"/>
      <c r="E1166" s="118"/>
      <c r="F1166" s="116" t="s">
        <v>3667</v>
      </c>
      <c r="G1166" t="s">
        <v>3668</v>
      </c>
      <c r="H1166" s="117" t="s">
        <v>115</v>
      </c>
      <c r="I1166" s="117" t="s">
        <v>276</v>
      </c>
    </row>
    <row r="1167" spans="1:9" x14ac:dyDescent="0.25">
      <c r="A1167" t="s">
        <v>3885</v>
      </c>
      <c r="B1167" s="115" t="s">
        <v>3886</v>
      </c>
      <c r="C1167" t="s">
        <v>3887</v>
      </c>
      <c r="D1167" s="118"/>
      <c r="E1167" s="118"/>
      <c r="F1167" s="116" t="s">
        <v>3670</v>
      </c>
      <c r="G1167" t="s">
        <v>3671</v>
      </c>
      <c r="H1167" s="117" t="s">
        <v>105</v>
      </c>
      <c r="I1167" s="117" t="s">
        <v>280</v>
      </c>
    </row>
    <row r="1168" spans="1:9" x14ac:dyDescent="0.25">
      <c r="A1168" t="s">
        <v>3888</v>
      </c>
      <c r="B1168" s="115" t="s">
        <v>3889</v>
      </c>
      <c r="C1168" t="s">
        <v>3890</v>
      </c>
      <c r="D1168" s="118"/>
      <c r="E1168" s="118"/>
      <c r="F1168" s="116" t="s">
        <v>3673</v>
      </c>
      <c r="G1168" t="s">
        <v>3674</v>
      </c>
      <c r="H1168" s="117" t="s">
        <v>105</v>
      </c>
      <c r="I1168" s="117" t="s">
        <v>127</v>
      </c>
    </row>
    <row r="1169" spans="1:9" x14ac:dyDescent="0.25">
      <c r="A1169" t="s">
        <v>3891</v>
      </c>
      <c r="B1169" s="115" t="s">
        <v>3892</v>
      </c>
      <c r="C1169" t="s">
        <v>3893</v>
      </c>
      <c r="D1169" s="118"/>
      <c r="E1169" s="118"/>
      <c r="F1169" s="116" t="s">
        <v>3676</v>
      </c>
      <c r="G1169" t="s">
        <v>3677</v>
      </c>
      <c r="H1169" s="117" t="s">
        <v>105</v>
      </c>
      <c r="I1169" s="117" t="s">
        <v>106</v>
      </c>
    </row>
    <row r="1170" spans="1:9" x14ac:dyDescent="0.25">
      <c r="A1170" t="s">
        <v>3894</v>
      </c>
      <c r="B1170" s="115" t="s">
        <v>3895</v>
      </c>
      <c r="C1170" t="s">
        <v>3896</v>
      </c>
      <c r="D1170" s="118"/>
      <c r="E1170" s="118"/>
      <c r="F1170" s="116" t="s">
        <v>3897</v>
      </c>
      <c r="G1170" t="s">
        <v>3898</v>
      </c>
      <c r="H1170" s="117" t="s">
        <v>165</v>
      </c>
      <c r="I1170" s="117" t="s">
        <v>166</v>
      </c>
    </row>
    <row r="1171" spans="1:9" x14ac:dyDescent="0.25">
      <c r="A1171" t="s">
        <v>3899</v>
      </c>
      <c r="B1171" s="115" t="s">
        <v>3900</v>
      </c>
      <c r="C1171" t="s">
        <v>3899</v>
      </c>
      <c r="D1171" s="118"/>
      <c r="E1171" s="118"/>
      <c r="F1171" s="116" t="s">
        <v>3901</v>
      </c>
      <c r="G1171" t="s">
        <v>3902</v>
      </c>
      <c r="H1171" s="117" t="s">
        <v>100</v>
      </c>
      <c r="I1171" s="117" t="s">
        <v>339</v>
      </c>
    </row>
    <row r="1172" spans="1:9" x14ac:dyDescent="0.25">
      <c r="A1172" t="s">
        <v>3903</v>
      </c>
      <c r="B1172" s="115" t="s">
        <v>3904</v>
      </c>
      <c r="C1172" t="s">
        <v>3905</v>
      </c>
      <c r="D1172" s="118"/>
      <c r="E1172" s="118"/>
      <c r="F1172" s="116" t="s">
        <v>3906</v>
      </c>
      <c r="G1172" t="s">
        <v>3907</v>
      </c>
      <c r="H1172" s="117" t="s">
        <v>160</v>
      </c>
      <c r="I1172" s="117" t="s">
        <v>704</v>
      </c>
    </row>
    <row r="1173" spans="1:9" x14ac:dyDescent="0.25">
      <c r="A1173" t="s">
        <v>3908</v>
      </c>
      <c r="B1173" s="115" t="s">
        <v>3909</v>
      </c>
      <c r="C1173" t="s">
        <v>3910</v>
      </c>
      <c r="D1173" s="118"/>
      <c r="E1173" s="118"/>
      <c r="F1173" s="116" t="s">
        <v>3678</v>
      </c>
      <c r="G1173" t="s">
        <v>3679</v>
      </c>
      <c r="H1173" s="117" t="s">
        <v>160</v>
      </c>
      <c r="I1173" s="117" t="s">
        <v>704</v>
      </c>
    </row>
    <row r="1174" spans="1:9" x14ac:dyDescent="0.25">
      <c r="A1174" t="s">
        <v>3911</v>
      </c>
      <c r="B1174" s="115" t="s">
        <v>3912</v>
      </c>
      <c r="C1174" t="s">
        <v>3913</v>
      </c>
      <c r="D1174" s="118"/>
      <c r="E1174" s="118"/>
      <c r="F1174" s="116" t="s">
        <v>3681</v>
      </c>
      <c r="G1174" t="s">
        <v>3682</v>
      </c>
      <c r="H1174" s="117" t="s">
        <v>160</v>
      </c>
      <c r="I1174" s="117" t="s">
        <v>704</v>
      </c>
    </row>
    <row r="1175" spans="1:9" x14ac:dyDescent="0.25">
      <c r="A1175" t="s">
        <v>3914</v>
      </c>
      <c r="B1175" s="115" t="s">
        <v>3915</v>
      </c>
      <c r="C1175" t="s">
        <v>3916</v>
      </c>
      <c r="D1175" s="118"/>
      <c r="E1175" s="118"/>
      <c r="F1175" s="116" t="s">
        <v>3684</v>
      </c>
      <c r="G1175" t="s">
        <v>3685</v>
      </c>
      <c r="H1175" s="117" t="s">
        <v>165</v>
      </c>
      <c r="I1175" s="117" t="s">
        <v>166</v>
      </c>
    </row>
    <row r="1176" spans="1:9" x14ac:dyDescent="0.25">
      <c r="A1176" t="s">
        <v>3917</v>
      </c>
      <c r="B1176" s="115" t="s">
        <v>3918</v>
      </c>
      <c r="C1176" t="s">
        <v>3919</v>
      </c>
      <c r="D1176" s="118"/>
      <c r="E1176" s="118"/>
      <c r="F1176" s="116" t="s">
        <v>3920</v>
      </c>
      <c r="G1176" t="s">
        <v>3921</v>
      </c>
      <c r="H1176" s="117" t="s">
        <v>160</v>
      </c>
      <c r="I1176" s="117" t="s">
        <v>704</v>
      </c>
    </row>
    <row r="1177" spans="1:9" x14ac:dyDescent="0.25">
      <c r="A1177" t="s">
        <v>3922</v>
      </c>
      <c r="B1177" s="115" t="s">
        <v>3923</v>
      </c>
      <c r="C1177" t="s">
        <v>3924</v>
      </c>
      <c r="D1177" s="118"/>
      <c r="E1177" s="118"/>
      <c r="F1177" s="116" t="s">
        <v>3925</v>
      </c>
      <c r="G1177" t="s">
        <v>3688</v>
      </c>
      <c r="H1177" s="117" t="s">
        <v>170</v>
      </c>
      <c r="I1177" s="117" t="s">
        <v>171</v>
      </c>
    </row>
    <row r="1178" spans="1:9" x14ac:dyDescent="0.25">
      <c r="A1178" t="s">
        <v>3926</v>
      </c>
      <c r="B1178" s="115" t="s">
        <v>3927</v>
      </c>
      <c r="C1178" t="s">
        <v>3928</v>
      </c>
      <c r="D1178" s="118"/>
      <c r="E1178" s="118"/>
      <c r="F1178" s="116" t="s">
        <v>3690</v>
      </c>
      <c r="G1178" t="s">
        <v>3691</v>
      </c>
      <c r="H1178" s="117" t="s">
        <v>105</v>
      </c>
      <c r="I1178" s="117" t="s">
        <v>127</v>
      </c>
    </row>
    <row r="1179" spans="1:9" x14ac:dyDescent="0.25">
      <c r="A1179" t="s">
        <v>3929</v>
      </c>
      <c r="B1179" s="115" t="s">
        <v>3930</v>
      </c>
      <c r="C1179" t="s">
        <v>3931</v>
      </c>
      <c r="D1179" s="118"/>
      <c r="E1179" s="118"/>
      <c r="F1179" s="116" t="s">
        <v>3695</v>
      </c>
      <c r="G1179" t="s">
        <v>3696</v>
      </c>
      <c r="H1179" s="117" t="s">
        <v>328</v>
      </c>
      <c r="I1179" s="117" t="s">
        <v>522</v>
      </c>
    </row>
    <row r="1180" spans="1:9" x14ac:dyDescent="0.25">
      <c r="A1180" t="s">
        <v>3932</v>
      </c>
      <c r="B1180" s="115" t="s">
        <v>3933</v>
      </c>
      <c r="C1180" t="s">
        <v>3934</v>
      </c>
      <c r="D1180" s="118"/>
      <c r="E1180" s="118"/>
      <c r="F1180" s="116" t="s">
        <v>3698</v>
      </c>
      <c r="G1180" t="s">
        <v>3699</v>
      </c>
      <c r="H1180" s="117" t="s">
        <v>100</v>
      </c>
      <c r="I1180" s="117" t="s">
        <v>339</v>
      </c>
    </row>
    <row r="1181" spans="1:9" x14ac:dyDescent="0.25">
      <c r="A1181" t="s">
        <v>3935</v>
      </c>
      <c r="B1181" s="115" t="s">
        <v>3936</v>
      </c>
      <c r="C1181" t="s">
        <v>3937</v>
      </c>
      <c r="D1181" s="118"/>
      <c r="E1181" s="118"/>
      <c r="F1181" s="116" t="s">
        <v>3938</v>
      </c>
      <c r="G1181" t="s">
        <v>3939</v>
      </c>
      <c r="H1181" s="117" t="s">
        <v>160</v>
      </c>
      <c r="I1181" s="117" t="s">
        <v>161</v>
      </c>
    </row>
    <row r="1182" spans="1:9" x14ac:dyDescent="0.25">
      <c r="A1182" t="s">
        <v>3940</v>
      </c>
      <c r="B1182" s="115" t="s">
        <v>3941</v>
      </c>
      <c r="C1182" t="s">
        <v>3942</v>
      </c>
      <c r="D1182" s="118"/>
      <c r="E1182" s="118"/>
      <c r="F1182" s="116" t="s">
        <v>3701</v>
      </c>
      <c r="G1182" t="s">
        <v>3702</v>
      </c>
      <c r="H1182" s="117" t="s">
        <v>160</v>
      </c>
      <c r="I1182" s="117" t="s">
        <v>161</v>
      </c>
    </row>
    <row r="1183" spans="1:9" x14ac:dyDescent="0.25">
      <c r="A1183" t="s">
        <v>3943</v>
      </c>
      <c r="B1183" s="115" t="s">
        <v>3944</v>
      </c>
      <c r="C1183" t="s">
        <v>3945</v>
      </c>
      <c r="D1183" s="118"/>
      <c r="E1183" s="118"/>
      <c r="F1183" s="116" t="s">
        <v>3704</v>
      </c>
      <c r="G1183" t="s">
        <v>3705</v>
      </c>
      <c r="H1183" s="117" t="s">
        <v>160</v>
      </c>
      <c r="I1183" s="117" t="s">
        <v>387</v>
      </c>
    </row>
    <row r="1184" spans="1:9" x14ac:dyDescent="0.25">
      <c r="A1184" t="s">
        <v>3946</v>
      </c>
      <c r="B1184" s="115" t="s">
        <v>3864</v>
      </c>
      <c r="C1184" t="s">
        <v>3946</v>
      </c>
      <c r="D1184" s="118"/>
      <c r="E1184" s="118"/>
      <c r="F1184" s="116" t="s">
        <v>3707</v>
      </c>
      <c r="G1184" t="s">
        <v>3708</v>
      </c>
      <c r="H1184" s="117" t="s">
        <v>105</v>
      </c>
      <c r="I1184" s="117" t="s">
        <v>580</v>
      </c>
    </row>
    <row r="1185" spans="1:9" x14ac:dyDescent="0.25">
      <c r="A1185" t="s">
        <v>3947</v>
      </c>
      <c r="B1185" s="115" t="s">
        <v>3948</v>
      </c>
      <c r="C1185" t="s">
        <v>3949</v>
      </c>
      <c r="D1185" s="118"/>
      <c r="E1185" s="118"/>
      <c r="F1185" s="116" t="s">
        <v>3950</v>
      </c>
      <c r="G1185" t="s">
        <v>3710</v>
      </c>
      <c r="H1185" s="117" t="s">
        <v>260</v>
      </c>
      <c r="I1185" s="117" t="s">
        <v>440</v>
      </c>
    </row>
    <row r="1186" spans="1:9" x14ac:dyDescent="0.25">
      <c r="A1186" t="s">
        <v>3951</v>
      </c>
      <c r="B1186" s="115" t="s">
        <v>3952</v>
      </c>
      <c r="C1186" t="s">
        <v>3953</v>
      </c>
      <c r="D1186" s="118"/>
      <c r="E1186" s="118"/>
      <c r="F1186" s="116" t="s">
        <v>3714</v>
      </c>
      <c r="G1186" t="s">
        <v>3715</v>
      </c>
      <c r="H1186" s="117" t="s">
        <v>160</v>
      </c>
      <c r="I1186" s="117" t="s">
        <v>161</v>
      </c>
    </row>
    <row r="1187" spans="1:9" x14ac:dyDescent="0.25">
      <c r="A1187" t="s">
        <v>3954</v>
      </c>
      <c r="B1187" s="115" t="s">
        <v>3955</v>
      </c>
      <c r="C1187" t="s">
        <v>3956</v>
      </c>
      <c r="D1187" s="118"/>
      <c r="E1187" s="118"/>
      <c r="F1187" s="116" t="s">
        <v>3716</v>
      </c>
      <c r="G1187" t="s">
        <v>3717</v>
      </c>
      <c r="H1187" s="117" t="s">
        <v>260</v>
      </c>
      <c r="I1187" s="117" t="s">
        <v>440</v>
      </c>
    </row>
    <row r="1188" spans="1:9" x14ac:dyDescent="0.25">
      <c r="A1188" t="s">
        <v>3957</v>
      </c>
      <c r="B1188" s="115" t="s">
        <v>3958</v>
      </c>
      <c r="C1188" t="s">
        <v>3959</v>
      </c>
      <c r="D1188" s="118"/>
      <c r="E1188" s="118"/>
      <c r="F1188" s="116" t="s">
        <v>3719</v>
      </c>
      <c r="G1188" t="s">
        <v>3720</v>
      </c>
      <c r="H1188" s="117" t="s">
        <v>170</v>
      </c>
      <c r="I1188" s="117" t="s">
        <v>171</v>
      </c>
    </row>
    <row r="1189" spans="1:9" x14ac:dyDescent="0.25">
      <c r="A1189" t="s">
        <v>3960</v>
      </c>
      <c r="B1189" s="115" t="s">
        <v>3961</v>
      </c>
      <c r="C1189" t="s">
        <v>3962</v>
      </c>
      <c r="D1189" s="118"/>
      <c r="E1189" s="118"/>
      <c r="F1189" s="116" t="s">
        <v>3721</v>
      </c>
      <c r="G1189" t="s">
        <v>3722</v>
      </c>
      <c r="H1189" s="117" t="s">
        <v>260</v>
      </c>
      <c r="I1189" s="117" t="s">
        <v>432</v>
      </c>
    </row>
    <row r="1190" spans="1:9" x14ac:dyDescent="0.25">
      <c r="A1190" t="s">
        <v>3963</v>
      </c>
      <c r="B1190" s="115" t="s">
        <v>3964</v>
      </c>
      <c r="C1190" t="s">
        <v>3965</v>
      </c>
      <c r="D1190" s="118"/>
      <c r="E1190" s="118"/>
      <c r="F1190" s="116" t="s">
        <v>3966</v>
      </c>
      <c r="G1190" t="s">
        <v>3967</v>
      </c>
      <c r="H1190" s="117" t="s">
        <v>328</v>
      </c>
      <c r="I1190" s="117" t="s">
        <v>295</v>
      </c>
    </row>
    <row r="1191" spans="1:9" x14ac:dyDescent="0.25">
      <c r="A1191" t="s">
        <v>3968</v>
      </c>
      <c r="B1191" s="115" t="s">
        <v>3969</v>
      </c>
      <c r="C1191" t="s">
        <v>3970</v>
      </c>
      <c r="D1191" s="118"/>
      <c r="E1191" s="118"/>
      <c r="F1191" s="116" t="s">
        <v>3971</v>
      </c>
      <c r="G1191" t="s">
        <v>3972</v>
      </c>
      <c r="H1191" s="117" t="s">
        <v>170</v>
      </c>
      <c r="I1191" s="117" t="s">
        <v>202</v>
      </c>
    </row>
    <row r="1192" spans="1:9" x14ac:dyDescent="0.25">
      <c r="A1192" t="s">
        <v>3973</v>
      </c>
      <c r="B1192" s="115" t="s">
        <v>3974</v>
      </c>
      <c r="C1192" t="s">
        <v>3975</v>
      </c>
      <c r="D1192" s="118"/>
      <c r="E1192" s="118"/>
      <c r="F1192" s="116" t="s">
        <v>3727</v>
      </c>
      <c r="G1192" t="s">
        <v>3728</v>
      </c>
      <c r="H1192" s="117" t="s">
        <v>160</v>
      </c>
      <c r="I1192" s="117" t="s">
        <v>161</v>
      </c>
    </row>
    <row r="1193" spans="1:9" x14ac:dyDescent="0.25">
      <c r="A1193" t="s">
        <v>3976</v>
      </c>
      <c r="B1193" s="115" t="s">
        <v>3977</v>
      </c>
      <c r="C1193" t="s">
        <v>3978</v>
      </c>
      <c r="D1193" s="118"/>
      <c r="E1193" s="118"/>
      <c r="F1193" s="116" t="s">
        <v>3730</v>
      </c>
      <c r="G1193" t="s">
        <v>3731</v>
      </c>
      <c r="H1193" s="117" t="s">
        <v>220</v>
      </c>
      <c r="I1193" s="117" t="s">
        <v>221</v>
      </c>
    </row>
    <row r="1194" spans="1:9" x14ac:dyDescent="0.25">
      <c r="A1194" t="s">
        <v>3979</v>
      </c>
      <c r="B1194" s="115" t="s">
        <v>3980</v>
      </c>
      <c r="C1194" t="s">
        <v>3981</v>
      </c>
      <c r="D1194" s="118"/>
      <c r="E1194" s="118"/>
      <c r="F1194" s="116" t="s">
        <v>3736</v>
      </c>
      <c r="G1194" t="s">
        <v>3737</v>
      </c>
      <c r="H1194" s="117" t="s">
        <v>170</v>
      </c>
      <c r="I1194" s="117" t="s">
        <v>202</v>
      </c>
    </row>
    <row r="1195" spans="1:9" x14ac:dyDescent="0.25">
      <c r="A1195" t="s">
        <v>3982</v>
      </c>
      <c r="B1195" s="115" t="s">
        <v>3983</v>
      </c>
      <c r="C1195" t="s">
        <v>3984</v>
      </c>
      <c r="D1195" s="118"/>
      <c r="E1195" s="118"/>
      <c r="F1195" s="116" t="s">
        <v>3739</v>
      </c>
      <c r="G1195" t="s">
        <v>3740</v>
      </c>
      <c r="H1195" s="117" t="s">
        <v>170</v>
      </c>
      <c r="I1195" s="117" t="s">
        <v>202</v>
      </c>
    </row>
    <row r="1196" spans="1:9" x14ac:dyDescent="0.25">
      <c r="A1196" t="s">
        <v>3985</v>
      </c>
      <c r="B1196" s="115" t="s">
        <v>3986</v>
      </c>
      <c r="C1196" t="s">
        <v>3987</v>
      </c>
      <c r="D1196" s="118"/>
      <c r="E1196" s="118"/>
      <c r="F1196" s="116" t="s">
        <v>3742</v>
      </c>
      <c r="G1196" t="s">
        <v>3743</v>
      </c>
      <c r="H1196" s="117" t="s">
        <v>160</v>
      </c>
      <c r="I1196" s="117" t="s">
        <v>387</v>
      </c>
    </row>
    <row r="1197" spans="1:9" x14ac:dyDescent="0.25">
      <c r="A1197" t="s">
        <v>3988</v>
      </c>
      <c r="B1197" s="115" t="s">
        <v>3989</v>
      </c>
      <c r="C1197" t="s">
        <v>3990</v>
      </c>
      <c r="D1197" s="118"/>
      <c r="E1197" s="118"/>
      <c r="F1197" s="116" t="s">
        <v>3745</v>
      </c>
      <c r="G1197" t="s">
        <v>3746</v>
      </c>
      <c r="H1197" s="117" t="s">
        <v>328</v>
      </c>
      <c r="I1197" s="117" t="s">
        <v>1616</v>
      </c>
    </row>
    <row r="1198" spans="1:9" x14ac:dyDescent="0.25">
      <c r="A1198" t="s">
        <v>3991</v>
      </c>
      <c r="B1198" s="115" t="s">
        <v>3992</v>
      </c>
      <c r="C1198" t="s">
        <v>3993</v>
      </c>
      <c r="D1198" s="118"/>
      <c r="E1198" s="118"/>
      <c r="F1198" s="116" t="s">
        <v>3748</v>
      </c>
      <c r="G1198" t="s">
        <v>3749</v>
      </c>
      <c r="H1198" s="117" t="s">
        <v>115</v>
      </c>
      <c r="I1198" s="117" t="s">
        <v>116</v>
      </c>
    </row>
    <row r="1199" spans="1:9" x14ac:dyDescent="0.25">
      <c r="A1199" t="s">
        <v>3994</v>
      </c>
      <c r="B1199" s="115" t="s">
        <v>3995</v>
      </c>
      <c r="C1199" t="s">
        <v>3996</v>
      </c>
      <c r="D1199" s="118"/>
      <c r="E1199" s="118"/>
      <c r="F1199" s="116" t="s">
        <v>3750</v>
      </c>
      <c r="G1199" t="s">
        <v>3751</v>
      </c>
      <c r="H1199" s="117" t="s">
        <v>160</v>
      </c>
      <c r="I1199" s="117" t="s">
        <v>755</v>
      </c>
    </row>
    <row r="1200" spans="1:9" x14ac:dyDescent="0.25">
      <c r="A1200" t="s">
        <v>3997</v>
      </c>
      <c r="B1200" s="115" t="s">
        <v>3998</v>
      </c>
      <c r="C1200" t="s">
        <v>3999</v>
      </c>
      <c r="D1200" s="118"/>
      <c r="E1200" s="118"/>
      <c r="F1200" s="116" t="s">
        <v>3753</v>
      </c>
      <c r="G1200" t="s">
        <v>3754</v>
      </c>
      <c r="H1200" s="117" t="s">
        <v>100</v>
      </c>
      <c r="I1200" s="117" t="s">
        <v>110</v>
      </c>
    </row>
    <row r="1201" spans="1:9" x14ac:dyDescent="0.25">
      <c r="A1201" t="s">
        <v>4000</v>
      </c>
      <c r="B1201" s="115" t="s">
        <v>4001</v>
      </c>
      <c r="C1201" t="s">
        <v>4002</v>
      </c>
      <c r="D1201" s="118"/>
      <c r="E1201" s="118"/>
      <c r="F1201" s="116" t="s">
        <v>3758</v>
      </c>
      <c r="G1201" t="s">
        <v>3759</v>
      </c>
      <c r="H1201" s="117" t="s">
        <v>100</v>
      </c>
      <c r="I1201" s="117" t="s">
        <v>250</v>
      </c>
    </row>
    <row r="1202" spans="1:9" x14ac:dyDescent="0.25">
      <c r="A1202" t="s">
        <v>4003</v>
      </c>
      <c r="B1202" s="115" t="s">
        <v>4004</v>
      </c>
      <c r="C1202" t="s">
        <v>4005</v>
      </c>
      <c r="D1202" s="118"/>
      <c r="E1202" s="118"/>
      <c r="F1202" s="116" t="s">
        <v>3761</v>
      </c>
      <c r="G1202" t="s">
        <v>3762</v>
      </c>
      <c r="H1202" s="117" t="s">
        <v>328</v>
      </c>
      <c r="I1202" s="117" t="s">
        <v>522</v>
      </c>
    </row>
    <row r="1203" spans="1:9" x14ac:dyDescent="0.25">
      <c r="A1203" t="s">
        <v>4006</v>
      </c>
      <c r="B1203" s="115" t="s">
        <v>295</v>
      </c>
      <c r="C1203" t="s">
        <v>4007</v>
      </c>
      <c r="D1203" s="118"/>
      <c r="E1203" s="118"/>
      <c r="F1203" s="116" t="s">
        <v>3767</v>
      </c>
      <c r="G1203" t="s">
        <v>3768</v>
      </c>
      <c r="H1203" s="117" t="s">
        <v>328</v>
      </c>
      <c r="I1203" s="117" t="s">
        <v>295</v>
      </c>
    </row>
    <row r="1204" spans="1:9" x14ac:dyDescent="0.25">
      <c r="A1204" t="s">
        <v>4008</v>
      </c>
      <c r="B1204" s="115" t="s">
        <v>4009</v>
      </c>
      <c r="C1204" t="s">
        <v>4010</v>
      </c>
      <c r="D1204" s="118"/>
      <c r="E1204" s="118"/>
      <c r="F1204" s="116" t="s">
        <v>3770</v>
      </c>
      <c r="G1204" t="s">
        <v>3771</v>
      </c>
      <c r="H1204" s="117" t="s">
        <v>260</v>
      </c>
      <c r="I1204" s="117" t="s">
        <v>1146</v>
      </c>
    </row>
    <row r="1205" spans="1:9" x14ac:dyDescent="0.25">
      <c r="A1205" t="s">
        <v>4011</v>
      </c>
      <c r="B1205" s="115" t="s">
        <v>4012</v>
      </c>
      <c r="C1205" t="s">
        <v>4011</v>
      </c>
      <c r="D1205" s="118"/>
      <c r="E1205" s="118"/>
      <c r="F1205" s="116" t="s">
        <v>3773</v>
      </c>
      <c r="G1205" t="s">
        <v>3774</v>
      </c>
      <c r="H1205" s="117" t="s">
        <v>170</v>
      </c>
      <c r="I1205" s="117" t="s">
        <v>171</v>
      </c>
    </row>
    <row r="1206" spans="1:9" x14ac:dyDescent="0.25">
      <c r="A1206" t="s">
        <v>4013</v>
      </c>
      <c r="B1206" s="115" t="s">
        <v>4014</v>
      </c>
      <c r="C1206" t="s">
        <v>4015</v>
      </c>
      <c r="D1206" s="118"/>
      <c r="E1206" s="118"/>
      <c r="F1206" s="116" t="s">
        <v>3776</v>
      </c>
      <c r="G1206" t="s">
        <v>3777</v>
      </c>
      <c r="H1206" s="117" t="s">
        <v>170</v>
      </c>
      <c r="I1206" s="117" t="s">
        <v>202</v>
      </c>
    </row>
    <row r="1207" spans="1:9" x14ac:dyDescent="0.25">
      <c r="A1207" t="s">
        <v>4016</v>
      </c>
      <c r="B1207" s="115" t="s">
        <v>4017</v>
      </c>
      <c r="C1207" t="s">
        <v>4018</v>
      </c>
      <c r="D1207" s="118"/>
      <c r="E1207" s="118"/>
      <c r="F1207" s="116" t="s">
        <v>4019</v>
      </c>
      <c r="G1207" t="s">
        <v>4020</v>
      </c>
      <c r="H1207" s="117" t="s">
        <v>170</v>
      </c>
      <c r="I1207" s="117" t="s">
        <v>171</v>
      </c>
    </row>
    <row r="1208" spans="1:9" x14ac:dyDescent="0.25">
      <c r="A1208" t="s">
        <v>4021</v>
      </c>
      <c r="B1208" s="115" t="s">
        <v>4022</v>
      </c>
      <c r="C1208" t="s">
        <v>4023</v>
      </c>
      <c r="D1208" s="118"/>
      <c r="E1208" s="118"/>
      <c r="F1208" s="116" t="s">
        <v>3779</v>
      </c>
      <c r="G1208" t="s">
        <v>3780</v>
      </c>
      <c r="H1208" s="117" t="s">
        <v>260</v>
      </c>
      <c r="I1208" s="117" t="s">
        <v>367</v>
      </c>
    </row>
    <row r="1209" spans="1:9" x14ac:dyDescent="0.25">
      <c r="A1209" t="s">
        <v>4024</v>
      </c>
      <c r="B1209" s="115" t="s">
        <v>4025</v>
      </c>
      <c r="C1209" t="s">
        <v>4026</v>
      </c>
      <c r="D1209" s="118"/>
      <c r="E1209" s="118"/>
      <c r="F1209" s="116" t="s">
        <v>3782</v>
      </c>
      <c r="G1209" t="s">
        <v>3783</v>
      </c>
      <c r="H1209" s="117" t="s">
        <v>105</v>
      </c>
      <c r="I1209" s="117" t="s">
        <v>127</v>
      </c>
    </row>
    <row r="1210" spans="1:9" x14ac:dyDescent="0.25">
      <c r="A1210" t="s">
        <v>4027</v>
      </c>
      <c r="B1210" s="115" t="s">
        <v>4028</v>
      </c>
      <c r="C1210" t="s">
        <v>4029</v>
      </c>
      <c r="D1210" s="118"/>
      <c r="E1210" s="118"/>
      <c r="F1210" s="116" t="s">
        <v>3788</v>
      </c>
      <c r="G1210" t="s">
        <v>3789</v>
      </c>
      <c r="H1210" s="117" t="s">
        <v>100</v>
      </c>
      <c r="I1210" s="117" t="s">
        <v>187</v>
      </c>
    </row>
    <row r="1211" spans="1:9" x14ac:dyDescent="0.25">
      <c r="A1211" t="s">
        <v>4030</v>
      </c>
      <c r="B1211" s="115" t="s">
        <v>4031</v>
      </c>
      <c r="C1211" t="s">
        <v>4032</v>
      </c>
      <c r="D1211" s="118"/>
      <c r="E1211" s="118"/>
      <c r="F1211" s="116" t="s">
        <v>4033</v>
      </c>
      <c r="G1211" t="s">
        <v>4034</v>
      </c>
      <c r="H1211" s="117" t="s">
        <v>220</v>
      </c>
      <c r="I1211" s="117" t="s">
        <v>339</v>
      </c>
    </row>
    <row r="1212" spans="1:9" x14ac:dyDescent="0.25">
      <c r="A1212" t="s">
        <v>4035</v>
      </c>
      <c r="B1212" s="115" t="s">
        <v>4036</v>
      </c>
      <c r="C1212" t="s">
        <v>4037</v>
      </c>
      <c r="D1212" s="118"/>
      <c r="E1212" s="118"/>
      <c r="F1212" s="116" t="s">
        <v>3791</v>
      </c>
      <c r="G1212" t="s">
        <v>3792</v>
      </c>
      <c r="H1212" s="117" t="s">
        <v>160</v>
      </c>
      <c r="I1212" s="117" t="s">
        <v>704</v>
      </c>
    </row>
    <row r="1213" spans="1:9" x14ac:dyDescent="0.25">
      <c r="A1213" t="s">
        <v>4038</v>
      </c>
      <c r="B1213" s="115" t="s">
        <v>4039</v>
      </c>
      <c r="C1213" t="s">
        <v>4040</v>
      </c>
      <c r="D1213" s="118"/>
      <c r="E1213" s="118"/>
      <c r="F1213" s="116" t="s">
        <v>3794</v>
      </c>
      <c r="G1213" t="s">
        <v>3795</v>
      </c>
      <c r="H1213" s="117" t="s">
        <v>100</v>
      </c>
      <c r="I1213" s="117" t="s">
        <v>181</v>
      </c>
    </row>
    <row r="1214" spans="1:9" x14ac:dyDescent="0.25">
      <c r="A1214" t="s">
        <v>4041</v>
      </c>
      <c r="B1214" s="115" t="s">
        <v>4042</v>
      </c>
      <c r="C1214" t="s">
        <v>4041</v>
      </c>
      <c r="D1214" s="118"/>
      <c r="E1214" s="118"/>
      <c r="F1214" s="116" t="s">
        <v>4043</v>
      </c>
      <c r="G1214" t="s">
        <v>4044</v>
      </c>
      <c r="H1214" s="117" t="s">
        <v>160</v>
      </c>
      <c r="I1214" s="117" t="s">
        <v>704</v>
      </c>
    </row>
    <row r="1215" spans="1:9" x14ac:dyDescent="0.25">
      <c r="A1215" t="s">
        <v>4045</v>
      </c>
      <c r="B1215" s="115" t="s">
        <v>4046</v>
      </c>
      <c r="C1215" t="s">
        <v>4047</v>
      </c>
      <c r="D1215" s="118"/>
      <c r="E1215" s="118"/>
      <c r="F1215" s="116" t="s">
        <v>3797</v>
      </c>
      <c r="G1215" t="s">
        <v>3798</v>
      </c>
      <c r="H1215" s="117" t="s">
        <v>160</v>
      </c>
      <c r="I1215" s="117" t="s">
        <v>387</v>
      </c>
    </row>
    <row r="1216" spans="1:9" x14ac:dyDescent="0.25">
      <c r="A1216" t="s">
        <v>4048</v>
      </c>
      <c r="B1216" s="115" t="s">
        <v>4049</v>
      </c>
      <c r="C1216" t="s">
        <v>4050</v>
      </c>
      <c r="D1216" s="118"/>
      <c r="E1216" s="118"/>
      <c r="F1216" s="116" t="s">
        <v>4051</v>
      </c>
      <c r="G1216" t="s">
        <v>4052</v>
      </c>
      <c r="H1216" s="117" t="s">
        <v>170</v>
      </c>
      <c r="I1216" s="117" t="s">
        <v>171</v>
      </c>
    </row>
    <row r="1217" spans="1:9" x14ac:dyDescent="0.25">
      <c r="A1217" t="s">
        <v>4053</v>
      </c>
      <c r="B1217" s="115" t="s">
        <v>4054</v>
      </c>
      <c r="C1217" t="s">
        <v>4055</v>
      </c>
      <c r="D1217" s="118"/>
      <c r="E1217" s="118"/>
      <c r="F1217" s="116" t="s">
        <v>3803</v>
      </c>
      <c r="G1217" t="s">
        <v>3804</v>
      </c>
      <c r="H1217" s="117" t="s">
        <v>100</v>
      </c>
      <c r="I1217" s="117" t="s">
        <v>250</v>
      </c>
    </row>
    <row r="1218" spans="1:9" x14ac:dyDescent="0.25">
      <c r="A1218" t="s">
        <v>4056</v>
      </c>
      <c r="B1218" s="115" t="s">
        <v>4057</v>
      </c>
      <c r="C1218" t="s">
        <v>4058</v>
      </c>
      <c r="D1218" s="118"/>
      <c r="E1218" s="118"/>
      <c r="F1218" s="116" t="s">
        <v>3808</v>
      </c>
      <c r="G1218" t="s">
        <v>3809</v>
      </c>
      <c r="H1218" s="117" t="s">
        <v>115</v>
      </c>
      <c r="I1218" s="117" t="s">
        <v>123</v>
      </c>
    </row>
    <row r="1219" spans="1:9" x14ac:dyDescent="0.25">
      <c r="A1219" t="s">
        <v>4059</v>
      </c>
      <c r="B1219" s="115" t="s">
        <v>4060</v>
      </c>
      <c r="C1219" t="s">
        <v>4061</v>
      </c>
      <c r="D1219" s="118"/>
      <c r="E1219" s="118"/>
      <c r="F1219" s="116" t="s">
        <v>4062</v>
      </c>
      <c r="G1219" t="s">
        <v>4063</v>
      </c>
      <c r="H1219" s="117" t="s">
        <v>160</v>
      </c>
      <c r="I1219" s="117" t="s">
        <v>487</v>
      </c>
    </row>
    <row r="1220" spans="1:9" x14ac:dyDescent="0.25">
      <c r="A1220" t="s">
        <v>4064</v>
      </c>
      <c r="B1220" s="115" t="s">
        <v>4065</v>
      </c>
      <c r="C1220" t="s">
        <v>4066</v>
      </c>
      <c r="D1220" s="118"/>
      <c r="E1220" s="118"/>
      <c r="F1220" s="116" t="s">
        <v>3813</v>
      </c>
      <c r="G1220" t="s">
        <v>3814</v>
      </c>
      <c r="H1220" s="117" t="s">
        <v>160</v>
      </c>
      <c r="I1220" s="117" t="s">
        <v>387</v>
      </c>
    </row>
    <row r="1221" spans="1:9" x14ac:dyDescent="0.25">
      <c r="A1221" t="s">
        <v>4067</v>
      </c>
      <c r="B1221" s="115" t="s">
        <v>4068</v>
      </c>
      <c r="C1221" t="s">
        <v>4069</v>
      </c>
      <c r="D1221" s="118"/>
      <c r="E1221" s="118"/>
      <c r="F1221" s="116" t="s">
        <v>3817</v>
      </c>
      <c r="G1221" t="s">
        <v>3818</v>
      </c>
      <c r="H1221" s="117" t="s">
        <v>160</v>
      </c>
      <c r="I1221" s="117" t="s">
        <v>387</v>
      </c>
    </row>
    <row r="1222" spans="1:9" x14ac:dyDescent="0.25">
      <c r="A1222" t="s">
        <v>4070</v>
      </c>
      <c r="B1222" s="115" t="s">
        <v>4071</v>
      </c>
      <c r="C1222" t="s">
        <v>4072</v>
      </c>
      <c r="D1222" s="118"/>
      <c r="E1222" s="118"/>
      <c r="F1222" s="116" t="s">
        <v>3820</v>
      </c>
      <c r="G1222" t="s">
        <v>3821</v>
      </c>
      <c r="H1222" s="117" t="s">
        <v>160</v>
      </c>
      <c r="I1222" s="117" t="s">
        <v>387</v>
      </c>
    </row>
    <row r="1223" spans="1:9" x14ac:dyDescent="0.25">
      <c r="A1223" t="s">
        <v>4073</v>
      </c>
      <c r="B1223" s="115" t="s">
        <v>4074</v>
      </c>
      <c r="C1223" t="s">
        <v>4075</v>
      </c>
      <c r="D1223" s="118"/>
      <c r="E1223" s="118"/>
      <c r="F1223" s="116" t="s">
        <v>3823</v>
      </c>
      <c r="G1223" t="s">
        <v>3824</v>
      </c>
      <c r="H1223" s="117" t="s">
        <v>220</v>
      </c>
      <c r="I1223" s="117" t="s">
        <v>221</v>
      </c>
    </row>
    <row r="1224" spans="1:9" x14ac:dyDescent="0.25">
      <c r="A1224" t="s">
        <v>4076</v>
      </c>
      <c r="B1224" s="115" t="s">
        <v>4077</v>
      </c>
      <c r="C1224" t="s">
        <v>4078</v>
      </c>
      <c r="D1224" s="118"/>
      <c r="E1224" s="118"/>
      <c r="F1224" s="116" t="s">
        <v>4079</v>
      </c>
      <c r="G1224" t="s">
        <v>4080</v>
      </c>
      <c r="H1224" s="117" t="s">
        <v>160</v>
      </c>
      <c r="I1224" s="117" t="s">
        <v>829</v>
      </c>
    </row>
    <row r="1225" spans="1:9" x14ac:dyDescent="0.25">
      <c r="A1225" t="s">
        <v>4081</v>
      </c>
      <c r="B1225" s="115" t="s">
        <v>4082</v>
      </c>
      <c r="C1225" t="s">
        <v>4083</v>
      </c>
      <c r="D1225" s="118"/>
      <c r="E1225" s="118"/>
      <c r="F1225" s="116" t="s">
        <v>3831</v>
      </c>
      <c r="G1225" t="s">
        <v>3832</v>
      </c>
      <c r="H1225" s="117" t="s">
        <v>165</v>
      </c>
      <c r="I1225" s="117" t="s">
        <v>206</v>
      </c>
    </row>
    <row r="1226" spans="1:9" x14ac:dyDescent="0.25">
      <c r="A1226" t="s">
        <v>4084</v>
      </c>
      <c r="B1226" s="115" t="s">
        <v>4085</v>
      </c>
      <c r="C1226" t="s">
        <v>4086</v>
      </c>
      <c r="D1226" s="118"/>
      <c r="E1226" s="118"/>
      <c r="F1226" s="116" t="s">
        <v>4087</v>
      </c>
      <c r="G1226" t="s">
        <v>3829</v>
      </c>
      <c r="H1226" s="117" t="s">
        <v>165</v>
      </c>
      <c r="I1226" s="117" t="s">
        <v>206</v>
      </c>
    </row>
    <row r="1227" spans="1:9" x14ac:dyDescent="0.25">
      <c r="A1227" t="s">
        <v>4088</v>
      </c>
      <c r="B1227" s="115" t="s">
        <v>4089</v>
      </c>
      <c r="C1227" t="s">
        <v>4090</v>
      </c>
      <c r="D1227" s="118"/>
      <c r="E1227" s="118"/>
      <c r="F1227" s="116" t="s">
        <v>3834</v>
      </c>
      <c r="G1227" t="s">
        <v>3835</v>
      </c>
      <c r="H1227" s="117" t="s">
        <v>105</v>
      </c>
      <c r="I1227" s="117" t="s">
        <v>106</v>
      </c>
    </row>
    <row r="1228" spans="1:9" x14ac:dyDescent="0.25">
      <c r="A1228" t="s">
        <v>4091</v>
      </c>
      <c r="B1228" s="115" t="s">
        <v>4092</v>
      </c>
      <c r="C1228" t="s">
        <v>4093</v>
      </c>
      <c r="D1228" s="118"/>
      <c r="E1228" s="118"/>
      <c r="F1228" s="116" t="s">
        <v>3842</v>
      </c>
      <c r="G1228" t="s">
        <v>3843</v>
      </c>
      <c r="H1228" s="117" t="s">
        <v>115</v>
      </c>
      <c r="I1228" s="117" t="s">
        <v>123</v>
      </c>
    </row>
    <row r="1229" spans="1:9" x14ac:dyDescent="0.25">
      <c r="A1229" t="s">
        <v>4094</v>
      </c>
      <c r="B1229" s="115" t="s">
        <v>4095</v>
      </c>
      <c r="C1229" t="s">
        <v>4096</v>
      </c>
      <c r="D1229" s="118"/>
      <c r="E1229" s="118"/>
      <c r="F1229" s="116" t="s">
        <v>3849</v>
      </c>
      <c r="G1229" t="s">
        <v>3850</v>
      </c>
      <c r="H1229" s="117" t="s">
        <v>260</v>
      </c>
      <c r="I1229" s="117" t="s">
        <v>261</v>
      </c>
    </row>
    <row r="1230" spans="1:9" x14ac:dyDescent="0.25">
      <c r="A1230" t="s">
        <v>4097</v>
      </c>
      <c r="B1230" s="115" t="s">
        <v>4098</v>
      </c>
      <c r="C1230" t="s">
        <v>4099</v>
      </c>
      <c r="D1230" s="118"/>
      <c r="E1230" s="118"/>
      <c r="F1230" s="116" t="s">
        <v>3854</v>
      </c>
      <c r="G1230" t="s">
        <v>3855</v>
      </c>
      <c r="H1230" s="117" t="s">
        <v>260</v>
      </c>
      <c r="I1230" s="117" t="s">
        <v>440</v>
      </c>
    </row>
    <row r="1231" spans="1:9" x14ac:dyDescent="0.25">
      <c r="A1231" t="s">
        <v>4100</v>
      </c>
      <c r="B1231" s="115" t="s">
        <v>4101</v>
      </c>
      <c r="C1231" t="s">
        <v>4102</v>
      </c>
      <c r="D1231" s="118"/>
      <c r="E1231" s="118"/>
      <c r="F1231" s="116" t="s">
        <v>3856</v>
      </c>
      <c r="G1231" t="s">
        <v>3857</v>
      </c>
      <c r="H1231" s="117" t="s">
        <v>105</v>
      </c>
      <c r="I1231" s="117" t="s">
        <v>106</v>
      </c>
    </row>
    <row r="1232" spans="1:9" x14ac:dyDescent="0.25">
      <c r="A1232" t="s">
        <v>4103</v>
      </c>
      <c r="B1232" s="115" t="s">
        <v>4104</v>
      </c>
      <c r="C1232" t="s">
        <v>4105</v>
      </c>
      <c r="D1232" s="118"/>
      <c r="E1232" s="118"/>
      <c r="F1232" s="116" t="s">
        <v>3859</v>
      </c>
      <c r="G1232" t="s">
        <v>3860</v>
      </c>
      <c r="H1232" s="117" t="s">
        <v>160</v>
      </c>
      <c r="I1232" s="117" t="s">
        <v>704</v>
      </c>
    </row>
    <row r="1233" spans="1:9" x14ac:dyDescent="0.25">
      <c r="A1233" t="s">
        <v>4106</v>
      </c>
      <c r="B1233" s="115" t="s">
        <v>4107</v>
      </c>
      <c r="C1233" t="s">
        <v>4108</v>
      </c>
      <c r="D1233" s="118"/>
      <c r="E1233" s="118"/>
      <c r="F1233" s="116" t="s">
        <v>3865</v>
      </c>
      <c r="G1233" t="s">
        <v>3866</v>
      </c>
      <c r="H1233" s="117" t="s">
        <v>160</v>
      </c>
      <c r="I1233" s="117" t="s">
        <v>829</v>
      </c>
    </row>
    <row r="1234" spans="1:9" x14ac:dyDescent="0.25">
      <c r="A1234" t="s">
        <v>4109</v>
      </c>
      <c r="B1234" s="115" t="s">
        <v>4110</v>
      </c>
      <c r="C1234" t="s">
        <v>4111</v>
      </c>
      <c r="D1234" s="118"/>
      <c r="E1234" s="118"/>
      <c r="F1234" s="116" t="s">
        <v>3871</v>
      </c>
      <c r="G1234" t="s">
        <v>3872</v>
      </c>
      <c r="H1234" s="117" t="s">
        <v>100</v>
      </c>
      <c r="I1234" s="117" t="s">
        <v>250</v>
      </c>
    </row>
    <row r="1235" spans="1:9" x14ac:dyDescent="0.25">
      <c r="A1235" t="s">
        <v>4112</v>
      </c>
      <c r="B1235" s="115" t="s">
        <v>4113</v>
      </c>
      <c r="C1235" t="s">
        <v>4114</v>
      </c>
      <c r="D1235" s="118"/>
      <c r="E1235" s="118"/>
      <c r="F1235" s="116" t="s">
        <v>3874</v>
      </c>
      <c r="G1235" t="s">
        <v>3875</v>
      </c>
      <c r="H1235" s="117" t="s">
        <v>220</v>
      </c>
      <c r="I1235" s="117" t="s">
        <v>250</v>
      </c>
    </row>
    <row r="1236" spans="1:9" x14ac:dyDescent="0.25">
      <c r="A1236" t="s">
        <v>4115</v>
      </c>
      <c r="B1236" s="115" t="s">
        <v>4116</v>
      </c>
      <c r="C1236" t="s">
        <v>4117</v>
      </c>
      <c r="D1236" s="118"/>
      <c r="E1236" s="118"/>
      <c r="F1236" s="116" t="s">
        <v>3879</v>
      </c>
      <c r="G1236" t="s">
        <v>3880</v>
      </c>
      <c r="H1236" s="117" t="s">
        <v>165</v>
      </c>
      <c r="I1236" s="117" t="s">
        <v>166</v>
      </c>
    </row>
    <row r="1237" spans="1:9" x14ac:dyDescent="0.25">
      <c r="A1237" t="s">
        <v>4118</v>
      </c>
      <c r="B1237" s="115" t="s">
        <v>4119</v>
      </c>
      <c r="C1237" t="s">
        <v>4120</v>
      </c>
      <c r="D1237" s="118"/>
      <c r="E1237" s="118"/>
      <c r="F1237" s="116" t="s">
        <v>3882</v>
      </c>
      <c r="G1237" t="s">
        <v>3883</v>
      </c>
      <c r="H1237" s="117" t="s">
        <v>170</v>
      </c>
      <c r="I1237" s="117" t="s">
        <v>202</v>
      </c>
    </row>
    <row r="1238" spans="1:9" x14ac:dyDescent="0.25">
      <c r="A1238" t="s">
        <v>4121</v>
      </c>
      <c r="B1238" s="115" t="s">
        <v>4122</v>
      </c>
      <c r="C1238" t="s">
        <v>4123</v>
      </c>
      <c r="D1238" s="118"/>
      <c r="E1238" s="118"/>
      <c r="F1238" s="116" t="s">
        <v>3885</v>
      </c>
      <c r="G1238" t="s">
        <v>3886</v>
      </c>
      <c r="H1238" s="117" t="s">
        <v>170</v>
      </c>
      <c r="I1238" s="117" t="s">
        <v>202</v>
      </c>
    </row>
    <row r="1239" spans="1:9" x14ac:dyDescent="0.25">
      <c r="A1239" t="s">
        <v>4124</v>
      </c>
      <c r="B1239" s="115" t="s">
        <v>4125</v>
      </c>
      <c r="C1239" t="s">
        <v>4126</v>
      </c>
      <c r="D1239" s="118"/>
      <c r="E1239" s="118"/>
      <c r="F1239" s="116" t="s">
        <v>3888</v>
      </c>
      <c r="G1239" t="s">
        <v>3889</v>
      </c>
      <c r="H1239" s="117" t="s">
        <v>170</v>
      </c>
      <c r="I1239" s="117" t="s">
        <v>202</v>
      </c>
    </row>
    <row r="1240" spans="1:9" x14ac:dyDescent="0.25">
      <c r="A1240" t="s">
        <v>4127</v>
      </c>
      <c r="B1240" s="115" t="s">
        <v>4128</v>
      </c>
      <c r="C1240" t="s">
        <v>4129</v>
      </c>
      <c r="D1240" s="118"/>
      <c r="E1240" s="118"/>
      <c r="F1240" s="116" t="s">
        <v>3891</v>
      </c>
      <c r="G1240" t="s">
        <v>3892</v>
      </c>
      <c r="H1240" s="117" t="s">
        <v>105</v>
      </c>
      <c r="I1240" s="117" t="s">
        <v>127</v>
      </c>
    </row>
    <row r="1241" spans="1:9" x14ac:dyDescent="0.25">
      <c r="A1241" t="s">
        <v>4130</v>
      </c>
      <c r="B1241" s="115" t="s">
        <v>4131</v>
      </c>
      <c r="C1241" t="s">
        <v>4132</v>
      </c>
      <c r="D1241" s="118"/>
      <c r="E1241" s="118"/>
      <c r="F1241" s="116" t="s">
        <v>3894</v>
      </c>
      <c r="G1241" t="s">
        <v>3895</v>
      </c>
      <c r="H1241" s="117" t="s">
        <v>165</v>
      </c>
      <c r="I1241" s="117" t="s">
        <v>233</v>
      </c>
    </row>
    <row r="1242" spans="1:9" x14ac:dyDescent="0.25">
      <c r="A1242" t="s">
        <v>4133</v>
      </c>
      <c r="B1242" s="115" t="s">
        <v>4134</v>
      </c>
      <c r="C1242" t="s">
        <v>4135</v>
      </c>
      <c r="D1242" s="118"/>
      <c r="E1242" s="118"/>
      <c r="F1242" s="116" t="s">
        <v>4136</v>
      </c>
      <c r="G1242" t="s">
        <v>4137</v>
      </c>
      <c r="H1242" s="117" t="s">
        <v>160</v>
      </c>
      <c r="I1242" s="117" t="s">
        <v>755</v>
      </c>
    </row>
    <row r="1243" spans="1:9" x14ac:dyDescent="0.25">
      <c r="A1243" t="s">
        <v>4138</v>
      </c>
      <c r="B1243" s="115" t="s">
        <v>4139</v>
      </c>
      <c r="C1243" t="s">
        <v>4140</v>
      </c>
      <c r="D1243" s="118"/>
      <c r="E1243" s="118"/>
      <c r="F1243" s="116" t="s">
        <v>3903</v>
      </c>
      <c r="G1243" t="s">
        <v>3904</v>
      </c>
      <c r="H1243" s="117" t="s">
        <v>105</v>
      </c>
      <c r="I1243" s="117" t="s">
        <v>127</v>
      </c>
    </row>
    <row r="1244" spans="1:9" x14ac:dyDescent="0.25">
      <c r="A1244" t="s">
        <v>4141</v>
      </c>
      <c r="B1244" s="115" t="s">
        <v>4142</v>
      </c>
      <c r="C1244" t="s">
        <v>4143</v>
      </c>
      <c r="D1244" s="118"/>
      <c r="E1244" s="118"/>
      <c r="F1244" s="116" t="s">
        <v>3908</v>
      </c>
      <c r="G1244" t="s">
        <v>3909</v>
      </c>
      <c r="H1244" s="117" t="s">
        <v>160</v>
      </c>
      <c r="I1244" s="117" t="s">
        <v>161</v>
      </c>
    </row>
    <row r="1245" spans="1:9" x14ac:dyDescent="0.25">
      <c r="A1245" t="s">
        <v>4144</v>
      </c>
      <c r="B1245" s="115" t="s">
        <v>4145</v>
      </c>
      <c r="C1245" t="s">
        <v>4146</v>
      </c>
      <c r="D1245" s="118"/>
      <c r="E1245" s="118"/>
      <c r="F1245" s="116" t="s">
        <v>3911</v>
      </c>
      <c r="G1245" t="s">
        <v>3912</v>
      </c>
      <c r="H1245" s="117" t="s">
        <v>160</v>
      </c>
      <c r="I1245" s="117" t="s">
        <v>161</v>
      </c>
    </row>
    <row r="1246" spans="1:9" x14ac:dyDescent="0.25">
      <c r="A1246" t="s">
        <v>4147</v>
      </c>
      <c r="B1246" s="115" t="s">
        <v>4148</v>
      </c>
      <c r="C1246" t="s">
        <v>4149</v>
      </c>
      <c r="D1246" s="118"/>
      <c r="E1246" s="118"/>
      <c r="F1246" s="116" t="s">
        <v>3914</v>
      </c>
      <c r="G1246" t="s">
        <v>3915</v>
      </c>
      <c r="H1246" s="117" t="s">
        <v>160</v>
      </c>
      <c r="I1246" s="117" t="s">
        <v>755</v>
      </c>
    </row>
    <row r="1247" spans="1:9" x14ac:dyDescent="0.25">
      <c r="A1247" t="s">
        <v>4150</v>
      </c>
      <c r="B1247" s="115" t="s">
        <v>704</v>
      </c>
      <c r="C1247" t="s">
        <v>4151</v>
      </c>
      <c r="D1247" s="118"/>
      <c r="E1247" s="118"/>
      <c r="F1247" s="116" t="s">
        <v>3922</v>
      </c>
      <c r="G1247" t="s">
        <v>3923</v>
      </c>
      <c r="H1247" s="117" t="s">
        <v>194</v>
      </c>
      <c r="I1247" s="117" t="s">
        <v>290</v>
      </c>
    </row>
    <row r="1248" spans="1:9" x14ac:dyDescent="0.25">
      <c r="A1248" t="s">
        <v>4152</v>
      </c>
      <c r="B1248" s="115" t="s">
        <v>4153</v>
      </c>
      <c r="C1248" t="s">
        <v>4154</v>
      </c>
      <c r="D1248" s="118"/>
      <c r="E1248" s="118"/>
      <c r="F1248" s="116" t="s">
        <v>3926</v>
      </c>
      <c r="G1248" t="s">
        <v>3927</v>
      </c>
      <c r="H1248" s="117" t="s">
        <v>105</v>
      </c>
      <c r="I1248" s="117" t="s">
        <v>174</v>
      </c>
    </row>
    <row r="1249" spans="1:9" x14ac:dyDescent="0.25">
      <c r="A1249" t="s">
        <v>4155</v>
      </c>
      <c r="B1249" s="115" t="s">
        <v>4156</v>
      </c>
      <c r="C1249" t="s">
        <v>4157</v>
      </c>
      <c r="D1249" s="118"/>
      <c r="E1249" s="118"/>
      <c r="F1249" s="116" t="s">
        <v>3932</v>
      </c>
      <c r="G1249" t="s">
        <v>3933</v>
      </c>
      <c r="H1249" s="117" t="s">
        <v>100</v>
      </c>
      <c r="I1249" s="117" t="s">
        <v>339</v>
      </c>
    </row>
    <row r="1250" spans="1:9" x14ac:dyDescent="0.25">
      <c r="A1250" t="s">
        <v>4158</v>
      </c>
      <c r="B1250" s="115" t="s">
        <v>4159</v>
      </c>
      <c r="C1250" t="s">
        <v>4160</v>
      </c>
      <c r="D1250" s="118"/>
      <c r="E1250" s="118"/>
      <c r="F1250" s="116" t="s">
        <v>3935</v>
      </c>
      <c r="G1250" t="s">
        <v>3936</v>
      </c>
      <c r="H1250" s="117" t="s">
        <v>105</v>
      </c>
      <c r="I1250" s="117" t="s">
        <v>127</v>
      </c>
    </row>
    <row r="1251" spans="1:9" x14ac:dyDescent="0.25">
      <c r="A1251" t="s">
        <v>4161</v>
      </c>
      <c r="B1251" s="115" t="s">
        <v>4162</v>
      </c>
      <c r="C1251" t="s">
        <v>4163</v>
      </c>
      <c r="D1251" s="118"/>
      <c r="E1251" s="118"/>
      <c r="F1251" s="116" t="s">
        <v>4164</v>
      </c>
      <c r="G1251" t="s">
        <v>4165</v>
      </c>
      <c r="H1251" s="117" t="s">
        <v>170</v>
      </c>
      <c r="I1251" s="117" t="s">
        <v>171</v>
      </c>
    </row>
    <row r="1252" spans="1:9" x14ac:dyDescent="0.25">
      <c r="A1252" t="s">
        <v>4166</v>
      </c>
      <c r="B1252" s="115" t="s">
        <v>4167</v>
      </c>
      <c r="C1252" t="s">
        <v>4168</v>
      </c>
      <c r="D1252" s="118"/>
      <c r="E1252" s="118"/>
      <c r="F1252" s="116" t="s">
        <v>3940</v>
      </c>
      <c r="G1252" t="s">
        <v>3941</v>
      </c>
      <c r="H1252" s="117" t="s">
        <v>260</v>
      </c>
      <c r="I1252" s="117" t="s">
        <v>261</v>
      </c>
    </row>
    <row r="1253" spans="1:9" x14ac:dyDescent="0.25">
      <c r="A1253" t="s">
        <v>4169</v>
      </c>
      <c r="B1253" s="115" t="s">
        <v>4170</v>
      </c>
      <c r="C1253" t="s">
        <v>4171</v>
      </c>
      <c r="D1253" s="118"/>
      <c r="E1253" s="118"/>
      <c r="F1253" s="116" t="s">
        <v>4172</v>
      </c>
      <c r="G1253" t="s">
        <v>4173</v>
      </c>
      <c r="H1253" s="117" t="s">
        <v>170</v>
      </c>
      <c r="I1253" s="117" t="s">
        <v>171</v>
      </c>
    </row>
    <row r="1254" spans="1:9" x14ac:dyDescent="0.25">
      <c r="A1254" t="s">
        <v>4174</v>
      </c>
      <c r="B1254" s="115" t="s">
        <v>4175</v>
      </c>
      <c r="C1254" t="s">
        <v>4176</v>
      </c>
      <c r="D1254" s="118"/>
      <c r="E1254" s="118"/>
      <c r="F1254" s="116" t="s">
        <v>3946</v>
      </c>
      <c r="G1254" t="s">
        <v>3864</v>
      </c>
      <c r="H1254" s="117" t="s">
        <v>115</v>
      </c>
      <c r="I1254" s="117" t="s">
        <v>2875</v>
      </c>
    </row>
    <row r="1255" spans="1:9" x14ac:dyDescent="0.25">
      <c r="A1255" t="s">
        <v>4177</v>
      </c>
      <c r="B1255" s="115" t="s">
        <v>4178</v>
      </c>
      <c r="C1255" t="s">
        <v>4179</v>
      </c>
      <c r="D1255" s="118"/>
      <c r="E1255" s="118"/>
      <c r="F1255" s="116" t="s">
        <v>3947</v>
      </c>
      <c r="G1255" t="s">
        <v>3948</v>
      </c>
      <c r="H1255" s="117" t="s">
        <v>165</v>
      </c>
      <c r="I1255" s="117" t="s">
        <v>206</v>
      </c>
    </row>
    <row r="1256" spans="1:9" x14ac:dyDescent="0.25">
      <c r="A1256" t="s">
        <v>4180</v>
      </c>
      <c r="B1256" s="115" t="s">
        <v>4181</v>
      </c>
      <c r="C1256" t="s">
        <v>4182</v>
      </c>
      <c r="D1256" s="118"/>
      <c r="E1256" s="118"/>
      <c r="F1256" s="116" t="s">
        <v>3957</v>
      </c>
      <c r="G1256" t="s">
        <v>3958</v>
      </c>
      <c r="H1256" s="117" t="s">
        <v>328</v>
      </c>
      <c r="I1256" s="117" t="s">
        <v>522</v>
      </c>
    </row>
    <row r="1257" spans="1:9" x14ac:dyDescent="0.25">
      <c r="A1257" t="s">
        <v>4183</v>
      </c>
      <c r="B1257" s="115" t="s">
        <v>4184</v>
      </c>
      <c r="C1257" t="s">
        <v>4185</v>
      </c>
      <c r="D1257" s="118"/>
      <c r="E1257" s="118"/>
      <c r="F1257" s="116" t="s">
        <v>4186</v>
      </c>
      <c r="G1257" t="s">
        <v>3952</v>
      </c>
      <c r="H1257" s="117" t="s">
        <v>328</v>
      </c>
      <c r="I1257" s="117" t="s">
        <v>522</v>
      </c>
    </row>
    <row r="1258" spans="1:9" x14ac:dyDescent="0.25">
      <c r="A1258" t="s">
        <v>4187</v>
      </c>
      <c r="B1258" s="115" t="s">
        <v>4188</v>
      </c>
      <c r="C1258" t="s">
        <v>4189</v>
      </c>
      <c r="D1258" s="118"/>
      <c r="E1258" s="118"/>
      <c r="F1258" s="116" t="s">
        <v>3960</v>
      </c>
      <c r="G1258" t="s">
        <v>3961</v>
      </c>
      <c r="H1258" s="117" t="s">
        <v>220</v>
      </c>
      <c r="I1258" s="117" t="s">
        <v>367</v>
      </c>
    </row>
    <row r="1259" spans="1:9" x14ac:dyDescent="0.25">
      <c r="A1259" t="s">
        <v>4190</v>
      </c>
      <c r="B1259" s="115" t="s">
        <v>4191</v>
      </c>
      <c r="C1259" t="s">
        <v>4192</v>
      </c>
      <c r="D1259" s="118"/>
      <c r="E1259" s="118"/>
      <c r="F1259" s="116" t="s">
        <v>4193</v>
      </c>
      <c r="G1259" t="s">
        <v>4194</v>
      </c>
      <c r="H1259" s="117" t="s">
        <v>220</v>
      </c>
      <c r="I1259" s="117" t="s">
        <v>367</v>
      </c>
    </row>
    <row r="1260" spans="1:9" x14ac:dyDescent="0.25">
      <c r="A1260" t="s">
        <v>4195</v>
      </c>
      <c r="B1260" s="115" t="s">
        <v>4196</v>
      </c>
      <c r="C1260" t="s">
        <v>4197</v>
      </c>
      <c r="D1260" s="118"/>
      <c r="E1260" s="118"/>
      <c r="F1260" s="116" t="s">
        <v>4198</v>
      </c>
      <c r="G1260" t="s">
        <v>4199</v>
      </c>
      <c r="H1260" s="117" t="s">
        <v>220</v>
      </c>
      <c r="I1260" s="117" t="s">
        <v>367</v>
      </c>
    </row>
    <row r="1261" spans="1:9" x14ac:dyDescent="0.25">
      <c r="A1261" t="s">
        <v>4200</v>
      </c>
      <c r="B1261" s="115" t="s">
        <v>4201</v>
      </c>
      <c r="C1261" t="s">
        <v>4202</v>
      </c>
      <c r="D1261" s="118"/>
      <c r="E1261" s="118"/>
      <c r="F1261" s="116" t="s">
        <v>3963</v>
      </c>
      <c r="G1261" t="s">
        <v>3964</v>
      </c>
      <c r="H1261" s="117" t="s">
        <v>220</v>
      </c>
      <c r="I1261" s="117" t="s">
        <v>339</v>
      </c>
    </row>
    <row r="1262" spans="1:9" x14ac:dyDescent="0.25">
      <c r="A1262" t="s">
        <v>4203</v>
      </c>
      <c r="B1262" s="115" t="s">
        <v>4204</v>
      </c>
      <c r="C1262" t="s">
        <v>4205</v>
      </c>
      <c r="D1262" s="118"/>
      <c r="E1262" s="118"/>
      <c r="F1262" s="116" t="s">
        <v>3968</v>
      </c>
      <c r="G1262" t="s">
        <v>3969</v>
      </c>
      <c r="H1262" s="117" t="s">
        <v>100</v>
      </c>
      <c r="I1262" s="117" t="s">
        <v>110</v>
      </c>
    </row>
    <row r="1263" spans="1:9" x14ac:dyDescent="0.25">
      <c r="A1263" t="s">
        <v>4206</v>
      </c>
      <c r="B1263" s="115" t="s">
        <v>4207</v>
      </c>
      <c r="C1263" t="s">
        <v>4208</v>
      </c>
      <c r="D1263" s="118"/>
      <c r="E1263" s="118"/>
      <c r="F1263" s="116" t="s">
        <v>3973</v>
      </c>
      <c r="G1263" t="s">
        <v>3974</v>
      </c>
      <c r="H1263" s="117" t="s">
        <v>100</v>
      </c>
      <c r="I1263" s="117" t="s">
        <v>110</v>
      </c>
    </row>
    <row r="1264" spans="1:9" x14ac:dyDescent="0.25">
      <c r="A1264" t="s">
        <v>4209</v>
      </c>
      <c r="B1264" s="115" t="s">
        <v>4210</v>
      </c>
      <c r="C1264" t="s">
        <v>4211</v>
      </c>
      <c r="D1264" s="118"/>
      <c r="E1264" s="118"/>
      <c r="F1264" s="116" t="s">
        <v>3976</v>
      </c>
      <c r="G1264" t="s">
        <v>3977</v>
      </c>
      <c r="H1264" s="117" t="s">
        <v>260</v>
      </c>
      <c r="I1264" s="117" t="s">
        <v>261</v>
      </c>
    </row>
    <row r="1265" spans="1:9" x14ac:dyDescent="0.25">
      <c r="A1265" t="s">
        <v>4212</v>
      </c>
      <c r="B1265" s="115" t="s">
        <v>4213</v>
      </c>
      <c r="C1265" t="s">
        <v>4214</v>
      </c>
      <c r="D1265" s="118"/>
      <c r="E1265" s="118"/>
      <c r="F1265" s="116" t="s">
        <v>4215</v>
      </c>
      <c r="G1265" t="s">
        <v>3980</v>
      </c>
      <c r="H1265" s="117" t="s">
        <v>160</v>
      </c>
      <c r="I1265" s="117" t="s">
        <v>487</v>
      </c>
    </row>
    <row r="1266" spans="1:9" x14ac:dyDescent="0.25">
      <c r="A1266" t="s">
        <v>4216</v>
      </c>
      <c r="B1266" s="115" t="s">
        <v>4217</v>
      </c>
      <c r="C1266" t="s">
        <v>4218</v>
      </c>
      <c r="D1266" s="118"/>
      <c r="E1266" s="118"/>
      <c r="F1266" s="116" t="s">
        <v>3982</v>
      </c>
      <c r="G1266" t="s">
        <v>3983</v>
      </c>
      <c r="H1266" s="117" t="s">
        <v>328</v>
      </c>
      <c r="I1266" s="117" t="s">
        <v>796</v>
      </c>
    </row>
    <row r="1267" spans="1:9" x14ac:dyDescent="0.25">
      <c r="A1267" t="s">
        <v>4219</v>
      </c>
      <c r="B1267" s="115" t="s">
        <v>4220</v>
      </c>
      <c r="C1267" t="s">
        <v>4221</v>
      </c>
      <c r="D1267" s="118"/>
      <c r="E1267" s="118"/>
      <c r="F1267" s="116" t="s">
        <v>3985</v>
      </c>
      <c r="G1267" t="s">
        <v>3986</v>
      </c>
      <c r="H1267" s="117" t="s">
        <v>160</v>
      </c>
      <c r="I1267" s="117" t="s">
        <v>704</v>
      </c>
    </row>
    <row r="1268" spans="1:9" x14ac:dyDescent="0.25">
      <c r="A1268" t="s">
        <v>4222</v>
      </c>
      <c r="B1268" s="115" t="s">
        <v>4223</v>
      </c>
      <c r="C1268" t="s">
        <v>4224</v>
      </c>
      <c r="D1268" s="118"/>
      <c r="E1268" s="118"/>
      <c r="F1268" s="116" t="s">
        <v>3988</v>
      </c>
      <c r="G1268" t="s">
        <v>3989</v>
      </c>
      <c r="H1268" s="117" t="s">
        <v>105</v>
      </c>
      <c r="I1268" s="117" t="s">
        <v>106</v>
      </c>
    </row>
    <row r="1269" spans="1:9" x14ac:dyDescent="0.25">
      <c r="A1269" t="s">
        <v>4225</v>
      </c>
      <c r="B1269" s="115" t="s">
        <v>796</v>
      </c>
      <c r="C1269" t="s">
        <v>4226</v>
      </c>
      <c r="D1269" s="118"/>
      <c r="E1269" s="118"/>
      <c r="F1269" s="116" t="s">
        <v>4227</v>
      </c>
      <c r="G1269" t="s">
        <v>4228</v>
      </c>
      <c r="H1269" s="117" t="s">
        <v>165</v>
      </c>
      <c r="I1269" s="117" t="s">
        <v>206</v>
      </c>
    </row>
    <row r="1270" spans="1:9" x14ac:dyDescent="0.25">
      <c r="A1270" t="s">
        <v>4229</v>
      </c>
      <c r="B1270" s="115" t="s">
        <v>4230</v>
      </c>
      <c r="C1270" t="s">
        <v>4231</v>
      </c>
      <c r="D1270" s="118"/>
      <c r="E1270" s="118"/>
      <c r="F1270" s="116" t="s">
        <v>3991</v>
      </c>
      <c r="G1270" t="s">
        <v>3992</v>
      </c>
      <c r="H1270" s="117" t="s">
        <v>165</v>
      </c>
      <c r="I1270" s="117" t="s">
        <v>206</v>
      </c>
    </row>
    <row r="1271" spans="1:9" x14ac:dyDescent="0.25">
      <c r="A1271" t="s">
        <v>4232</v>
      </c>
      <c r="B1271" s="115" t="s">
        <v>4233</v>
      </c>
      <c r="C1271" t="s">
        <v>4234</v>
      </c>
      <c r="D1271" s="118"/>
      <c r="E1271" s="118"/>
      <c r="F1271" s="116" t="s">
        <v>3994</v>
      </c>
      <c r="G1271" t="s">
        <v>3995</v>
      </c>
      <c r="H1271" s="117" t="s">
        <v>165</v>
      </c>
      <c r="I1271" s="117" t="s">
        <v>206</v>
      </c>
    </row>
    <row r="1272" spans="1:9" x14ac:dyDescent="0.25">
      <c r="A1272" t="s">
        <v>4235</v>
      </c>
      <c r="B1272" s="115" t="s">
        <v>4236</v>
      </c>
      <c r="C1272" t="s">
        <v>4237</v>
      </c>
      <c r="D1272" s="118"/>
      <c r="E1272" s="118"/>
      <c r="F1272" s="116" t="s">
        <v>3997</v>
      </c>
      <c r="G1272" t="s">
        <v>3998</v>
      </c>
      <c r="H1272" s="117" t="s">
        <v>165</v>
      </c>
      <c r="I1272" s="117" t="s">
        <v>206</v>
      </c>
    </row>
    <row r="1273" spans="1:9" x14ac:dyDescent="0.25">
      <c r="A1273" t="s">
        <v>4238</v>
      </c>
      <c r="B1273" s="115" t="s">
        <v>4239</v>
      </c>
      <c r="C1273" t="s">
        <v>4240</v>
      </c>
      <c r="D1273" s="118"/>
      <c r="E1273" s="118"/>
      <c r="F1273" s="116" t="s">
        <v>4000</v>
      </c>
      <c r="G1273" t="s">
        <v>4001</v>
      </c>
      <c r="H1273" s="117" t="s">
        <v>328</v>
      </c>
      <c r="I1273" s="117" t="s">
        <v>295</v>
      </c>
    </row>
    <row r="1274" spans="1:9" x14ac:dyDescent="0.25">
      <c r="A1274" t="s">
        <v>4241</v>
      </c>
      <c r="B1274" s="115" t="s">
        <v>4242</v>
      </c>
      <c r="C1274" t="s">
        <v>4243</v>
      </c>
      <c r="D1274" s="118"/>
      <c r="E1274" s="118"/>
      <c r="F1274" s="116" t="s">
        <v>4003</v>
      </c>
      <c r="G1274" t="s">
        <v>4004</v>
      </c>
      <c r="H1274" s="117" t="s">
        <v>328</v>
      </c>
      <c r="I1274" s="117" t="s">
        <v>295</v>
      </c>
    </row>
    <row r="1275" spans="1:9" x14ac:dyDescent="0.25">
      <c r="A1275" t="s">
        <v>4244</v>
      </c>
      <c r="B1275" s="115" t="s">
        <v>4245</v>
      </c>
      <c r="C1275" t="s">
        <v>4246</v>
      </c>
      <c r="D1275" s="118"/>
      <c r="E1275" s="118"/>
      <c r="F1275" s="116" t="s">
        <v>4006</v>
      </c>
      <c r="G1275" t="s">
        <v>295</v>
      </c>
      <c r="H1275" s="117" t="s">
        <v>328</v>
      </c>
      <c r="I1275" s="117" t="s">
        <v>295</v>
      </c>
    </row>
    <row r="1276" spans="1:9" x14ac:dyDescent="0.25">
      <c r="A1276" t="s">
        <v>4247</v>
      </c>
      <c r="B1276" s="115" t="s">
        <v>4248</v>
      </c>
      <c r="C1276" t="s">
        <v>4247</v>
      </c>
      <c r="D1276" s="118"/>
      <c r="E1276" s="118"/>
      <c r="F1276" s="116" t="s">
        <v>4008</v>
      </c>
      <c r="G1276" t="s">
        <v>4009</v>
      </c>
      <c r="H1276" s="117" t="s">
        <v>170</v>
      </c>
      <c r="I1276" s="117" t="s">
        <v>202</v>
      </c>
    </row>
    <row r="1277" spans="1:9" x14ac:dyDescent="0.25">
      <c r="A1277" t="s">
        <v>4249</v>
      </c>
      <c r="B1277" s="115" t="s">
        <v>4250</v>
      </c>
      <c r="C1277" t="s">
        <v>4249</v>
      </c>
      <c r="D1277" s="118"/>
      <c r="E1277" s="118"/>
      <c r="F1277" s="116" t="s">
        <v>4011</v>
      </c>
      <c r="G1277" t="s">
        <v>4012</v>
      </c>
      <c r="H1277" s="117" t="s">
        <v>260</v>
      </c>
      <c r="I1277" s="117" t="s">
        <v>261</v>
      </c>
    </row>
    <row r="1278" spans="1:9" x14ac:dyDescent="0.25">
      <c r="A1278" t="s">
        <v>4251</v>
      </c>
      <c r="B1278" s="115" t="s">
        <v>4252</v>
      </c>
      <c r="C1278" t="s">
        <v>4253</v>
      </c>
      <c r="D1278" s="118"/>
      <c r="E1278" s="118"/>
      <c r="F1278" s="116" t="s">
        <v>4013</v>
      </c>
      <c r="G1278" t="s">
        <v>4014</v>
      </c>
      <c r="H1278" s="117" t="s">
        <v>260</v>
      </c>
      <c r="I1278" s="117" t="s">
        <v>261</v>
      </c>
    </row>
    <row r="1279" spans="1:9" x14ac:dyDescent="0.25">
      <c r="A1279" t="s">
        <v>4254</v>
      </c>
      <c r="B1279" s="115" t="s">
        <v>4255</v>
      </c>
      <c r="C1279" t="s">
        <v>4256</v>
      </c>
      <c r="D1279" s="118"/>
      <c r="E1279" s="118"/>
      <c r="F1279" s="116" t="s">
        <v>4016</v>
      </c>
      <c r="G1279" t="s">
        <v>4017</v>
      </c>
      <c r="H1279" s="117" t="s">
        <v>170</v>
      </c>
      <c r="I1279" s="117" t="s">
        <v>202</v>
      </c>
    </row>
    <row r="1280" spans="1:9" x14ac:dyDescent="0.25">
      <c r="A1280" t="s">
        <v>4257</v>
      </c>
      <c r="B1280" s="115" t="s">
        <v>4258</v>
      </c>
      <c r="C1280" t="s">
        <v>4259</v>
      </c>
      <c r="D1280" s="118"/>
      <c r="E1280" s="118"/>
      <c r="F1280" s="116" t="s">
        <v>4260</v>
      </c>
      <c r="G1280" t="s">
        <v>4261</v>
      </c>
      <c r="H1280" s="117" t="s">
        <v>328</v>
      </c>
      <c r="I1280" s="117" t="s">
        <v>522</v>
      </c>
    </row>
    <row r="1281" spans="1:9" x14ac:dyDescent="0.25">
      <c r="A1281" t="s">
        <v>4262</v>
      </c>
      <c r="B1281" s="115" t="s">
        <v>4263</v>
      </c>
      <c r="C1281" t="s">
        <v>4264</v>
      </c>
      <c r="D1281" s="118"/>
      <c r="E1281" s="118"/>
      <c r="F1281" s="116" t="s">
        <v>4265</v>
      </c>
      <c r="G1281" t="s">
        <v>4266</v>
      </c>
      <c r="H1281" s="117" t="s">
        <v>328</v>
      </c>
      <c r="I1281" s="117" t="s">
        <v>522</v>
      </c>
    </row>
    <row r="1282" spans="1:9" x14ac:dyDescent="0.25">
      <c r="A1282" t="s">
        <v>4267</v>
      </c>
      <c r="B1282" s="115" t="s">
        <v>4268</v>
      </c>
      <c r="C1282" t="s">
        <v>4269</v>
      </c>
      <c r="D1282" s="118"/>
      <c r="E1282" s="118"/>
      <c r="F1282" s="116" t="s">
        <v>4021</v>
      </c>
      <c r="G1282" t="s">
        <v>4022</v>
      </c>
      <c r="H1282" s="117" t="s">
        <v>194</v>
      </c>
      <c r="I1282" s="117" t="s">
        <v>1264</v>
      </c>
    </row>
    <row r="1283" spans="1:9" x14ac:dyDescent="0.25">
      <c r="A1283" t="s">
        <v>4270</v>
      </c>
      <c r="B1283" s="115" t="s">
        <v>4271</v>
      </c>
      <c r="C1283" t="s">
        <v>4272</v>
      </c>
      <c r="D1283" s="118"/>
      <c r="E1283" s="118"/>
      <c r="F1283" s="116" t="s">
        <v>4024</v>
      </c>
      <c r="G1283" t="s">
        <v>4025</v>
      </c>
      <c r="H1283" s="117" t="s">
        <v>160</v>
      </c>
      <c r="I1283" s="117" t="s">
        <v>161</v>
      </c>
    </row>
    <row r="1284" spans="1:9" x14ac:dyDescent="0.25">
      <c r="A1284" t="s">
        <v>4273</v>
      </c>
      <c r="B1284" s="115" t="s">
        <v>4274</v>
      </c>
      <c r="C1284" t="s">
        <v>4275</v>
      </c>
      <c r="D1284" s="118"/>
      <c r="E1284" s="118"/>
      <c r="F1284" s="116" t="s">
        <v>4027</v>
      </c>
      <c r="G1284" t="s">
        <v>4028</v>
      </c>
      <c r="H1284" s="117" t="s">
        <v>328</v>
      </c>
      <c r="I1284" s="117" t="s">
        <v>1616</v>
      </c>
    </row>
    <row r="1285" spans="1:9" x14ac:dyDescent="0.25">
      <c r="A1285" t="s">
        <v>4276</v>
      </c>
      <c r="B1285" s="115" t="s">
        <v>4277</v>
      </c>
      <c r="C1285" t="s">
        <v>4278</v>
      </c>
      <c r="D1285" s="118"/>
      <c r="E1285" s="118"/>
      <c r="F1285" s="116" t="s">
        <v>4030</v>
      </c>
      <c r="G1285" t="s">
        <v>4031</v>
      </c>
      <c r="H1285" s="117" t="s">
        <v>160</v>
      </c>
      <c r="I1285" s="117" t="s">
        <v>161</v>
      </c>
    </row>
    <row r="1286" spans="1:9" x14ac:dyDescent="0.25">
      <c r="A1286" t="s">
        <v>4279</v>
      </c>
      <c r="B1286" s="115" t="s">
        <v>171</v>
      </c>
      <c r="C1286" t="s">
        <v>4280</v>
      </c>
      <c r="D1286" s="118"/>
      <c r="E1286" s="118"/>
      <c r="F1286" s="116" t="s">
        <v>4035</v>
      </c>
      <c r="G1286" t="s">
        <v>4036</v>
      </c>
      <c r="H1286" s="117" t="s">
        <v>115</v>
      </c>
      <c r="I1286" s="117" t="s">
        <v>3864</v>
      </c>
    </row>
    <row r="1287" spans="1:9" x14ac:dyDescent="0.25">
      <c r="A1287" t="s">
        <v>4281</v>
      </c>
      <c r="B1287" s="115" t="s">
        <v>4282</v>
      </c>
      <c r="C1287" t="s">
        <v>4283</v>
      </c>
      <c r="D1287" s="118"/>
      <c r="E1287" s="118"/>
      <c r="F1287" s="116" t="s">
        <v>4038</v>
      </c>
      <c r="G1287" t="s">
        <v>4039</v>
      </c>
      <c r="H1287" s="117" t="s">
        <v>115</v>
      </c>
      <c r="I1287" s="117" t="s">
        <v>123</v>
      </c>
    </row>
    <row r="1288" spans="1:9" x14ac:dyDescent="0.25">
      <c r="A1288" s="130" t="s">
        <v>4284</v>
      </c>
      <c r="B1288" s="130" t="s">
        <v>1332</v>
      </c>
      <c r="C1288" s="130"/>
      <c r="D1288" s="118"/>
      <c r="E1288" s="118"/>
      <c r="F1288" s="116" t="s">
        <v>4041</v>
      </c>
      <c r="G1288" t="s">
        <v>4042</v>
      </c>
      <c r="H1288" s="117" t="s">
        <v>115</v>
      </c>
      <c r="I1288" s="117" t="s">
        <v>276</v>
      </c>
    </row>
    <row r="1289" spans="1:9" x14ac:dyDescent="0.25">
      <c r="A1289" s="130"/>
      <c r="B1289" s="130"/>
      <c r="C1289" s="130"/>
      <c r="D1289" s="118"/>
      <c r="E1289" s="118"/>
      <c r="F1289" s="116" t="s">
        <v>4045</v>
      </c>
      <c r="G1289" t="s">
        <v>4046</v>
      </c>
      <c r="H1289" s="117" t="s">
        <v>260</v>
      </c>
      <c r="I1289" s="117" t="s">
        <v>261</v>
      </c>
    </row>
    <row r="1290" spans="1:9" x14ac:dyDescent="0.25">
      <c r="A1290" s="130"/>
      <c r="B1290" s="130"/>
      <c r="C1290" s="130"/>
      <c r="D1290" s="118"/>
      <c r="E1290" s="118"/>
      <c r="F1290" s="116" t="s">
        <v>4285</v>
      </c>
      <c r="G1290" t="s">
        <v>4286</v>
      </c>
      <c r="H1290" s="117" t="s">
        <v>160</v>
      </c>
      <c r="I1290" s="117" t="s">
        <v>487</v>
      </c>
    </row>
    <row r="1291" spans="1:9" x14ac:dyDescent="0.25">
      <c r="A1291" s="130"/>
      <c r="B1291" s="130"/>
      <c r="C1291" s="130"/>
      <c r="D1291" s="118"/>
      <c r="E1291" s="118"/>
      <c r="F1291" s="116" t="s">
        <v>4048</v>
      </c>
      <c r="G1291" t="s">
        <v>4049</v>
      </c>
      <c r="H1291" s="117" t="s">
        <v>160</v>
      </c>
      <c r="I1291" s="117" t="s">
        <v>487</v>
      </c>
    </row>
    <row r="1292" spans="1:9" x14ac:dyDescent="0.25">
      <c r="A1292" s="130"/>
      <c r="B1292" s="130"/>
      <c r="C1292" s="130"/>
      <c r="D1292" s="118"/>
      <c r="E1292" s="118"/>
      <c r="F1292" s="116" t="s">
        <v>4053</v>
      </c>
      <c r="G1292" t="s">
        <v>4054</v>
      </c>
      <c r="H1292" s="117" t="s">
        <v>105</v>
      </c>
      <c r="I1292" s="117" t="s">
        <v>174</v>
      </c>
    </row>
    <row r="1293" spans="1:9" x14ac:dyDescent="0.25">
      <c r="A1293" s="130"/>
      <c r="B1293" s="130"/>
      <c r="C1293" s="130"/>
      <c r="D1293" s="118"/>
      <c r="E1293" s="118"/>
      <c r="F1293" s="116" t="s">
        <v>4056</v>
      </c>
      <c r="G1293" t="s">
        <v>4057</v>
      </c>
      <c r="H1293" s="117" t="s">
        <v>165</v>
      </c>
      <c r="I1293" s="117" t="s">
        <v>206</v>
      </c>
    </row>
    <row r="1294" spans="1:9" x14ac:dyDescent="0.25">
      <c r="A1294" s="130"/>
      <c r="B1294" s="130"/>
      <c r="C1294" s="130"/>
      <c r="D1294" s="118"/>
      <c r="E1294" s="118"/>
      <c r="F1294" s="116" t="s">
        <v>4059</v>
      </c>
      <c r="G1294" t="s">
        <v>4060</v>
      </c>
      <c r="H1294" s="117" t="s">
        <v>220</v>
      </c>
      <c r="I1294" s="117" t="s">
        <v>221</v>
      </c>
    </row>
    <row r="1295" spans="1:9" x14ac:dyDescent="0.25">
      <c r="A1295" s="130"/>
      <c r="B1295" s="130"/>
      <c r="C1295" s="130"/>
      <c r="D1295" s="118"/>
      <c r="E1295" s="118"/>
      <c r="F1295" s="116" t="s">
        <v>4064</v>
      </c>
      <c r="G1295" t="s">
        <v>4065</v>
      </c>
      <c r="H1295" s="117" t="s">
        <v>328</v>
      </c>
      <c r="I1295" s="117" t="s">
        <v>1569</v>
      </c>
    </row>
    <row r="1296" spans="1:9" x14ac:dyDescent="0.25">
      <c r="A1296" s="130"/>
      <c r="B1296" s="130"/>
      <c r="C1296" s="130"/>
      <c r="D1296" s="118"/>
      <c r="E1296" s="118"/>
      <c r="F1296" s="116" t="s">
        <v>4287</v>
      </c>
      <c r="G1296" t="s">
        <v>4288</v>
      </c>
      <c r="H1296" s="117" t="s">
        <v>328</v>
      </c>
      <c r="I1296" s="117" t="s">
        <v>295</v>
      </c>
    </row>
    <row r="1297" spans="1:9" x14ac:dyDescent="0.25">
      <c r="A1297" s="130"/>
      <c r="B1297" s="130"/>
      <c r="C1297" s="130"/>
      <c r="D1297" s="118"/>
      <c r="E1297" s="118"/>
      <c r="F1297" s="116" t="s">
        <v>4067</v>
      </c>
      <c r="G1297" t="s">
        <v>4068</v>
      </c>
      <c r="H1297" s="117" t="s">
        <v>260</v>
      </c>
      <c r="I1297" s="117" t="s">
        <v>1146</v>
      </c>
    </row>
    <row r="1298" spans="1:9" x14ac:dyDescent="0.25">
      <c r="A1298" s="130"/>
      <c r="B1298" s="130"/>
      <c r="C1298" s="130"/>
      <c r="D1298" s="118"/>
      <c r="E1298" s="118"/>
      <c r="F1298" s="116" t="s">
        <v>4070</v>
      </c>
      <c r="G1298" t="s">
        <v>4071</v>
      </c>
      <c r="H1298" s="117" t="s">
        <v>260</v>
      </c>
      <c r="I1298" s="117" t="s">
        <v>440</v>
      </c>
    </row>
    <row r="1299" spans="1:9" x14ac:dyDescent="0.25">
      <c r="A1299" s="130"/>
      <c r="B1299" s="130"/>
      <c r="C1299" s="130"/>
      <c r="D1299" s="118"/>
      <c r="E1299" s="118"/>
      <c r="F1299" s="116" t="s">
        <v>4073</v>
      </c>
      <c r="G1299" t="s">
        <v>4074</v>
      </c>
      <c r="H1299" s="117" t="s">
        <v>100</v>
      </c>
      <c r="I1299" s="117" t="s">
        <v>187</v>
      </c>
    </row>
    <row r="1300" spans="1:9" x14ac:dyDescent="0.25">
      <c r="A1300" s="130"/>
      <c r="B1300" s="130"/>
      <c r="C1300" s="130"/>
      <c r="D1300" s="118"/>
      <c r="E1300" s="118"/>
      <c r="F1300" s="116" t="s">
        <v>4076</v>
      </c>
      <c r="G1300" t="s">
        <v>4077</v>
      </c>
      <c r="H1300" s="117" t="s">
        <v>160</v>
      </c>
      <c r="I1300" s="117" t="s">
        <v>704</v>
      </c>
    </row>
    <row r="1301" spans="1:9" x14ac:dyDescent="0.25">
      <c r="A1301" s="130"/>
      <c r="B1301" s="130"/>
      <c r="C1301" s="130"/>
      <c r="D1301" s="118"/>
      <c r="E1301" s="118"/>
      <c r="F1301" s="116" t="s">
        <v>4289</v>
      </c>
      <c r="G1301" t="s">
        <v>4290</v>
      </c>
      <c r="H1301" s="117" t="s">
        <v>160</v>
      </c>
      <c r="I1301" s="117" t="s">
        <v>704</v>
      </c>
    </row>
    <row r="1302" spans="1:9" x14ac:dyDescent="0.25">
      <c r="A1302" s="130"/>
      <c r="B1302" s="130"/>
      <c r="C1302" s="130"/>
      <c r="D1302" s="118"/>
      <c r="E1302" s="118"/>
      <c r="F1302" s="116" t="s">
        <v>4081</v>
      </c>
      <c r="G1302" t="s">
        <v>4082</v>
      </c>
      <c r="H1302" s="117" t="s">
        <v>160</v>
      </c>
      <c r="I1302" s="117" t="s">
        <v>704</v>
      </c>
    </row>
    <row r="1303" spans="1:9" x14ac:dyDescent="0.25">
      <c r="A1303" s="130"/>
      <c r="B1303" s="130"/>
      <c r="C1303" s="130"/>
      <c r="D1303" s="118"/>
      <c r="E1303" s="118"/>
      <c r="F1303" s="116" t="s">
        <v>4084</v>
      </c>
      <c r="G1303" t="s">
        <v>4291</v>
      </c>
      <c r="H1303" s="117" t="s">
        <v>105</v>
      </c>
      <c r="I1303" s="117" t="s">
        <v>174</v>
      </c>
    </row>
    <row r="1304" spans="1:9" x14ac:dyDescent="0.25">
      <c r="A1304" s="130"/>
      <c r="B1304" s="130"/>
      <c r="C1304" s="130"/>
      <c r="D1304" s="118"/>
      <c r="E1304" s="118"/>
      <c r="F1304" s="116" t="s">
        <v>4292</v>
      </c>
      <c r="G1304" t="s">
        <v>4293</v>
      </c>
      <c r="H1304" s="117" t="s">
        <v>165</v>
      </c>
      <c r="I1304" s="117" t="s">
        <v>166</v>
      </c>
    </row>
    <row r="1305" spans="1:9" x14ac:dyDescent="0.25">
      <c r="A1305" s="130"/>
      <c r="B1305" s="130"/>
      <c r="C1305" s="130"/>
      <c r="D1305" s="118"/>
      <c r="E1305" s="118"/>
      <c r="F1305" s="116" t="s">
        <v>4088</v>
      </c>
      <c r="G1305" t="s">
        <v>4089</v>
      </c>
      <c r="H1305" s="117" t="s">
        <v>105</v>
      </c>
      <c r="I1305" s="117" t="s">
        <v>127</v>
      </c>
    </row>
    <row r="1306" spans="1:9" x14ac:dyDescent="0.25">
      <c r="A1306" s="130"/>
      <c r="B1306" s="130"/>
      <c r="C1306" s="130"/>
      <c r="D1306" s="118"/>
      <c r="E1306" s="118"/>
      <c r="F1306" s="116" t="s">
        <v>4091</v>
      </c>
      <c r="G1306" t="s">
        <v>4092</v>
      </c>
      <c r="H1306" s="117" t="s">
        <v>220</v>
      </c>
      <c r="I1306" s="117" t="s">
        <v>221</v>
      </c>
    </row>
    <row r="1307" spans="1:9" x14ac:dyDescent="0.25">
      <c r="A1307" s="130"/>
      <c r="B1307" s="130"/>
      <c r="C1307" s="130"/>
      <c r="D1307" s="118"/>
      <c r="E1307" s="118"/>
      <c r="F1307" s="116" t="s">
        <v>4094</v>
      </c>
      <c r="G1307" t="s">
        <v>4095</v>
      </c>
      <c r="H1307" s="117" t="s">
        <v>160</v>
      </c>
      <c r="I1307" s="117" t="s">
        <v>161</v>
      </c>
    </row>
    <row r="1308" spans="1:9" x14ac:dyDescent="0.25">
      <c r="A1308" s="130"/>
      <c r="B1308" s="130"/>
      <c r="C1308" s="130"/>
      <c r="D1308" s="118"/>
      <c r="E1308" s="118"/>
      <c r="F1308" s="116" t="s">
        <v>4097</v>
      </c>
      <c r="G1308" t="s">
        <v>4098</v>
      </c>
      <c r="H1308" s="117" t="s">
        <v>105</v>
      </c>
      <c r="I1308" s="117" t="s">
        <v>127</v>
      </c>
    </row>
    <row r="1309" spans="1:9" x14ac:dyDescent="0.25">
      <c r="A1309" s="130"/>
      <c r="B1309" s="130"/>
      <c r="C1309" s="130"/>
      <c r="D1309" s="118"/>
      <c r="E1309" s="118"/>
      <c r="F1309" s="116" t="s">
        <v>4100</v>
      </c>
      <c r="G1309" t="s">
        <v>4101</v>
      </c>
      <c r="H1309" s="117" t="s">
        <v>170</v>
      </c>
      <c r="I1309" s="117" t="s">
        <v>171</v>
      </c>
    </row>
    <row r="1310" spans="1:9" x14ac:dyDescent="0.25">
      <c r="A1310" s="130"/>
      <c r="B1310" s="130"/>
      <c r="C1310" s="130"/>
      <c r="D1310" s="118"/>
      <c r="E1310" s="118"/>
      <c r="F1310" s="116" t="s">
        <v>4103</v>
      </c>
      <c r="G1310" t="s">
        <v>4104</v>
      </c>
      <c r="H1310" s="117" t="s">
        <v>100</v>
      </c>
      <c r="I1310" s="117" t="s">
        <v>339</v>
      </c>
    </row>
    <row r="1311" spans="1:9" x14ac:dyDescent="0.25">
      <c r="A1311" s="130"/>
      <c r="B1311" s="130"/>
      <c r="C1311" s="130"/>
      <c r="D1311" s="118"/>
      <c r="E1311" s="118"/>
      <c r="F1311" s="116" t="s">
        <v>4106</v>
      </c>
      <c r="G1311" t="s">
        <v>4107</v>
      </c>
      <c r="H1311" s="117" t="s">
        <v>160</v>
      </c>
      <c r="I1311" s="117" t="s">
        <v>487</v>
      </c>
    </row>
    <row r="1312" spans="1:9" x14ac:dyDescent="0.25">
      <c r="A1312" s="130"/>
      <c r="B1312" s="130"/>
      <c r="C1312" s="130"/>
      <c r="D1312" s="118"/>
      <c r="E1312" s="118"/>
      <c r="F1312" s="116" t="s">
        <v>4109</v>
      </c>
      <c r="G1312" t="s">
        <v>4110</v>
      </c>
      <c r="H1312" s="117" t="s">
        <v>160</v>
      </c>
      <c r="I1312" s="117" t="s">
        <v>487</v>
      </c>
    </row>
    <row r="1313" spans="1:9" x14ac:dyDescent="0.25">
      <c r="A1313" s="130"/>
      <c r="B1313" s="130"/>
      <c r="C1313" s="130"/>
      <c r="D1313" s="118"/>
      <c r="E1313" s="118"/>
      <c r="F1313" s="116" t="s">
        <v>4112</v>
      </c>
      <c r="G1313" t="s">
        <v>4113</v>
      </c>
      <c r="H1313" s="117" t="s">
        <v>160</v>
      </c>
      <c r="I1313" s="117" t="s">
        <v>487</v>
      </c>
    </row>
    <row r="1314" spans="1:9" s="118" customFormat="1" x14ac:dyDescent="0.25">
      <c r="A1314" s="130"/>
      <c r="B1314" s="130"/>
      <c r="C1314" s="130"/>
      <c r="F1314" s="118" t="s">
        <v>4115</v>
      </c>
      <c r="G1314" s="118" t="s">
        <v>4116</v>
      </c>
      <c r="H1314" s="118" t="s">
        <v>105</v>
      </c>
      <c r="I1314" s="118" t="s">
        <v>127</v>
      </c>
    </row>
    <row r="1315" spans="1:9" s="118" customFormat="1" x14ac:dyDescent="0.25">
      <c r="A1315" s="130"/>
      <c r="B1315" s="130"/>
      <c r="C1315" s="130"/>
      <c r="F1315" s="118" t="s">
        <v>4118</v>
      </c>
      <c r="G1315" s="118" t="s">
        <v>4119</v>
      </c>
      <c r="H1315" s="118" t="s">
        <v>170</v>
      </c>
      <c r="I1315" s="118" t="s">
        <v>171</v>
      </c>
    </row>
    <row r="1316" spans="1:9" s="118" customFormat="1" x14ac:dyDescent="0.25">
      <c r="A1316" s="130"/>
      <c r="B1316" s="130"/>
      <c r="C1316" s="130"/>
      <c r="F1316" s="118" t="s">
        <v>4294</v>
      </c>
      <c r="G1316" s="118" t="s">
        <v>4295</v>
      </c>
      <c r="H1316" s="118" t="s">
        <v>328</v>
      </c>
      <c r="I1316" s="118" t="s">
        <v>1616</v>
      </c>
    </row>
    <row r="1317" spans="1:9" s="118" customFormat="1" x14ac:dyDescent="0.25">
      <c r="A1317" s="130"/>
      <c r="B1317" s="130"/>
      <c r="C1317" s="130"/>
      <c r="F1317" s="118" t="s">
        <v>4124</v>
      </c>
      <c r="G1317" s="118" t="s">
        <v>4125</v>
      </c>
      <c r="H1317" s="118" t="s">
        <v>100</v>
      </c>
      <c r="I1317" s="118" t="s">
        <v>250</v>
      </c>
    </row>
    <row r="1318" spans="1:9" s="118" customFormat="1" x14ac:dyDescent="0.25">
      <c r="A1318" s="130"/>
      <c r="B1318" s="130"/>
      <c r="C1318" s="130"/>
      <c r="F1318" s="118" t="s">
        <v>4296</v>
      </c>
      <c r="G1318" s="118" t="s">
        <v>4297</v>
      </c>
      <c r="H1318" s="118" t="s">
        <v>170</v>
      </c>
      <c r="I1318" s="118" t="s">
        <v>202</v>
      </c>
    </row>
    <row r="1319" spans="1:9" s="118" customFormat="1" x14ac:dyDescent="0.25">
      <c r="A1319" s="130"/>
      <c r="B1319" s="130"/>
      <c r="C1319" s="130"/>
      <c r="F1319" s="118" t="s">
        <v>4130</v>
      </c>
      <c r="G1319" s="118" t="s">
        <v>4131</v>
      </c>
      <c r="H1319" s="118" t="s">
        <v>260</v>
      </c>
      <c r="I1319" s="118" t="s">
        <v>670</v>
      </c>
    </row>
    <row r="1320" spans="1:9" s="118" customFormat="1" x14ac:dyDescent="0.25">
      <c r="A1320" s="130"/>
      <c r="B1320" s="130"/>
      <c r="C1320" s="130"/>
      <c r="F1320" s="118" t="s">
        <v>4133</v>
      </c>
      <c r="G1320" s="118" t="s">
        <v>4134</v>
      </c>
      <c r="H1320" s="118" t="s">
        <v>105</v>
      </c>
      <c r="I1320" s="118" t="s">
        <v>127</v>
      </c>
    </row>
    <row r="1321" spans="1:9" s="118" customFormat="1" x14ac:dyDescent="0.25">
      <c r="A1321" s="130"/>
      <c r="B1321" s="130"/>
      <c r="C1321" s="130"/>
      <c r="F1321" s="118" t="s">
        <v>4138</v>
      </c>
      <c r="G1321" s="118" t="s">
        <v>4139</v>
      </c>
      <c r="H1321" s="118" t="s">
        <v>165</v>
      </c>
      <c r="I1321" s="118" t="s">
        <v>166</v>
      </c>
    </row>
    <row r="1322" spans="1:9" s="118" customFormat="1" x14ac:dyDescent="0.25">
      <c r="A1322" s="130"/>
      <c r="B1322" s="130"/>
      <c r="C1322" s="130"/>
      <c r="F1322" s="118" t="s">
        <v>4141</v>
      </c>
      <c r="G1322" s="118" t="s">
        <v>4142</v>
      </c>
      <c r="H1322" s="118" t="s">
        <v>165</v>
      </c>
      <c r="I1322" s="118" t="s">
        <v>166</v>
      </c>
    </row>
    <row r="1323" spans="1:9" s="118" customFormat="1" x14ac:dyDescent="0.25">
      <c r="A1323" s="130"/>
      <c r="B1323" s="130"/>
      <c r="C1323" s="130"/>
      <c r="F1323" s="118" t="s">
        <v>4144</v>
      </c>
      <c r="G1323" s="118" t="s">
        <v>4145</v>
      </c>
      <c r="H1323" s="118" t="s">
        <v>100</v>
      </c>
      <c r="I1323" s="118" t="s">
        <v>187</v>
      </c>
    </row>
    <row r="1324" spans="1:9" s="118" customFormat="1" x14ac:dyDescent="0.25">
      <c r="A1324" s="130"/>
      <c r="B1324" s="130"/>
      <c r="C1324" s="130"/>
      <c r="F1324" s="118" t="s">
        <v>4147</v>
      </c>
      <c r="G1324" s="118" t="s">
        <v>4148</v>
      </c>
      <c r="H1324" s="118" t="s">
        <v>165</v>
      </c>
      <c r="I1324" s="118" t="s">
        <v>206</v>
      </c>
    </row>
    <row r="1325" spans="1:9" s="118" customFormat="1" x14ac:dyDescent="0.25">
      <c r="A1325" s="130"/>
      <c r="B1325" s="130"/>
      <c r="C1325" s="130"/>
      <c r="F1325" s="118" t="s">
        <v>4150</v>
      </c>
      <c r="G1325" s="118" t="s">
        <v>704</v>
      </c>
      <c r="H1325" s="118" t="s">
        <v>160</v>
      </c>
      <c r="I1325" s="118" t="s">
        <v>704</v>
      </c>
    </row>
    <row r="1326" spans="1:9" s="118" customFormat="1" x14ac:dyDescent="0.25">
      <c r="A1326" s="130"/>
      <c r="B1326" s="130"/>
      <c r="C1326" s="130"/>
      <c r="F1326" s="118" t="s">
        <v>4298</v>
      </c>
      <c r="G1326" s="118" t="s">
        <v>4299</v>
      </c>
      <c r="H1326" s="118" t="s">
        <v>220</v>
      </c>
      <c r="I1326" s="118" t="s">
        <v>339</v>
      </c>
    </row>
    <row r="1327" spans="1:9" s="118" customFormat="1" x14ac:dyDescent="0.25">
      <c r="A1327" s="130"/>
      <c r="B1327" s="130"/>
      <c r="C1327" s="130"/>
      <c r="F1327" s="118" t="s">
        <v>4152</v>
      </c>
      <c r="G1327" s="118" t="s">
        <v>4153</v>
      </c>
      <c r="H1327" s="118" t="s">
        <v>220</v>
      </c>
      <c r="I1327" s="118" t="s">
        <v>339</v>
      </c>
    </row>
    <row r="1328" spans="1:9" s="118" customFormat="1" x14ac:dyDescent="0.25">
      <c r="A1328" s="130"/>
      <c r="B1328" s="130"/>
      <c r="C1328" s="130"/>
      <c r="F1328" s="118" t="s">
        <v>4155</v>
      </c>
      <c r="G1328" s="118" t="s">
        <v>4156</v>
      </c>
      <c r="H1328" s="118" t="s">
        <v>160</v>
      </c>
      <c r="I1328" s="118" t="s">
        <v>161</v>
      </c>
    </row>
    <row r="1329" spans="1:9" s="118" customFormat="1" x14ac:dyDescent="0.25">
      <c r="A1329" s="130"/>
      <c r="B1329" s="130"/>
      <c r="C1329" s="130"/>
      <c r="F1329" s="118" t="s">
        <v>4158</v>
      </c>
      <c r="G1329" s="118" t="s">
        <v>4159</v>
      </c>
      <c r="H1329" s="118" t="s">
        <v>100</v>
      </c>
      <c r="I1329" s="118" t="s">
        <v>187</v>
      </c>
    </row>
    <row r="1330" spans="1:9" s="118" customFormat="1" x14ac:dyDescent="0.25">
      <c r="A1330" s="130"/>
      <c r="B1330" s="130"/>
      <c r="C1330" s="130"/>
      <c r="F1330" s="118" t="s">
        <v>4166</v>
      </c>
      <c r="G1330" s="118" t="s">
        <v>4167</v>
      </c>
      <c r="H1330" s="118" t="s">
        <v>100</v>
      </c>
      <c r="I1330" s="118" t="s">
        <v>181</v>
      </c>
    </row>
    <row r="1331" spans="1:9" s="118" customFormat="1" x14ac:dyDescent="0.25">
      <c r="A1331" s="130"/>
      <c r="B1331" s="130"/>
      <c r="C1331" s="130"/>
      <c r="F1331" s="118" t="s">
        <v>4169</v>
      </c>
      <c r="G1331" s="118" t="s">
        <v>4170</v>
      </c>
      <c r="H1331" s="118" t="s">
        <v>100</v>
      </c>
      <c r="I1331" s="118" t="s">
        <v>181</v>
      </c>
    </row>
    <row r="1332" spans="1:9" s="118" customFormat="1" x14ac:dyDescent="0.25">
      <c r="A1332" s="130"/>
      <c r="B1332" s="130"/>
      <c r="C1332" s="130"/>
      <c r="F1332" s="118" t="s">
        <v>4174</v>
      </c>
      <c r="G1332" s="118" t="s">
        <v>4175</v>
      </c>
      <c r="H1332" s="118" t="s">
        <v>165</v>
      </c>
      <c r="I1332" s="118" t="s">
        <v>206</v>
      </c>
    </row>
    <row r="1333" spans="1:9" s="118" customFormat="1" x14ac:dyDescent="0.25">
      <c r="A1333" s="130"/>
      <c r="B1333" s="130"/>
      <c r="C1333" s="130"/>
      <c r="F1333" s="118" t="s">
        <v>4300</v>
      </c>
      <c r="G1333" s="118" t="s">
        <v>4301</v>
      </c>
      <c r="H1333" s="118" t="s">
        <v>165</v>
      </c>
      <c r="I1333" s="118" t="s">
        <v>206</v>
      </c>
    </row>
    <row r="1334" spans="1:9" s="118" customFormat="1" x14ac:dyDescent="0.25">
      <c r="A1334" s="130"/>
      <c r="B1334" s="130"/>
      <c r="C1334" s="130"/>
      <c r="F1334" s="118" t="s">
        <v>4177</v>
      </c>
      <c r="G1334" s="118" t="s">
        <v>4178</v>
      </c>
      <c r="H1334" s="118" t="s">
        <v>165</v>
      </c>
      <c r="I1334" s="118" t="s">
        <v>206</v>
      </c>
    </row>
    <row r="1335" spans="1:9" s="118" customFormat="1" x14ac:dyDescent="0.25">
      <c r="A1335" s="130"/>
      <c r="B1335" s="130"/>
      <c r="C1335" s="130"/>
      <c r="F1335" s="118" t="s">
        <v>4180</v>
      </c>
      <c r="G1335" s="118" t="s">
        <v>4181</v>
      </c>
      <c r="H1335" s="118" t="s">
        <v>260</v>
      </c>
      <c r="I1335" s="118" t="s">
        <v>670</v>
      </c>
    </row>
    <row r="1336" spans="1:9" s="118" customFormat="1" x14ac:dyDescent="0.25">
      <c r="A1336" s="130"/>
      <c r="B1336" s="130"/>
      <c r="C1336" s="130"/>
      <c r="F1336" s="118" t="s">
        <v>4183</v>
      </c>
      <c r="G1336" s="118" t="s">
        <v>4184</v>
      </c>
      <c r="H1336" s="118" t="s">
        <v>260</v>
      </c>
      <c r="I1336" s="118" t="s">
        <v>367</v>
      </c>
    </row>
    <row r="1337" spans="1:9" s="118" customFormat="1" x14ac:dyDescent="0.25">
      <c r="A1337" s="130"/>
      <c r="B1337" s="130"/>
      <c r="C1337" s="130"/>
      <c r="F1337" s="118" t="s">
        <v>4187</v>
      </c>
      <c r="G1337" s="118" t="s">
        <v>4188</v>
      </c>
      <c r="H1337" s="118" t="s">
        <v>165</v>
      </c>
      <c r="I1337" s="118" t="s">
        <v>166</v>
      </c>
    </row>
    <row r="1338" spans="1:9" s="118" customFormat="1" x14ac:dyDescent="0.25">
      <c r="A1338" s="130"/>
      <c r="B1338" s="130"/>
      <c r="C1338" s="130"/>
      <c r="F1338" s="118" t="s">
        <v>4190</v>
      </c>
      <c r="G1338" s="118" t="s">
        <v>4191</v>
      </c>
      <c r="H1338" s="118" t="s">
        <v>100</v>
      </c>
      <c r="I1338" s="118" t="s">
        <v>110</v>
      </c>
    </row>
    <row r="1339" spans="1:9" s="118" customFormat="1" x14ac:dyDescent="0.25">
      <c r="A1339" s="130"/>
      <c r="B1339" s="130"/>
      <c r="C1339" s="130"/>
      <c r="F1339" s="118" t="s">
        <v>4302</v>
      </c>
      <c r="G1339" s="118" t="s">
        <v>2850</v>
      </c>
      <c r="H1339" s="118" t="s">
        <v>100</v>
      </c>
      <c r="I1339" s="118" t="s">
        <v>110</v>
      </c>
    </row>
    <row r="1340" spans="1:9" s="118" customFormat="1" x14ac:dyDescent="0.25">
      <c r="A1340" s="130"/>
      <c r="B1340" s="130"/>
      <c r="C1340" s="130"/>
      <c r="F1340" s="118" t="s">
        <v>4200</v>
      </c>
      <c r="G1340" s="118" t="s">
        <v>4201</v>
      </c>
      <c r="H1340" s="118" t="s">
        <v>100</v>
      </c>
      <c r="I1340" s="118" t="s">
        <v>339</v>
      </c>
    </row>
    <row r="1341" spans="1:9" s="118" customFormat="1" x14ac:dyDescent="0.25">
      <c r="A1341" s="130"/>
      <c r="B1341" s="130"/>
      <c r="C1341" s="130"/>
      <c r="F1341" s="118" t="s">
        <v>4303</v>
      </c>
      <c r="G1341" s="118" t="s">
        <v>4304</v>
      </c>
      <c r="H1341" s="118" t="s">
        <v>328</v>
      </c>
      <c r="I1341" s="118" t="s">
        <v>522</v>
      </c>
    </row>
    <row r="1342" spans="1:9" s="118" customFormat="1" x14ac:dyDescent="0.25">
      <c r="A1342" s="130"/>
      <c r="B1342" s="130"/>
      <c r="C1342" s="130"/>
      <c r="F1342" s="118" t="s">
        <v>4203</v>
      </c>
      <c r="G1342" s="118" t="s">
        <v>4204</v>
      </c>
      <c r="H1342" s="118" t="s">
        <v>328</v>
      </c>
      <c r="I1342" s="118" t="s">
        <v>522</v>
      </c>
    </row>
    <row r="1343" spans="1:9" s="118" customFormat="1" x14ac:dyDescent="0.25">
      <c r="A1343" s="130"/>
      <c r="B1343" s="130"/>
      <c r="C1343" s="130"/>
      <c r="F1343" s="118" t="s">
        <v>4206</v>
      </c>
      <c r="G1343" s="118" t="s">
        <v>4207</v>
      </c>
      <c r="H1343" s="118" t="s">
        <v>328</v>
      </c>
      <c r="I1343" s="118" t="s">
        <v>522</v>
      </c>
    </row>
    <row r="1344" spans="1:9" s="118" customFormat="1" x14ac:dyDescent="0.25">
      <c r="A1344" s="130"/>
      <c r="B1344" s="130"/>
      <c r="C1344" s="130"/>
      <c r="F1344" s="118" t="s">
        <v>4209</v>
      </c>
      <c r="G1344" s="118" t="s">
        <v>4210</v>
      </c>
      <c r="H1344" s="118" t="s">
        <v>165</v>
      </c>
      <c r="I1344" s="118" t="s">
        <v>206</v>
      </c>
    </row>
    <row r="1345" spans="1:9" s="118" customFormat="1" x14ac:dyDescent="0.25">
      <c r="A1345" s="130"/>
      <c r="B1345" s="130"/>
      <c r="C1345" s="130"/>
      <c r="F1345" s="118" t="s">
        <v>4212</v>
      </c>
      <c r="G1345" s="118" t="s">
        <v>4213</v>
      </c>
      <c r="H1345" s="118" t="s">
        <v>194</v>
      </c>
      <c r="I1345" s="118" t="s">
        <v>666</v>
      </c>
    </row>
    <row r="1346" spans="1:9" s="118" customFormat="1" x14ac:dyDescent="0.25">
      <c r="A1346" s="130"/>
      <c r="B1346" s="130"/>
      <c r="C1346" s="130"/>
      <c r="F1346" s="118" t="s">
        <v>4216</v>
      </c>
      <c r="G1346" s="118" t="s">
        <v>4217</v>
      </c>
      <c r="H1346" s="118" t="s">
        <v>260</v>
      </c>
      <c r="I1346" s="118" t="s">
        <v>367</v>
      </c>
    </row>
    <row r="1347" spans="1:9" s="118" customFormat="1" x14ac:dyDescent="0.25">
      <c r="A1347" s="130"/>
      <c r="B1347" s="130"/>
      <c r="C1347" s="130"/>
      <c r="F1347" s="118" t="s">
        <v>4219</v>
      </c>
      <c r="G1347" s="118" t="s">
        <v>4220</v>
      </c>
      <c r="H1347" s="118" t="s">
        <v>220</v>
      </c>
      <c r="I1347" s="118" t="s">
        <v>339</v>
      </c>
    </row>
    <row r="1348" spans="1:9" s="118" customFormat="1" x14ac:dyDescent="0.25">
      <c r="A1348" s="130"/>
      <c r="B1348" s="130"/>
      <c r="C1348" s="130"/>
      <c r="F1348" s="118" t="s">
        <v>4222</v>
      </c>
      <c r="G1348" s="118" t="s">
        <v>4223</v>
      </c>
      <c r="H1348" s="118" t="s">
        <v>165</v>
      </c>
      <c r="I1348" s="118" t="s">
        <v>166</v>
      </c>
    </row>
    <row r="1349" spans="1:9" s="118" customFormat="1" x14ac:dyDescent="0.25">
      <c r="A1349" s="130"/>
      <c r="B1349" s="130"/>
      <c r="C1349" s="130"/>
      <c r="F1349" s="118" t="s">
        <v>4225</v>
      </c>
      <c r="G1349" s="118" t="s">
        <v>796</v>
      </c>
      <c r="H1349" s="118" t="s">
        <v>328</v>
      </c>
      <c r="I1349" s="118" t="s">
        <v>796</v>
      </c>
    </row>
    <row r="1350" spans="1:9" s="118" customFormat="1" x14ac:dyDescent="0.25">
      <c r="A1350" s="130"/>
      <c r="B1350" s="130"/>
      <c r="C1350" s="130"/>
      <c r="F1350" s="118" t="s">
        <v>4229</v>
      </c>
      <c r="G1350" s="118" t="s">
        <v>4230</v>
      </c>
      <c r="H1350" s="118" t="s">
        <v>328</v>
      </c>
      <c r="I1350" s="118" t="s">
        <v>796</v>
      </c>
    </row>
    <row r="1351" spans="1:9" s="118" customFormat="1" x14ac:dyDescent="0.25">
      <c r="A1351" s="130"/>
      <c r="B1351" s="130"/>
      <c r="C1351" s="130"/>
      <c r="F1351" s="118" t="s">
        <v>4232</v>
      </c>
      <c r="G1351" s="118" t="s">
        <v>4233</v>
      </c>
      <c r="H1351" s="118" t="s">
        <v>328</v>
      </c>
      <c r="I1351" s="118" t="s">
        <v>796</v>
      </c>
    </row>
    <row r="1352" spans="1:9" s="118" customFormat="1" x14ac:dyDescent="0.25">
      <c r="A1352" s="130"/>
      <c r="B1352" s="130"/>
      <c r="C1352" s="130"/>
      <c r="F1352" s="118" t="s">
        <v>4235</v>
      </c>
      <c r="G1352" s="118" t="s">
        <v>4236</v>
      </c>
      <c r="H1352" s="118" t="s">
        <v>165</v>
      </c>
      <c r="I1352" s="118" t="s">
        <v>233</v>
      </c>
    </row>
    <row r="1353" spans="1:9" s="118" customFormat="1" x14ac:dyDescent="0.25">
      <c r="A1353" s="130"/>
      <c r="B1353" s="130"/>
      <c r="C1353" s="130"/>
      <c r="F1353" s="118" t="s">
        <v>4238</v>
      </c>
      <c r="G1353" s="118" t="s">
        <v>4239</v>
      </c>
      <c r="H1353" s="118" t="s">
        <v>194</v>
      </c>
      <c r="I1353" s="118" t="s">
        <v>290</v>
      </c>
    </row>
    <row r="1354" spans="1:9" s="118" customFormat="1" x14ac:dyDescent="0.25">
      <c r="A1354" s="130"/>
      <c r="B1354" s="130"/>
      <c r="C1354" s="130"/>
      <c r="F1354" s="118" t="s">
        <v>4241</v>
      </c>
      <c r="G1354" s="118" t="s">
        <v>4242</v>
      </c>
      <c r="H1354" s="118" t="s">
        <v>165</v>
      </c>
      <c r="I1354" s="118" t="s">
        <v>166</v>
      </c>
    </row>
    <row r="1355" spans="1:9" s="118" customFormat="1" x14ac:dyDescent="0.25">
      <c r="A1355" s="130"/>
      <c r="B1355" s="130"/>
      <c r="C1355" s="130"/>
      <c r="F1355" s="118" t="s">
        <v>4244</v>
      </c>
      <c r="G1355" s="118" t="s">
        <v>4245</v>
      </c>
      <c r="H1355" s="118" t="s">
        <v>100</v>
      </c>
      <c r="I1355" s="118" t="s">
        <v>101</v>
      </c>
    </row>
    <row r="1356" spans="1:9" s="118" customFormat="1" x14ac:dyDescent="0.25">
      <c r="A1356" s="130"/>
      <c r="B1356" s="130"/>
      <c r="C1356" s="130"/>
      <c r="F1356" s="118" t="s">
        <v>4305</v>
      </c>
      <c r="G1356" s="118" t="s">
        <v>4248</v>
      </c>
      <c r="H1356" s="118" t="s">
        <v>328</v>
      </c>
      <c r="I1356" s="118" t="s">
        <v>1616</v>
      </c>
    </row>
    <row r="1357" spans="1:9" s="118" customFormat="1" x14ac:dyDescent="0.25">
      <c r="A1357" s="130"/>
      <c r="B1357" s="130"/>
      <c r="C1357" s="130"/>
      <c r="F1357" s="118" t="s">
        <v>4249</v>
      </c>
      <c r="G1357" s="118" t="s">
        <v>4250</v>
      </c>
      <c r="H1357" s="118" t="s">
        <v>115</v>
      </c>
      <c r="I1357" s="118" t="s">
        <v>276</v>
      </c>
    </row>
    <row r="1358" spans="1:9" s="118" customFormat="1" x14ac:dyDescent="0.25">
      <c r="A1358" s="130"/>
      <c r="B1358" s="130"/>
      <c r="C1358" s="130"/>
      <c r="F1358" s="118" t="s">
        <v>4251</v>
      </c>
      <c r="G1358" s="118" t="s">
        <v>4252</v>
      </c>
      <c r="H1358" s="118" t="s">
        <v>115</v>
      </c>
      <c r="I1358" s="118" t="s">
        <v>276</v>
      </c>
    </row>
    <row r="1359" spans="1:9" s="118" customFormat="1" x14ac:dyDescent="0.25">
      <c r="A1359" s="130"/>
      <c r="B1359" s="130"/>
      <c r="C1359" s="130"/>
      <c r="F1359" s="118" t="s">
        <v>4306</v>
      </c>
      <c r="G1359" s="118" t="s">
        <v>4307</v>
      </c>
      <c r="H1359" s="118" t="s">
        <v>160</v>
      </c>
      <c r="I1359" s="118" t="s">
        <v>704</v>
      </c>
    </row>
    <row r="1360" spans="1:9" s="118" customFormat="1" x14ac:dyDescent="0.25">
      <c r="A1360" s="130"/>
      <c r="B1360" s="130"/>
      <c r="C1360" s="130"/>
      <c r="F1360" s="118" t="s">
        <v>4254</v>
      </c>
      <c r="G1360" s="118" t="s">
        <v>4255</v>
      </c>
      <c r="H1360" s="118" t="s">
        <v>100</v>
      </c>
      <c r="I1360" s="118" t="s">
        <v>181</v>
      </c>
    </row>
    <row r="1361" spans="6:9" s="118" customFormat="1" x14ac:dyDescent="0.25">
      <c r="F1361" s="118" t="s">
        <v>4262</v>
      </c>
      <c r="G1361" s="118" t="s">
        <v>4263</v>
      </c>
      <c r="H1361" s="118" t="s">
        <v>328</v>
      </c>
      <c r="I1361" s="118" t="s">
        <v>796</v>
      </c>
    </row>
    <row r="1362" spans="6:9" s="118" customFormat="1" x14ac:dyDescent="0.25">
      <c r="F1362" s="118" t="s">
        <v>4267</v>
      </c>
      <c r="G1362" s="118" t="s">
        <v>4268</v>
      </c>
      <c r="H1362" s="118" t="s">
        <v>165</v>
      </c>
      <c r="I1362" s="118" t="s">
        <v>206</v>
      </c>
    </row>
    <row r="1363" spans="6:9" s="118" customFormat="1" x14ac:dyDescent="0.25">
      <c r="F1363" s="118" t="s">
        <v>4308</v>
      </c>
      <c r="G1363" s="118" t="s">
        <v>4309</v>
      </c>
      <c r="H1363" s="118" t="s">
        <v>220</v>
      </c>
      <c r="I1363" s="118" t="s">
        <v>221</v>
      </c>
    </row>
    <row r="1364" spans="6:9" s="118" customFormat="1" x14ac:dyDescent="0.25">
      <c r="F1364" s="118" t="s">
        <v>4270</v>
      </c>
      <c r="G1364" s="118" t="s">
        <v>4271</v>
      </c>
      <c r="H1364" s="118" t="s">
        <v>105</v>
      </c>
      <c r="I1364" s="118" t="s">
        <v>580</v>
      </c>
    </row>
    <row r="1365" spans="6:9" s="118" customFormat="1" x14ac:dyDescent="0.25">
      <c r="F1365" s="118" t="s">
        <v>4273</v>
      </c>
      <c r="G1365" s="118" t="s">
        <v>4274</v>
      </c>
      <c r="H1365" s="118" t="s">
        <v>160</v>
      </c>
      <c r="I1365" s="118" t="s">
        <v>161</v>
      </c>
    </row>
    <row r="1366" spans="6:9" s="118" customFormat="1" x14ac:dyDescent="0.25">
      <c r="F1366" s="118" t="s">
        <v>4310</v>
      </c>
      <c r="G1366" s="118" t="s">
        <v>2436</v>
      </c>
      <c r="H1366" s="118" t="s">
        <v>165</v>
      </c>
      <c r="I1366" s="118" t="s">
        <v>166</v>
      </c>
    </row>
    <row r="1367" spans="6:9" s="118" customFormat="1" x14ac:dyDescent="0.25">
      <c r="F1367" s="118" t="s">
        <v>4276</v>
      </c>
      <c r="G1367" s="118" t="s">
        <v>4277</v>
      </c>
      <c r="H1367" s="118" t="s">
        <v>170</v>
      </c>
      <c r="I1367" s="118" t="s">
        <v>171</v>
      </c>
    </row>
    <row r="1368" spans="6:9" s="118" customFormat="1" x14ac:dyDescent="0.25">
      <c r="F1368" s="118" t="s">
        <v>4311</v>
      </c>
      <c r="G1368" s="118" t="s">
        <v>4312</v>
      </c>
      <c r="H1368" s="118" t="s">
        <v>170</v>
      </c>
      <c r="I1368" s="118" t="s">
        <v>171</v>
      </c>
    </row>
    <row r="1369" spans="6:9" s="118" customFormat="1" x14ac:dyDescent="0.25">
      <c r="F1369" s="118" t="s">
        <v>4313</v>
      </c>
      <c r="G1369" s="118" t="s">
        <v>4314</v>
      </c>
      <c r="H1369" s="118" t="s">
        <v>170</v>
      </c>
      <c r="I1369" s="118" t="s">
        <v>171</v>
      </c>
    </row>
    <row r="1370" spans="6:9" s="118" customFormat="1" x14ac:dyDescent="0.25">
      <c r="F1370" s="118" t="s">
        <v>4279</v>
      </c>
      <c r="G1370" s="118" t="s">
        <v>171</v>
      </c>
      <c r="H1370" s="118" t="s">
        <v>170</v>
      </c>
      <c r="I1370" s="118" t="s">
        <v>171</v>
      </c>
    </row>
    <row r="1371" spans="6:9" s="118" customFormat="1" x14ac:dyDescent="0.25">
      <c r="F1371" s="118" t="s">
        <v>4281</v>
      </c>
      <c r="G1371" s="118" t="s">
        <v>4282</v>
      </c>
      <c r="H1371" s="118" t="s">
        <v>105</v>
      </c>
      <c r="I1371" s="118" t="s">
        <v>127</v>
      </c>
    </row>
    <row r="1372" spans="6:9" s="118" customFormat="1" x14ac:dyDescent="0.25">
      <c r="F1372" s="118" t="s">
        <v>4305</v>
      </c>
      <c r="G1372" s="118" t="s">
        <v>4248</v>
      </c>
      <c r="H1372" s="131" t="s">
        <v>328</v>
      </c>
      <c r="I1372" s="131" t="s">
        <v>1616</v>
      </c>
    </row>
    <row r="1373" spans="6:9" s="118" customFormat="1" x14ac:dyDescent="0.25">
      <c r="F1373" s="118" t="s">
        <v>4249</v>
      </c>
      <c r="G1373" s="118" t="s">
        <v>4250</v>
      </c>
      <c r="H1373" s="131" t="s">
        <v>115</v>
      </c>
      <c r="I1373" s="131" t="s">
        <v>276</v>
      </c>
    </row>
    <row r="1374" spans="6:9" s="118" customFormat="1" x14ac:dyDescent="0.25">
      <c r="F1374" s="118" t="s">
        <v>4251</v>
      </c>
      <c r="G1374" s="118" t="s">
        <v>4252</v>
      </c>
      <c r="H1374" s="131" t="s">
        <v>115</v>
      </c>
      <c r="I1374" s="131" t="s">
        <v>276</v>
      </c>
    </row>
    <row r="1375" spans="6:9" s="118" customFormat="1" x14ac:dyDescent="0.25">
      <c r="F1375" s="118" t="s">
        <v>4306</v>
      </c>
      <c r="G1375" s="118" t="s">
        <v>4307</v>
      </c>
      <c r="H1375" s="131" t="s">
        <v>160</v>
      </c>
      <c r="I1375" s="131" t="s">
        <v>704</v>
      </c>
    </row>
    <row r="1376" spans="6:9" s="118" customFormat="1" x14ac:dyDescent="0.25">
      <c r="F1376" s="118" t="s">
        <v>4254</v>
      </c>
      <c r="G1376" s="118" t="s">
        <v>4255</v>
      </c>
      <c r="H1376" s="131" t="s">
        <v>100</v>
      </c>
      <c r="I1376" s="131" t="s">
        <v>181</v>
      </c>
    </row>
    <row r="1377" spans="2:9" s="118" customFormat="1" x14ac:dyDescent="0.25">
      <c r="F1377" s="118" t="s">
        <v>4262</v>
      </c>
      <c r="G1377" s="118" t="s">
        <v>4263</v>
      </c>
      <c r="H1377" s="131" t="s">
        <v>328</v>
      </c>
      <c r="I1377" s="131" t="s">
        <v>796</v>
      </c>
    </row>
    <row r="1378" spans="2:9" s="118" customFormat="1" x14ac:dyDescent="0.25">
      <c r="F1378" s="118" t="s">
        <v>4267</v>
      </c>
      <c r="G1378" s="118" t="s">
        <v>4268</v>
      </c>
      <c r="H1378" s="131" t="s">
        <v>165</v>
      </c>
      <c r="I1378" s="131" t="s">
        <v>206</v>
      </c>
    </row>
    <row r="1379" spans="2:9" s="118" customFormat="1" x14ac:dyDescent="0.25">
      <c r="F1379" s="118" t="s">
        <v>4308</v>
      </c>
      <c r="G1379" s="118" t="s">
        <v>4309</v>
      </c>
      <c r="H1379" s="131" t="s">
        <v>220</v>
      </c>
      <c r="I1379" s="131" t="s">
        <v>221</v>
      </c>
    </row>
    <row r="1380" spans="2:9" s="118" customFormat="1" x14ac:dyDescent="0.25">
      <c r="F1380" s="118" t="s">
        <v>4270</v>
      </c>
      <c r="G1380" s="118" t="s">
        <v>4271</v>
      </c>
      <c r="H1380" s="131" t="s">
        <v>105</v>
      </c>
      <c r="I1380" s="131" t="s">
        <v>580</v>
      </c>
    </row>
    <row r="1381" spans="2:9" s="118" customFormat="1" x14ac:dyDescent="0.25">
      <c r="F1381" s="118" t="s">
        <v>4273</v>
      </c>
      <c r="G1381" s="118" t="s">
        <v>4274</v>
      </c>
      <c r="H1381" s="131" t="s">
        <v>160</v>
      </c>
      <c r="I1381" s="131" t="s">
        <v>161</v>
      </c>
    </row>
    <row r="1382" spans="2:9" s="118" customFormat="1" x14ac:dyDescent="0.25">
      <c r="F1382" s="118" t="s">
        <v>4310</v>
      </c>
      <c r="G1382" s="118" t="s">
        <v>2436</v>
      </c>
      <c r="H1382" s="131" t="s">
        <v>165</v>
      </c>
      <c r="I1382" s="131" t="s">
        <v>166</v>
      </c>
    </row>
    <row r="1383" spans="2:9" s="118" customFormat="1" x14ac:dyDescent="0.25">
      <c r="F1383" s="118" t="s">
        <v>4276</v>
      </c>
      <c r="G1383" s="118" t="s">
        <v>4277</v>
      </c>
      <c r="H1383" s="131" t="s">
        <v>170</v>
      </c>
      <c r="I1383" s="131" t="s">
        <v>171</v>
      </c>
    </row>
    <row r="1384" spans="2:9" s="118" customFormat="1" x14ac:dyDescent="0.25">
      <c r="F1384" s="118" t="s">
        <v>4315</v>
      </c>
      <c r="G1384" s="118" t="s">
        <v>4316</v>
      </c>
      <c r="H1384" s="131" t="s">
        <v>170</v>
      </c>
      <c r="I1384" s="131" t="s">
        <v>171</v>
      </c>
    </row>
    <row r="1385" spans="2:9" s="118" customFormat="1" x14ac:dyDescent="0.25">
      <c r="F1385" s="118" t="s">
        <v>4313</v>
      </c>
      <c r="G1385" s="118" t="s">
        <v>4314</v>
      </c>
      <c r="H1385" s="131" t="s">
        <v>170</v>
      </c>
      <c r="I1385" s="131" t="s">
        <v>171</v>
      </c>
    </row>
    <row r="1386" spans="2:9" s="118" customFormat="1" x14ac:dyDescent="0.25">
      <c r="F1386" s="118" t="s">
        <v>4317</v>
      </c>
      <c r="G1386" s="118" t="s">
        <v>4318</v>
      </c>
      <c r="H1386" s="131" t="s">
        <v>170</v>
      </c>
      <c r="I1386" s="131" t="s">
        <v>171</v>
      </c>
    </row>
    <row r="1387" spans="2:9" s="118" customFormat="1" x14ac:dyDescent="0.25">
      <c r="F1387" s="118" t="s">
        <v>4279</v>
      </c>
      <c r="G1387" s="118" t="s">
        <v>171</v>
      </c>
      <c r="H1387" s="131" t="s">
        <v>170</v>
      </c>
      <c r="I1387" s="131" t="s">
        <v>171</v>
      </c>
    </row>
    <row r="1388" spans="2:9" s="118" customFormat="1" x14ac:dyDescent="0.25">
      <c r="B1388" s="132"/>
      <c r="F1388" s="118" t="s">
        <v>4281</v>
      </c>
      <c r="G1388" s="118" t="s">
        <v>4282</v>
      </c>
      <c r="H1388" s="131" t="s">
        <v>105</v>
      </c>
      <c r="I1388" s="131" t="s">
        <v>127</v>
      </c>
    </row>
    <row r="1389" spans="2:9" s="118" customFormat="1" x14ac:dyDescent="0.25">
      <c r="B1389" s="132"/>
      <c r="F1389" s="133"/>
      <c r="H1389" s="131"/>
      <c r="I1389" s="131"/>
    </row>
    <row r="1390" spans="2:9" s="118" customFormat="1" x14ac:dyDescent="0.25">
      <c r="B1390" s="132"/>
      <c r="F1390" s="133"/>
      <c r="H1390" s="131"/>
      <c r="I1390" s="131"/>
    </row>
    <row r="1391" spans="2:9" s="118" customFormat="1" x14ac:dyDescent="0.25">
      <c r="B1391" s="132"/>
      <c r="F1391" s="133"/>
      <c r="H1391" s="131"/>
      <c r="I1391" s="131"/>
    </row>
    <row r="1392" spans="2:9" s="118" customFormat="1" x14ac:dyDescent="0.25">
      <c r="B1392" s="132"/>
      <c r="F1392" s="133"/>
      <c r="H1392" s="131"/>
      <c r="I1392" s="131"/>
    </row>
    <row r="1393" spans="2:9" s="118" customFormat="1" x14ac:dyDescent="0.25">
      <c r="B1393" s="132"/>
      <c r="F1393" s="133"/>
      <c r="H1393" s="131"/>
      <c r="I1393" s="131"/>
    </row>
    <row r="1394" spans="2:9" s="118" customFormat="1" x14ac:dyDescent="0.25">
      <c r="B1394" s="132"/>
      <c r="F1394" s="133"/>
      <c r="H1394" s="131"/>
      <c r="I1394" s="131"/>
    </row>
    <row r="1395" spans="2:9" s="118" customFormat="1" x14ac:dyDescent="0.25">
      <c r="B1395" s="132"/>
      <c r="F1395" s="133"/>
      <c r="H1395" s="131"/>
      <c r="I1395" s="131"/>
    </row>
    <row r="1396" spans="2:9" s="118" customFormat="1" x14ac:dyDescent="0.25">
      <c r="B1396" s="132"/>
      <c r="F1396" s="133"/>
      <c r="H1396" s="131"/>
      <c r="I1396" s="131"/>
    </row>
    <row r="1397" spans="2:9" s="118" customFormat="1" x14ac:dyDescent="0.25">
      <c r="B1397" s="132"/>
      <c r="F1397" s="133"/>
      <c r="H1397" s="131"/>
      <c r="I1397" s="131"/>
    </row>
    <row r="1398" spans="2:9" s="118" customFormat="1" x14ac:dyDescent="0.25">
      <c r="B1398" s="132"/>
      <c r="F1398" s="133"/>
      <c r="H1398" s="131"/>
      <c r="I1398" s="131"/>
    </row>
    <row r="1399" spans="2:9" s="118" customFormat="1" x14ac:dyDescent="0.25">
      <c r="B1399" s="132"/>
      <c r="F1399" s="133"/>
      <c r="H1399" s="131"/>
      <c r="I1399" s="131"/>
    </row>
    <row r="1400" spans="2:9" s="118" customFormat="1" x14ac:dyDescent="0.25">
      <c r="B1400" s="132"/>
      <c r="F1400" s="133"/>
      <c r="H1400" s="131"/>
      <c r="I1400" s="131"/>
    </row>
    <row r="1401" spans="2:9" s="118" customFormat="1" x14ac:dyDescent="0.25">
      <c r="B1401" s="132"/>
      <c r="F1401" s="133"/>
      <c r="H1401" s="131"/>
      <c r="I1401" s="131"/>
    </row>
    <row r="1402" spans="2:9" s="118" customFormat="1" x14ac:dyDescent="0.25">
      <c r="B1402" s="132"/>
      <c r="F1402" s="133"/>
      <c r="H1402" s="131"/>
      <c r="I1402" s="131"/>
    </row>
    <row r="1403" spans="2:9" s="118" customFormat="1" x14ac:dyDescent="0.25">
      <c r="B1403" s="132"/>
      <c r="F1403" s="133"/>
      <c r="H1403" s="131"/>
      <c r="I1403" s="131"/>
    </row>
    <row r="1404" spans="2:9" s="118" customFormat="1" x14ac:dyDescent="0.25">
      <c r="B1404" s="132"/>
      <c r="F1404" s="133"/>
      <c r="H1404" s="131"/>
      <c r="I1404" s="131"/>
    </row>
    <row r="1405" spans="2:9" s="118" customFormat="1" x14ac:dyDescent="0.25">
      <c r="B1405" s="132"/>
      <c r="F1405" s="133"/>
      <c r="H1405" s="131"/>
      <c r="I1405" s="131"/>
    </row>
    <row r="1406" spans="2:9" s="118" customFormat="1" x14ac:dyDescent="0.25">
      <c r="B1406" s="132"/>
      <c r="F1406" s="133"/>
      <c r="H1406" s="131"/>
      <c r="I1406" s="131"/>
    </row>
    <row r="1407" spans="2:9" s="118" customFormat="1" x14ac:dyDescent="0.25">
      <c r="B1407" s="132"/>
      <c r="F1407" s="133"/>
      <c r="H1407" s="131"/>
      <c r="I1407" s="131"/>
    </row>
    <row r="1408" spans="2:9" s="118" customFormat="1" x14ac:dyDescent="0.25">
      <c r="B1408" s="132"/>
      <c r="F1408" s="133"/>
      <c r="H1408" s="131"/>
      <c r="I1408" s="131"/>
    </row>
    <row r="1409" spans="2:9" s="118" customFormat="1" x14ac:dyDescent="0.25">
      <c r="B1409" s="132"/>
      <c r="F1409" s="133"/>
      <c r="H1409" s="131"/>
      <c r="I1409" s="131"/>
    </row>
    <row r="1410" spans="2:9" s="118" customFormat="1" x14ac:dyDescent="0.25">
      <c r="B1410" s="132"/>
      <c r="F1410" s="133"/>
      <c r="H1410" s="131"/>
      <c r="I1410" s="131"/>
    </row>
    <row r="1411" spans="2:9" s="118" customFormat="1" x14ac:dyDescent="0.25">
      <c r="B1411" s="132"/>
      <c r="F1411" s="133"/>
      <c r="H1411" s="131"/>
      <c r="I1411" s="131"/>
    </row>
    <row r="1412" spans="2:9" s="118" customFormat="1" x14ac:dyDescent="0.25">
      <c r="B1412" s="132"/>
      <c r="F1412" s="133"/>
      <c r="H1412" s="131"/>
      <c r="I1412" s="131"/>
    </row>
    <row r="1413" spans="2:9" s="118" customFormat="1" x14ac:dyDescent="0.25">
      <c r="B1413" s="132"/>
      <c r="F1413" s="133"/>
      <c r="H1413" s="131"/>
      <c r="I1413" s="131"/>
    </row>
    <row r="1414" spans="2:9" s="118" customFormat="1" x14ac:dyDescent="0.25">
      <c r="B1414" s="132"/>
      <c r="F1414" s="133"/>
      <c r="H1414" s="131"/>
      <c r="I1414" s="131"/>
    </row>
    <row r="1415" spans="2:9" s="118" customFormat="1" x14ac:dyDescent="0.25">
      <c r="B1415" s="132"/>
      <c r="F1415" s="133"/>
      <c r="H1415" s="131"/>
      <c r="I1415" s="131"/>
    </row>
    <row r="1416" spans="2:9" s="118" customFormat="1" x14ac:dyDescent="0.25">
      <c r="B1416" s="132"/>
      <c r="F1416" s="133"/>
      <c r="H1416" s="131"/>
      <c r="I1416" s="131"/>
    </row>
    <row r="1417" spans="2:9" s="118" customFormat="1" x14ac:dyDescent="0.25">
      <c r="B1417" s="132"/>
      <c r="F1417" s="133"/>
      <c r="H1417" s="131"/>
      <c r="I1417" s="131"/>
    </row>
    <row r="1418" spans="2:9" s="118" customFormat="1" x14ac:dyDescent="0.25">
      <c r="B1418" s="132"/>
      <c r="F1418" s="133"/>
      <c r="H1418" s="131"/>
      <c r="I1418" s="131"/>
    </row>
    <row r="1419" spans="2:9" s="118" customFormat="1" x14ac:dyDescent="0.25">
      <c r="B1419" s="132"/>
      <c r="F1419" s="133"/>
      <c r="H1419" s="131"/>
      <c r="I1419" s="131"/>
    </row>
    <row r="1420" spans="2:9" s="118" customFormat="1" x14ac:dyDescent="0.25">
      <c r="B1420" s="132"/>
      <c r="F1420" s="133"/>
      <c r="H1420" s="131"/>
      <c r="I1420" s="131"/>
    </row>
    <row r="1421" spans="2:9" s="118" customFormat="1" x14ac:dyDescent="0.25">
      <c r="B1421" s="132"/>
      <c r="F1421" s="133"/>
      <c r="H1421" s="131"/>
      <c r="I1421" s="131"/>
    </row>
    <row r="1422" spans="2:9" s="118" customFormat="1" x14ac:dyDescent="0.25">
      <c r="B1422" s="132"/>
      <c r="F1422" s="133"/>
      <c r="H1422" s="131"/>
      <c r="I1422" s="131"/>
    </row>
    <row r="1423" spans="2:9" s="118" customFormat="1" x14ac:dyDescent="0.25">
      <c r="B1423" s="132"/>
      <c r="F1423" s="133"/>
      <c r="H1423" s="131"/>
      <c r="I1423" s="131"/>
    </row>
    <row r="1424" spans="2:9" s="118" customFormat="1" x14ac:dyDescent="0.25">
      <c r="B1424" s="132"/>
      <c r="F1424" s="133"/>
      <c r="H1424" s="131"/>
      <c r="I1424" s="131"/>
    </row>
    <row r="1425" spans="2:9" s="118" customFormat="1" x14ac:dyDescent="0.25">
      <c r="B1425" s="132"/>
      <c r="F1425" s="133"/>
      <c r="H1425" s="131"/>
      <c r="I1425" s="131"/>
    </row>
    <row r="1426" spans="2:9" s="118" customFormat="1" x14ac:dyDescent="0.25">
      <c r="B1426" s="132"/>
      <c r="F1426" s="133"/>
      <c r="H1426" s="131"/>
      <c r="I1426" s="131"/>
    </row>
    <row r="1427" spans="2:9" s="118" customFormat="1" x14ac:dyDescent="0.25">
      <c r="B1427" s="132"/>
      <c r="F1427" s="133"/>
      <c r="H1427" s="131"/>
      <c r="I1427" s="131"/>
    </row>
    <row r="1428" spans="2:9" s="118" customFormat="1" x14ac:dyDescent="0.25">
      <c r="B1428" s="132"/>
      <c r="F1428" s="133"/>
      <c r="H1428" s="131"/>
      <c r="I1428" s="131"/>
    </row>
    <row r="1429" spans="2:9" s="118" customFormat="1" x14ac:dyDescent="0.25">
      <c r="B1429" s="132"/>
      <c r="F1429" s="133"/>
      <c r="H1429" s="131"/>
      <c r="I1429" s="131"/>
    </row>
    <row r="1430" spans="2:9" s="118" customFormat="1" x14ac:dyDescent="0.25">
      <c r="B1430" s="132"/>
      <c r="F1430" s="133"/>
      <c r="H1430" s="131"/>
      <c r="I1430" s="131"/>
    </row>
    <row r="1431" spans="2:9" s="118" customFormat="1" x14ac:dyDescent="0.25">
      <c r="B1431" s="132"/>
      <c r="F1431" s="133"/>
      <c r="H1431" s="131"/>
      <c r="I1431" s="131"/>
    </row>
    <row r="1432" spans="2:9" s="118" customFormat="1" x14ac:dyDescent="0.25">
      <c r="B1432" s="132"/>
      <c r="F1432" s="133"/>
      <c r="H1432" s="131"/>
      <c r="I1432" s="131"/>
    </row>
    <row r="1433" spans="2:9" s="118" customFormat="1" x14ac:dyDescent="0.25">
      <c r="B1433" s="132"/>
      <c r="F1433" s="133"/>
      <c r="H1433" s="131"/>
      <c r="I1433" s="131"/>
    </row>
    <row r="1434" spans="2:9" s="118" customFormat="1" x14ac:dyDescent="0.25">
      <c r="B1434" s="132"/>
      <c r="F1434" s="133"/>
      <c r="H1434" s="131"/>
      <c r="I1434" s="131"/>
    </row>
    <row r="1435" spans="2:9" s="118" customFormat="1" x14ac:dyDescent="0.25">
      <c r="B1435" s="132"/>
      <c r="F1435" s="133"/>
      <c r="H1435" s="131"/>
      <c r="I1435" s="131"/>
    </row>
    <row r="1436" spans="2:9" s="118" customFormat="1" x14ac:dyDescent="0.25">
      <c r="B1436" s="132"/>
      <c r="F1436" s="133"/>
      <c r="H1436" s="131"/>
      <c r="I1436" s="131"/>
    </row>
    <row r="1437" spans="2:9" s="118" customFormat="1" x14ac:dyDescent="0.25">
      <c r="B1437" s="132"/>
      <c r="F1437" s="133"/>
      <c r="H1437" s="131"/>
      <c r="I1437" s="131"/>
    </row>
    <row r="1438" spans="2:9" s="118" customFormat="1" x14ac:dyDescent="0.25">
      <c r="B1438" s="132"/>
      <c r="F1438" s="133"/>
      <c r="H1438" s="131"/>
      <c r="I1438" s="131"/>
    </row>
    <row r="1439" spans="2:9" s="118" customFormat="1" x14ac:dyDescent="0.25">
      <c r="B1439" s="132"/>
      <c r="F1439" s="133"/>
      <c r="H1439" s="131"/>
      <c r="I1439" s="131"/>
    </row>
    <row r="1440" spans="2:9" s="118" customFormat="1" x14ac:dyDescent="0.25">
      <c r="B1440" s="132"/>
      <c r="F1440" s="133"/>
      <c r="H1440" s="131"/>
      <c r="I1440" s="131"/>
    </row>
    <row r="1441" spans="2:9" s="118" customFormat="1" x14ac:dyDescent="0.25">
      <c r="B1441" s="132"/>
      <c r="F1441" s="133"/>
      <c r="H1441" s="131"/>
      <c r="I1441" s="131"/>
    </row>
    <row r="1442" spans="2:9" s="118" customFormat="1" x14ac:dyDescent="0.25">
      <c r="B1442" s="132"/>
      <c r="F1442" s="133"/>
      <c r="H1442" s="131"/>
      <c r="I1442" s="131"/>
    </row>
    <row r="1443" spans="2:9" s="118" customFormat="1" x14ac:dyDescent="0.25">
      <c r="B1443" s="132"/>
      <c r="F1443" s="133"/>
      <c r="H1443" s="131"/>
      <c r="I1443" s="131"/>
    </row>
    <row r="1444" spans="2:9" s="118" customFormat="1" x14ac:dyDescent="0.25">
      <c r="B1444" s="132"/>
      <c r="F1444" s="133"/>
      <c r="H1444" s="131"/>
      <c r="I1444" s="131"/>
    </row>
    <row r="1445" spans="2:9" s="118" customFormat="1" x14ac:dyDescent="0.25">
      <c r="B1445" s="132"/>
      <c r="F1445" s="133"/>
      <c r="H1445" s="131"/>
      <c r="I1445" s="131"/>
    </row>
    <row r="1446" spans="2:9" s="118" customFormat="1" x14ac:dyDescent="0.25">
      <c r="B1446" s="132"/>
      <c r="F1446" s="133"/>
      <c r="H1446" s="131"/>
      <c r="I1446" s="131"/>
    </row>
    <row r="1447" spans="2:9" s="118" customFormat="1" x14ac:dyDescent="0.25">
      <c r="B1447" s="132"/>
      <c r="F1447" s="133"/>
      <c r="H1447" s="131"/>
      <c r="I1447" s="131"/>
    </row>
    <row r="1448" spans="2:9" s="118" customFormat="1" x14ac:dyDescent="0.25">
      <c r="B1448" s="132"/>
      <c r="F1448" s="133"/>
      <c r="H1448" s="131"/>
      <c r="I1448" s="131"/>
    </row>
    <row r="1449" spans="2:9" s="118" customFormat="1" x14ac:dyDescent="0.25">
      <c r="B1449" s="132"/>
      <c r="F1449" s="133"/>
      <c r="H1449" s="131"/>
      <c r="I1449" s="131"/>
    </row>
    <row r="1450" spans="2:9" s="118" customFormat="1" x14ac:dyDescent="0.25">
      <c r="B1450" s="132"/>
      <c r="F1450" s="133"/>
      <c r="H1450" s="131"/>
      <c r="I1450" s="131"/>
    </row>
    <row r="1451" spans="2:9" s="118" customFormat="1" x14ac:dyDescent="0.25">
      <c r="B1451" s="132"/>
      <c r="F1451" s="133"/>
      <c r="H1451" s="131"/>
      <c r="I1451" s="131"/>
    </row>
    <row r="1452" spans="2:9" s="118" customFormat="1" x14ac:dyDescent="0.25">
      <c r="B1452" s="132"/>
      <c r="F1452" s="133"/>
      <c r="H1452" s="131"/>
      <c r="I1452" s="131"/>
    </row>
    <row r="1453" spans="2:9" s="118" customFormat="1" x14ac:dyDescent="0.25">
      <c r="B1453" s="132"/>
      <c r="F1453" s="133"/>
      <c r="H1453" s="131"/>
      <c r="I1453" s="131"/>
    </row>
    <row r="1454" spans="2:9" s="118" customFormat="1" x14ac:dyDescent="0.25">
      <c r="B1454" s="132"/>
      <c r="F1454" s="133"/>
      <c r="H1454" s="131"/>
      <c r="I1454" s="131"/>
    </row>
    <row r="1455" spans="2:9" s="118" customFormat="1" x14ac:dyDescent="0.25">
      <c r="B1455" s="132"/>
      <c r="F1455" s="133"/>
      <c r="H1455" s="131"/>
      <c r="I1455" s="131"/>
    </row>
    <row r="1456" spans="2:9" s="118" customFormat="1" x14ac:dyDescent="0.25">
      <c r="B1456" s="132"/>
      <c r="F1456" s="133"/>
      <c r="H1456" s="131"/>
      <c r="I1456" s="131"/>
    </row>
    <row r="1457" spans="2:9" s="118" customFormat="1" x14ac:dyDescent="0.25">
      <c r="B1457" s="132"/>
      <c r="F1457" s="133"/>
      <c r="H1457" s="131"/>
      <c r="I1457" s="131"/>
    </row>
    <row r="1458" spans="2:9" s="118" customFormat="1" x14ac:dyDescent="0.25">
      <c r="B1458" s="132"/>
      <c r="F1458" s="133"/>
      <c r="H1458" s="131"/>
      <c r="I1458" s="131"/>
    </row>
    <row r="1459" spans="2:9" s="118" customFormat="1" x14ac:dyDescent="0.25">
      <c r="B1459" s="132"/>
      <c r="F1459" s="133"/>
      <c r="H1459" s="131"/>
      <c r="I1459" s="131"/>
    </row>
    <row r="1460" spans="2:9" s="118" customFormat="1" x14ac:dyDescent="0.25">
      <c r="B1460" s="132"/>
      <c r="F1460" s="133"/>
      <c r="H1460" s="131"/>
      <c r="I1460" s="131"/>
    </row>
    <row r="1461" spans="2:9" s="118" customFormat="1" x14ac:dyDescent="0.25">
      <c r="B1461" s="132"/>
      <c r="F1461" s="133"/>
      <c r="H1461" s="131"/>
      <c r="I1461" s="131"/>
    </row>
    <row r="1462" spans="2:9" s="118" customFormat="1" x14ac:dyDescent="0.25">
      <c r="B1462" s="132"/>
      <c r="F1462" s="133"/>
      <c r="H1462" s="131"/>
      <c r="I1462" s="131"/>
    </row>
    <row r="1463" spans="2:9" s="118" customFormat="1" x14ac:dyDescent="0.25">
      <c r="B1463" s="132"/>
      <c r="F1463" s="133"/>
      <c r="H1463" s="131"/>
      <c r="I1463" s="131"/>
    </row>
    <row r="1464" spans="2:9" s="118" customFormat="1" x14ac:dyDescent="0.25">
      <c r="B1464" s="132"/>
      <c r="F1464" s="133"/>
      <c r="H1464" s="131"/>
      <c r="I1464" s="131"/>
    </row>
    <row r="1465" spans="2:9" s="118" customFormat="1" x14ac:dyDescent="0.25">
      <c r="B1465" s="132"/>
      <c r="F1465" s="133"/>
      <c r="H1465" s="131"/>
      <c r="I1465" s="131"/>
    </row>
    <row r="1466" spans="2:9" s="118" customFormat="1" x14ac:dyDescent="0.25">
      <c r="B1466" s="132"/>
      <c r="F1466" s="133"/>
      <c r="H1466" s="131"/>
      <c r="I1466" s="131"/>
    </row>
    <row r="1467" spans="2:9" s="118" customFormat="1" x14ac:dyDescent="0.25">
      <c r="B1467" s="132"/>
      <c r="F1467" s="133"/>
      <c r="H1467" s="131"/>
      <c r="I1467" s="131"/>
    </row>
    <row r="1468" spans="2:9" s="118" customFormat="1" x14ac:dyDescent="0.25">
      <c r="B1468" s="132"/>
      <c r="F1468" s="133"/>
      <c r="H1468" s="131"/>
      <c r="I1468" s="131"/>
    </row>
    <row r="1469" spans="2:9" s="118" customFormat="1" x14ac:dyDescent="0.25">
      <c r="B1469" s="132"/>
      <c r="F1469" s="133"/>
      <c r="H1469" s="131"/>
      <c r="I1469" s="131"/>
    </row>
    <row r="1470" spans="2:9" s="118" customFormat="1" x14ac:dyDescent="0.25">
      <c r="B1470" s="132"/>
      <c r="F1470" s="133"/>
      <c r="H1470" s="131"/>
      <c r="I1470" s="131"/>
    </row>
    <row r="1471" spans="2:9" s="118" customFormat="1" x14ac:dyDescent="0.25">
      <c r="B1471" s="132"/>
      <c r="F1471" s="133"/>
      <c r="H1471" s="131"/>
      <c r="I1471" s="131"/>
    </row>
    <row r="1472" spans="2:9" s="118" customFormat="1" x14ac:dyDescent="0.25">
      <c r="B1472" s="132"/>
      <c r="F1472" s="133"/>
      <c r="H1472" s="131"/>
      <c r="I1472" s="131"/>
    </row>
    <row r="1473" spans="2:9" s="118" customFormat="1" x14ac:dyDescent="0.25">
      <c r="B1473" s="132"/>
      <c r="F1473" s="133"/>
      <c r="H1473" s="131"/>
      <c r="I1473" s="131"/>
    </row>
    <row r="1474" spans="2:9" s="118" customFormat="1" x14ac:dyDescent="0.25">
      <c r="B1474" s="132"/>
      <c r="F1474" s="133"/>
      <c r="H1474" s="131"/>
      <c r="I1474" s="131"/>
    </row>
    <row r="1475" spans="2:9" s="118" customFormat="1" x14ac:dyDescent="0.25">
      <c r="B1475" s="132"/>
      <c r="F1475" s="133"/>
      <c r="H1475" s="131"/>
      <c r="I1475" s="131"/>
    </row>
    <row r="1476" spans="2:9" s="118" customFormat="1" x14ac:dyDescent="0.25">
      <c r="B1476" s="132"/>
      <c r="F1476" s="133"/>
      <c r="H1476" s="131"/>
      <c r="I1476" s="131"/>
    </row>
    <row r="1477" spans="2:9" s="118" customFormat="1" x14ac:dyDescent="0.25">
      <c r="B1477" s="132"/>
      <c r="F1477" s="133"/>
      <c r="H1477" s="131"/>
      <c r="I1477" s="131"/>
    </row>
    <row r="1478" spans="2:9" s="118" customFormat="1" x14ac:dyDescent="0.25">
      <c r="B1478" s="132"/>
      <c r="F1478" s="133"/>
      <c r="H1478" s="131"/>
      <c r="I1478" s="131"/>
    </row>
    <row r="1479" spans="2:9" s="118" customFormat="1" x14ac:dyDescent="0.25">
      <c r="B1479" s="132"/>
      <c r="F1479" s="133"/>
      <c r="H1479" s="131"/>
      <c r="I1479" s="131"/>
    </row>
    <row r="1480" spans="2:9" s="118" customFormat="1" x14ac:dyDescent="0.25">
      <c r="B1480" s="132"/>
      <c r="F1480" s="133"/>
      <c r="H1480" s="131"/>
      <c r="I1480" s="131"/>
    </row>
    <row r="1481" spans="2:9" s="118" customFormat="1" x14ac:dyDescent="0.25">
      <c r="B1481" s="132"/>
      <c r="F1481" s="133"/>
      <c r="H1481" s="131"/>
      <c r="I1481" s="131"/>
    </row>
    <row r="1482" spans="2:9" s="118" customFormat="1" x14ac:dyDescent="0.25">
      <c r="B1482" s="132"/>
      <c r="F1482" s="133"/>
      <c r="H1482" s="131"/>
      <c r="I1482" s="131"/>
    </row>
    <row r="1483" spans="2:9" s="118" customFormat="1" x14ac:dyDescent="0.25">
      <c r="B1483" s="132"/>
      <c r="F1483" s="133"/>
      <c r="H1483" s="131"/>
      <c r="I1483" s="131"/>
    </row>
    <row r="1484" spans="2:9" s="118" customFormat="1" x14ac:dyDescent="0.25">
      <c r="B1484" s="132"/>
      <c r="F1484" s="133"/>
      <c r="H1484" s="131"/>
      <c r="I1484" s="131"/>
    </row>
    <row r="1485" spans="2:9" s="118" customFormat="1" x14ac:dyDescent="0.25">
      <c r="B1485" s="132"/>
      <c r="F1485" s="133"/>
      <c r="H1485" s="131"/>
      <c r="I1485" s="131"/>
    </row>
    <row r="1486" spans="2:9" s="118" customFormat="1" x14ac:dyDescent="0.25">
      <c r="B1486" s="132"/>
      <c r="F1486" s="133"/>
      <c r="H1486" s="131"/>
      <c r="I1486" s="131"/>
    </row>
    <row r="1487" spans="2:9" s="118" customFormat="1" x14ac:dyDescent="0.25">
      <c r="B1487" s="132"/>
      <c r="F1487" s="133"/>
      <c r="H1487" s="131"/>
      <c r="I1487" s="131"/>
    </row>
    <row r="1488" spans="2:9" s="118" customFormat="1" x14ac:dyDescent="0.25">
      <c r="B1488" s="132"/>
      <c r="F1488" s="133"/>
      <c r="H1488" s="131"/>
      <c r="I1488" s="131"/>
    </row>
    <row r="1489" spans="2:9" s="118" customFormat="1" x14ac:dyDescent="0.25">
      <c r="B1489" s="132"/>
      <c r="F1489" s="133"/>
      <c r="H1489" s="131"/>
      <c r="I1489" s="131"/>
    </row>
    <row r="1490" spans="2:9" s="118" customFormat="1" x14ac:dyDescent="0.25">
      <c r="B1490" s="132"/>
      <c r="F1490" s="133"/>
      <c r="H1490" s="131"/>
      <c r="I1490" s="131"/>
    </row>
    <row r="1491" spans="2:9" s="118" customFormat="1" x14ac:dyDescent="0.25">
      <c r="B1491" s="132"/>
      <c r="F1491" s="133"/>
      <c r="H1491" s="131"/>
      <c r="I1491" s="131"/>
    </row>
    <row r="1492" spans="2:9" s="118" customFormat="1" x14ac:dyDescent="0.25">
      <c r="B1492" s="132"/>
      <c r="F1492" s="133"/>
      <c r="H1492" s="131"/>
      <c r="I1492" s="131"/>
    </row>
    <row r="1493" spans="2:9" s="118" customFormat="1" x14ac:dyDescent="0.25">
      <c r="B1493" s="132"/>
      <c r="F1493" s="133"/>
      <c r="H1493" s="131"/>
      <c r="I1493" s="131"/>
    </row>
    <row r="1494" spans="2:9" s="118" customFormat="1" x14ac:dyDescent="0.25">
      <c r="B1494" s="132"/>
      <c r="F1494" s="133"/>
      <c r="H1494" s="131"/>
      <c r="I1494" s="131"/>
    </row>
    <row r="1495" spans="2:9" s="118" customFormat="1" x14ac:dyDescent="0.25">
      <c r="B1495" s="132"/>
      <c r="F1495" s="133"/>
      <c r="H1495" s="131"/>
      <c r="I1495" s="131"/>
    </row>
    <row r="1496" spans="2:9" s="118" customFormat="1" x14ac:dyDescent="0.25">
      <c r="B1496" s="132"/>
      <c r="F1496" s="133"/>
      <c r="H1496" s="131"/>
      <c r="I1496" s="131"/>
    </row>
    <row r="1497" spans="2:9" s="118" customFormat="1" x14ac:dyDescent="0.25">
      <c r="B1497" s="132"/>
      <c r="F1497" s="133"/>
      <c r="H1497" s="131"/>
      <c r="I1497" s="131"/>
    </row>
    <row r="1498" spans="2:9" s="118" customFormat="1" x14ac:dyDescent="0.25">
      <c r="B1498" s="132"/>
      <c r="F1498" s="133"/>
      <c r="H1498" s="131"/>
      <c r="I1498" s="131"/>
    </row>
    <row r="1499" spans="2:9" s="118" customFormat="1" x14ac:dyDescent="0.25">
      <c r="B1499" s="132"/>
      <c r="F1499" s="133"/>
      <c r="H1499" s="131"/>
      <c r="I1499" s="131"/>
    </row>
    <row r="1500" spans="2:9" s="118" customFormat="1" x14ac:dyDescent="0.25">
      <c r="B1500" s="132"/>
      <c r="F1500" s="133"/>
      <c r="H1500" s="131"/>
      <c r="I1500" s="131"/>
    </row>
    <row r="1501" spans="2:9" s="118" customFormat="1" x14ac:dyDescent="0.25">
      <c r="B1501" s="132"/>
      <c r="F1501" s="133"/>
      <c r="H1501" s="131"/>
      <c r="I1501" s="131"/>
    </row>
    <row r="1502" spans="2:9" s="118" customFormat="1" x14ac:dyDescent="0.25">
      <c r="B1502" s="132"/>
      <c r="F1502" s="133"/>
      <c r="H1502" s="131"/>
      <c r="I1502" s="131"/>
    </row>
    <row r="1503" spans="2:9" s="118" customFormat="1" x14ac:dyDescent="0.25">
      <c r="B1503" s="132"/>
      <c r="F1503" s="133"/>
      <c r="H1503" s="131"/>
      <c r="I1503" s="131"/>
    </row>
    <row r="1504" spans="2:9" s="118" customFormat="1" x14ac:dyDescent="0.25">
      <c r="B1504" s="132"/>
      <c r="F1504" s="133"/>
      <c r="H1504" s="131"/>
      <c r="I1504" s="131"/>
    </row>
    <row r="1505" spans="2:9" s="118" customFormat="1" x14ac:dyDescent="0.25">
      <c r="B1505" s="132"/>
      <c r="F1505" s="133"/>
      <c r="H1505" s="131"/>
      <c r="I1505" s="131"/>
    </row>
    <row r="1506" spans="2:9" s="118" customFormat="1" x14ac:dyDescent="0.25">
      <c r="B1506" s="132"/>
      <c r="F1506" s="133"/>
      <c r="H1506" s="131"/>
      <c r="I1506" s="131"/>
    </row>
    <row r="1507" spans="2:9" s="118" customFormat="1" x14ac:dyDescent="0.25">
      <c r="B1507" s="132"/>
      <c r="F1507" s="133"/>
      <c r="H1507" s="131"/>
      <c r="I1507" s="131"/>
    </row>
    <row r="1508" spans="2:9" s="118" customFormat="1" x14ac:dyDescent="0.25">
      <c r="B1508" s="132"/>
      <c r="F1508" s="133"/>
      <c r="H1508" s="131"/>
      <c r="I1508" s="131"/>
    </row>
    <row r="1509" spans="2:9" s="118" customFormat="1" x14ac:dyDescent="0.25">
      <c r="B1509" s="132"/>
      <c r="F1509" s="133"/>
      <c r="H1509" s="131"/>
      <c r="I1509" s="131"/>
    </row>
    <row r="1510" spans="2:9" s="118" customFormat="1" x14ac:dyDescent="0.25">
      <c r="B1510" s="132"/>
      <c r="F1510" s="133"/>
      <c r="H1510" s="131"/>
      <c r="I1510" s="131"/>
    </row>
    <row r="1511" spans="2:9" s="118" customFormat="1" x14ac:dyDescent="0.25">
      <c r="B1511" s="132"/>
      <c r="F1511" s="133"/>
      <c r="H1511" s="131"/>
      <c r="I1511" s="131"/>
    </row>
    <row r="1512" spans="2:9" s="118" customFormat="1" x14ac:dyDescent="0.25">
      <c r="B1512" s="132"/>
      <c r="F1512" s="133"/>
      <c r="H1512" s="131"/>
      <c r="I1512" s="131"/>
    </row>
    <row r="1513" spans="2:9" s="118" customFormat="1" x14ac:dyDescent="0.25">
      <c r="B1513" s="132"/>
      <c r="F1513" s="133"/>
      <c r="H1513" s="131"/>
      <c r="I1513" s="131"/>
    </row>
    <row r="1514" spans="2:9" s="118" customFormat="1" x14ac:dyDescent="0.25">
      <c r="B1514" s="132"/>
      <c r="F1514" s="133"/>
      <c r="H1514" s="131"/>
      <c r="I1514" s="131"/>
    </row>
    <row r="1515" spans="2:9" s="118" customFormat="1" x14ac:dyDescent="0.25">
      <c r="B1515" s="132"/>
      <c r="F1515" s="133"/>
      <c r="H1515" s="131"/>
      <c r="I1515" s="131"/>
    </row>
    <row r="1516" spans="2:9" s="118" customFormat="1" x14ac:dyDescent="0.25">
      <c r="B1516" s="132"/>
      <c r="F1516" s="133"/>
      <c r="H1516" s="131"/>
      <c r="I1516" s="131"/>
    </row>
    <row r="1517" spans="2:9" s="118" customFormat="1" x14ac:dyDescent="0.25">
      <c r="B1517" s="132"/>
      <c r="F1517" s="133"/>
      <c r="H1517" s="131"/>
      <c r="I1517" s="131"/>
    </row>
    <row r="1518" spans="2:9" s="118" customFormat="1" x14ac:dyDescent="0.25">
      <c r="B1518" s="132"/>
      <c r="F1518" s="133"/>
      <c r="H1518" s="131"/>
      <c r="I1518" s="131"/>
    </row>
    <row r="1519" spans="2:9" s="118" customFormat="1" x14ac:dyDescent="0.25">
      <c r="B1519" s="132"/>
      <c r="F1519" s="133"/>
      <c r="H1519" s="131"/>
      <c r="I1519" s="131"/>
    </row>
    <row r="1520" spans="2:9" s="118" customFormat="1" x14ac:dyDescent="0.25">
      <c r="B1520" s="132"/>
      <c r="F1520" s="133"/>
      <c r="H1520" s="131"/>
      <c r="I1520" s="131"/>
    </row>
    <row r="1521" spans="2:9" s="118" customFormat="1" x14ac:dyDescent="0.25">
      <c r="B1521" s="132"/>
      <c r="F1521" s="133"/>
      <c r="H1521" s="131"/>
      <c r="I1521" s="131"/>
    </row>
    <row r="1522" spans="2:9" s="118" customFormat="1" x14ac:dyDescent="0.25">
      <c r="B1522" s="132"/>
      <c r="F1522" s="133"/>
      <c r="H1522" s="131"/>
      <c r="I1522" s="131"/>
    </row>
    <row r="1523" spans="2:9" s="118" customFormat="1" x14ac:dyDescent="0.25">
      <c r="B1523" s="132"/>
      <c r="F1523" s="133"/>
      <c r="H1523" s="131"/>
      <c r="I1523" s="131"/>
    </row>
    <row r="1524" spans="2:9" s="118" customFormat="1" x14ac:dyDescent="0.25">
      <c r="B1524" s="132"/>
      <c r="F1524" s="133"/>
      <c r="H1524" s="131"/>
      <c r="I1524" s="131"/>
    </row>
    <row r="1525" spans="2:9" s="118" customFormat="1" x14ac:dyDescent="0.25">
      <c r="B1525" s="132"/>
      <c r="F1525" s="133"/>
      <c r="H1525" s="131"/>
      <c r="I1525" s="131"/>
    </row>
    <row r="1526" spans="2:9" s="118" customFormat="1" x14ac:dyDescent="0.25">
      <c r="B1526" s="132"/>
      <c r="F1526" s="133"/>
      <c r="H1526" s="131"/>
      <c r="I1526" s="131"/>
    </row>
    <row r="1527" spans="2:9" s="118" customFormat="1" x14ac:dyDescent="0.25">
      <c r="B1527" s="132"/>
      <c r="F1527" s="133"/>
      <c r="H1527" s="131"/>
      <c r="I1527" s="131"/>
    </row>
    <row r="1528" spans="2:9" s="118" customFormat="1" x14ac:dyDescent="0.25">
      <c r="B1528" s="132"/>
      <c r="F1528" s="133"/>
      <c r="H1528" s="131"/>
      <c r="I1528" s="131"/>
    </row>
    <row r="1529" spans="2:9" s="118" customFormat="1" x14ac:dyDescent="0.25">
      <c r="B1529" s="132"/>
      <c r="F1529" s="133"/>
      <c r="H1529" s="131"/>
      <c r="I1529" s="131"/>
    </row>
    <row r="1530" spans="2:9" s="118" customFormat="1" x14ac:dyDescent="0.25">
      <c r="B1530" s="132"/>
      <c r="F1530" s="133"/>
      <c r="H1530" s="131"/>
      <c r="I1530" s="131"/>
    </row>
    <row r="1531" spans="2:9" s="118" customFormat="1" x14ac:dyDescent="0.25">
      <c r="B1531" s="132"/>
      <c r="F1531" s="133"/>
      <c r="H1531" s="131"/>
      <c r="I1531" s="131"/>
    </row>
    <row r="1532" spans="2:9" s="118" customFormat="1" x14ac:dyDescent="0.25">
      <c r="B1532" s="132"/>
      <c r="F1532" s="133"/>
      <c r="H1532" s="131"/>
      <c r="I1532" s="131"/>
    </row>
    <row r="1533" spans="2:9" s="118" customFormat="1" x14ac:dyDescent="0.25">
      <c r="B1533" s="132"/>
      <c r="F1533" s="133"/>
      <c r="H1533" s="131"/>
      <c r="I1533" s="131"/>
    </row>
    <row r="1534" spans="2:9" s="118" customFormat="1" x14ac:dyDescent="0.25">
      <c r="B1534" s="132"/>
      <c r="F1534" s="133"/>
      <c r="H1534" s="131"/>
      <c r="I1534" s="131"/>
    </row>
    <row r="1535" spans="2:9" s="118" customFormat="1" x14ac:dyDescent="0.25">
      <c r="B1535" s="132"/>
      <c r="F1535" s="133"/>
      <c r="H1535" s="131"/>
      <c r="I1535" s="131"/>
    </row>
    <row r="1536" spans="2:9" s="118" customFormat="1" x14ac:dyDescent="0.25">
      <c r="B1536" s="132"/>
      <c r="F1536" s="133"/>
      <c r="H1536" s="131"/>
      <c r="I1536" s="131"/>
    </row>
    <row r="1537" spans="2:9" s="118" customFormat="1" x14ac:dyDescent="0.25">
      <c r="B1537" s="132"/>
      <c r="F1537" s="133"/>
      <c r="H1537" s="131"/>
      <c r="I1537" s="131"/>
    </row>
    <row r="1538" spans="2:9" s="118" customFormat="1" x14ac:dyDescent="0.25">
      <c r="B1538" s="132"/>
      <c r="F1538" s="133"/>
      <c r="H1538" s="131"/>
      <c r="I1538" s="131"/>
    </row>
    <row r="1539" spans="2:9" s="118" customFormat="1" x14ac:dyDescent="0.25">
      <c r="B1539" s="132"/>
      <c r="F1539" s="133"/>
      <c r="H1539" s="131"/>
      <c r="I1539" s="131"/>
    </row>
    <row r="1540" spans="2:9" s="118" customFormat="1" x14ac:dyDescent="0.25">
      <c r="B1540" s="132"/>
      <c r="F1540" s="133"/>
      <c r="H1540" s="131"/>
      <c r="I1540" s="131"/>
    </row>
    <row r="1541" spans="2:9" s="118" customFormat="1" x14ac:dyDescent="0.25">
      <c r="B1541" s="132"/>
      <c r="F1541" s="133"/>
      <c r="H1541" s="131"/>
      <c r="I1541" s="131"/>
    </row>
    <row r="1542" spans="2:9" s="118" customFormat="1" x14ac:dyDescent="0.25">
      <c r="B1542" s="132"/>
      <c r="F1542" s="133"/>
      <c r="H1542" s="131"/>
      <c r="I1542" s="131"/>
    </row>
    <row r="1543" spans="2:9" s="118" customFormat="1" x14ac:dyDescent="0.25">
      <c r="B1543" s="132"/>
      <c r="F1543" s="133"/>
      <c r="H1543" s="131"/>
      <c r="I1543" s="131"/>
    </row>
    <row r="1544" spans="2:9" s="118" customFormat="1" x14ac:dyDescent="0.25">
      <c r="B1544" s="132"/>
      <c r="F1544" s="133"/>
      <c r="H1544" s="131"/>
      <c r="I1544" s="131"/>
    </row>
    <row r="1545" spans="2:9" s="118" customFormat="1" x14ac:dyDescent="0.25">
      <c r="B1545" s="132"/>
      <c r="F1545" s="133"/>
      <c r="H1545" s="131"/>
      <c r="I1545" s="131"/>
    </row>
    <row r="1546" spans="2:9" s="118" customFormat="1" x14ac:dyDescent="0.25">
      <c r="B1546" s="132"/>
      <c r="F1546" s="133"/>
      <c r="H1546" s="131"/>
      <c r="I1546" s="131"/>
    </row>
    <row r="1547" spans="2:9" s="118" customFormat="1" x14ac:dyDescent="0.25">
      <c r="B1547" s="132"/>
      <c r="F1547" s="133"/>
      <c r="H1547" s="131"/>
      <c r="I1547" s="131"/>
    </row>
    <row r="1548" spans="2:9" s="118" customFormat="1" x14ac:dyDescent="0.25">
      <c r="B1548" s="132"/>
      <c r="F1548" s="133"/>
      <c r="H1548" s="131"/>
      <c r="I1548" s="131"/>
    </row>
    <row r="1549" spans="2:9" s="118" customFormat="1" x14ac:dyDescent="0.25">
      <c r="B1549" s="132"/>
      <c r="F1549" s="133"/>
      <c r="H1549" s="131"/>
      <c r="I1549" s="131"/>
    </row>
    <row r="1550" spans="2:9" s="118" customFormat="1" x14ac:dyDescent="0.25">
      <c r="B1550" s="132"/>
      <c r="F1550" s="133"/>
      <c r="H1550" s="131"/>
      <c r="I1550" s="131"/>
    </row>
    <row r="1551" spans="2:9" s="118" customFormat="1" x14ac:dyDescent="0.25">
      <c r="B1551" s="132"/>
      <c r="F1551" s="133"/>
      <c r="H1551" s="131"/>
      <c r="I1551" s="131"/>
    </row>
    <row r="1552" spans="2:9" s="118" customFormat="1" x14ac:dyDescent="0.25">
      <c r="B1552" s="132"/>
      <c r="F1552" s="133"/>
      <c r="H1552" s="131"/>
      <c r="I1552" s="131"/>
    </row>
    <row r="1553" spans="2:9" s="118" customFormat="1" x14ac:dyDescent="0.25">
      <c r="B1553" s="132"/>
      <c r="F1553" s="133"/>
      <c r="H1553" s="131"/>
      <c r="I1553" s="131"/>
    </row>
    <row r="1554" spans="2:9" s="118" customFormat="1" x14ac:dyDescent="0.25">
      <c r="B1554" s="132"/>
      <c r="F1554" s="133"/>
      <c r="H1554" s="131"/>
      <c r="I1554" s="131"/>
    </row>
    <row r="1555" spans="2:9" s="118" customFormat="1" x14ac:dyDescent="0.25">
      <c r="B1555" s="132"/>
      <c r="F1555" s="133"/>
      <c r="H1555" s="131"/>
      <c r="I1555" s="131"/>
    </row>
    <row r="1556" spans="2:9" s="118" customFormat="1" x14ac:dyDescent="0.25">
      <c r="B1556" s="132"/>
      <c r="F1556" s="133"/>
      <c r="H1556" s="131"/>
      <c r="I1556" s="131"/>
    </row>
    <row r="1557" spans="2:9" s="118" customFormat="1" x14ac:dyDescent="0.25">
      <c r="B1557" s="132"/>
      <c r="F1557" s="133"/>
      <c r="H1557" s="131"/>
      <c r="I1557" s="131"/>
    </row>
    <row r="1558" spans="2:9" s="118" customFormat="1" x14ac:dyDescent="0.25">
      <c r="B1558" s="132"/>
      <c r="F1558" s="133"/>
      <c r="H1558" s="131"/>
      <c r="I1558" s="131"/>
    </row>
    <row r="1559" spans="2:9" s="118" customFormat="1" x14ac:dyDescent="0.25">
      <c r="B1559" s="132"/>
      <c r="F1559" s="133"/>
      <c r="H1559" s="131"/>
      <c r="I1559" s="131"/>
    </row>
    <row r="1560" spans="2:9" s="118" customFormat="1" x14ac:dyDescent="0.25">
      <c r="B1560" s="132"/>
      <c r="F1560" s="133"/>
      <c r="H1560" s="131"/>
      <c r="I1560" s="131"/>
    </row>
    <row r="1561" spans="2:9" s="118" customFormat="1" x14ac:dyDescent="0.25">
      <c r="B1561" s="132"/>
      <c r="F1561" s="133"/>
      <c r="H1561" s="131"/>
      <c r="I1561" s="131"/>
    </row>
    <row r="1562" spans="2:9" s="118" customFormat="1" x14ac:dyDescent="0.25">
      <c r="B1562" s="132"/>
      <c r="F1562" s="133"/>
      <c r="H1562" s="131"/>
      <c r="I1562" s="131"/>
    </row>
    <row r="1563" spans="2:9" s="118" customFormat="1" x14ac:dyDescent="0.25">
      <c r="B1563" s="132"/>
      <c r="F1563" s="133"/>
      <c r="H1563" s="131"/>
      <c r="I1563" s="131"/>
    </row>
    <row r="1564" spans="2:9" s="118" customFormat="1" x14ac:dyDescent="0.25">
      <c r="B1564" s="132"/>
      <c r="F1564" s="133"/>
      <c r="H1564" s="131"/>
      <c r="I1564" s="131"/>
    </row>
    <row r="1565" spans="2:9" s="118" customFormat="1" x14ac:dyDescent="0.25">
      <c r="B1565" s="132"/>
      <c r="F1565" s="133"/>
      <c r="H1565" s="131"/>
      <c r="I1565" s="131"/>
    </row>
    <row r="1566" spans="2:9" s="118" customFormat="1" x14ac:dyDescent="0.25">
      <c r="B1566" s="132"/>
      <c r="F1566" s="133"/>
      <c r="H1566" s="131"/>
      <c r="I1566" s="131"/>
    </row>
    <row r="1567" spans="2:9" s="118" customFormat="1" x14ac:dyDescent="0.25">
      <c r="B1567" s="132"/>
      <c r="F1567" s="133"/>
      <c r="H1567" s="131"/>
      <c r="I1567" s="131"/>
    </row>
    <row r="1568" spans="2:9" s="118" customFormat="1" x14ac:dyDescent="0.25">
      <c r="B1568" s="132"/>
      <c r="F1568" s="133"/>
      <c r="H1568" s="131"/>
      <c r="I1568" s="131"/>
    </row>
    <row r="1569" spans="2:9" s="118" customFormat="1" x14ac:dyDescent="0.25">
      <c r="B1569" s="132"/>
      <c r="F1569" s="133"/>
      <c r="H1569" s="131"/>
      <c r="I1569" s="131"/>
    </row>
    <row r="1570" spans="2:9" s="118" customFormat="1" x14ac:dyDescent="0.25">
      <c r="B1570" s="132"/>
      <c r="F1570" s="133"/>
      <c r="H1570" s="131"/>
      <c r="I1570" s="131"/>
    </row>
    <row r="1571" spans="2:9" s="118" customFormat="1" x14ac:dyDescent="0.25">
      <c r="B1571" s="132"/>
      <c r="F1571" s="133"/>
      <c r="H1571" s="131"/>
      <c r="I1571" s="131"/>
    </row>
    <row r="1572" spans="2:9" s="118" customFormat="1" x14ac:dyDescent="0.25">
      <c r="B1572" s="132"/>
      <c r="F1572" s="133"/>
      <c r="H1572" s="131"/>
      <c r="I1572" s="131"/>
    </row>
    <row r="1573" spans="2:9" s="118" customFormat="1" x14ac:dyDescent="0.25">
      <c r="B1573" s="132"/>
      <c r="F1573" s="133"/>
      <c r="H1573" s="131"/>
      <c r="I1573" s="131"/>
    </row>
    <row r="1574" spans="2:9" s="118" customFormat="1" x14ac:dyDescent="0.25">
      <c r="B1574" s="132"/>
      <c r="F1574" s="133"/>
      <c r="H1574" s="131"/>
      <c r="I1574" s="131"/>
    </row>
    <row r="1575" spans="2:9" s="118" customFormat="1" x14ac:dyDescent="0.25">
      <c r="B1575" s="132"/>
      <c r="F1575" s="133"/>
      <c r="H1575" s="131"/>
      <c r="I1575" s="131"/>
    </row>
    <row r="1576" spans="2:9" s="118" customFormat="1" x14ac:dyDescent="0.25">
      <c r="B1576" s="132"/>
      <c r="F1576" s="133"/>
      <c r="H1576" s="131"/>
      <c r="I1576" s="131"/>
    </row>
    <row r="1577" spans="2:9" s="118" customFormat="1" x14ac:dyDescent="0.25">
      <c r="B1577" s="132"/>
      <c r="F1577" s="133"/>
      <c r="H1577" s="131"/>
      <c r="I1577" s="131"/>
    </row>
    <row r="1578" spans="2:9" s="118" customFormat="1" x14ac:dyDescent="0.25">
      <c r="B1578" s="132"/>
      <c r="F1578" s="133"/>
      <c r="H1578" s="131"/>
      <c r="I1578" s="131"/>
    </row>
    <row r="1579" spans="2:9" s="118" customFormat="1" x14ac:dyDescent="0.25">
      <c r="B1579" s="132"/>
      <c r="F1579" s="133"/>
      <c r="H1579" s="131"/>
      <c r="I1579" s="131"/>
    </row>
    <row r="1580" spans="2:9" s="118" customFormat="1" x14ac:dyDescent="0.25">
      <c r="B1580" s="132"/>
      <c r="F1580" s="133"/>
      <c r="H1580" s="131"/>
      <c r="I1580" s="131"/>
    </row>
    <row r="1581" spans="2:9" s="118" customFormat="1" x14ac:dyDescent="0.25">
      <c r="B1581" s="132"/>
      <c r="F1581" s="133"/>
      <c r="H1581" s="131"/>
      <c r="I1581" s="131"/>
    </row>
    <row r="1582" spans="2:9" s="118" customFormat="1" x14ac:dyDescent="0.25">
      <c r="B1582" s="132"/>
      <c r="F1582" s="133"/>
      <c r="H1582" s="131"/>
      <c r="I1582" s="131"/>
    </row>
    <row r="1583" spans="2:9" s="118" customFormat="1" x14ac:dyDescent="0.25">
      <c r="B1583" s="132"/>
      <c r="F1583" s="133"/>
      <c r="H1583" s="131"/>
      <c r="I1583" s="131"/>
    </row>
    <row r="1584" spans="2:9" s="118" customFormat="1" x14ac:dyDescent="0.25">
      <c r="B1584" s="132"/>
      <c r="F1584" s="133"/>
      <c r="H1584" s="131"/>
      <c r="I1584" s="131"/>
    </row>
    <row r="1585" spans="2:9" s="118" customFormat="1" x14ac:dyDescent="0.25">
      <c r="B1585" s="132"/>
      <c r="F1585" s="133"/>
      <c r="H1585" s="131"/>
      <c r="I1585" s="131"/>
    </row>
    <row r="1586" spans="2:9" s="118" customFormat="1" x14ac:dyDescent="0.25">
      <c r="B1586" s="132"/>
      <c r="F1586" s="133"/>
      <c r="H1586" s="131"/>
      <c r="I1586" s="131"/>
    </row>
    <row r="1587" spans="2:9" s="118" customFormat="1" x14ac:dyDescent="0.25">
      <c r="B1587" s="132"/>
      <c r="F1587" s="133"/>
      <c r="H1587" s="131"/>
      <c r="I1587" s="131"/>
    </row>
    <row r="1588" spans="2:9" s="118" customFormat="1" x14ac:dyDescent="0.25">
      <c r="B1588" s="132"/>
      <c r="F1588" s="133"/>
      <c r="H1588" s="131"/>
      <c r="I1588" s="131"/>
    </row>
    <row r="1589" spans="2:9" s="118" customFormat="1" x14ac:dyDescent="0.25">
      <c r="B1589" s="132"/>
      <c r="F1589" s="133"/>
      <c r="H1589" s="131"/>
      <c r="I1589" s="131"/>
    </row>
    <row r="1590" spans="2:9" s="118" customFormat="1" x14ac:dyDescent="0.25">
      <c r="B1590" s="132"/>
      <c r="F1590" s="133"/>
      <c r="H1590" s="131"/>
      <c r="I1590" s="131"/>
    </row>
    <row r="1591" spans="2:9" s="118" customFormat="1" x14ac:dyDescent="0.25">
      <c r="B1591" s="132"/>
      <c r="F1591" s="133"/>
      <c r="H1591" s="131"/>
      <c r="I1591" s="131"/>
    </row>
    <row r="1592" spans="2:9" s="118" customFormat="1" x14ac:dyDescent="0.25">
      <c r="B1592" s="132"/>
      <c r="F1592" s="133"/>
      <c r="H1592" s="131"/>
      <c r="I1592" s="131"/>
    </row>
    <row r="1593" spans="2:9" s="118" customFormat="1" x14ac:dyDescent="0.25">
      <c r="B1593" s="132"/>
      <c r="F1593" s="133"/>
      <c r="H1593" s="131"/>
      <c r="I1593" s="131"/>
    </row>
    <row r="1594" spans="2:9" s="118" customFormat="1" x14ac:dyDescent="0.25">
      <c r="B1594" s="132"/>
      <c r="F1594" s="133"/>
      <c r="H1594" s="131"/>
      <c r="I1594" s="131"/>
    </row>
    <row r="1595" spans="2:9" s="118" customFormat="1" x14ac:dyDescent="0.25">
      <c r="B1595" s="132"/>
      <c r="F1595" s="133"/>
      <c r="H1595" s="131"/>
      <c r="I1595" s="131"/>
    </row>
    <row r="1596" spans="2:9" s="118" customFormat="1" x14ac:dyDescent="0.25">
      <c r="B1596" s="132"/>
      <c r="F1596" s="133"/>
      <c r="H1596" s="131"/>
      <c r="I1596" s="131"/>
    </row>
    <row r="1597" spans="2:9" s="118" customFormat="1" x14ac:dyDescent="0.25">
      <c r="B1597" s="132"/>
      <c r="F1597" s="133"/>
      <c r="H1597" s="131"/>
      <c r="I1597" s="131"/>
    </row>
    <row r="1598" spans="2:9" s="118" customFormat="1" x14ac:dyDescent="0.25">
      <c r="B1598" s="132"/>
      <c r="F1598" s="133"/>
      <c r="H1598" s="131"/>
      <c r="I1598" s="131"/>
    </row>
    <row r="1599" spans="2:9" s="118" customFormat="1" x14ac:dyDescent="0.25">
      <c r="B1599" s="132"/>
      <c r="F1599" s="133"/>
      <c r="H1599" s="131"/>
      <c r="I1599" s="131"/>
    </row>
    <row r="1600" spans="2:9" s="118" customFormat="1" x14ac:dyDescent="0.25">
      <c r="B1600" s="132"/>
      <c r="F1600" s="133"/>
      <c r="H1600" s="131"/>
      <c r="I1600" s="131"/>
    </row>
    <row r="1601" spans="2:9" s="118" customFormat="1" x14ac:dyDescent="0.25">
      <c r="B1601" s="132"/>
      <c r="F1601" s="133"/>
      <c r="H1601" s="131"/>
      <c r="I1601" s="131"/>
    </row>
    <row r="1602" spans="2:9" s="118" customFormat="1" x14ac:dyDescent="0.25">
      <c r="B1602" s="132"/>
      <c r="F1602" s="133"/>
      <c r="H1602" s="131"/>
      <c r="I1602" s="131"/>
    </row>
    <row r="1603" spans="2:9" s="118" customFormat="1" x14ac:dyDescent="0.25">
      <c r="B1603" s="132"/>
      <c r="F1603" s="133"/>
      <c r="H1603" s="131"/>
      <c r="I1603" s="131"/>
    </row>
    <row r="1604" spans="2:9" s="118" customFormat="1" x14ac:dyDescent="0.25">
      <c r="B1604" s="132"/>
      <c r="F1604" s="133"/>
      <c r="H1604" s="131"/>
      <c r="I1604" s="131"/>
    </row>
    <row r="1605" spans="2:9" s="118" customFormat="1" x14ac:dyDescent="0.25">
      <c r="B1605" s="132"/>
      <c r="F1605" s="133"/>
      <c r="H1605" s="131"/>
      <c r="I1605" s="131"/>
    </row>
    <row r="1606" spans="2:9" s="118" customFormat="1" x14ac:dyDescent="0.25">
      <c r="B1606" s="132"/>
      <c r="F1606" s="133"/>
      <c r="H1606" s="131"/>
      <c r="I1606" s="131"/>
    </row>
    <row r="1607" spans="2:9" s="118" customFormat="1" x14ac:dyDescent="0.25">
      <c r="B1607" s="132"/>
      <c r="F1607" s="133"/>
      <c r="H1607" s="131"/>
      <c r="I1607" s="131"/>
    </row>
    <row r="1608" spans="2:9" s="118" customFormat="1" x14ac:dyDescent="0.25">
      <c r="B1608" s="132"/>
      <c r="F1608" s="133"/>
      <c r="H1608" s="131"/>
      <c r="I1608" s="131"/>
    </row>
    <row r="1609" spans="2:9" s="118" customFormat="1" x14ac:dyDescent="0.25">
      <c r="B1609" s="132"/>
      <c r="F1609" s="133"/>
      <c r="H1609" s="131"/>
      <c r="I1609" s="131"/>
    </row>
    <row r="1610" spans="2:9" s="118" customFormat="1" x14ac:dyDescent="0.25">
      <c r="B1610" s="132"/>
      <c r="F1610" s="133"/>
      <c r="H1610" s="131"/>
      <c r="I1610" s="131"/>
    </row>
    <row r="1611" spans="2:9" s="118" customFormat="1" x14ac:dyDescent="0.25">
      <c r="B1611" s="132"/>
      <c r="F1611" s="133"/>
      <c r="H1611" s="131"/>
      <c r="I1611" s="131"/>
    </row>
    <row r="1612" spans="2:9" s="118" customFormat="1" x14ac:dyDescent="0.25">
      <c r="B1612" s="132"/>
      <c r="F1612" s="133"/>
      <c r="H1612" s="131"/>
      <c r="I1612" s="131"/>
    </row>
    <row r="1613" spans="2:9" s="118" customFormat="1" x14ac:dyDescent="0.25">
      <c r="B1613" s="132"/>
      <c r="F1613" s="133"/>
      <c r="H1613" s="131"/>
      <c r="I1613" s="131"/>
    </row>
    <row r="1614" spans="2:9" s="118" customFormat="1" x14ac:dyDescent="0.25">
      <c r="B1614" s="132"/>
      <c r="F1614" s="133"/>
      <c r="H1614" s="131"/>
      <c r="I1614" s="131"/>
    </row>
    <row r="1615" spans="2:9" s="118" customFormat="1" x14ac:dyDescent="0.25">
      <c r="B1615" s="132"/>
      <c r="F1615" s="133"/>
      <c r="H1615" s="131"/>
      <c r="I1615" s="131"/>
    </row>
    <row r="1616" spans="2:9" s="118" customFormat="1" x14ac:dyDescent="0.25">
      <c r="B1616" s="132"/>
      <c r="F1616" s="133"/>
      <c r="H1616" s="131"/>
      <c r="I1616" s="131"/>
    </row>
    <row r="1617" spans="2:9" s="118" customFormat="1" x14ac:dyDescent="0.25">
      <c r="B1617" s="132"/>
      <c r="F1617" s="133"/>
      <c r="H1617" s="131"/>
      <c r="I1617" s="131"/>
    </row>
    <row r="1618" spans="2:9" s="118" customFormat="1" x14ac:dyDescent="0.25">
      <c r="B1618" s="132"/>
      <c r="F1618" s="133"/>
      <c r="H1618" s="131"/>
      <c r="I1618" s="131"/>
    </row>
    <row r="1619" spans="2:9" s="118" customFormat="1" x14ac:dyDescent="0.25">
      <c r="B1619" s="132"/>
      <c r="F1619" s="133"/>
      <c r="H1619" s="131"/>
      <c r="I1619" s="131"/>
    </row>
    <row r="1620" spans="2:9" s="118" customFormat="1" x14ac:dyDescent="0.25">
      <c r="B1620" s="132"/>
      <c r="F1620" s="133"/>
      <c r="H1620" s="131"/>
      <c r="I1620" s="131"/>
    </row>
    <row r="1621" spans="2:9" s="118" customFormat="1" x14ac:dyDescent="0.25">
      <c r="B1621" s="132"/>
      <c r="F1621" s="133"/>
      <c r="H1621" s="131"/>
      <c r="I1621" s="131"/>
    </row>
    <row r="1622" spans="2:9" s="118" customFormat="1" x14ac:dyDescent="0.25">
      <c r="B1622" s="132"/>
      <c r="F1622" s="133"/>
      <c r="H1622" s="131"/>
      <c r="I1622" s="131"/>
    </row>
    <row r="1623" spans="2:9" s="118" customFormat="1" x14ac:dyDescent="0.25">
      <c r="B1623" s="132"/>
      <c r="F1623" s="133"/>
      <c r="H1623" s="131"/>
      <c r="I1623" s="131"/>
    </row>
    <row r="1624" spans="2:9" s="118" customFormat="1" x14ac:dyDescent="0.25">
      <c r="B1624" s="132"/>
      <c r="F1624" s="133"/>
      <c r="H1624" s="131"/>
      <c r="I1624" s="131"/>
    </row>
    <row r="1625" spans="2:9" s="118" customFormat="1" x14ac:dyDescent="0.25">
      <c r="B1625" s="132"/>
      <c r="F1625" s="133"/>
      <c r="H1625" s="131"/>
      <c r="I1625" s="131"/>
    </row>
    <row r="1626" spans="2:9" s="118" customFormat="1" x14ac:dyDescent="0.25">
      <c r="B1626" s="132"/>
      <c r="F1626" s="133"/>
      <c r="H1626" s="131"/>
      <c r="I1626" s="131"/>
    </row>
    <row r="1627" spans="2:9" s="118" customFormat="1" x14ac:dyDescent="0.25">
      <c r="B1627" s="132"/>
      <c r="F1627" s="133"/>
      <c r="H1627" s="131"/>
      <c r="I1627" s="131"/>
    </row>
    <row r="1628" spans="2:9" s="118" customFormat="1" x14ac:dyDescent="0.25">
      <c r="B1628" s="132"/>
      <c r="F1628" s="133"/>
      <c r="H1628" s="131"/>
      <c r="I1628" s="131"/>
    </row>
    <row r="1629" spans="2:9" s="118" customFormat="1" x14ac:dyDescent="0.25">
      <c r="B1629" s="132"/>
      <c r="F1629" s="133"/>
      <c r="H1629" s="131"/>
      <c r="I1629" s="131"/>
    </row>
    <row r="1630" spans="2:9" s="118" customFormat="1" x14ac:dyDescent="0.25">
      <c r="B1630" s="132"/>
      <c r="F1630" s="133"/>
      <c r="H1630" s="131"/>
      <c r="I1630" s="131"/>
    </row>
    <row r="1631" spans="2:9" s="118" customFormat="1" x14ac:dyDescent="0.25">
      <c r="B1631" s="132"/>
      <c r="F1631" s="133"/>
      <c r="H1631" s="131"/>
      <c r="I1631" s="131"/>
    </row>
    <row r="1632" spans="2:9" s="118" customFormat="1" x14ac:dyDescent="0.25">
      <c r="B1632" s="132"/>
      <c r="F1632" s="133"/>
      <c r="H1632" s="131"/>
      <c r="I1632" s="131"/>
    </row>
    <row r="1633" spans="1:9" s="118" customFormat="1" x14ac:dyDescent="0.25">
      <c r="B1633" s="132"/>
      <c r="F1633" s="133"/>
      <c r="H1633" s="131"/>
      <c r="I1633" s="131"/>
    </row>
    <row r="1634" spans="1:9" s="118" customFormat="1" x14ac:dyDescent="0.25">
      <c r="B1634" s="132"/>
      <c r="F1634" s="133"/>
      <c r="H1634" s="131"/>
      <c r="I1634" s="131"/>
    </row>
    <row r="1635" spans="1:9" s="118" customFormat="1" x14ac:dyDescent="0.25">
      <c r="B1635" s="132"/>
      <c r="F1635" s="133"/>
      <c r="H1635" s="131"/>
      <c r="I1635" s="131"/>
    </row>
    <row r="1636" spans="1:9" x14ac:dyDescent="0.25">
      <c r="A1636" s="134"/>
      <c r="B1636" s="135"/>
      <c r="C1636" s="134"/>
      <c r="D1636" s="134"/>
      <c r="E1636" s="134"/>
    </row>
    <row r="1637" spans="1:9" x14ac:dyDescent="0.25">
      <c r="A1637" s="134"/>
      <c r="B1637" s="135"/>
      <c r="C1637" s="134"/>
      <c r="D1637" s="134"/>
      <c r="E1637" s="134"/>
    </row>
    <row r="1638" spans="1:9" x14ac:dyDescent="0.25">
      <c r="A1638" s="134"/>
      <c r="B1638" s="135"/>
      <c r="C1638" s="134"/>
      <c r="D1638" s="134"/>
      <c r="E1638" s="134"/>
    </row>
    <row r="1639" spans="1:9" x14ac:dyDescent="0.25">
      <c r="A1639" s="134"/>
      <c r="B1639" s="135"/>
      <c r="C1639" s="134"/>
      <c r="D1639" s="134"/>
      <c r="E1639" s="134"/>
    </row>
    <row r="1640" spans="1:9" x14ac:dyDescent="0.25">
      <c r="A1640" s="134"/>
      <c r="B1640" s="135"/>
      <c r="C1640" s="134"/>
      <c r="D1640" s="134"/>
      <c r="E1640" s="134"/>
    </row>
    <row r="1641" spans="1:9" x14ac:dyDescent="0.25">
      <c r="A1641" s="134"/>
      <c r="B1641" s="135"/>
      <c r="C1641" s="134"/>
      <c r="D1641" s="134"/>
      <c r="E1641" s="134"/>
    </row>
    <row r="1642" spans="1:9" x14ac:dyDescent="0.25">
      <c r="A1642" s="134"/>
      <c r="B1642" s="135"/>
      <c r="C1642" s="134"/>
      <c r="D1642" s="134"/>
      <c r="E1642" s="134"/>
    </row>
    <row r="1643" spans="1:9" ht="330.75" customHeight="1" x14ac:dyDescent="0.25">
      <c r="A1643" s="134"/>
      <c r="B1643" s="135"/>
      <c r="C1643" s="134"/>
      <c r="D1643" s="134"/>
      <c r="E1643" s="134"/>
    </row>
  </sheetData>
  <sheetProtection algorithmName="SHA-512" hashValue="5ESSAhkmjPmwm/PiGkf9C7zri+kB3PcIe43kdU/ddHYIUDFcZ/Q+xnsIrvn3vh8d8TdNxy2SsFRDBOL6iREr3Q==" saltValue="l6M3sOjULEXkBTp5xxVMUg==" spinCount="100000" sheet="1" autoFilter="0"/>
  <autoFilter ref="A2:I1388" xr:uid="{00000000-0009-0000-0000-000001000000}">
    <filterColumn colId="0" hiddenButton="1"/>
  </autoFilter>
  <mergeCells count="3">
    <mergeCell ref="A1:C1"/>
    <mergeCell ref="D2:E2"/>
    <mergeCell ref="D81:E225"/>
  </mergeCells>
  <conditionalFormatting sqref="A1:A2 B2:C2">
    <cfRule type="cellIs" dxfId="225" priority="4" operator="greaterThan">
      <formula>0</formula>
    </cfRule>
  </conditionalFormatting>
  <conditionalFormatting sqref="D1:E1">
    <cfRule type="cellIs" dxfId="224" priority="3" operator="greaterThan">
      <formula>0</formula>
    </cfRule>
  </conditionalFormatting>
  <conditionalFormatting sqref="F1:I2">
    <cfRule type="cellIs" dxfId="223" priority="2" operator="greaterThan">
      <formula>0</formula>
    </cfRule>
  </conditionalFormatting>
  <hyperlinks>
    <hyperlink ref="D1" location="'Gala Setup'!H3" display="Gala _x000a_set up" xr:uid="{00000000-0004-0000-0100-000000000000}"/>
    <hyperlink ref="E1" location="Recording!C30" display="Gala _x000a_Recording" xr:uid="{00000000-0004-0000-0100-000001000000}"/>
  </hyperlink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T126"/>
  <sheetViews>
    <sheetView showRowColHeaders="0" topLeftCell="BF1" zoomScale="90" zoomScaleNormal="90" workbookViewId="0">
      <selection activeCell="BM2" sqref="BM2"/>
    </sheetView>
  </sheetViews>
  <sheetFormatPr defaultColWidth="8.6640625" defaultRowHeight="13.2" x14ac:dyDescent="0.25"/>
  <cols>
    <col min="1" max="2" width="18" customWidth="1"/>
    <col min="3" max="3" width="2.6640625" customWidth="1"/>
    <col min="4" max="7" width="18" customWidth="1"/>
    <col min="8" max="8" width="18" hidden="1" customWidth="1"/>
    <col min="9" max="9" width="0.33203125" customWidth="1"/>
    <col min="10" max="10" width="255.33203125" style="118" customWidth="1"/>
    <col min="11" max="11" width="4.33203125" customWidth="1"/>
    <col min="12" max="12" width="43.5546875" customWidth="1"/>
    <col min="13" max="14" width="40.6640625" hidden="1" customWidth="1"/>
    <col min="15" max="16" width="40.6640625" customWidth="1"/>
    <col min="17" max="17" width="4.5546875" customWidth="1"/>
    <col min="18" max="18" width="43.88671875" customWidth="1"/>
    <col min="19" max="20" width="40.6640625" hidden="1" customWidth="1"/>
    <col min="21" max="22" width="40.6640625" customWidth="1"/>
    <col min="23" max="23" width="4.33203125" customWidth="1"/>
    <col min="24" max="24" width="43.88671875" customWidth="1"/>
    <col min="25" max="26" width="29.33203125" hidden="1" customWidth="1"/>
    <col min="27" max="28" width="40.6640625" customWidth="1"/>
    <col min="29" max="29" width="4.33203125" customWidth="1"/>
    <col min="30" max="30" width="43" customWidth="1"/>
    <col min="31" max="32" width="29.33203125" hidden="1" customWidth="1"/>
    <col min="33" max="34" width="40.6640625" customWidth="1"/>
    <col min="35" max="35" width="4.33203125" customWidth="1"/>
    <col min="36" max="36" width="43.5546875" customWidth="1"/>
    <col min="37" max="38" width="29.33203125" hidden="1" customWidth="1"/>
    <col min="39" max="40" width="40.6640625" customWidth="1"/>
    <col min="41" max="41" width="4.33203125" customWidth="1"/>
    <col min="42" max="42" width="42.88671875" customWidth="1"/>
    <col min="43" max="44" width="29.33203125" hidden="1" customWidth="1"/>
    <col min="45" max="46" width="40.6640625" customWidth="1"/>
    <col min="47" max="47" width="4.33203125" customWidth="1"/>
    <col min="48" max="48" width="43.5546875" customWidth="1"/>
    <col min="49" max="50" width="29.33203125" hidden="1" customWidth="1"/>
    <col min="51" max="52" width="40.6640625" customWidth="1"/>
    <col min="53" max="53" width="4.33203125" customWidth="1"/>
    <col min="54" max="54" width="44.5546875" customWidth="1"/>
    <col min="55" max="56" width="29.33203125" hidden="1" customWidth="1"/>
    <col min="57" max="58" width="40.6640625" customWidth="1"/>
    <col min="59" max="59" width="4.33203125" customWidth="1"/>
    <col min="60" max="60" width="34" customWidth="1"/>
    <col min="61" max="62" width="34" hidden="1" customWidth="1"/>
    <col min="63" max="63" width="34" customWidth="1"/>
    <col min="64" max="64" width="40.6640625" customWidth="1"/>
    <col min="65" max="65" width="4.33203125" customWidth="1"/>
    <col min="66" max="66" width="43.109375" customWidth="1"/>
    <col min="67" max="68" width="29.33203125" hidden="1" customWidth="1"/>
    <col min="69" max="70" width="40.6640625" customWidth="1"/>
    <col min="71" max="71" width="12.44140625" hidden="1" customWidth="1"/>
    <col min="72" max="72" width="17.33203125" hidden="1" customWidth="1"/>
  </cols>
  <sheetData>
    <row r="1" spans="1:72" ht="75.75" customHeight="1" x14ac:dyDescent="0.25">
      <c r="D1" s="136" t="s">
        <v>4319</v>
      </c>
      <c r="E1" s="137" t="s">
        <v>4320</v>
      </c>
      <c r="F1" s="136" t="s">
        <v>52</v>
      </c>
      <c r="G1" s="137" t="s">
        <v>4321</v>
      </c>
      <c r="H1" s="138" t="s">
        <v>4322</v>
      </c>
      <c r="I1" s="139" t="s">
        <v>4323</v>
      </c>
      <c r="K1" s="140"/>
      <c r="L1" s="141"/>
      <c r="M1" s="141"/>
      <c r="N1" s="141"/>
      <c r="O1" s="141"/>
      <c r="P1" s="142"/>
      <c r="Q1" s="140"/>
      <c r="R1" s="141"/>
      <c r="S1" s="141"/>
      <c r="T1" s="141"/>
      <c r="U1" s="141"/>
      <c r="V1" s="141"/>
    </row>
    <row r="2" spans="1:72" s="152" customFormat="1" ht="21" customHeight="1" x14ac:dyDescent="0.35">
      <c r="A2" s="1116" t="s">
        <v>4324</v>
      </c>
      <c r="B2" s="1116"/>
      <c r="C2" s="1116"/>
      <c r="D2" s="1116"/>
      <c r="E2" s="1116"/>
      <c r="F2" s="1116"/>
      <c r="G2" s="1116"/>
      <c r="H2" s="1116"/>
      <c r="I2" s="143" t="s">
        <v>15</v>
      </c>
      <c r="J2" s="144"/>
      <c r="K2" s="1113">
        <f>'Gala Setup'!$H7</f>
        <v>45269</v>
      </c>
      <c r="L2" s="1113"/>
      <c r="M2" s="146"/>
      <c r="N2" s="146"/>
      <c r="O2" s="147" t="str">
        <f>'Gala Setup'!$H4</f>
        <v>LONDON</v>
      </c>
      <c r="P2" s="148" t="str">
        <f>'Gala Setup'!$J4</f>
        <v>ONE</v>
      </c>
      <c r="Q2" s="1113">
        <f>'Gala Setup'!$H7</f>
        <v>45269</v>
      </c>
      <c r="R2" s="1113"/>
      <c r="S2" s="145"/>
      <c r="T2" s="145"/>
      <c r="U2" s="149" t="str">
        <f>'Gala Setup'!H4</f>
        <v>LONDON</v>
      </c>
      <c r="V2" s="149" t="str">
        <f>'Gala Setup'!J4</f>
        <v>ONE</v>
      </c>
      <c r="W2" s="1113">
        <f>'Gala Setup'!$H7</f>
        <v>45269</v>
      </c>
      <c r="X2" s="1113"/>
      <c r="Y2" s="145"/>
      <c r="Z2" s="145"/>
      <c r="AA2" s="147" t="str">
        <f>'Gala Setup'!$H4</f>
        <v>LONDON</v>
      </c>
      <c r="AB2" s="148" t="str">
        <f>'Gala Setup'!$J4</f>
        <v>ONE</v>
      </c>
      <c r="AC2" s="1113">
        <f>'Gala Setup'!$H7</f>
        <v>45269</v>
      </c>
      <c r="AD2" s="1113"/>
      <c r="AE2" s="145"/>
      <c r="AF2" s="145"/>
      <c r="AG2" s="147" t="str">
        <f>'Gala Setup'!$H4</f>
        <v>LONDON</v>
      </c>
      <c r="AH2" s="148" t="str">
        <f>'Gala Setup'!$J4</f>
        <v>ONE</v>
      </c>
      <c r="AI2" s="1113">
        <f>'Gala Setup'!$H7</f>
        <v>45269</v>
      </c>
      <c r="AJ2" s="1113"/>
      <c r="AK2" s="145"/>
      <c r="AL2" s="145"/>
      <c r="AM2" s="147" t="str">
        <f>'Gala Setup'!$H4</f>
        <v>LONDON</v>
      </c>
      <c r="AN2" s="148" t="str">
        <f>'Gala Setup'!$J4</f>
        <v>ONE</v>
      </c>
      <c r="AO2" s="1113">
        <f>'Gala Setup'!$H7</f>
        <v>45269</v>
      </c>
      <c r="AP2" s="1113"/>
      <c r="AQ2" s="145"/>
      <c r="AR2" s="145"/>
      <c r="AS2" s="147" t="str">
        <f>'Gala Setup'!$H4</f>
        <v>LONDON</v>
      </c>
      <c r="AT2" s="148" t="str">
        <f>'Gala Setup'!$J4</f>
        <v>ONE</v>
      </c>
      <c r="AU2" s="1113">
        <f>'Gala Setup'!$H7</f>
        <v>45269</v>
      </c>
      <c r="AV2" s="1113"/>
      <c r="AW2" s="145"/>
      <c r="AX2" s="145"/>
      <c r="AY2" s="147" t="str">
        <f>'Gala Setup'!$H4</f>
        <v>LONDON</v>
      </c>
      <c r="AZ2" s="148" t="str">
        <f>'Gala Setup'!$J4</f>
        <v>ONE</v>
      </c>
      <c r="BA2" s="1113">
        <f>'Gala Setup'!$H7</f>
        <v>45269</v>
      </c>
      <c r="BB2" s="1113"/>
      <c r="BC2" s="145"/>
      <c r="BD2" s="145"/>
      <c r="BE2" s="147" t="str">
        <f>'Gala Setup'!$H4</f>
        <v>LONDON</v>
      </c>
      <c r="BF2" s="148" t="str">
        <f>'Gala Setup'!$J4</f>
        <v>ONE</v>
      </c>
      <c r="BG2" s="1113">
        <f>'Gala Setup'!$H7</f>
        <v>45269</v>
      </c>
      <c r="BH2" s="1113"/>
      <c r="BI2" s="145"/>
      <c r="BJ2" s="145"/>
      <c r="BK2" s="147" t="str">
        <f>'Gala Setup'!$H4</f>
        <v>LONDON</v>
      </c>
      <c r="BL2" s="148" t="str">
        <f>'Gala Setup'!$J4</f>
        <v>ONE</v>
      </c>
      <c r="BM2" s="1113">
        <f>'Gala Setup'!$H7</f>
        <v>45269</v>
      </c>
      <c r="BN2" s="1113"/>
      <c r="BO2" s="145"/>
      <c r="BP2" s="145"/>
      <c r="BQ2" s="147" t="str">
        <f>'Gala Setup'!$H4</f>
        <v>LONDON</v>
      </c>
      <c r="BR2" s="148" t="str">
        <f>'Gala Setup'!$J4</f>
        <v>ONE</v>
      </c>
      <c r="BS2" s="150"/>
      <c r="BT2" s="151"/>
    </row>
    <row r="3" spans="1:72" s="152" customFormat="1" ht="21" customHeight="1" x14ac:dyDescent="0.35">
      <c r="A3" s="1116"/>
      <c r="B3" s="1116"/>
      <c r="C3" s="1116"/>
      <c r="D3" s="1116"/>
      <c r="E3" s="1116"/>
      <c r="F3" s="1116"/>
      <c r="G3" s="1116"/>
      <c r="H3" s="1116"/>
      <c r="I3" s="153" t="s">
        <v>27</v>
      </c>
      <c r="J3" s="154"/>
      <c r="K3" s="1114" t="str">
        <f>'Gala Setup'!$H6</f>
        <v>AQUA VALE S &amp; F CENTRE AYLESBURY</v>
      </c>
      <c r="L3" s="1114"/>
      <c r="M3" s="1114"/>
      <c r="N3" s="1114"/>
      <c r="O3" s="1114"/>
      <c r="P3" s="1114"/>
      <c r="Q3" s="1114" t="str">
        <f>'Gala Setup'!$H6</f>
        <v>AQUA VALE S &amp; F CENTRE AYLESBURY</v>
      </c>
      <c r="R3" s="1114"/>
      <c r="S3" s="1114"/>
      <c r="T3" s="1114"/>
      <c r="U3" s="1114"/>
      <c r="V3" s="1114"/>
      <c r="W3" s="1114" t="str">
        <f>'Gala Setup'!$H6</f>
        <v>AQUA VALE S &amp; F CENTRE AYLESBURY</v>
      </c>
      <c r="X3" s="1114"/>
      <c r="Y3" s="1114"/>
      <c r="Z3" s="1114"/>
      <c r="AA3" s="1114"/>
      <c r="AB3" s="1114"/>
      <c r="AC3" s="1114" t="str">
        <f>'Gala Setup'!$H6</f>
        <v>AQUA VALE S &amp; F CENTRE AYLESBURY</v>
      </c>
      <c r="AD3" s="1114"/>
      <c r="AE3" s="1114"/>
      <c r="AF3" s="1114"/>
      <c r="AG3" s="1114"/>
      <c r="AH3" s="1114"/>
      <c r="AI3" s="1114" t="str">
        <f>'Gala Setup'!$H6</f>
        <v>AQUA VALE S &amp; F CENTRE AYLESBURY</v>
      </c>
      <c r="AJ3" s="1114"/>
      <c r="AK3" s="1114"/>
      <c r="AL3" s="1114"/>
      <c r="AM3" s="1114"/>
      <c r="AN3" s="1114"/>
      <c r="AO3" s="1114" t="str">
        <f>'Gala Setup'!$H6</f>
        <v>AQUA VALE S &amp; F CENTRE AYLESBURY</v>
      </c>
      <c r="AP3" s="1114"/>
      <c r="AQ3" s="1114"/>
      <c r="AR3" s="1114"/>
      <c r="AS3" s="1114"/>
      <c r="AT3" s="1114"/>
      <c r="AU3" s="1114" t="str">
        <f>'Gala Setup'!$H6</f>
        <v>AQUA VALE S &amp; F CENTRE AYLESBURY</v>
      </c>
      <c r="AV3" s="1114"/>
      <c r="AW3" s="1114"/>
      <c r="AX3" s="1114"/>
      <c r="AY3" s="1114"/>
      <c r="AZ3" s="1114"/>
      <c r="BA3" s="1114" t="str">
        <f>'Gala Setup'!$H6</f>
        <v>AQUA VALE S &amp; F CENTRE AYLESBURY</v>
      </c>
      <c r="BB3" s="1114"/>
      <c r="BC3" s="1114"/>
      <c r="BD3" s="1114"/>
      <c r="BE3" s="1114"/>
      <c r="BF3" s="1114"/>
      <c r="BG3" s="1114" t="str">
        <f>'Gala Setup'!$H6</f>
        <v>AQUA VALE S &amp; F CENTRE AYLESBURY</v>
      </c>
      <c r="BH3" s="1114"/>
      <c r="BI3" s="1114"/>
      <c r="BJ3" s="1114"/>
      <c r="BK3" s="1114"/>
      <c r="BL3" s="1114"/>
      <c r="BM3" s="1115" t="str">
        <f>'Gala Setup'!H6</f>
        <v>AQUA VALE S &amp; F CENTRE AYLESBURY</v>
      </c>
      <c r="BN3" s="1115"/>
      <c r="BO3" s="1115"/>
      <c r="BP3" s="1115"/>
      <c r="BQ3" s="1115"/>
      <c r="BR3" s="1115"/>
      <c r="BS3" s="155"/>
      <c r="BT3" s="151"/>
    </row>
    <row r="4" spans="1:72" s="116" customFormat="1" ht="21" customHeight="1" x14ac:dyDescent="0.25">
      <c r="A4" s="1116"/>
      <c r="B4" s="1116"/>
      <c r="C4" s="1116"/>
      <c r="D4" s="1116"/>
      <c r="E4" s="1116"/>
      <c r="F4" s="1116"/>
      <c r="G4" s="1116"/>
      <c r="H4" s="1116"/>
      <c r="I4" s="156" t="s">
        <v>32</v>
      </c>
      <c r="J4" s="157"/>
      <c r="K4" s="1112" t="s">
        <v>4325</v>
      </c>
      <c r="L4" s="1112"/>
      <c r="M4" s="159"/>
      <c r="N4" s="159"/>
      <c r="O4" s="159" t="str">
        <f>'Gala Setup'!P4</f>
        <v>HARINGEY AQUATICS</v>
      </c>
      <c r="P4" s="1111" t="s">
        <v>4326</v>
      </c>
      <c r="Q4" s="1112" t="s">
        <v>4325</v>
      </c>
      <c r="R4" s="1112"/>
      <c r="S4" s="160"/>
      <c r="T4" s="160"/>
      <c r="U4" s="159" t="str">
        <f>'Gala Setup'!P5</f>
        <v>STEVENAGE</v>
      </c>
      <c r="V4" s="1111" t="s">
        <v>4326</v>
      </c>
      <c r="W4" s="1112" t="s">
        <v>4325</v>
      </c>
      <c r="X4" s="1112"/>
      <c r="Y4" s="160"/>
      <c r="Z4" s="160"/>
      <c r="AA4" s="161" t="str">
        <f>'Gala Setup'!P6</f>
        <v>BORO OF BROXBOURNE</v>
      </c>
      <c r="AB4" s="1111" t="s">
        <v>4326</v>
      </c>
      <c r="AC4" s="1112" t="s">
        <v>4325</v>
      </c>
      <c r="AD4" s="1112"/>
      <c r="AE4" s="160"/>
      <c r="AF4" s="160"/>
      <c r="AG4" s="161" t="str">
        <f>'Gala Setup'!P7</f>
        <v>AYLESBURY</v>
      </c>
      <c r="AH4" s="1111" t="s">
        <v>4326</v>
      </c>
      <c r="AI4" s="1112" t="s">
        <v>4325</v>
      </c>
      <c r="AJ4" s="1112"/>
      <c r="AK4" s="160"/>
      <c r="AL4" s="160"/>
      <c r="AM4" s="161" t="str">
        <f>'Gala Setup'!P8</f>
        <v>BRAINTREE &amp; BOCKING</v>
      </c>
      <c r="AN4" s="1111" t="s">
        <v>4326</v>
      </c>
      <c r="AO4" s="1112" t="s">
        <v>4325</v>
      </c>
      <c r="AP4" s="1112"/>
      <c r="AQ4" s="160"/>
      <c r="AR4" s="160"/>
      <c r="AS4" s="161" t="str">
        <f>'Gala Setup'!P9</f>
        <v>Bo of Harrow</v>
      </c>
      <c r="AT4" s="1111" t="s">
        <v>4326</v>
      </c>
      <c r="AU4" s="1112" t="s">
        <v>4325</v>
      </c>
      <c r="AV4" s="1112"/>
      <c r="AW4" s="160"/>
      <c r="AX4" s="160"/>
      <c r="AY4" s="161" t="str">
        <f>'Gala Setup'!P10</f>
        <v>Hillingdon 'B'</v>
      </c>
      <c r="AZ4" s="1111" t="s">
        <v>4326</v>
      </c>
      <c r="BA4" s="1112" t="s">
        <v>4325</v>
      </c>
      <c r="BB4" s="1112"/>
      <c r="BC4" s="160"/>
      <c r="BD4" s="160"/>
      <c r="BE4" s="161">
        <f>'Gala Setup'!P11</f>
        <v>0</v>
      </c>
      <c r="BF4" s="1111" t="s">
        <v>4326</v>
      </c>
      <c r="BG4" s="1112" t="s">
        <v>4325</v>
      </c>
      <c r="BH4" s="1112"/>
      <c r="BI4" s="160"/>
      <c r="BJ4" s="160"/>
      <c r="BK4" s="161">
        <f>'Gala Setup'!P12</f>
        <v>0</v>
      </c>
      <c r="BL4" s="1111" t="s">
        <v>4326</v>
      </c>
      <c r="BM4" s="1112" t="s">
        <v>4325</v>
      </c>
      <c r="BN4" s="1112"/>
      <c r="BO4" s="160"/>
      <c r="BP4" s="160"/>
      <c r="BQ4" s="161">
        <f>'Gala Setup'!P13</f>
        <v>0</v>
      </c>
      <c r="BR4" s="1111" t="s">
        <v>4326</v>
      </c>
      <c r="BS4" s="162"/>
      <c r="BT4" s="163"/>
    </row>
    <row r="5" spans="1:72" ht="21" customHeight="1" x14ac:dyDescent="0.25">
      <c r="A5" s="1116"/>
      <c r="B5" s="1116"/>
      <c r="C5" s="1116"/>
      <c r="D5" s="1116"/>
      <c r="E5" s="1116"/>
      <c r="F5" s="1116"/>
      <c r="G5" s="1116"/>
      <c r="H5" s="1116"/>
      <c r="I5" s="153" t="s">
        <v>39</v>
      </c>
      <c r="J5" s="164"/>
      <c r="K5" s="1112"/>
      <c r="L5" s="1112"/>
      <c r="M5" s="165"/>
      <c r="N5" s="165"/>
      <c r="O5" s="165" t="s">
        <v>8</v>
      </c>
      <c r="P5" s="1111"/>
      <c r="Q5" s="1112"/>
      <c r="R5" s="1112"/>
      <c r="S5" s="158"/>
      <c r="T5" s="158"/>
      <c r="U5" s="165" t="s">
        <v>4327</v>
      </c>
      <c r="V5" s="1111"/>
      <c r="W5" s="1112"/>
      <c r="X5" s="1112"/>
      <c r="Y5" s="158"/>
      <c r="Z5" s="158"/>
      <c r="AA5" s="165" t="s">
        <v>4327</v>
      </c>
      <c r="AB5" s="1111"/>
      <c r="AC5" s="1112"/>
      <c r="AD5" s="1112"/>
      <c r="AE5" s="158"/>
      <c r="AF5" s="158"/>
      <c r="AG5" s="165" t="s">
        <v>4327</v>
      </c>
      <c r="AH5" s="1111"/>
      <c r="AI5" s="1112"/>
      <c r="AJ5" s="1112"/>
      <c r="AK5" s="158"/>
      <c r="AL5" s="158"/>
      <c r="AM5" s="165" t="s">
        <v>4327</v>
      </c>
      <c r="AN5" s="1111"/>
      <c r="AO5" s="1112"/>
      <c r="AP5" s="1112"/>
      <c r="AQ5" s="158"/>
      <c r="AR5" s="158"/>
      <c r="AS5" s="165" t="s">
        <v>4327</v>
      </c>
      <c r="AT5" s="1111"/>
      <c r="AU5" s="1112"/>
      <c r="AV5" s="1112"/>
      <c r="AW5" s="158"/>
      <c r="AX5" s="158"/>
      <c r="AY5" s="165" t="s">
        <v>4327</v>
      </c>
      <c r="AZ5" s="1111"/>
      <c r="BA5" s="1112"/>
      <c r="BB5" s="1112"/>
      <c r="BC5" s="158"/>
      <c r="BD5" s="158"/>
      <c r="BE5" s="165" t="s">
        <v>4327</v>
      </c>
      <c r="BF5" s="1111"/>
      <c r="BG5" s="1112"/>
      <c r="BH5" s="1112"/>
      <c r="BI5" s="158"/>
      <c r="BJ5" s="158"/>
      <c r="BK5" s="165" t="s">
        <v>4327</v>
      </c>
      <c r="BL5" s="1111"/>
      <c r="BM5" s="1112"/>
      <c r="BN5" s="1112"/>
      <c r="BO5" s="158"/>
      <c r="BP5" s="158"/>
      <c r="BQ5" s="165" t="s">
        <v>4327</v>
      </c>
      <c r="BR5" s="1111"/>
      <c r="BS5" s="166"/>
      <c r="BT5" s="167"/>
    </row>
    <row r="6" spans="1:72" ht="21" customHeight="1" x14ac:dyDescent="0.25">
      <c r="A6" s="1116"/>
      <c r="B6" s="1116"/>
      <c r="C6" s="1116"/>
      <c r="D6" s="1116"/>
      <c r="E6" s="1116"/>
      <c r="F6" s="1116"/>
      <c r="G6" s="1116"/>
      <c r="H6" s="1116"/>
      <c r="I6" s="153" t="s">
        <v>43</v>
      </c>
      <c r="J6" s="164"/>
      <c r="K6" s="1112"/>
      <c r="L6" s="1112"/>
      <c r="M6" s="168"/>
      <c r="N6" s="168"/>
      <c r="O6" s="168">
        <f>'Gala Setup'!N4</f>
        <v>1</v>
      </c>
      <c r="P6" s="1111"/>
      <c r="Q6" s="1112"/>
      <c r="R6" s="1112"/>
      <c r="S6" s="158"/>
      <c r="T6" s="158"/>
      <c r="U6" s="168">
        <f>'Gala Setup'!N5</f>
        <v>2</v>
      </c>
      <c r="V6" s="1111"/>
      <c r="W6" s="1112"/>
      <c r="X6" s="1112"/>
      <c r="Y6" s="158"/>
      <c r="Z6" s="158"/>
      <c r="AA6" s="168">
        <f>'Gala Setup'!N6</f>
        <v>3</v>
      </c>
      <c r="AB6" s="1111"/>
      <c r="AC6" s="1112"/>
      <c r="AD6" s="1112"/>
      <c r="AE6" s="158"/>
      <c r="AF6" s="158"/>
      <c r="AG6" s="168">
        <f>'Gala Setup'!N7</f>
        <v>4</v>
      </c>
      <c r="AH6" s="1111"/>
      <c r="AI6" s="1112"/>
      <c r="AJ6" s="1112"/>
      <c r="AK6" s="158"/>
      <c r="AL6" s="158"/>
      <c r="AM6" s="168">
        <f>'Gala Setup'!N8</f>
        <v>5</v>
      </c>
      <c r="AN6" s="1111"/>
      <c r="AO6" s="1112"/>
      <c r="AP6" s="1112"/>
      <c r="AQ6" s="158"/>
      <c r="AR6" s="158"/>
      <c r="AS6" s="168">
        <f>'Gala Setup'!N9</f>
        <v>6</v>
      </c>
      <c r="AT6" s="1111"/>
      <c r="AU6" s="1112"/>
      <c r="AV6" s="1112"/>
      <c r="AW6" s="158"/>
      <c r="AX6" s="158"/>
      <c r="AY6" s="168">
        <f>'Gala Setup'!N10</f>
        <v>7</v>
      </c>
      <c r="AZ6" s="1111"/>
      <c r="BA6" s="1112"/>
      <c r="BB6" s="1112"/>
      <c r="BC6" s="158"/>
      <c r="BD6" s="158"/>
      <c r="BE6" s="168">
        <f>'Gala Setup'!N11</f>
        <v>0</v>
      </c>
      <c r="BF6" s="1111"/>
      <c r="BG6" s="1112"/>
      <c r="BH6" s="1112"/>
      <c r="BI6" s="158"/>
      <c r="BJ6" s="158"/>
      <c r="BK6" s="168">
        <f>'Gala Setup'!N12</f>
        <v>0</v>
      </c>
      <c r="BL6" s="1111"/>
      <c r="BM6" s="1112"/>
      <c r="BN6" s="1112"/>
      <c r="BO6" s="158"/>
      <c r="BP6" s="158"/>
      <c r="BQ6" s="168">
        <f>'Gala Setup'!N13</f>
        <v>0</v>
      </c>
      <c r="BR6" s="1111"/>
      <c r="BS6" s="169"/>
      <c r="BT6" s="167"/>
    </row>
    <row r="7" spans="1:72" s="179" customFormat="1" ht="21" customHeight="1" x14ac:dyDescent="0.3">
      <c r="A7" s="1116"/>
      <c r="B7" s="1116"/>
      <c r="C7" s="1116"/>
      <c r="D7" s="1116"/>
      <c r="E7" s="1116"/>
      <c r="F7" s="1116"/>
      <c r="G7" s="1116"/>
      <c r="H7" s="1116"/>
      <c r="I7" s="170" t="s">
        <v>49</v>
      </c>
      <c r="J7" s="171"/>
      <c r="K7" s="172">
        <v>1</v>
      </c>
      <c r="L7" s="173" t="s">
        <v>4328</v>
      </c>
      <c r="M7" s="174" t="str">
        <f>'Team 1'!F4</f>
        <v>Bianca</v>
      </c>
      <c r="N7" s="174" t="str">
        <f>'Team 1'!G4</f>
        <v>Gomez-Velasco</v>
      </c>
      <c r="O7" s="175" t="str">
        <f t="shared" ref="O7:O38" si="0">CONCATENATE(M7, " ",N7)</f>
        <v>Bianca Gomez-Velasco</v>
      </c>
      <c r="P7" s="176"/>
      <c r="Q7" s="172">
        <v>1</v>
      </c>
      <c r="R7" s="173" t="s">
        <v>4328</v>
      </c>
      <c r="S7" s="174" t="str">
        <f>'Team 2'!F4</f>
        <v>Sophie</v>
      </c>
      <c r="T7" s="174" t="str">
        <f>'Team 2'!G4</f>
        <v>Stelmach</v>
      </c>
      <c r="U7" s="175" t="str">
        <f t="shared" ref="U7:U38" si="1">CONCATENATE(S7, " ",T7)</f>
        <v>Sophie Stelmach</v>
      </c>
      <c r="V7" s="176"/>
      <c r="W7" s="172">
        <v>1</v>
      </c>
      <c r="X7" s="173" t="s">
        <v>4328</v>
      </c>
      <c r="Y7" s="174" t="str">
        <f>'Team 3'!F4</f>
        <v>Hannah</v>
      </c>
      <c r="Z7" s="174" t="str">
        <f>'Team 3'!G4</f>
        <v>Lovelock</v>
      </c>
      <c r="AA7" s="175" t="str">
        <f t="shared" ref="AA7:AA38" si="2">CONCATENATE(Y7, " ",Z7)</f>
        <v>Hannah Lovelock</v>
      </c>
      <c r="AB7" s="176"/>
      <c r="AC7" s="172">
        <v>1</v>
      </c>
      <c r="AD7" s="173" t="s">
        <v>4328</v>
      </c>
      <c r="AE7" s="174" t="str">
        <f>'Team 4'!F4</f>
        <v>LIBBY</v>
      </c>
      <c r="AF7" s="174" t="str">
        <f>'Team 4'!G4</f>
        <v>BLISSETT</v>
      </c>
      <c r="AG7" s="175" t="str">
        <f t="shared" ref="AG7:AG38" si="3">CONCATENATE(AE7, " ",AF7)</f>
        <v>LIBBY BLISSETT</v>
      </c>
      <c r="AH7" s="174"/>
      <c r="AI7" s="172">
        <v>1</v>
      </c>
      <c r="AJ7" s="173" t="s">
        <v>4328</v>
      </c>
      <c r="AK7" s="174" t="str">
        <f>'Team 5'!F4</f>
        <v>Isabelle</v>
      </c>
      <c r="AL7" s="174" t="str">
        <f>'Team 5'!G4</f>
        <v>Talbot</v>
      </c>
      <c r="AM7" s="175" t="str">
        <f t="shared" ref="AM7:AM38" si="4">CONCATENATE(AK7, " ",AL7)</f>
        <v>Isabelle Talbot</v>
      </c>
      <c r="AN7" s="174"/>
      <c r="AO7" s="172">
        <v>1</v>
      </c>
      <c r="AP7" s="173" t="s">
        <v>4328</v>
      </c>
      <c r="AQ7" s="177" t="str">
        <f>'Team 6'!F4</f>
        <v xml:space="preserve">Alice </v>
      </c>
      <c r="AR7" s="177" t="str">
        <f>'Team 6'!G4</f>
        <v>Sharrock</v>
      </c>
      <c r="AS7" s="175" t="str">
        <f t="shared" ref="AS7:AS38" si="5">CONCATENATE(AQ7, " ",AR7)</f>
        <v>Alice  Sharrock</v>
      </c>
      <c r="AT7" s="174"/>
      <c r="AU7" s="172">
        <v>1</v>
      </c>
      <c r="AV7" s="173" t="s">
        <v>4328</v>
      </c>
      <c r="AW7" s="177" t="str">
        <f>'Team 7'!F4</f>
        <v>Laura</v>
      </c>
      <c r="AX7" s="177" t="str">
        <f>'Team 7'!G4</f>
        <v>Hibberd</v>
      </c>
      <c r="AY7" s="175" t="str">
        <f t="shared" ref="AY7:AY38" si="6">CONCATENATE(AW7, " ",AX7)</f>
        <v>Laura Hibberd</v>
      </c>
      <c r="AZ7" s="174"/>
      <c r="BA7" s="172">
        <v>1</v>
      </c>
      <c r="BB7" s="173" t="s">
        <v>4328</v>
      </c>
      <c r="BC7" s="177">
        <f>'Team 8'!F4</f>
        <v>0</v>
      </c>
      <c r="BD7" s="177">
        <f>'Team 8'!G4</f>
        <v>0</v>
      </c>
      <c r="BE7" s="175" t="str">
        <f t="shared" ref="BE7:BE38" si="7">CONCATENATE(BC7, " ",BD7)</f>
        <v>0 0</v>
      </c>
      <c r="BF7" s="174"/>
      <c r="BG7" s="172">
        <v>1</v>
      </c>
      <c r="BH7" s="173" t="s">
        <v>4328</v>
      </c>
      <c r="BI7" s="177">
        <f>'Team 9'!F4</f>
        <v>0</v>
      </c>
      <c r="BJ7" s="177">
        <f>'Team 9'!G4</f>
        <v>0</v>
      </c>
      <c r="BK7" s="175" t="str">
        <f t="shared" ref="BK7:BK38" si="8">CONCATENATE(BI7, " ",BJ7)</f>
        <v>0 0</v>
      </c>
      <c r="BL7" s="174"/>
      <c r="BM7" s="172">
        <v>1</v>
      </c>
      <c r="BN7" s="173" t="s">
        <v>4328</v>
      </c>
      <c r="BO7" s="177">
        <f>'Team 10'!F4</f>
        <v>0</v>
      </c>
      <c r="BP7" s="177">
        <f>'Team 10'!G4</f>
        <v>0</v>
      </c>
      <c r="BQ7" s="175" t="str">
        <f t="shared" ref="BQ7:BQ38" si="9">CONCATENATE(BO7, " ",BP7)</f>
        <v>0 0</v>
      </c>
      <c r="BR7" s="174"/>
      <c r="BS7" s="178"/>
    </row>
    <row r="8" spans="1:72" s="179" customFormat="1" ht="21" customHeight="1" x14ac:dyDescent="0.3">
      <c r="A8" s="1116"/>
      <c r="B8" s="1116"/>
      <c r="C8" s="1116"/>
      <c r="D8" s="1116"/>
      <c r="E8" s="1116"/>
      <c r="F8" s="1116"/>
      <c r="G8" s="1116"/>
      <c r="H8" s="1116"/>
      <c r="I8" s="170" t="s">
        <v>56</v>
      </c>
      <c r="J8" s="171"/>
      <c r="K8" s="172">
        <v>2</v>
      </c>
      <c r="L8" s="173" t="s">
        <v>4329</v>
      </c>
      <c r="M8" s="174" t="str">
        <f>'Team 1'!F5</f>
        <v>Zente</v>
      </c>
      <c r="N8" s="174" t="str">
        <f>'Team 1'!G5</f>
        <v>Buzsik</v>
      </c>
      <c r="O8" s="175" t="str">
        <f t="shared" si="0"/>
        <v>Zente Buzsik</v>
      </c>
      <c r="P8" s="176"/>
      <c r="Q8" s="172">
        <v>2</v>
      </c>
      <c r="R8" s="173" t="s">
        <v>4329</v>
      </c>
      <c r="S8" s="174" t="str">
        <f>'Team 2'!F5</f>
        <v>Harry</v>
      </c>
      <c r="T8" s="174" t="str">
        <f>'Team 2'!G5</f>
        <v>Chapman</v>
      </c>
      <c r="U8" s="175" t="str">
        <f t="shared" si="1"/>
        <v>Harry Chapman</v>
      </c>
      <c r="V8" s="176"/>
      <c r="W8" s="172">
        <v>2</v>
      </c>
      <c r="X8" s="173" t="s">
        <v>4329</v>
      </c>
      <c r="Y8" s="174" t="str">
        <f>'Team 3'!F5</f>
        <v>George</v>
      </c>
      <c r="Z8" s="174" t="str">
        <f>'Team 3'!G5</f>
        <v>Lovelock</v>
      </c>
      <c r="AA8" s="175" t="str">
        <f t="shared" si="2"/>
        <v>George Lovelock</v>
      </c>
      <c r="AB8" s="176"/>
      <c r="AC8" s="172">
        <v>2</v>
      </c>
      <c r="AD8" s="173" t="s">
        <v>4329</v>
      </c>
      <c r="AE8" s="174" t="str">
        <f>'Team 4'!F5</f>
        <v>ELLIS</v>
      </c>
      <c r="AF8" s="174" t="str">
        <f>'Team 4'!G5</f>
        <v>BUNCE</v>
      </c>
      <c r="AG8" s="175" t="str">
        <f t="shared" si="3"/>
        <v>ELLIS BUNCE</v>
      </c>
      <c r="AH8" s="174"/>
      <c r="AI8" s="172">
        <v>2</v>
      </c>
      <c r="AJ8" s="173" t="s">
        <v>4329</v>
      </c>
      <c r="AK8" s="174" t="str">
        <f>'Team 5'!F5</f>
        <v>Albert</v>
      </c>
      <c r="AL8" s="174" t="str">
        <f>'Team 5'!G5</f>
        <v>Orley</v>
      </c>
      <c r="AM8" s="175" t="str">
        <f t="shared" si="4"/>
        <v>Albert Orley</v>
      </c>
      <c r="AN8" s="176"/>
      <c r="AO8" s="172">
        <v>2</v>
      </c>
      <c r="AP8" s="173" t="s">
        <v>4329</v>
      </c>
      <c r="AQ8" s="177" t="str">
        <f>'Team 6'!F5</f>
        <v>Razvan</v>
      </c>
      <c r="AR8" s="177" t="str">
        <f>'Team 6'!G5</f>
        <v>Lembac</v>
      </c>
      <c r="AS8" s="175" t="str">
        <f t="shared" si="5"/>
        <v>Razvan Lembac</v>
      </c>
      <c r="AT8" s="176"/>
      <c r="AU8" s="172">
        <v>2</v>
      </c>
      <c r="AV8" s="173" t="s">
        <v>4329</v>
      </c>
      <c r="AW8" s="177" t="str">
        <f>'Team 7'!F5</f>
        <v>Liam</v>
      </c>
      <c r="AX8" s="177" t="str">
        <f>'Team 7'!G5</f>
        <v>Treanor</v>
      </c>
      <c r="AY8" s="175" t="str">
        <f t="shared" si="6"/>
        <v>Liam Treanor</v>
      </c>
      <c r="AZ8" s="176"/>
      <c r="BA8" s="172">
        <v>2</v>
      </c>
      <c r="BB8" s="173" t="s">
        <v>4329</v>
      </c>
      <c r="BC8" s="177">
        <f>'Team 8'!F5</f>
        <v>0</v>
      </c>
      <c r="BD8" s="177">
        <f>'Team 8'!G5</f>
        <v>0</v>
      </c>
      <c r="BE8" s="175" t="str">
        <f t="shared" si="7"/>
        <v>0 0</v>
      </c>
      <c r="BF8" s="176"/>
      <c r="BG8" s="172">
        <v>2</v>
      </c>
      <c r="BH8" s="173" t="s">
        <v>4329</v>
      </c>
      <c r="BI8" s="177">
        <f>'Team 9'!F5</f>
        <v>0</v>
      </c>
      <c r="BJ8" s="177">
        <f>'Team 9'!G5</f>
        <v>0</v>
      </c>
      <c r="BK8" s="175" t="str">
        <f t="shared" si="8"/>
        <v>0 0</v>
      </c>
      <c r="BL8" s="176"/>
      <c r="BM8" s="172">
        <v>2</v>
      </c>
      <c r="BN8" s="173" t="s">
        <v>4329</v>
      </c>
      <c r="BO8" s="177">
        <f>'Team 10'!F5</f>
        <v>0</v>
      </c>
      <c r="BP8" s="177">
        <f>'Team 10'!G5</f>
        <v>0</v>
      </c>
      <c r="BQ8" s="175" t="str">
        <f t="shared" si="9"/>
        <v>0 0</v>
      </c>
      <c r="BR8" s="176"/>
      <c r="BS8" s="180"/>
    </row>
    <row r="9" spans="1:72" s="179" customFormat="1" ht="21" customHeight="1" x14ac:dyDescent="0.3">
      <c r="A9" s="1116"/>
      <c r="B9" s="1116"/>
      <c r="C9" s="1116"/>
      <c r="D9" s="1116"/>
      <c r="E9" s="1116"/>
      <c r="F9" s="1116"/>
      <c r="G9" s="1116"/>
      <c r="H9" s="1116"/>
      <c r="I9" s="170" t="s">
        <v>61</v>
      </c>
      <c r="J9" s="171"/>
      <c r="K9" s="1104">
        <v>3</v>
      </c>
      <c r="L9" s="1105" t="s">
        <v>4330</v>
      </c>
      <c r="M9" s="174" t="str">
        <f>'Team 1'!F6</f>
        <v>Ines</v>
      </c>
      <c r="N9" s="174" t="str">
        <f>'Team 1'!G6</f>
        <v>Puente</v>
      </c>
      <c r="O9" s="175" t="str">
        <f t="shared" si="0"/>
        <v>Ines Puente</v>
      </c>
      <c r="P9" s="175"/>
      <c r="Q9" s="1104">
        <v>3</v>
      </c>
      <c r="R9" s="1105" t="s">
        <v>4330</v>
      </c>
      <c r="S9" s="174" t="str">
        <f>'Team 2'!F6</f>
        <v>Seren</v>
      </c>
      <c r="T9" s="174" t="str">
        <f>'Team 2'!G6</f>
        <v>Cooper</v>
      </c>
      <c r="U9" s="175" t="str">
        <f t="shared" si="1"/>
        <v>Seren Cooper</v>
      </c>
      <c r="V9" s="175"/>
      <c r="W9" s="1104">
        <v>3</v>
      </c>
      <c r="X9" s="1105" t="s">
        <v>4330</v>
      </c>
      <c r="Y9" s="174" t="str">
        <f>'Team 3'!F6</f>
        <v>Hannah</v>
      </c>
      <c r="Z9" s="174" t="str">
        <f>'Team 3'!G6</f>
        <v>Jounor</v>
      </c>
      <c r="AA9" s="175" t="str">
        <f t="shared" si="2"/>
        <v>Hannah Jounor</v>
      </c>
      <c r="AB9" s="175"/>
      <c r="AC9" s="1104">
        <v>3</v>
      </c>
      <c r="AD9" s="1105" t="s">
        <v>4330</v>
      </c>
      <c r="AE9" s="174" t="str">
        <f>'Team 4'!F6</f>
        <v>WILLOW</v>
      </c>
      <c r="AF9" s="174" t="str">
        <f>'Team 4'!G6</f>
        <v>BROWNBRIDGE</v>
      </c>
      <c r="AG9" s="175" t="str">
        <f t="shared" si="3"/>
        <v>WILLOW BROWNBRIDGE</v>
      </c>
      <c r="AH9" s="174"/>
      <c r="AI9" s="1104">
        <v>3</v>
      </c>
      <c r="AJ9" s="1105" t="s">
        <v>4330</v>
      </c>
      <c r="AK9" s="174" t="str">
        <f>'Team 5'!F6</f>
        <v>Layla</v>
      </c>
      <c r="AL9" s="174" t="str">
        <f>'Team 5'!G6</f>
        <v>Cook</v>
      </c>
      <c r="AM9" s="175" t="str">
        <f t="shared" si="4"/>
        <v>Layla Cook</v>
      </c>
      <c r="AN9" s="175"/>
      <c r="AO9" s="1104">
        <v>3</v>
      </c>
      <c r="AP9" s="1105" t="s">
        <v>4330</v>
      </c>
      <c r="AQ9" s="177" t="str">
        <f>'Team 6'!F6</f>
        <v>Mahika</v>
      </c>
      <c r="AR9" s="177" t="str">
        <f>'Team 6'!G6</f>
        <v>Chandrashekar</v>
      </c>
      <c r="AS9" s="175" t="str">
        <f t="shared" si="5"/>
        <v>Mahika Chandrashekar</v>
      </c>
      <c r="AT9" s="175"/>
      <c r="AU9" s="1104">
        <v>3</v>
      </c>
      <c r="AV9" s="1105" t="s">
        <v>4330</v>
      </c>
      <c r="AW9" s="177" t="str">
        <f>'Team 7'!F6</f>
        <v>Zara</v>
      </c>
      <c r="AX9" s="177" t="str">
        <f>'Team 7'!G6</f>
        <v>Jobanputra</v>
      </c>
      <c r="AY9" s="175" t="str">
        <f t="shared" si="6"/>
        <v>Zara Jobanputra</v>
      </c>
      <c r="AZ9" s="175"/>
      <c r="BA9" s="1104">
        <v>3</v>
      </c>
      <c r="BB9" s="1105" t="s">
        <v>4330</v>
      </c>
      <c r="BC9" s="177">
        <f>'Team 8'!F6</f>
        <v>0</v>
      </c>
      <c r="BD9" s="177">
        <f>'Team 8'!G6</f>
        <v>0</v>
      </c>
      <c r="BE9" s="175" t="str">
        <f t="shared" si="7"/>
        <v>0 0</v>
      </c>
      <c r="BF9" s="175"/>
      <c r="BG9" s="1104">
        <v>3</v>
      </c>
      <c r="BH9" s="1105" t="s">
        <v>4330</v>
      </c>
      <c r="BI9" s="177">
        <f>'Team 9'!F6</f>
        <v>0</v>
      </c>
      <c r="BJ9" s="177">
        <f>'Team 9'!G6</f>
        <v>0</v>
      </c>
      <c r="BK9" s="175" t="str">
        <f t="shared" si="8"/>
        <v>0 0</v>
      </c>
      <c r="BL9" s="175"/>
      <c r="BM9" s="1104">
        <v>3</v>
      </c>
      <c r="BN9" s="1105" t="s">
        <v>4330</v>
      </c>
      <c r="BO9" s="177">
        <f>'Team 10'!F6</f>
        <v>0</v>
      </c>
      <c r="BP9" s="177">
        <f>'Team 10'!G6</f>
        <v>0</v>
      </c>
      <c r="BQ9" s="175" t="str">
        <f t="shared" si="9"/>
        <v>0 0</v>
      </c>
      <c r="BR9" s="175"/>
      <c r="BS9" s="180"/>
    </row>
    <row r="10" spans="1:72" s="179" customFormat="1" ht="21" customHeight="1" x14ac:dyDescent="0.3">
      <c r="A10" s="1116"/>
      <c r="B10" s="1116"/>
      <c r="C10" s="1116"/>
      <c r="D10" s="1116"/>
      <c r="E10" s="1116"/>
      <c r="F10" s="1116"/>
      <c r="G10" s="1116"/>
      <c r="H10" s="1116"/>
      <c r="I10" s="170"/>
      <c r="J10" s="171"/>
      <c r="K10" s="1104"/>
      <c r="L10" s="1105"/>
      <c r="M10" s="174" t="str">
        <f>'Team 1'!F7</f>
        <v>Aaliyah</v>
      </c>
      <c r="N10" s="174" t="str">
        <f>'Team 1'!G7</f>
        <v>Gordon</v>
      </c>
      <c r="O10" s="175" t="str">
        <f t="shared" si="0"/>
        <v>Aaliyah Gordon</v>
      </c>
      <c r="P10" s="175"/>
      <c r="Q10" s="1104"/>
      <c r="R10" s="1105"/>
      <c r="S10" s="174" t="str">
        <f>'Team 2'!F7</f>
        <v>Annabelle</v>
      </c>
      <c r="T10" s="174" t="str">
        <f>'Team 2'!G7</f>
        <v>Harris</v>
      </c>
      <c r="U10" s="175" t="str">
        <f t="shared" si="1"/>
        <v>Annabelle Harris</v>
      </c>
      <c r="V10" s="175"/>
      <c r="W10" s="1104"/>
      <c r="X10" s="1105"/>
      <c r="Y10" s="174" t="str">
        <f>'Team 3'!F7</f>
        <v>Niamh</v>
      </c>
      <c r="Z10" s="174" t="str">
        <f>'Team 3'!G7</f>
        <v>Holland</v>
      </c>
      <c r="AA10" s="175" t="str">
        <f t="shared" si="2"/>
        <v>Niamh Holland</v>
      </c>
      <c r="AB10" s="175"/>
      <c r="AC10" s="1104"/>
      <c r="AD10" s="1105"/>
      <c r="AE10" s="174" t="str">
        <f>'Team 4'!F7</f>
        <v>CHELSEA</v>
      </c>
      <c r="AF10" s="174" t="str">
        <f>'Team 4'!G7</f>
        <v>DARE</v>
      </c>
      <c r="AG10" s="175" t="str">
        <f t="shared" si="3"/>
        <v>CHELSEA DARE</v>
      </c>
      <c r="AH10" s="174"/>
      <c r="AI10" s="1104"/>
      <c r="AJ10" s="1105"/>
      <c r="AK10" s="174" t="str">
        <f>'Team 5'!F7</f>
        <v>Megan</v>
      </c>
      <c r="AL10" s="174" t="str">
        <f>'Team 5'!G7</f>
        <v>Alexander</v>
      </c>
      <c r="AM10" s="175" t="str">
        <f t="shared" si="4"/>
        <v>Megan Alexander</v>
      </c>
      <c r="AN10" s="175"/>
      <c r="AO10" s="1104"/>
      <c r="AP10" s="1105"/>
      <c r="AQ10" s="177" t="str">
        <f>'Team 6'!F7</f>
        <v>Miraya</v>
      </c>
      <c r="AR10" s="177" t="str">
        <f>'Team 6'!G7</f>
        <v>Patel</v>
      </c>
      <c r="AS10" s="175" t="str">
        <f t="shared" si="5"/>
        <v>Miraya Patel</v>
      </c>
      <c r="AT10" s="175"/>
      <c r="AU10" s="1104"/>
      <c r="AV10" s="1105"/>
      <c r="AW10" s="177" t="str">
        <f>'Team 7'!F7</f>
        <v>Alexa</v>
      </c>
      <c r="AX10" s="177" t="str">
        <f>'Team 7'!G7</f>
        <v>Homer</v>
      </c>
      <c r="AY10" s="175" t="str">
        <f t="shared" si="6"/>
        <v>Alexa Homer</v>
      </c>
      <c r="AZ10" s="175"/>
      <c r="BA10" s="1104"/>
      <c r="BB10" s="1105"/>
      <c r="BC10" s="177">
        <f>'Team 8'!F7</f>
        <v>0</v>
      </c>
      <c r="BD10" s="177">
        <f>'Team 8'!G7</f>
        <v>0</v>
      </c>
      <c r="BE10" s="175" t="str">
        <f t="shared" si="7"/>
        <v>0 0</v>
      </c>
      <c r="BF10" s="175"/>
      <c r="BG10" s="1104"/>
      <c r="BH10" s="1105"/>
      <c r="BI10" s="177">
        <f>'Team 9'!F7</f>
        <v>0</v>
      </c>
      <c r="BJ10" s="177">
        <f>'Team 9'!G7</f>
        <v>0</v>
      </c>
      <c r="BK10" s="175" t="str">
        <f t="shared" si="8"/>
        <v>0 0</v>
      </c>
      <c r="BL10" s="175"/>
      <c r="BM10" s="1104"/>
      <c r="BN10" s="1105"/>
      <c r="BO10" s="177">
        <f>'Team 10'!F7</f>
        <v>0</v>
      </c>
      <c r="BP10" s="177">
        <f>'Team 10'!G7</f>
        <v>0</v>
      </c>
      <c r="BQ10" s="175" t="str">
        <f t="shared" si="9"/>
        <v>0 0</v>
      </c>
      <c r="BR10" s="175"/>
      <c r="BS10" s="180"/>
    </row>
    <row r="11" spans="1:72" s="179" customFormat="1" ht="21" customHeight="1" x14ac:dyDescent="0.3">
      <c r="A11" s="1116"/>
      <c r="B11" s="1116"/>
      <c r="C11" s="1116"/>
      <c r="D11" s="1116"/>
      <c r="E11" s="1116"/>
      <c r="F11" s="1116"/>
      <c r="G11" s="1116"/>
      <c r="H11" s="1116"/>
      <c r="I11" s="170"/>
      <c r="J11" s="171"/>
      <c r="K11" s="1104"/>
      <c r="L11" s="1105"/>
      <c r="M11" s="174" t="str">
        <f>'Team 1'!F8</f>
        <v>Eleanor</v>
      </c>
      <c r="N11" s="174" t="str">
        <f>'Team 1'!G8</f>
        <v>Skinner</v>
      </c>
      <c r="O11" s="175" t="str">
        <f t="shared" si="0"/>
        <v>Eleanor Skinner</v>
      </c>
      <c r="P11" s="175"/>
      <c r="Q11" s="1104"/>
      <c r="R11" s="1105"/>
      <c r="S11" s="174" t="str">
        <f>'Team 2'!F8</f>
        <v>Jasmin</v>
      </c>
      <c r="T11" s="174" t="str">
        <f>'Team 2'!G8</f>
        <v>Hunt</v>
      </c>
      <c r="U11" s="175" t="str">
        <f t="shared" si="1"/>
        <v>Jasmin Hunt</v>
      </c>
      <c r="V11" s="175"/>
      <c r="W11" s="1104"/>
      <c r="X11" s="1105"/>
      <c r="Y11" s="174" t="str">
        <f>'Team 3'!F8</f>
        <v>Scarlett</v>
      </c>
      <c r="Z11" s="174" t="str">
        <f>'Team 3'!G8</f>
        <v>Omand</v>
      </c>
      <c r="AA11" s="175" t="str">
        <f t="shared" si="2"/>
        <v>Scarlett Omand</v>
      </c>
      <c r="AB11" s="175"/>
      <c r="AC11" s="1104"/>
      <c r="AD11" s="1105"/>
      <c r="AE11" s="174" t="str">
        <f>'Team 4'!F8</f>
        <v>Olivia</v>
      </c>
      <c r="AF11" s="174" t="str">
        <f>'Team 4'!G8</f>
        <v>Genge</v>
      </c>
      <c r="AG11" s="175" t="str">
        <f t="shared" si="3"/>
        <v>Olivia Genge</v>
      </c>
      <c r="AH11" s="174"/>
      <c r="AI11" s="1104"/>
      <c r="AJ11" s="1105"/>
      <c r="AK11" s="174" t="str">
        <f>'Team 5'!F8</f>
        <v>Caoife</v>
      </c>
      <c r="AL11" s="174" t="str">
        <f>'Team 5'!G8</f>
        <v>Long</v>
      </c>
      <c r="AM11" s="175" t="str">
        <f t="shared" si="4"/>
        <v>Caoife Long</v>
      </c>
      <c r="AN11" s="175"/>
      <c r="AO11" s="1104"/>
      <c r="AP11" s="1105"/>
      <c r="AQ11" s="177" t="str">
        <f>'Team 6'!F8</f>
        <v>Anna</v>
      </c>
      <c r="AR11" s="177" t="str">
        <f>'Team 6'!G8</f>
        <v>Rescia</v>
      </c>
      <c r="AS11" s="175" t="str">
        <f t="shared" si="5"/>
        <v>Anna Rescia</v>
      </c>
      <c r="AT11" s="175"/>
      <c r="AU11" s="1104"/>
      <c r="AV11" s="1105"/>
      <c r="AW11" s="177" t="str">
        <f>'Team 7'!F8</f>
        <v>Lara</v>
      </c>
      <c r="AX11" s="177" t="str">
        <f>'Team 7'!G8</f>
        <v>Shah</v>
      </c>
      <c r="AY11" s="175" t="str">
        <f t="shared" si="6"/>
        <v>Lara Shah</v>
      </c>
      <c r="AZ11" s="175"/>
      <c r="BA11" s="1104"/>
      <c r="BB11" s="1105"/>
      <c r="BC11" s="177">
        <f>'Team 8'!F8</f>
        <v>0</v>
      </c>
      <c r="BD11" s="177">
        <f>'Team 8'!G8</f>
        <v>0</v>
      </c>
      <c r="BE11" s="175" t="str">
        <f t="shared" si="7"/>
        <v>0 0</v>
      </c>
      <c r="BF11" s="175"/>
      <c r="BG11" s="1104"/>
      <c r="BH11" s="1105"/>
      <c r="BI11" s="177">
        <f>'Team 9'!F8</f>
        <v>0</v>
      </c>
      <c r="BJ11" s="177">
        <f>'Team 9'!G8</f>
        <v>0</v>
      </c>
      <c r="BK11" s="175" t="str">
        <f t="shared" si="8"/>
        <v>0 0</v>
      </c>
      <c r="BL11" s="175"/>
      <c r="BM11" s="1104"/>
      <c r="BN11" s="1105"/>
      <c r="BO11" s="177">
        <f>'Team 10'!F8</f>
        <v>0</v>
      </c>
      <c r="BP11" s="177">
        <f>'Team 10'!G8</f>
        <v>0</v>
      </c>
      <c r="BQ11" s="175" t="str">
        <f t="shared" si="9"/>
        <v>0 0</v>
      </c>
      <c r="BR11" s="175"/>
      <c r="BS11" s="180"/>
    </row>
    <row r="12" spans="1:72" s="179" customFormat="1" ht="21" customHeight="1" x14ac:dyDescent="0.3">
      <c r="A12" s="1116"/>
      <c r="B12" s="1116"/>
      <c r="C12" s="1116"/>
      <c r="D12" s="1116"/>
      <c r="E12" s="1116"/>
      <c r="F12" s="1116"/>
      <c r="G12" s="1116"/>
      <c r="H12" s="1116"/>
      <c r="I12" s="170" t="s">
        <v>65</v>
      </c>
      <c r="J12" s="171"/>
      <c r="K12" s="1104"/>
      <c r="L12" s="1105"/>
      <c r="M12" s="174" t="str">
        <f>'Team 1'!F9</f>
        <v>Claudia</v>
      </c>
      <c r="N12" s="174" t="str">
        <f>'Team 1'!G9</f>
        <v>Savov</v>
      </c>
      <c r="O12" s="175" t="str">
        <f t="shared" si="0"/>
        <v>Claudia Savov</v>
      </c>
      <c r="P12" s="175"/>
      <c r="Q12" s="1104"/>
      <c r="R12" s="1105"/>
      <c r="S12" s="174" t="str">
        <f>'Team 2'!F9</f>
        <v>Maya</v>
      </c>
      <c r="T12" s="174" t="str">
        <f>'Team 2'!G9</f>
        <v>Wegner</v>
      </c>
      <c r="U12" s="175" t="str">
        <f t="shared" si="1"/>
        <v>Maya Wegner</v>
      </c>
      <c r="V12" s="175"/>
      <c r="W12" s="1104"/>
      <c r="X12" s="1105"/>
      <c r="Y12" s="174" t="str">
        <f>'Team 3'!F9</f>
        <v>Chloe</v>
      </c>
      <c r="Z12" s="174" t="str">
        <f>'Team 3'!G9</f>
        <v>Wimpenny</v>
      </c>
      <c r="AA12" s="175" t="str">
        <f t="shared" si="2"/>
        <v>Chloe Wimpenny</v>
      </c>
      <c r="AB12" s="175"/>
      <c r="AC12" s="1104"/>
      <c r="AD12" s="1105"/>
      <c r="AE12" s="174" t="str">
        <f>'Team 4'!F9</f>
        <v>MIA</v>
      </c>
      <c r="AF12" s="174" t="str">
        <f>'Team 4'!G9</f>
        <v>ZUBCEVIC</v>
      </c>
      <c r="AG12" s="175" t="str">
        <f t="shared" si="3"/>
        <v>MIA ZUBCEVIC</v>
      </c>
      <c r="AH12" s="174"/>
      <c r="AI12" s="1104"/>
      <c r="AJ12" s="1105"/>
      <c r="AK12" s="174" t="str">
        <f>'Team 5'!F9</f>
        <v>Maisie</v>
      </c>
      <c r="AL12" s="174" t="str">
        <f>'Team 5'!G9</f>
        <v>Cooper</v>
      </c>
      <c r="AM12" s="175" t="str">
        <f t="shared" si="4"/>
        <v>Maisie Cooper</v>
      </c>
      <c r="AN12" s="175"/>
      <c r="AO12" s="1104"/>
      <c r="AP12" s="1105"/>
      <c r="AQ12" s="177" t="str">
        <f>'Team 6'!F9</f>
        <v>Roya</v>
      </c>
      <c r="AR12" s="177" t="str">
        <f>'Team 6'!G9</f>
        <v>Malliwal</v>
      </c>
      <c r="AS12" s="175" t="str">
        <f t="shared" si="5"/>
        <v>Roya Malliwal</v>
      </c>
      <c r="AT12" s="175"/>
      <c r="AU12" s="1104"/>
      <c r="AV12" s="1105"/>
      <c r="AW12" s="177" t="str">
        <f>'Team 7'!F9</f>
        <v>Arabella</v>
      </c>
      <c r="AX12" s="177" t="str">
        <f>'Team 7'!G9</f>
        <v>Connick</v>
      </c>
      <c r="AY12" s="175" t="str">
        <f t="shared" si="6"/>
        <v>Arabella Connick</v>
      </c>
      <c r="AZ12" s="175"/>
      <c r="BA12" s="1104"/>
      <c r="BB12" s="1105"/>
      <c r="BC12" s="177">
        <f>'Team 8'!F9</f>
        <v>0</v>
      </c>
      <c r="BD12" s="177">
        <f>'Team 8'!G9</f>
        <v>0</v>
      </c>
      <c r="BE12" s="175" t="str">
        <f t="shared" si="7"/>
        <v>0 0</v>
      </c>
      <c r="BF12" s="175"/>
      <c r="BG12" s="1104"/>
      <c r="BH12" s="1105"/>
      <c r="BI12" s="177">
        <f>'Team 9'!F9</f>
        <v>0</v>
      </c>
      <c r="BJ12" s="177">
        <f>'Team 9'!G9</f>
        <v>0</v>
      </c>
      <c r="BK12" s="175" t="str">
        <f t="shared" si="8"/>
        <v>0 0</v>
      </c>
      <c r="BL12" s="175"/>
      <c r="BM12" s="1104"/>
      <c r="BN12" s="1105"/>
      <c r="BO12" s="177">
        <f>'Team 10'!F9</f>
        <v>0</v>
      </c>
      <c r="BP12" s="177">
        <f>'Team 10'!G9</f>
        <v>0</v>
      </c>
      <c r="BQ12" s="175" t="str">
        <f t="shared" si="9"/>
        <v>0 0</v>
      </c>
      <c r="BR12" s="175"/>
      <c r="BS12" s="180"/>
    </row>
    <row r="13" spans="1:72" s="179" customFormat="1" ht="21" customHeight="1" x14ac:dyDescent="0.3">
      <c r="A13" s="1116"/>
      <c r="B13" s="1116"/>
      <c r="C13" s="1116"/>
      <c r="D13" s="1116"/>
      <c r="E13" s="1116"/>
      <c r="F13" s="1116"/>
      <c r="G13" s="1116"/>
      <c r="H13" s="1116"/>
      <c r="I13" s="181" t="s">
        <v>69</v>
      </c>
      <c r="J13" s="171"/>
      <c r="K13" s="1104">
        <v>4</v>
      </c>
      <c r="L13" s="1105" t="s">
        <v>4331</v>
      </c>
      <c r="M13" s="174">
        <f>'Team 1'!F10</f>
        <v>0</v>
      </c>
      <c r="N13" s="174">
        <f>'Team 1'!G10</f>
        <v>0</v>
      </c>
      <c r="O13" s="175" t="str">
        <f t="shared" si="0"/>
        <v>0 0</v>
      </c>
      <c r="P13" s="175"/>
      <c r="Q13" s="1104">
        <v>4</v>
      </c>
      <c r="R13" s="1105" t="s">
        <v>4331</v>
      </c>
      <c r="S13" s="174" t="str">
        <f>'Team 2'!F10</f>
        <v>James</v>
      </c>
      <c r="T13" s="174" t="str">
        <f>'Team 2'!G10</f>
        <v>Winter</v>
      </c>
      <c r="U13" s="175" t="str">
        <f t="shared" si="1"/>
        <v>James Winter</v>
      </c>
      <c r="V13" s="175"/>
      <c r="W13" s="1104">
        <v>4</v>
      </c>
      <c r="X13" s="1105" t="s">
        <v>4331</v>
      </c>
      <c r="Y13" s="174" t="str">
        <f>'Team 3'!F10</f>
        <v xml:space="preserve">Liam </v>
      </c>
      <c r="Z13" s="174" t="str">
        <f>'Team 3'!G10</f>
        <v>Thompson</v>
      </c>
      <c r="AA13" s="175" t="str">
        <f t="shared" si="2"/>
        <v>Liam  Thompson</v>
      </c>
      <c r="AB13" s="175"/>
      <c r="AC13" s="1104">
        <v>4</v>
      </c>
      <c r="AD13" s="1105" t="s">
        <v>4331</v>
      </c>
      <c r="AE13" s="174" t="str">
        <f>'Team 4'!F10</f>
        <v>JAMES</v>
      </c>
      <c r="AF13" s="174" t="str">
        <f>'Team 4'!G10</f>
        <v>MOHAMMED</v>
      </c>
      <c r="AG13" s="175" t="str">
        <f t="shared" si="3"/>
        <v>JAMES MOHAMMED</v>
      </c>
      <c r="AH13" s="174"/>
      <c r="AI13" s="1104">
        <v>4</v>
      </c>
      <c r="AJ13" s="1105" t="s">
        <v>4331</v>
      </c>
      <c r="AK13" s="174" t="str">
        <f>'Team 5'!F10</f>
        <v>Mohammed</v>
      </c>
      <c r="AL13" s="174" t="str">
        <f>'Team 5'!G10</f>
        <v>Malek</v>
      </c>
      <c r="AM13" s="175" t="str">
        <f t="shared" si="4"/>
        <v>Mohammed Malek</v>
      </c>
      <c r="AN13" s="175"/>
      <c r="AO13" s="1104">
        <v>4</v>
      </c>
      <c r="AP13" s="1105" t="s">
        <v>4331</v>
      </c>
      <c r="AQ13" s="177" t="str">
        <f>'Team 6'!F10</f>
        <v>Mikhail</v>
      </c>
      <c r="AR13" s="177" t="str">
        <f>'Team 6'!G10</f>
        <v>Fedorov</v>
      </c>
      <c r="AS13" s="175" t="str">
        <f t="shared" si="5"/>
        <v>Mikhail Fedorov</v>
      </c>
      <c r="AT13" s="175"/>
      <c r="AU13" s="1104">
        <v>4</v>
      </c>
      <c r="AV13" s="1105" t="s">
        <v>4331</v>
      </c>
      <c r="AW13" s="177" t="str">
        <f>'Team 7'!F10</f>
        <v>Arush</v>
      </c>
      <c r="AX13" s="177" t="str">
        <f>'Team 7'!G10</f>
        <v>Agarwal</v>
      </c>
      <c r="AY13" s="175" t="str">
        <f t="shared" si="6"/>
        <v>Arush Agarwal</v>
      </c>
      <c r="AZ13" s="175"/>
      <c r="BA13" s="1104">
        <v>4</v>
      </c>
      <c r="BB13" s="1105" t="s">
        <v>4331</v>
      </c>
      <c r="BC13" s="177">
        <f>'Team 8'!F10</f>
        <v>0</v>
      </c>
      <c r="BD13" s="177">
        <f>'Team 8'!G10</f>
        <v>0</v>
      </c>
      <c r="BE13" s="175" t="str">
        <f t="shared" si="7"/>
        <v>0 0</v>
      </c>
      <c r="BF13" s="175"/>
      <c r="BG13" s="1104">
        <v>4</v>
      </c>
      <c r="BH13" s="1105" t="s">
        <v>4331</v>
      </c>
      <c r="BI13" s="177">
        <f>'Team 9'!F10</f>
        <v>0</v>
      </c>
      <c r="BJ13" s="177">
        <f>'Team 9'!G10</f>
        <v>0</v>
      </c>
      <c r="BK13" s="175" t="str">
        <f t="shared" si="8"/>
        <v>0 0</v>
      </c>
      <c r="BL13" s="175"/>
      <c r="BM13" s="1104">
        <v>4</v>
      </c>
      <c r="BN13" s="1105" t="s">
        <v>4331</v>
      </c>
      <c r="BO13" s="177">
        <f>'Team 10'!F10</f>
        <v>0</v>
      </c>
      <c r="BP13" s="177">
        <f>'Team 10'!G10</f>
        <v>0</v>
      </c>
      <c r="BQ13" s="175" t="str">
        <f t="shared" si="9"/>
        <v>0 0</v>
      </c>
      <c r="BR13" s="175"/>
      <c r="BS13" s="180"/>
    </row>
    <row r="14" spans="1:72" s="179" customFormat="1" ht="21" customHeight="1" x14ac:dyDescent="0.3">
      <c r="A14" s="1116"/>
      <c r="B14" s="1116"/>
      <c r="C14" s="1116"/>
      <c r="D14" s="1116"/>
      <c r="E14" s="1116"/>
      <c r="F14" s="1116"/>
      <c r="G14" s="1116"/>
      <c r="H14" s="1116"/>
      <c r="I14" s="1110" t="s">
        <v>4332</v>
      </c>
      <c r="J14" s="182"/>
      <c r="K14" s="1104"/>
      <c r="L14" s="1105"/>
      <c r="M14" s="174">
        <f>'Team 1'!F11</f>
        <v>0</v>
      </c>
      <c r="N14" s="174">
        <f>'Team 1'!G11</f>
        <v>0</v>
      </c>
      <c r="O14" s="175" t="str">
        <f t="shared" si="0"/>
        <v>0 0</v>
      </c>
      <c r="P14" s="175"/>
      <c r="Q14" s="1104"/>
      <c r="R14" s="1105"/>
      <c r="S14" s="174" t="str">
        <f>'Team 2'!F11</f>
        <v>Alex</v>
      </c>
      <c r="T14" s="174" t="str">
        <f>'Team 2'!G11</f>
        <v>Cash</v>
      </c>
      <c r="U14" s="175" t="str">
        <f t="shared" si="1"/>
        <v>Alex Cash</v>
      </c>
      <c r="V14" s="175"/>
      <c r="W14" s="1104"/>
      <c r="X14" s="1105"/>
      <c r="Y14" s="174" t="str">
        <f>'Team 3'!F11</f>
        <v>Maxwell</v>
      </c>
      <c r="Z14" s="174" t="str">
        <f>'Team 3'!G11</f>
        <v>Croft</v>
      </c>
      <c r="AA14" s="175" t="str">
        <f t="shared" si="2"/>
        <v>Maxwell Croft</v>
      </c>
      <c r="AB14" s="175"/>
      <c r="AC14" s="1104"/>
      <c r="AD14" s="1105"/>
      <c r="AE14" s="174" t="str">
        <f>'Team 4'!F11</f>
        <v>SIMON</v>
      </c>
      <c r="AF14" s="174" t="str">
        <f>'Team 4'!G11</f>
        <v>ROSA</v>
      </c>
      <c r="AG14" s="175" t="str">
        <f t="shared" si="3"/>
        <v>SIMON ROSA</v>
      </c>
      <c r="AH14" s="174"/>
      <c r="AI14" s="1104"/>
      <c r="AJ14" s="1105"/>
      <c r="AK14" s="174" t="str">
        <f>'Team 5'!F11</f>
        <v>Myron</v>
      </c>
      <c r="AL14" s="174" t="str">
        <f>'Team 5'!G11</f>
        <v>Young</v>
      </c>
      <c r="AM14" s="175" t="str">
        <f t="shared" si="4"/>
        <v>Myron Young</v>
      </c>
      <c r="AN14" s="175"/>
      <c r="AO14" s="1104"/>
      <c r="AP14" s="1105"/>
      <c r="AQ14" s="177" t="str">
        <f>'Team 6'!F11</f>
        <v>Macsen</v>
      </c>
      <c r="AR14" s="177" t="str">
        <f>'Team 6'!G11</f>
        <v>Roberts</v>
      </c>
      <c r="AS14" s="175" t="str">
        <f t="shared" si="5"/>
        <v>Macsen Roberts</v>
      </c>
      <c r="AT14" s="175"/>
      <c r="AU14" s="1104"/>
      <c r="AV14" s="1105"/>
      <c r="AW14" s="177" t="str">
        <f>'Team 7'!F11</f>
        <v>Christopher</v>
      </c>
      <c r="AX14" s="177" t="str">
        <f>'Team 7'!G11</f>
        <v>Li Mow Ching</v>
      </c>
      <c r="AY14" s="175" t="str">
        <f t="shared" si="6"/>
        <v>Christopher Li Mow Ching</v>
      </c>
      <c r="AZ14" s="175"/>
      <c r="BA14" s="1104"/>
      <c r="BB14" s="1105"/>
      <c r="BC14" s="177">
        <f>'Team 8'!F11</f>
        <v>0</v>
      </c>
      <c r="BD14" s="177">
        <f>'Team 8'!G11</f>
        <v>0</v>
      </c>
      <c r="BE14" s="175" t="str">
        <f t="shared" si="7"/>
        <v>0 0</v>
      </c>
      <c r="BF14" s="175"/>
      <c r="BG14" s="1104"/>
      <c r="BH14" s="1105"/>
      <c r="BI14" s="177">
        <f>'Team 9'!F11</f>
        <v>0</v>
      </c>
      <c r="BJ14" s="177">
        <f>'Team 9'!G11</f>
        <v>0</v>
      </c>
      <c r="BK14" s="175" t="str">
        <f t="shared" si="8"/>
        <v>0 0</v>
      </c>
      <c r="BL14" s="175"/>
      <c r="BM14" s="1104"/>
      <c r="BN14" s="1105"/>
      <c r="BO14" s="177">
        <f>'Team 10'!F11</f>
        <v>0</v>
      </c>
      <c r="BP14" s="177">
        <f>'Team 10'!G11</f>
        <v>0</v>
      </c>
      <c r="BQ14" s="175" t="str">
        <f t="shared" si="9"/>
        <v>0 0</v>
      </c>
      <c r="BR14" s="175"/>
      <c r="BS14" s="180"/>
    </row>
    <row r="15" spans="1:72" s="179" customFormat="1" ht="21" customHeight="1" x14ac:dyDescent="0.3">
      <c r="A15" s="1116"/>
      <c r="B15" s="1116"/>
      <c r="C15" s="1116"/>
      <c r="D15" s="1116"/>
      <c r="E15" s="1116"/>
      <c r="F15" s="1116"/>
      <c r="G15" s="1116"/>
      <c r="H15" s="1116"/>
      <c r="I15" s="1110"/>
      <c r="J15" s="182"/>
      <c r="K15" s="1104"/>
      <c r="L15" s="1105"/>
      <c r="M15" s="174">
        <f>'Team 1'!F12</f>
        <v>0</v>
      </c>
      <c r="N15" s="174">
        <f>'Team 1'!G12</f>
        <v>0</v>
      </c>
      <c r="O15" s="175" t="str">
        <f t="shared" si="0"/>
        <v>0 0</v>
      </c>
      <c r="P15" s="175"/>
      <c r="Q15" s="1104"/>
      <c r="R15" s="1105"/>
      <c r="S15" s="174" t="str">
        <f>'Team 2'!F12</f>
        <v>Kai Jun Wai</v>
      </c>
      <c r="T15" s="174" t="str">
        <f>'Team 2'!G12</f>
        <v>Cheung</v>
      </c>
      <c r="U15" s="175" t="str">
        <f t="shared" si="1"/>
        <v>Kai Jun Wai Cheung</v>
      </c>
      <c r="V15" s="175"/>
      <c r="W15" s="1104"/>
      <c r="X15" s="1105"/>
      <c r="Y15" s="174" t="str">
        <f>'Team 3'!F12</f>
        <v>Harry</v>
      </c>
      <c r="Z15" s="174" t="str">
        <f>'Team 3'!G12</f>
        <v>Lythgoe</v>
      </c>
      <c r="AA15" s="175" t="str">
        <f t="shared" si="2"/>
        <v>Harry Lythgoe</v>
      </c>
      <c r="AB15" s="175"/>
      <c r="AC15" s="1104"/>
      <c r="AD15" s="1105"/>
      <c r="AE15" s="174" t="str">
        <f>'Team 4'!F12</f>
        <v>CHARLIE</v>
      </c>
      <c r="AF15" s="174" t="str">
        <f>'Team 4'!G12</f>
        <v>COJEEN</v>
      </c>
      <c r="AG15" s="175" t="str">
        <f t="shared" si="3"/>
        <v>CHARLIE COJEEN</v>
      </c>
      <c r="AH15" s="174"/>
      <c r="AI15" s="1104"/>
      <c r="AJ15" s="1105"/>
      <c r="AK15" s="174" t="str">
        <f>'Team 5'!F12</f>
        <v>Hayden</v>
      </c>
      <c r="AL15" s="174" t="str">
        <f>'Team 5'!G12</f>
        <v>Whele</v>
      </c>
      <c r="AM15" s="175" t="str">
        <f t="shared" si="4"/>
        <v>Hayden Whele</v>
      </c>
      <c r="AN15" s="175"/>
      <c r="AO15" s="1104"/>
      <c r="AP15" s="1105"/>
      <c r="AQ15" s="177" t="str">
        <f>'Team 6'!F12</f>
        <v>Aaron</v>
      </c>
      <c r="AR15" s="177" t="str">
        <f>'Team 6'!G12</f>
        <v>Lal</v>
      </c>
      <c r="AS15" s="175" t="str">
        <f t="shared" si="5"/>
        <v>Aaron Lal</v>
      </c>
      <c r="AT15" s="175"/>
      <c r="AU15" s="1104"/>
      <c r="AV15" s="1105"/>
      <c r="AW15" s="177" t="str">
        <f>'Team 7'!F12</f>
        <v>Jai</v>
      </c>
      <c r="AX15" s="177" t="str">
        <f>'Team 7'!G12</f>
        <v>Bhuwania</v>
      </c>
      <c r="AY15" s="175" t="str">
        <f t="shared" si="6"/>
        <v>Jai Bhuwania</v>
      </c>
      <c r="AZ15" s="175"/>
      <c r="BA15" s="1104"/>
      <c r="BB15" s="1105"/>
      <c r="BC15" s="177">
        <f>'Team 8'!F12</f>
        <v>0</v>
      </c>
      <c r="BD15" s="177">
        <f>'Team 8'!G12</f>
        <v>0</v>
      </c>
      <c r="BE15" s="175" t="str">
        <f t="shared" si="7"/>
        <v>0 0</v>
      </c>
      <c r="BF15" s="175"/>
      <c r="BG15" s="1104"/>
      <c r="BH15" s="1105"/>
      <c r="BI15" s="177">
        <f>'Team 9'!F12</f>
        <v>0</v>
      </c>
      <c r="BJ15" s="177">
        <f>'Team 9'!G12</f>
        <v>0</v>
      </c>
      <c r="BK15" s="175" t="str">
        <f t="shared" si="8"/>
        <v>0 0</v>
      </c>
      <c r="BL15" s="175"/>
      <c r="BM15" s="1104"/>
      <c r="BN15" s="1105"/>
      <c r="BO15" s="177">
        <f>'Team 10'!F12</f>
        <v>0</v>
      </c>
      <c r="BP15" s="177">
        <f>'Team 10'!G12</f>
        <v>0</v>
      </c>
      <c r="BQ15" s="175" t="str">
        <f t="shared" si="9"/>
        <v>0 0</v>
      </c>
      <c r="BR15" s="175"/>
      <c r="BS15" s="180"/>
    </row>
    <row r="16" spans="1:72" s="179" customFormat="1" ht="21" customHeight="1" x14ac:dyDescent="0.3">
      <c r="A16" s="1116"/>
      <c r="B16" s="1116"/>
      <c r="C16" s="1116"/>
      <c r="D16" s="1116"/>
      <c r="E16" s="1116"/>
      <c r="F16" s="1116"/>
      <c r="G16" s="1116"/>
      <c r="H16" s="1116"/>
      <c r="I16" s="1110"/>
      <c r="J16" s="182"/>
      <c r="K16" s="1104"/>
      <c r="L16" s="1105"/>
      <c r="M16" s="174">
        <f>'Team 1'!F13</f>
        <v>0</v>
      </c>
      <c r="N16" s="174">
        <f>'Team 1'!G13</f>
        <v>0</v>
      </c>
      <c r="O16" s="175" t="str">
        <f t="shared" si="0"/>
        <v>0 0</v>
      </c>
      <c r="P16" s="175"/>
      <c r="Q16" s="1104"/>
      <c r="R16" s="1105"/>
      <c r="S16" s="174" t="str">
        <f>'Team 2'!F13</f>
        <v>Charlie</v>
      </c>
      <c r="T16" s="174" t="str">
        <f>'Team 2'!G13</f>
        <v>Pritchard</v>
      </c>
      <c r="U16" s="175" t="str">
        <f t="shared" si="1"/>
        <v>Charlie Pritchard</v>
      </c>
      <c r="V16" s="175"/>
      <c r="W16" s="1104"/>
      <c r="X16" s="1105"/>
      <c r="Y16" s="174" t="str">
        <f>'Team 3'!F13</f>
        <v>Fabio</v>
      </c>
      <c r="Z16" s="174" t="str">
        <f>'Team 3'!G13</f>
        <v>Giambrone</v>
      </c>
      <c r="AA16" s="175" t="str">
        <f t="shared" si="2"/>
        <v>Fabio Giambrone</v>
      </c>
      <c r="AB16" s="175"/>
      <c r="AC16" s="1104"/>
      <c r="AD16" s="1105"/>
      <c r="AE16" s="174" t="str">
        <f>'Team 4'!F13</f>
        <v>SOLOMON</v>
      </c>
      <c r="AF16" s="174" t="str">
        <f>'Team 4'!G13</f>
        <v>HAWKES</v>
      </c>
      <c r="AG16" s="175" t="str">
        <f t="shared" si="3"/>
        <v>SOLOMON HAWKES</v>
      </c>
      <c r="AH16" s="174"/>
      <c r="AI16" s="1104"/>
      <c r="AJ16" s="1105"/>
      <c r="AK16" s="174" t="str">
        <f>'Team 5'!F13</f>
        <v>Braden</v>
      </c>
      <c r="AL16" s="174" t="str">
        <f>'Team 5'!G13</f>
        <v>Barnacle</v>
      </c>
      <c r="AM16" s="175" t="str">
        <f t="shared" si="4"/>
        <v>Braden Barnacle</v>
      </c>
      <c r="AN16" s="175"/>
      <c r="AO16" s="1104"/>
      <c r="AP16" s="1105"/>
      <c r="AQ16" s="177" t="str">
        <f>'Team 6'!F13</f>
        <v>Zayn</v>
      </c>
      <c r="AR16" s="177" t="str">
        <f>'Team 6'!G13</f>
        <v>Tang</v>
      </c>
      <c r="AS16" s="175" t="str">
        <f t="shared" si="5"/>
        <v>Zayn Tang</v>
      </c>
      <c r="AT16" s="175"/>
      <c r="AU16" s="1104"/>
      <c r="AV16" s="1105"/>
      <c r="AW16" s="177" t="str">
        <f>'Team 7'!F13</f>
        <v>Siddharth</v>
      </c>
      <c r="AX16" s="177" t="str">
        <f>'Team 7'!G13</f>
        <v>Kanjalkar</v>
      </c>
      <c r="AY16" s="175" t="str">
        <f t="shared" si="6"/>
        <v>Siddharth Kanjalkar</v>
      </c>
      <c r="AZ16" s="175"/>
      <c r="BA16" s="1104"/>
      <c r="BB16" s="1105"/>
      <c r="BC16" s="177">
        <f>'Team 8'!F13</f>
        <v>0</v>
      </c>
      <c r="BD16" s="177">
        <f>'Team 8'!G13</f>
        <v>0</v>
      </c>
      <c r="BE16" s="175" t="str">
        <f t="shared" si="7"/>
        <v>0 0</v>
      </c>
      <c r="BF16" s="175"/>
      <c r="BG16" s="1104"/>
      <c r="BH16" s="1105"/>
      <c r="BI16" s="177">
        <f>'Team 9'!F13</f>
        <v>0</v>
      </c>
      <c r="BJ16" s="177">
        <f>'Team 9'!G13</f>
        <v>0</v>
      </c>
      <c r="BK16" s="175" t="str">
        <f t="shared" si="8"/>
        <v>0 0</v>
      </c>
      <c r="BL16" s="175"/>
      <c r="BM16" s="1104"/>
      <c r="BN16" s="1105"/>
      <c r="BO16" s="177">
        <f>'Team 10'!F13</f>
        <v>0</v>
      </c>
      <c r="BP16" s="177">
        <f>'Team 10'!G13</f>
        <v>0</v>
      </c>
      <c r="BQ16" s="175" t="str">
        <f t="shared" si="9"/>
        <v>0 0</v>
      </c>
      <c r="BR16" s="175"/>
      <c r="BS16" s="180"/>
    </row>
    <row r="17" spans="1:71" s="179" customFormat="1" ht="21" customHeight="1" x14ac:dyDescent="0.3">
      <c r="A17" s="1116"/>
      <c r="B17" s="1116"/>
      <c r="C17" s="1116"/>
      <c r="D17" s="1116"/>
      <c r="E17" s="1116"/>
      <c r="F17" s="1116"/>
      <c r="G17" s="1116"/>
      <c r="H17" s="1116"/>
      <c r="I17" s="1110"/>
      <c r="J17" s="182"/>
      <c r="K17" s="1104">
        <v>5</v>
      </c>
      <c r="L17" s="1105" t="s">
        <v>4333</v>
      </c>
      <c r="M17" s="174" t="str">
        <f>'Team 1'!F14</f>
        <v>Edanur</v>
      </c>
      <c r="N17" s="174" t="str">
        <f>'Team 1'!G14</f>
        <v>Yigit</v>
      </c>
      <c r="O17" s="175" t="str">
        <f t="shared" si="0"/>
        <v>Edanur Yigit</v>
      </c>
      <c r="P17" s="175"/>
      <c r="Q17" s="1104">
        <v>5</v>
      </c>
      <c r="R17" s="1105" t="s">
        <v>4333</v>
      </c>
      <c r="S17" s="174" t="str">
        <f>'Team 2'!F14</f>
        <v>Sophie</v>
      </c>
      <c r="T17" s="174" t="str">
        <f>'Team 2'!G14</f>
        <v>Heraty</v>
      </c>
      <c r="U17" s="175" t="str">
        <f t="shared" si="1"/>
        <v>Sophie Heraty</v>
      </c>
      <c r="V17" s="175"/>
      <c r="W17" s="1104">
        <v>5</v>
      </c>
      <c r="X17" s="1105" t="s">
        <v>4333</v>
      </c>
      <c r="Y17" s="174" t="str">
        <f>'Team 3'!F14</f>
        <v>Maya</v>
      </c>
      <c r="Z17" s="174" t="str">
        <f>'Team 3'!G14</f>
        <v>Robu</v>
      </c>
      <c r="AA17" s="175" t="str">
        <f t="shared" si="2"/>
        <v>Maya Robu</v>
      </c>
      <c r="AB17" s="175"/>
      <c r="AC17" s="1104">
        <v>5</v>
      </c>
      <c r="AD17" s="1105" t="s">
        <v>4333</v>
      </c>
      <c r="AE17" s="174" t="str">
        <f>'Team 4'!F14</f>
        <v>ANNABELLA</v>
      </c>
      <c r="AF17" s="174" t="str">
        <f>'Team 4'!G14</f>
        <v>COJEEN</v>
      </c>
      <c r="AG17" s="175" t="str">
        <f t="shared" si="3"/>
        <v>ANNABELLA COJEEN</v>
      </c>
      <c r="AH17" s="174"/>
      <c r="AI17" s="1104">
        <v>5</v>
      </c>
      <c r="AJ17" s="1105" t="s">
        <v>4333</v>
      </c>
      <c r="AK17" s="174" t="str">
        <f>'Team 5'!F14</f>
        <v>Orlagh</v>
      </c>
      <c r="AL17" s="174" t="str">
        <f>'Team 5'!G14</f>
        <v>Northgrave</v>
      </c>
      <c r="AM17" s="175" t="str">
        <f t="shared" si="4"/>
        <v>Orlagh Northgrave</v>
      </c>
      <c r="AN17" s="175"/>
      <c r="AO17" s="1104">
        <v>5</v>
      </c>
      <c r="AP17" s="1105" t="s">
        <v>4333</v>
      </c>
      <c r="AQ17" s="177" t="str">
        <f>'Team 6'!F14</f>
        <v>Polina</v>
      </c>
      <c r="AR17" s="177" t="str">
        <f>'Team 6'!G14</f>
        <v>Fedorova</v>
      </c>
      <c r="AS17" s="175" t="str">
        <f t="shared" si="5"/>
        <v>Polina Fedorova</v>
      </c>
      <c r="AT17" s="175"/>
      <c r="AU17" s="1104">
        <v>5</v>
      </c>
      <c r="AV17" s="1105" t="s">
        <v>4333</v>
      </c>
      <c r="AW17" s="177" t="str">
        <f>'Team 7'!F14</f>
        <v>Maria</v>
      </c>
      <c r="AX17" s="177" t="str">
        <f>'Team 7'!G14</f>
        <v>Tzanidaki</v>
      </c>
      <c r="AY17" s="175" t="str">
        <f t="shared" si="6"/>
        <v>Maria Tzanidaki</v>
      </c>
      <c r="AZ17" s="175"/>
      <c r="BA17" s="1104">
        <v>5</v>
      </c>
      <c r="BB17" s="1105" t="s">
        <v>4333</v>
      </c>
      <c r="BC17" s="177">
        <f>'Team 8'!F14</f>
        <v>0</v>
      </c>
      <c r="BD17" s="177">
        <f>'Team 8'!G14</f>
        <v>0</v>
      </c>
      <c r="BE17" s="175" t="str">
        <f t="shared" si="7"/>
        <v>0 0</v>
      </c>
      <c r="BF17" s="175"/>
      <c r="BG17" s="1104">
        <v>5</v>
      </c>
      <c r="BH17" s="1105" t="s">
        <v>4333</v>
      </c>
      <c r="BI17" s="177">
        <f>'Team 9'!F14</f>
        <v>0</v>
      </c>
      <c r="BJ17" s="177">
        <f>'Team 9'!G14</f>
        <v>0</v>
      </c>
      <c r="BK17" s="175" t="str">
        <f t="shared" si="8"/>
        <v>0 0</v>
      </c>
      <c r="BL17" s="175"/>
      <c r="BM17" s="1104">
        <v>5</v>
      </c>
      <c r="BN17" s="1105" t="s">
        <v>4333</v>
      </c>
      <c r="BO17" s="177">
        <f>'Team 10'!F14</f>
        <v>0</v>
      </c>
      <c r="BP17" s="177">
        <f>'Team 10'!G14</f>
        <v>0</v>
      </c>
      <c r="BQ17" s="175" t="str">
        <f t="shared" si="9"/>
        <v>0 0</v>
      </c>
      <c r="BR17" s="175"/>
      <c r="BS17" s="180"/>
    </row>
    <row r="18" spans="1:71" s="179" customFormat="1" ht="21" customHeight="1" x14ac:dyDescent="0.3">
      <c r="A18" s="1116"/>
      <c r="B18" s="1116"/>
      <c r="C18" s="1116"/>
      <c r="D18" s="1116"/>
      <c r="E18" s="1116"/>
      <c r="F18" s="1116"/>
      <c r="G18" s="1116"/>
      <c r="H18" s="1116"/>
      <c r="I18" s="1110"/>
      <c r="J18" s="182"/>
      <c r="K18" s="1104"/>
      <c r="L18" s="1105"/>
      <c r="M18" s="174" t="str">
        <f>'Team 1'!F15</f>
        <v>Amy</v>
      </c>
      <c r="N18" s="174" t="str">
        <f>'Team 1'!G15</f>
        <v>Hanson</v>
      </c>
      <c r="O18" s="175" t="str">
        <f t="shared" si="0"/>
        <v>Amy Hanson</v>
      </c>
      <c r="P18" s="175"/>
      <c r="Q18" s="1104"/>
      <c r="R18" s="1105"/>
      <c r="S18" s="174" t="str">
        <f>'Team 2'!F15</f>
        <v>Ruby</v>
      </c>
      <c r="T18" s="174" t="str">
        <f>'Team 2'!G15</f>
        <v>Whitby</v>
      </c>
      <c r="U18" s="175" t="str">
        <f t="shared" si="1"/>
        <v>Ruby Whitby</v>
      </c>
      <c r="V18" s="175"/>
      <c r="W18" s="1104"/>
      <c r="X18" s="1105"/>
      <c r="Y18" s="174" t="str">
        <f>'Team 3'!F15</f>
        <v>Mia</v>
      </c>
      <c r="Z18" s="174" t="str">
        <f>'Team 3'!G15</f>
        <v>Nelson</v>
      </c>
      <c r="AA18" s="175" t="str">
        <f t="shared" si="2"/>
        <v>Mia Nelson</v>
      </c>
      <c r="AB18" s="175"/>
      <c r="AC18" s="1104"/>
      <c r="AD18" s="1105"/>
      <c r="AE18" s="174" t="str">
        <f>'Team 4'!F15</f>
        <v>FRANCES</v>
      </c>
      <c r="AF18" s="174" t="str">
        <f>'Team 4'!G15</f>
        <v>STARSMORE</v>
      </c>
      <c r="AG18" s="175" t="str">
        <f t="shared" si="3"/>
        <v>FRANCES STARSMORE</v>
      </c>
      <c r="AH18" s="174"/>
      <c r="AI18" s="1104"/>
      <c r="AJ18" s="1105"/>
      <c r="AK18" s="174" t="str">
        <f>'Team 5'!F15</f>
        <v>Isabelle</v>
      </c>
      <c r="AL18" s="174" t="str">
        <f>'Team 5'!G15</f>
        <v>Reeve</v>
      </c>
      <c r="AM18" s="175" t="str">
        <f t="shared" si="4"/>
        <v>Isabelle Reeve</v>
      </c>
      <c r="AN18" s="175"/>
      <c r="AO18" s="1104"/>
      <c r="AP18" s="1105"/>
      <c r="AQ18" s="177" t="str">
        <f>'Team 6'!F15</f>
        <v>Emma</v>
      </c>
      <c r="AR18" s="177" t="str">
        <f>'Team 6'!G15</f>
        <v>Sum</v>
      </c>
      <c r="AS18" s="175" t="str">
        <f t="shared" si="5"/>
        <v>Emma Sum</v>
      </c>
      <c r="AT18" s="175"/>
      <c r="AU18" s="1104"/>
      <c r="AV18" s="1105"/>
      <c r="AW18" s="177" t="str">
        <f>'Team 7'!F15</f>
        <v>Eliza</v>
      </c>
      <c r="AX18" s="177" t="str">
        <f>'Team 7'!G15</f>
        <v>Mayor</v>
      </c>
      <c r="AY18" s="175" t="str">
        <f t="shared" si="6"/>
        <v>Eliza Mayor</v>
      </c>
      <c r="AZ18" s="175"/>
      <c r="BA18" s="1104"/>
      <c r="BB18" s="1105"/>
      <c r="BC18" s="177">
        <f>'Team 8'!F15</f>
        <v>0</v>
      </c>
      <c r="BD18" s="177">
        <f>'Team 8'!G15</f>
        <v>0</v>
      </c>
      <c r="BE18" s="175" t="str">
        <f t="shared" si="7"/>
        <v>0 0</v>
      </c>
      <c r="BF18" s="175"/>
      <c r="BG18" s="1104"/>
      <c r="BH18" s="1105"/>
      <c r="BI18" s="177">
        <f>'Team 9'!F15</f>
        <v>0</v>
      </c>
      <c r="BJ18" s="177">
        <f>'Team 9'!G15</f>
        <v>0</v>
      </c>
      <c r="BK18" s="175" t="str">
        <f t="shared" si="8"/>
        <v>0 0</v>
      </c>
      <c r="BL18" s="175"/>
      <c r="BM18" s="1104"/>
      <c r="BN18" s="1105"/>
      <c r="BO18" s="177">
        <f>'Team 10'!F15</f>
        <v>0</v>
      </c>
      <c r="BP18" s="177">
        <f>'Team 10'!G15</f>
        <v>0</v>
      </c>
      <c r="BQ18" s="175" t="str">
        <f t="shared" si="9"/>
        <v>0 0</v>
      </c>
      <c r="BR18" s="175"/>
      <c r="BS18" s="180"/>
    </row>
    <row r="19" spans="1:71" s="179" customFormat="1" ht="21" customHeight="1" x14ac:dyDescent="0.3">
      <c r="A19" s="1116"/>
      <c r="B19" s="1116"/>
      <c r="C19" s="1116"/>
      <c r="D19" s="1116"/>
      <c r="E19" s="1116"/>
      <c r="F19" s="1116"/>
      <c r="G19" s="1116"/>
      <c r="H19" s="1116"/>
      <c r="I19" s="1110"/>
      <c r="J19" s="182"/>
      <c r="K19" s="1104"/>
      <c r="L19" s="1105"/>
      <c r="M19" s="174" t="str">
        <f>'Team 1'!F16</f>
        <v>Ane</v>
      </c>
      <c r="N19" s="174" t="str">
        <f>'Team 1'!G16</f>
        <v>Pedraza-Eguia</v>
      </c>
      <c r="O19" s="175" t="str">
        <f t="shared" si="0"/>
        <v>Ane Pedraza-Eguia</v>
      </c>
      <c r="P19" s="175"/>
      <c r="Q19" s="1104"/>
      <c r="R19" s="1105"/>
      <c r="S19" s="174" t="str">
        <f>'Team 2'!F16</f>
        <v>Jasmin</v>
      </c>
      <c r="T19" s="174" t="str">
        <f>'Team 2'!G16</f>
        <v>Hunt</v>
      </c>
      <c r="U19" s="175" t="str">
        <f t="shared" si="1"/>
        <v>Jasmin Hunt</v>
      </c>
      <c r="V19" s="175"/>
      <c r="W19" s="1104"/>
      <c r="X19" s="1105"/>
      <c r="Y19" s="174" t="str">
        <f>'Team 3'!F16</f>
        <v>Niamh</v>
      </c>
      <c r="Z19" s="174" t="str">
        <f>'Team 3'!G16</f>
        <v>Holland</v>
      </c>
      <c r="AA19" s="175" t="str">
        <f t="shared" si="2"/>
        <v>Niamh Holland</v>
      </c>
      <c r="AB19" s="175"/>
      <c r="AC19" s="1104"/>
      <c r="AD19" s="1105"/>
      <c r="AE19" s="174" t="str">
        <f>'Team 4'!F16</f>
        <v>ISLA</v>
      </c>
      <c r="AF19" s="174" t="str">
        <f>'Team 4'!G16</f>
        <v>MOHAMMED</v>
      </c>
      <c r="AG19" s="175" t="str">
        <f t="shared" si="3"/>
        <v>ISLA MOHAMMED</v>
      </c>
      <c r="AH19" s="174"/>
      <c r="AI19" s="1104"/>
      <c r="AJ19" s="1105"/>
      <c r="AK19" s="174" t="str">
        <f>'Team 5'!F16</f>
        <v>Aimee</v>
      </c>
      <c r="AL19" s="174" t="str">
        <f>'Team 5'!G16</f>
        <v>Baker</v>
      </c>
      <c r="AM19" s="175" t="str">
        <f t="shared" si="4"/>
        <v>Aimee Baker</v>
      </c>
      <c r="AN19" s="175"/>
      <c r="AO19" s="1104"/>
      <c r="AP19" s="1105"/>
      <c r="AQ19" s="177" t="str">
        <f>'Team 6'!F16</f>
        <v>Mahika</v>
      </c>
      <c r="AR19" s="177" t="str">
        <f>'Team 6'!G16</f>
        <v>Chandrashekar</v>
      </c>
      <c r="AS19" s="175" t="str">
        <f t="shared" si="5"/>
        <v>Mahika Chandrashekar</v>
      </c>
      <c r="AT19" s="175"/>
      <c r="AU19" s="1104"/>
      <c r="AV19" s="1105"/>
      <c r="AW19" s="177" t="str">
        <f>'Team 7'!F16</f>
        <v>Mia</v>
      </c>
      <c r="AX19" s="177" t="str">
        <f>'Team 7'!G16</f>
        <v>Curle</v>
      </c>
      <c r="AY19" s="175" t="str">
        <f t="shared" si="6"/>
        <v>Mia Curle</v>
      </c>
      <c r="AZ19" s="175"/>
      <c r="BA19" s="1104"/>
      <c r="BB19" s="1105"/>
      <c r="BC19" s="177">
        <f>'Team 8'!F16</f>
        <v>0</v>
      </c>
      <c r="BD19" s="177">
        <f>'Team 8'!G16</f>
        <v>0</v>
      </c>
      <c r="BE19" s="175" t="str">
        <f t="shared" si="7"/>
        <v>0 0</v>
      </c>
      <c r="BF19" s="175"/>
      <c r="BG19" s="1104"/>
      <c r="BH19" s="1105"/>
      <c r="BI19" s="177">
        <f>'Team 9'!F16</f>
        <v>0</v>
      </c>
      <c r="BJ19" s="177">
        <f>'Team 9'!G16</f>
        <v>0</v>
      </c>
      <c r="BK19" s="175" t="str">
        <f t="shared" si="8"/>
        <v>0 0</v>
      </c>
      <c r="BL19" s="175"/>
      <c r="BM19" s="1104"/>
      <c r="BN19" s="1105"/>
      <c r="BO19" s="177">
        <f>'Team 10'!F16</f>
        <v>0</v>
      </c>
      <c r="BP19" s="177">
        <f>'Team 10'!G16</f>
        <v>0</v>
      </c>
      <c r="BQ19" s="175" t="str">
        <f t="shared" si="9"/>
        <v>0 0</v>
      </c>
      <c r="BR19" s="175"/>
      <c r="BS19" s="180"/>
    </row>
    <row r="20" spans="1:71" s="179" customFormat="1" ht="21" customHeight="1" x14ac:dyDescent="0.3">
      <c r="A20" s="1116"/>
      <c r="B20" s="1116"/>
      <c r="C20" s="1116"/>
      <c r="D20" s="1116"/>
      <c r="E20" s="1116"/>
      <c r="F20" s="1116"/>
      <c r="G20" s="1116"/>
      <c r="H20" s="1116"/>
      <c r="I20" s="1110"/>
      <c r="J20" s="182"/>
      <c r="K20" s="1104"/>
      <c r="L20" s="1105"/>
      <c r="M20" s="174" t="str">
        <f>'Team 1'!F17</f>
        <v>Maryla</v>
      </c>
      <c r="N20" s="174" t="str">
        <f>'Team 1'!G17</f>
        <v>Koslacz</v>
      </c>
      <c r="O20" s="175" t="str">
        <f t="shared" si="0"/>
        <v>Maryla Koslacz</v>
      </c>
      <c r="P20" s="175"/>
      <c r="Q20" s="1104"/>
      <c r="R20" s="1105"/>
      <c r="S20" s="174" t="str">
        <f>'Team 2'!F17</f>
        <v>Gracie</v>
      </c>
      <c r="T20" s="174" t="str">
        <f>'Team 2'!G17</f>
        <v>Fleming-Jacobs</v>
      </c>
      <c r="U20" s="175" t="str">
        <f t="shared" si="1"/>
        <v>Gracie Fleming-Jacobs</v>
      </c>
      <c r="V20" s="175"/>
      <c r="W20" s="1104"/>
      <c r="X20" s="1105"/>
      <c r="Y20" s="174" t="str">
        <f>'Team 3'!F17</f>
        <v>Olivia</v>
      </c>
      <c r="Z20" s="174" t="str">
        <f>'Team 3'!G17</f>
        <v>Croft</v>
      </c>
      <c r="AA20" s="175" t="str">
        <f t="shared" si="2"/>
        <v>Olivia Croft</v>
      </c>
      <c r="AB20" s="175"/>
      <c r="AC20" s="1104"/>
      <c r="AD20" s="1105"/>
      <c r="AE20" s="174" t="str">
        <f>'Team 4'!F17</f>
        <v>AVA</v>
      </c>
      <c r="AF20" s="174" t="str">
        <f>'Team 4'!G17</f>
        <v>IANNONE</v>
      </c>
      <c r="AG20" s="175" t="str">
        <f t="shared" si="3"/>
        <v>AVA IANNONE</v>
      </c>
      <c r="AH20" s="174"/>
      <c r="AI20" s="1104"/>
      <c r="AJ20" s="1105"/>
      <c r="AK20" s="174" t="str">
        <f>'Team 5'!F17</f>
        <v>Kayla</v>
      </c>
      <c r="AL20" s="174" t="str">
        <f>'Team 5'!G17</f>
        <v>Paxton</v>
      </c>
      <c r="AM20" s="175" t="str">
        <f t="shared" si="4"/>
        <v>Kayla Paxton</v>
      </c>
      <c r="AN20" s="175"/>
      <c r="AO20" s="1104"/>
      <c r="AP20" s="1105"/>
      <c r="AQ20" s="177" t="str">
        <f>'Team 6'!F17</f>
        <v>Miraya</v>
      </c>
      <c r="AR20" s="177" t="str">
        <f>'Team 6'!G17</f>
        <v>Patel</v>
      </c>
      <c r="AS20" s="175" t="str">
        <f t="shared" si="5"/>
        <v>Miraya Patel</v>
      </c>
      <c r="AT20" s="175"/>
      <c r="AU20" s="1104"/>
      <c r="AV20" s="1105"/>
      <c r="AW20" s="177" t="str">
        <f>'Team 7'!F17</f>
        <v>Vaari</v>
      </c>
      <c r="AX20" s="177" t="str">
        <f>'Team 7'!G17</f>
        <v>Mepani</v>
      </c>
      <c r="AY20" s="175" t="str">
        <f t="shared" si="6"/>
        <v>Vaari Mepani</v>
      </c>
      <c r="AZ20" s="175"/>
      <c r="BA20" s="1104"/>
      <c r="BB20" s="1105"/>
      <c r="BC20" s="177">
        <f>'Team 8'!F17</f>
        <v>0</v>
      </c>
      <c r="BD20" s="177">
        <f>'Team 8'!G17</f>
        <v>0</v>
      </c>
      <c r="BE20" s="175" t="str">
        <f t="shared" si="7"/>
        <v>0 0</v>
      </c>
      <c r="BF20" s="175"/>
      <c r="BG20" s="1104"/>
      <c r="BH20" s="1105"/>
      <c r="BI20" s="177">
        <f>'Team 9'!F17</f>
        <v>0</v>
      </c>
      <c r="BJ20" s="177">
        <f>'Team 9'!G17</f>
        <v>0</v>
      </c>
      <c r="BK20" s="175" t="str">
        <f t="shared" si="8"/>
        <v>0 0</v>
      </c>
      <c r="BL20" s="175"/>
      <c r="BM20" s="1104"/>
      <c r="BN20" s="1105"/>
      <c r="BO20" s="177">
        <f>'Team 10'!F17</f>
        <v>0</v>
      </c>
      <c r="BP20" s="177">
        <f>'Team 10'!G17</f>
        <v>0</v>
      </c>
      <c r="BQ20" s="175" t="str">
        <f t="shared" si="9"/>
        <v>0 0</v>
      </c>
      <c r="BR20" s="175"/>
      <c r="BS20" s="180"/>
    </row>
    <row r="21" spans="1:71" s="179" customFormat="1" ht="22.5" customHeight="1" x14ac:dyDescent="0.3">
      <c r="A21" s="183"/>
      <c r="B21" s="183"/>
      <c r="C21" s="1109" t="str">
        <f>'Gala Setup'!S4</f>
        <v>NASL.2023 V6</v>
      </c>
      <c r="D21" s="1109"/>
      <c r="E21" s="1109"/>
      <c r="F21" s="184"/>
      <c r="G21" s="183"/>
      <c r="H21" s="183"/>
      <c r="I21" s="185"/>
      <c r="J21" s="182"/>
      <c r="K21" s="1104">
        <v>6</v>
      </c>
      <c r="L21" s="1105" t="s">
        <v>4334</v>
      </c>
      <c r="M21" s="174" t="str">
        <f>'Team 1'!F18</f>
        <v>Albert</v>
      </c>
      <c r="N21" s="174" t="str">
        <f>'Team 1'!G18</f>
        <v>Nezha</v>
      </c>
      <c r="O21" s="175" t="str">
        <f t="shared" si="0"/>
        <v>Albert Nezha</v>
      </c>
      <c r="P21" s="175"/>
      <c r="Q21" s="1104">
        <v>6</v>
      </c>
      <c r="R21" s="1105" t="s">
        <v>4334</v>
      </c>
      <c r="S21" s="174" t="str">
        <f>'Team 2'!F18</f>
        <v>James</v>
      </c>
      <c r="T21" s="174" t="str">
        <f>'Team 2'!G18</f>
        <v>Winter</v>
      </c>
      <c r="U21" s="175" t="str">
        <f t="shared" si="1"/>
        <v>James Winter</v>
      </c>
      <c r="V21" s="175"/>
      <c r="W21" s="1104">
        <v>6</v>
      </c>
      <c r="X21" s="1105" t="s">
        <v>4334</v>
      </c>
      <c r="Y21" s="174" t="str">
        <f>'Team 3'!F18</f>
        <v>Ryan</v>
      </c>
      <c r="Z21" s="174" t="str">
        <f>'Team 3'!G18</f>
        <v>Wimpenny</v>
      </c>
      <c r="AA21" s="175" t="str">
        <f t="shared" si="2"/>
        <v>Ryan Wimpenny</v>
      </c>
      <c r="AB21" s="175"/>
      <c r="AC21" s="1104">
        <v>6</v>
      </c>
      <c r="AD21" s="1105" t="s">
        <v>4334</v>
      </c>
      <c r="AE21" s="174" t="str">
        <f>'Team 4'!F18</f>
        <v>RILEY</v>
      </c>
      <c r="AF21" s="174" t="str">
        <f>'Team 4'!G18</f>
        <v>BUNCE</v>
      </c>
      <c r="AG21" s="175" t="str">
        <f t="shared" si="3"/>
        <v>RILEY BUNCE</v>
      </c>
      <c r="AH21" s="174"/>
      <c r="AI21" s="1104">
        <v>6</v>
      </c>
      <c r="AJ21" s="1105" t="s">
        <v>4334</v>
      </c>
      <c r="AK21" s="174" t="str">
        <f>'Team 5'!F18</f>
        <v>Liam</v>
      </c>
      <c r="AL21" s="174" t="str">
        <f>'Team 5'!G18</f>
        <v>Hurst</v>
      </c>
      <c r="AM21" s="175" t="str">
        <f t="shared" si="4"/>
        <v>Liam Hurst</v>
      </c>
      <c r="AN21" s="175"/>
      <c r="AO21" s="1104">
        <v>6</v>
      </c>
      <c r="AP21" s="1105" t="s">
        <v>4334</v>
      </c>
      <c r="AQ21" s="177" t="str">
        <f>'Team 6'!F18</f>
        <v>Petros</v>
      </c>
      <c r="AR21" s="177" t="str">
        <f>'Team 6'!G18</f>
        <v>Soteriou</v>
      </c>
      <c r="AS21" s="175" t="str">
        <f t="shared" si="5"/>
        <v>Petros Soteriou</v>
      </c>
      <c r="AT21" s="175"/>
      <c r="AU21" s="1104">
        <v>6</v>
      </c>
      <c r="AV21" s="1105" t="s">
        <v>4334</v>
      </c>
      <c r="AW21" s="177" t="str">
        <f>'Team 7'!F18</f>
        <v>Nikhil</v>
      </c>
      <c r="AX21" s="177" t="str">
        <f>'Team 7'!G18</f>
        <v>Dawett</v>
      </c>
      <c r="AY21" s="175" t="str">
        <f t="shared" si="6"/>
        <v>Nikhil Dawett</v>
      </c>
      <c r="AZ21" s="175"/>
      <c r="BA21" s="1104">
        <v>6</v>
      </c>
      <c r="BB21" s="1105" t="s">
        <v>4334</v>
      </c>
      <c r="BC21" s="177">
        <f>'Team 8'!F18</f>
        <v>0</v>
      </c>
      <c r="BD21" s="177">
        <f>'Team 8'!G18</f>
        <v>0</v>
      </c>
      <c r="BE21" s="175" t="str">
        <f t="shared" si="7"/>
        <v>0 0</v>
      </c>
      <c r="BF21" s="175"/>
      <c r="BG21" s="1104">
        <v>6</v>
      </c>
      <c r="BH21" s="1105" t="s">
        <v>4334</v>
      </c>
      <c r="BI21" s="177">
        <f>'Team 9'!F18</f>
        <v>0</v>
      </c>
      <c r="BJ21" s="177">
        <f>'Team 9'!G18</f>
        <v>0</v>
      </c>
      <c r="BK21" s="175" t="str">
        <f t="shared" si="8"/>
        <v>0 0</v>
      </c>
      <c r="BL21" s="175"/>
      <c r="BM21" s="1104">
        <v>6</v>
      </c>
      <c r="BN21" s="1105" t="s">
        <v>4334</v>
      </c>
      <c r="BO21" s="177">
        <f>'Team 10'!F18</f>
        <v>0</v>
      </c>
      <c r="BP21" s="177">
        <f>'Team 10'!G18</f>
        <v>0</v>
      </c>
      <c r="BQ21" s="175" t="str">
        <f t="shared" si="9"/>
        <v>0 0</v>
      </c>
      <c r="BR21" s="175"/>
      <c r="BS21" s="180"/>
    </row>
    <row r="22" spans="1:71" s="179" customFormat="1" ht="22.5" customHeight="1" x14ac:dyDescent="0.3">
      <c r="A22" s="183"/>
      <c r="B22" s="183"/>
      <c r="C22" s="183"/>
      <c r="D22" s="184"/>
      <c r="E22" s="184"/>
      <c r="F22" s="184"/>
      <c r="G22" s="183"/>
      <c r="H22" s="183"/>
      <c r="I22" s="185"/>
      <c r="J22" s="182"/>
      <c r="K22" s="1104"/>
      <c r="L22" s="1105"/>
      <c r="M22" s="174" t="str">
        <f>'Team 1'!F19</f>
        <v>Yigit</v>
      </c>
      <c r="N22" s="174" t="str">
        <f>'Team 1'!G19</f>
        <v>Ilhan</v>
      </c>
      <c r="O22" s="175" t="str">
        <f t="shared" si="0"/>
        <v>Yigit Ilhan</v>
      </c>
      <c r="P22" s="175"/>
      <c r="Q22" s="1104"/>
      <c r="R22" s="1105"/>
      <c r="S22" s="174" t="str">
        <f>'Team 2'!F19</f>
        <v>Kai Jun Wai</v>
      </c>
      <c r="T22" s="174" t="str">
        <f>'Team 2'!G19</f>
        <v>Cheung</v>
      </c>
      <c r="U22" s="175" t="str">
        <f t="shared" si="1"/>
        <v>Kai Jun Wai Cheung</v>
      </c>
      <c r="V22" s="175"/>
      <c r="W22" s="1104"/>
      <c r="X22" s="1105"/>
      <c r="Y22" s="174" t="str">
        <f>'Team 3'!F19</f>
        <v>Luigi</v>
      </c>
      <c r="Z22" s="174" t="str">
        <f>'Team 3'!G19</f>
        <v>Giambrone</v>
      </c>
      <c r="AA22" s="175" t="str">
        <f t="shared" si="2"/>
        <v>Luigi Giambrone</v>
      </c>
      <c r="AB22" s="175"/>
      <c r="AC22" s="1104"/>
      <c r="AD22" s="1105"/>
      <c r="AE22" s="174" t="str">
        <f>'Team 4'!F19</f>
        <v>SAMUEL</v>
      </c>
      <c r="AF22" s="174" t="str">
        <f>'Team 4'!G19</f>
        <v>ROSA</v>
      </c>
      <c r="AG22" s="175" t="str">
        <f t="shared" si="3"/>
        <v>SAMUEL ROSA</v>
      </c>
      <c r="AH22" s="174"/>
      <c r="AI22" s="1104"/>
      <c r="AJ22" s="1105"/>
      <c r="AK22" s="174" t="str">
        <f>'Team 5'!F19</f>
        <v>Bradley</v>
      </c>
      <c r="AL22" s="174" t="str">
        <f>'Team 5'!G19</f>
        <v>Rawlinson</v>
      </c>
      <c r="AM22" s="175" t="str">
        <f t="shared" si="4"/>
        <v>Bradley Rawlinson</v>
      </c>
      <c r="AN22" s="175"/>
      <c r="AO22" s="1104"/>
      <c r="AP22" s="1105"/>
      <c r="AQ22" s="177" t="str">
        <f>'Team 6'!F19</f>
        <v>Gert</v>
      </c>
      <c r="AR22" s="177" t="str">
        <f>'Team 6'!G19</f>
        <v>Zeqiri</v>
      </c>
      <c r="AS22" s="175" t="str">
        <f t="shared" si="5"/>
        <v>Gert Zeqiri</v>
      </c>
      <c r="AT22" s="175"/>
      <c r="AU22" s="1104"/>
      <c r="AV22" s="1105"/>
      <c r="AW22" s="177" t="str">
        <f>'Team 7'!F19</f>
        <v>Advay</v>
      </c>
      <c r="AX22" s="177" t="str">
        <f>'Team 7'!G19</f>
        <v>Bhatia</v>
      </c>
      <c r="AY22" s="175" t="str">
        <f t="shared" si="6"/>
        <v>Advay Bhatia</v>
      </c>
      <c r="AZ22" s="175"/>
      <c r="BA22" s="1104"/>
      <c r="BB22" s="1105"/>
      <c r="BC22" s="177">
        <f>'Team 8'!F19</f>
        <v>0</v>
      </c>
      <c r="BD22" s="177">
        <f>'Team 8'!G19</f>
        <v>0</v>
      </c>
      <c r="BE22" s="175" t="str">
        <f t="shared" si="7"/>
        <v>0 0</v>
      </c>
      <c r="BF22" s="175"/>
      <c r="BG22" s="1104"/>
      <c r="BH22" s="1105"/>
      <c r="BI22" s="177">
        <f>'Team 9'!F19</f>
        <v>0</v>
      </c>
      <c r="BJ22" s="177">
        <f>'Team 9'!G19</f>
        <v>0</v>
      </c>
      <c r="BK22" s="175" t="str">
        <f t="shared" si="8"/>
        <v>0 0</v>
      </c>
      <c r="BL22" s="175"/>
      <c r="BM22" s="1104"/>
      <c r="BN22" s="1105"/>
      <c r="BO22" s="177">
        <f>'Team 10'!F19</f>
        <v>0</v>
      </c>
      <c r="BP22" s="177">
        <f>'Team 10'!G19</f>
        <v>0</v>
      </c>
      <c r="BQ22" s="175" t="str">
        <f t="shared" si="9"/>
        <v>0 0</v>
      </c>
      <c r="BR22" s="175"/>
      <c r="BS22" s="180"/>
    </row>
    <row r="23" spans="1:71" s="179" customFormat="1" ht="22.5" customHeight="1" x14ac:dyDescent="0.3">
      <c r="A23" s="183"/>
      <c r="B23" s="183"/>
      <c r="C23" s="183"/>
      <c r="D23" s="184"/>
      <c r="E23" s="184"/>
      <c r="F23" s="184"/>
      <c r="G23" s="183"/>
      <c r="H23" s="183"/>
      <c r="I23" s="185"/>
      <c r="J23" s="182"/>
      <c r="K23" s="1104"/>
      <c r="L23" s="1105"/>
      <c r="M23" s="174" t="str">
        <f>'Team 1'!F20</f>
        <v>Ned Peter</v>
      </c>
      <c r="N23" s="174" t="str">
        <f>'Team 1'!G20</f>
        <v>Andrews</v>
      </c>
      <c r="O23" s="175" t="str">
        <f t="shared" si="0"/>
        <v>Ned Peter Andrews</v>
      </c>
      <c r="P23" s="175"/>
      <c r="Q23" s="1104"/>
      <c r="R23" s="1105"/>
      <c r="S23" s="174" t="str">
        <f>'Team 2'!F20</f>
        <v>Oliver</v>
      </c>
      <c r="T23" s="174" t="str">
        <f>'Team 2'!G20</f>
        <v>Tubridy</v>
      </c>
      <c r="U23" s="175" t="str">
        <f t="shared" si="1"/>
        <v>Oliver Tubridy</v>
      </c>
      <c r="V23" s="175"/>
      <c r="W23" s="1104"/>
      <c r="X23" s="1105"/>
      <c r="Y23" s="174" t="str">
        <f>'Team 3'!F20</f>
        <v>Mikhail</v>
      </c>
      <c r="Z23" s="174" t="str">
        <f>'Team 3'!G20</f>
        <v>Zharinov</v>
      </c>
      <c r="AA23" s="175" t="str">
        <f t="shared" si="2"/>
        <v>Mikhail Zharinov</v>
      </c>
      <c r="AB23" s="175"/>
      <c r="AC23" s="1104"/>
      <c r="AD23" s="1105"/>
      <c r="AE23" s="174" t="str">
        <f>'Team 4'!F20</f>
        <v>ROWAN</v>
      </c>
      <c r="AF23" s="174" t="str">
        <f>'Team 4'!G20</f>
        <v>FULLER</v>
      </c>
      <c r="AG23" s="175" t="str">
        <f t="shared" si="3"/>
        <v>ROWAN FULLER</v>
      </c>
      <c r="AH23" s="174"/>
      <c r="AI23" s="1104"/>
      <c r="AJ23" s="1105"/>
      <c r="AK23" s="174" t="str">
        <f>'Team 5'!F20</f>
        <v>Poyraz</v>
      </c>
      <c r="AL23" s="174" t="str">
        <f>'Team 5'!G20</f>
        <v>Akbiyik</v>
      </c>
      <c r="AM23" s="175" t="str">
        <f t="shared" si="4"/>
        <v>Poyraz Akbiyik</v>
      </c>
      <c r="AN23" s="175"/>
      <c r="AO23" s="1104"/>
      <c r="AP23" s="1105"/>
      <c r="AQ23" s="177" t="str">
        <f>'Team 6'!F20</f>
        <v xml:space="preserve">Cosmin Ioan </v>
      </c>
      <c r="AR23" s="177" t="str">
        <f>'Team 6'!G20</f>
        <v>Iojan</v>
      </c>
      <c r="AS23" s="175" t="str">
        <f t="shared" si="5"/>
        <v>Cosmin Ioan  Iojan</v>
      </c>
      <c r="AT23" s="175"/>
      <c r="AU23" s="1104"/>
      <c r="AV23" s="1105"/>
      <c r="AW23" s="177" t="str">
        <f>'Team 7'!F20</f>
        <v>Daniel</v>
      </c>
      <c r="AX23" s="177" t="str">
        <f>'Team 7'!G20</f>
        <v>Celi</v>
      </c>
      <c r="AY23" s="175" t="str">
        <f t="shared" si="6"/>
        <v>Daniel Celi</v>
      </c>
      <c r="AZ23" s="175"/>
      <c r="BA23" s="1104"/>
      <c r="BB23" s="1105"/>
      <c r="BC23" s="177">
        <f>'Team 8'!F20</f>
        <v>0</v>
      </c>
      <c r="BD23" s="177">
        <f>'Team 8'!G20</f>
        <v>0</v>
      </c>
      <c r="BE23" s="175" t="str">
        <f t="shared" si="7"/>
        <v>0 0</v>
      </c>
      <c r="BF23" s="175"/>
      <c r="BG23" s="1104"/>
      <c r="BH23" s="1105"/>
      <c r="BI23" s="177">
        <f>'Team 9'!F20</f>
        <v>0</v>
      </c>
      <c r="BJ23" s="177">
        <f>'Team 9'!G20</f>
        <v>0</v>
      </c>
      <c r="BK23" s="175" t="str">
        <f t="shared" si="8"/>
        <v>0 0</v>
      </c>
      <c r="BL23" s="175"/>
      <c r="BM23" s="1104"/>
      <c r="BN23" s="1105"/>
      <c r="BO23" s="177">
        <f>'Team 10'!F20</f>
        <v>0</v>
      </c>
      <c r="BP23" s="177">
        <f>'Team 10'!G20</f>
        <v>0</v>
      </c>
      <c r="BQ23" s="175" t="str">
        <f t="shared" si="9"/>
        <v>0 0</v>
      </c>
      <c r="BR23" s="175"/>
      <c r="BS23" s="180"/>
    </row>
    <row r="24" spans="1:71" s="179" customFormat="1" ht="21" customHeight="1" x14ac:dyDescent="0.3">
      <c r="A24" s="186"/>
      <c r="B24" s="187"/>
      <c r="C24" s="187"/>
      <c r="D24" s="182"/>
      <c r="E24" s="182"/>
      <c r="F24" s="182"/>
      <c r="G24" s="182"/>
      <c r="H24" s="182"/>
      <c r="I24" s="188"/>
      <c r="J24" s="182"/>
      <c r="K24" s="1104"/>
      <c r="L24" s="1105"/>
      <c r="M24" s="174" t="str">
        <f>'Team 1'!F21</f>
        <v>Zente</v>
      </c>
      <c r="N24" s="174" t="str">
        <f>'Team 1'!G21</f>
        <v>Buzsik</v>
      </c>
      <c r="O24" s="175" t="str">
        <f t="shared" si="0"/>
        <v>Zente Buzsik</v>
      </c>
      <c r="P24" s="175"/>
      <c r="Q24" s="1104"/>
      <c r="R24" s="1105"/>
      <c r="S24" s="174" t="str">
        <f>'Team 2'!F21</f>
        <v>Joseph</v>
      </c>
      <c r="T24" s="174" t="str">
        <f>'Team 2'!G21</f>
        <v>Bagshaw</v>
      </c>
      <c r="U24" s="175" t="str">
        <f t="shared" si="1"/>
        <v>Joseph Bagshaw</v>
      </c>
      <c r="V24" s="175"/>
      <c r="W24" s="1104"/>
      <c r="X24" s="1105"/>
      <c r="Y24" s="174" t="str">
        <f>'Team 3'!F21</f>
        <v>Ewan</v>
      </c>
      <c r="Z24" s="174" t="str">
        <f>'Team 3'!G21</f>
        <v>Thompson</v>
      </c>
      <c r="AA24" s="175" t="str">
        <f t="shared" si="2"/>
        <v>Ewan Thompson</v>
      </c>
      <c r="AB24" s="175"/>
      <c r="AC24" s="1104"/>
      <c r="AD24" s="1105"/>
      <c r="AE24" s="174" t="str">
        <f>'Team 4'!F21</f>
        <v>RUFUS</v>
      </c>
      <c r="AF24" s="174" t="str">
        <f>'Team 4'!G21</f>
        <v>MARTIN</v>
      </c>
      <c r="AG24" s="175" t="str">
        <f t="shared" si="3"/>
        <v>RUFUS MARTIN</v>
      </c>
      <c r="AH24" s="174"/>
      <c r="AI24" s="1104"/>
      <c r="AJ24" s="1105"/>
      <c r="AK24" s="174" t="str">
        <f>'Team 5'!F21</f>
        <v>Benjamin</v>
      </c>
      <c r="AL24" s="174" t="str">
        <f>'Team 5'!G21</f>
        <v>Holland</v>
      </c>
      <c r="AM24" s="175" t="str">
        <f t="shared" si="4"/>
        <v>Benjamin Holland</v>
      </c>
      <c r="AN24" s="175"/>
      <c r="AO24" s="1104"/>
      <c r="AP24" s="1105"/>
      <c r="AQ24" s="177" t="str">
        <f>'Team 6'!F21</f>
        <v>Dragos</v>
      </c>
      <c r="AR24" s="177" t="str">
        <f>'Team 6'!G21</f>
        <v>Musteate</v>
      </c>
      <c r="AS24" s="175" t="str">
        <f t="shared" si="5"/>
        <v>Dragos Musteate</v>
      </c>
      <c r="AT24" s="175"/>
      <c r="AU24" s="1104"/>
      <c r="AV24" s="1105"/>
      <c r="AW24" s="177" t="str">
        <f>'Team 7'!F21</f>
        <v>Bruno</v>
      </c>
      <c r="AX24" s="177" t="str">
        <f>'Team 7'!G21</f>
        <v>Francisco</v>
      </c>
      <c r="AY24" s="175" t="str">
        <f t="shared" si="6"/>
        <v>Bruno Francisco</v>
      </c>
      <c r="AZ24" s="175"/>
      <c r="BA24" s="1104"/>
      <c r="BB24" s="1105"/>
      <c r="BC24" s="177">
        <f>'Team 8'!F21</f>
        <v>0</v>
      </c>
      <c r="BD24" s="177">
        <f>'Team 8'!G21</f>
        <v>0</v>
      </c>
      <c r="BE24" s="175" t="str">
        <f t="shared" si="7"/>
        <v>0 0</v>
      </c>
      <c r="BF24" s="175"/>
      <c r="BG24" s="1104"/>
      <c r="BH24" s="1105"/>
      <c r="BI24" s="177">
        <f>'Team 9'!F21</f>
        <v>0</v>
      </c>
      <c r="BJ24" s="177">
        <f>'Team 9'!G21</f>
        <v>0</v>
      </c>
      <c r="BK24" s="175" t="str">
        <f t="shared" si="8"/>
        <v>0 0</v>
      </c>
      <c r="BL24" s="175"/>
      <c r="BM24" s="1104"/>
      <c r="BN24" s="1105"/>
      <c r="BO24" s="177">
        <f>'Team 10'!F21</f>
        <v>0</v>
      </c>
      <c r="BP24" s="177">
        <f>'Team 10'!G21</f>
        <v>0</v>
      </c>
      <c r="BQ24" s="175" t="str">
        <f t="shared" si="9"/>
        <v>0 0</v>
      </c>
      <c r="BR24" s="175"/>
      <c r="BS24" s="180"/>
    </row>
    <row r="25" spans="1:71" s="179" customFormat="1" ht="21" customHeight="1" x14ac:dyDescent="0.3">
      <c r="A25" s="186"/>
      <c r="B25" s="186"/>
      <c r="C25" s="186"/>
      <c r="D25" s="182"/>
      <c r="E25" s="182"/>
      <c r="F25" s="182"/>
      <c r="G25" s="182"/>
      <c r="H25" s="182"/>
      <c r="I25" s="188"/>
      <c r="J25" s="182"/>
      <c r="K25" s="1108">
        <v>7</v>
      </c>
      <c r="L25" s="1105" t="s">
        <v>4335</v>
      </c>
      <c r="M25" s="174" t="str">
        <f>'Team 1'!F22</f>
        <v>Shreya</v>
      </c>
      <c r="N25" s="174" t="str">
        <f>'Team 1'!G22</f>
        <v>Bavishi</v>
      </c>
      <c r="O25" s="175" t="str">
        <f t="shared" si="0"/>
        <v>Shreya Bavishi</v>
      </c>
      <c r="P25" s="175"/>
      <c r="Q25" s="1108">
        <v>7</v>
      </c>
      <c r="R25" s="1105" t="s">
        <v>4335</v>
      </c>
      <c r="S25" s="174" t="str">
        <f>'Team 2'!F22</f>
        <v>Sophie</v>
      </c>
      <c r="T25" s="174" t="str">
        <f>'Team 2'!G22</f>
        <v>Stelmach</v>
      </c>
      <c r="U25" s="175" t="str">
        <f t="shared" si="1"/>
        <v>Sophie Stelmach</v>
      </c>
      <c r="V25" s="175"/>
      <c r="W25" s="1108">
        <v>7</v>
      </c>
      <c r="X25" s="1105" t="s">
        <v>4335</v>
      </c>
      <c r="Y25" s="174" t="str">
        <f>'Team 3'!F22</f>
        <v>Jessica</v>
      </c>
      <c r="Z25" s="174" t="str">
        <f>'Team 3'!G22</f>
        <v>MacKenzie</v>
      </c>
      <c r="AA25" s="175" t="str">
        <f t="shared" si="2"/>
        <v>Jessica MacKenzie</v>
      </c>
      <c r="AB25" s="175"/>
      <c r="AC25" s="1108">
        <v>7</v>
      </c>
      <c r="AD25" s="1105" t="s">
        <v>4335</v>
      </c>
      <c r="AE25" s="174" t="str">
        <f>'Team 4'!F22</f>
        <v>MEGAN</v>
      </c>
      <c r="AF25" s="174" t="str">
        <f>'Team 4'!G22</f>
        <v>JOHNSON</v>
      </c>
      <c r="AG25" s="175" t="str">
        <f t="shared" si="3"/>
        <v>MEGAN JOHNSON</v>
      </c>
      <c r="AH25" s="174"/>
      <c r="AI25" s="1108">
        <v>7</v>
      </c>
      <c r="AJ25" s="1105" t="s">
        <v>4335</v>
      </c>
      <c r="AK25" s="174" t="str">
        <f>'Team 5'!F22</f>
        <v>Esmee</v>
      </c>
      <c r="AL25" s="174" t="str">
        <f>'Team 5'!G22</f>
        <v>Reeve</v>
      </c>
      <c r="AM25" s="175" t="str">
        <f t="shared" si="4"/>
        <v>Esmee Reeve</v>
      </c>
      <c r="AN25" s="175"/>
      <c r="AO25" s="1108">
        <v>7</v>
      </c>
      <c r="AP25" s="1105" t="s">
        <v>4335</v>
      </c>
      <c r="AQ25" s="177" t="str">
        <f>'Team 6'!F22</f>
        <v>Hannah</v>
      </c>
      <c r="AR25" s="177" t="str">
        <f>'Team 6'!G22</f>
        <v>Barrios</v>
      </c>
      <c r="AS25" s="175" t="str">
        <f t="shared" si="5"/>
        <v>Hannah Barrios</v>
      </c>
      <c r="AT25" s="175"/>
      <c r="AU25" s="1108">
        <v>7</v>
      </c>
      <c r="AV25" s="1105" t="s">
        <v>4335</v>
      </c>
      <c r="AW25" s="177" t="str">
        <f>'Team 7'!F22</f>
        <v>Keira</v>
      </c>
      <c r="AX25" s="177" t="str">
        <f>'Team 7'!G22</f>
        <v>Brannigan</v>
      </c>
      <c r="AY25" s="175" t="str">
        <f t="shared" si="6"/>
        <v>Keira Brannigan</v>
      </c>
      <c r="AZ25" s="175"/>
      <c r="BA25" s="1108">
        <v>7</v>
      </c>
      <c r="BB25" s="1105" t="s">
        <v>4335</v>
      </c>
      <c r="BC25" s="177">
        <f>'Team 8'!F22</f>
        <v>0</v>
      </c>
      <c r="BD25" s="177">
        <f>'Team 8'!G22</f>
        <v>0</v>
      </c>
      <c r="BE25" s="175" t="str">
        <f t="shared" si="7"/>
        <v>0 0</v>
      </c>
      <c r="BF25" s="175"/>
      <c r="BG25" s="1108">
        <v>7</v>
      </c>
      <c r="BH25" s="1105" t="s">
        <v>4335</v>
      </c>
      <c r="BI25" s="177">
        <f>'Team 9'!F22</f>
        <v>0</v>
      </c>
      <c r="BJ25" s="177">
        <f>'Team 9'!G22</f>
        <v>0</v>
      </c>
      <c r="BK25" s="175" t="str">
        <f t="shared" si="8"/>
        <v>0 0</v>
      </c>
      <c r="BL25" s="175"/>
      <c r="BM25" s="1108">
        <v>7</v>
      </c>
      <c r="BN25" s="1105" t="s">
        <v>4335</v>
      </c>
      <c r="BO25" s="177">
        <f>'Team 10'!F22</f>
        <v>0</v>
      </c>
      <c r="BP25" s="177">
        <f>'Team 10'!G22</f>
        <v>0</v>
      </c>
      <c r="BQ25" s="175" t="str">
        <f t="shared" si="9"/>
        <v>0 0</v>
      </c>
      <c r="BR25" s="175"/>
      <c r="BS25" s="180"/>
    </row>
    <row r="26" spans="1:71" s="179" customFormat="1" ht="21" customHeight="1" x14ac:dyDescent="0.3">
      <c r="A26" s="186"/>
      <c r="B26" s="186"/>
      <c r="C26" s="186"/>
      <c r="D26" s="182"/>
      <c r="E26" s="182"/>
      <c r="F26" s="182"/>
      <c r="G26" s="182"/>
      <c r="H26" s="182"/>
      <c r="I26" s="188"/>
      <c r="J26" s="182"/>
      <c r="K26" s="1108"/>
      <c r="L26" s="1105"/>
      <c r="M26" s="174" t="str">
        <f>'Team 1'!F23</f>
        <v>Emily</v>
      </c>
      <c r="N26" s="174" t="str">
        <f>'Team 1'!G23</f>
        <v>Hudszky</v>
      </c>
      <c r="O26" s="175" t="str">
        <f t="shared" si="0"/>
        <v>Emily Hudszky</v>
      </c>
      <c r="P26" s="175"/>
      <c r="Q26" s="1108"/>
      <c r="R26" s="1105"/>
      <c r="S26" s="174" t="str">
        <f>'Team 2'!F23</f>
        <v>Gracie</v>
      </c>
      <c r="T26" s="174" t="str">
        <f>'Team 2'!G23</f>
        <v>Fleming-Jacobs</v>
      </c>
      <c r="U26" s="175" t="str">
        <f t="shared" si="1"/>
        <v>Gracie Fleming-Jacobs</v>
      </c>
      <c r="V26" s="175"/>
      <c r="W26" s="1108"/>
      <c r="X26" s="1105"/>
      <c r="Y26" s="174" t="str">
        <f>'Team 3'!F23</f>
        <v>Hannah</v>
      </c>
      <c r="Z26" s="174" t="str">
        <f>'Team 3'!G23</f>
        <v>Lovelock</v>
      </c>
      <c r="AA26" s="175" t="str">
        <f t="shared" si="2"/>
        <v>Hannah Lovelock</v>
      </c>
      <c r="AB26" s="175"/>
      <c r="AC26" s="1108"/>
      <c r="AD26" s="1105"/>
      <c r="AE26" s="174" t="str">
        <f>'Team 4'!F23</f>
        <v>ABIGAIL</v>
      </c>
      <c r="AF26" s="174" t="str">
        <f>'Team 4'!G23</f>
        <v>JOHNSON</v>
      </c>
      <c r="AG26" s="175" t="str">
        <f t="shared" si="3"/>
        <v>ABIGAIL JOHNSON</v>
      </c>
      <c r="AH26" s="174"/>
      <c r="AI26" s="1108"/>
      <c r="AJ26" s="1105"/>
      <c r="AK26" s="174" t="str">
        <f>'Team 5'!F23</f>
        <v>Francesca</v>
      </c>
      <c r="AL26" s="174" t="str">
        <f>'Team 5'!G23</f>
        <v>Baker</v>
      </c>
      <c r="AM26" s="175" t="str">
        <f t="shared" si="4"/>
        <v>Francesca Baker</v>
      </c>
      <c r="AN26" s="175"/>
      <c r="AO26" s="1108"/>
      <c r="AP26" s="1105"/>
      <c r="AQ26" s="177" t="str">
        <f>'Team 6'!F23</f>
        <v>Laura</v>
      </c>
      <c r="AR26" s="177" t="str">
        <f>'Team 6'!G23</f>
        <v>Leksander</v>
      </c>
      <c r="AS26" s="175" t="str">
        <f t="shared" si="5"/>
        <v>Laura Leksander</v>
      </c>
      <c r="AT26" s="175"/>
      <c r="AU26" s="1108"/>
      <c r="AV26" s="1105"/>
      <c r="AW26" s="177" t="str">
        <f>'Team 7'!F23</f>
        <v>Jessica</v>
      </c>
      <c r="AX26" s="177" t="str">
        <f>'Team 7'!G23</f>
        <v>Sharp</v>
      </c>
      <c r="AY26" s="175" t="str">
        <f t="shared" si="6"/>
        <v>Jessica Sharp</v>
      </c>
      <c r="AZ26" s="175"/>
      <c r="BA26" s="1108"/>
      <c r="BB26" s="1105"/>
      <c r="BC26" s="177">
        <f>'Team 8'!F23</f>
        <v>0</v>
      </c>
      <c r="BD26" s="177">
        <f>'Team 8'!G23</f>
        <v>0</v>
      </c>
      <c r="BE26" s="175" t="str">
        <f t="shared" si="7"/>
        <v>0 0</v>
      </c>
      <c r="BF26" s="175"/>
      <c r="BG26" s="1108"/>
      <c r="BH26" s="1105"/>
      <c r="BI26" s="177">
        <f>'Team 9'!F23</f>
        <v>0</v>
      </c>
      <c r="BJ26" s="177">
        <f>'Team 9'!G23</f>
        <v>0</v>
      </c>
      <c r="BK26" s="175" t="str">
        <f t="shared" si="8"/>
        <v>0 0</v>
      </c>
      <c r="BL26" s="175"/>
      <c r="BM26" s="1108"/>
      <c r="BN26" s="1105"/>
      <c r="BO26" s="177">
        <f>'Team 10'!F23</f>
        <v>0</v>
      </c>
      <c r="BP26" s="177">
        <f>'Team 10'!G23</f>
        <v>0</v>
      </c>
      <c r="BQ26" s="175" t="str">
        <f t="shared" si="9"/>
        <v>0 0</v>
      </c>
      <c r="BR26" s="175"/>
      <c r="BS26" s="180"/>
    </row>
    <row r="27" spans="1:71" s="179" customFormat="1" ht="21" customHeight="1" x14ac:dyDescent="0.3">
      <c r="A27" s="186"/>
      <c r="B27" s="186"/>
      <c r="C27" s="186"/>
      <c r="D27" s="182"/>
      <c r="E27" s="182"/>
      <c r="F27" s="182"/>
      <c r="G27" s="182"/>
      <c r="H27" s="182"/>
      <c r="I27" s="188"/>
      <c r="J27" s="182"/>
      <c r="K27" s="1108"/>
      <c r="L27" s="1105"/>
      <c r="M27" s="174" t="str">
        <f>'Team 1'!F24</f>
        <v>Taisia</v>
      </c>
      <c r="N27" s="174" t="str">
        <f>'Team 1'!G24</f>
        <v>Flury</v>
      </c>
      <c r="O27" s="175" t="str">
        <f t="shared" si="0"/>
        <v>Taisia Flury</v>
      </c>
      <c r="P27" s="175"/>
      <c r="Q27" s="1108"/>
      <c r="R27" s="1105"/>
      <c r="S27" s="174" t="str">
        <f>'Team 2'!F24</f>
        <v>Daisy</v>
      </c>
      <c r="T27" s="174" t="str">
        <f>'Team 2'!G24</f>
        <v>Harradine</v>
      </c>
      <c r="U27" s="175" t="str">
        <f t="shared" si="1"/>
        <v>Daisy Harradine</v>
      </c>
      <c r="V27" s="175"/>
      <c r="W27" s="1108"/>
      <c r="X27" s="1105"/>
      <c r="Y27" s="174" t="str">
        <f>'Team 3'!F24</f>
        <v>Molly</v>
      </c>
      <c r="Z27" s="174" t="str">
        <f>'Team 3'!G24</f>
        <v>Bartup</v>
      </c>
      <c r="AA27" s="175" t="str">
        <f t="shared" si="2"/>
        <v>Molly Bartup</v>
      </c>
      <c r="AB27" s="175"/>
      <c r="AC27" s="1108"/>
      <c r="AD27" s="1105"/>
      <c r="AE27" s="174" t="str">
        <f>'Team 4'!F24</f>
        <v>ZAHRA</v>
      </c>
      <c r="AF27" s="174" t="str">
        <f>'Team 4'!G24</f>
        <v>WALLER</v>
      </c>
      <c r="AG27" s="175" t="str">
        <f t="shared" si="3"/>
        <v>ZAHRA WALLER</v>
      </c>
      <c r="AH27" s="174"/>
      <c r="AI27" s="1108"/>
      <c r="AJ27" s="1105"/>
      <c r="AK27" s="174" t="str">
        <f>'Team 5'!F24</f>
        <v>Hollie</v>
      </c>
      <c r="AL27" s="174" t="str">
        <f>'Team 5'!G24</f>
        <v>Heighes</v>
      </c>
      <c r="AM27" s="175" t="str">
        <f t="shared" si="4"/>
        <v>Hollie Heighes</v>
      </c>
      <c r="AN27" s="175"/>
      <c r="AO27" s="1108"/>
      <c r="AP27" s="1105"/>
      <c r="AQ27" s="177" t="str">
        <f>'Team 6'!F24</f>
        <v xml:space="preserve">Polina </v>
      </c>
      <c r="AR27" s="177" t="str">
        <f>'Team 6'!G24</f>
        <v>Fedorova</v>
      </c>
      <c r="AS27" s="175" t="str">
        <f t="shared" si="5"/>
        <v>Polina  Fedorova</v>
      </c>
      <c r="AT27" s="175"/>
      <c r="AU27" s="1108"/>
      <c r="AV27" s="1105"/>
      <c r="AW27" s="177" t="str">
        <f>'Team 7'!F24</f>
        <v>Lara</v>
      </c>
      <c r="AX27" s="177" t="str">
        <f>'Team 7'!G24</f>
        <v>Lydon</v>
      </c>
      <c r="AY27" s="175" t="str">
        <f t="shared" si="6"/>
        <v>Lara Lydon</v>
      </c>
      <c r="AZ27" s="175"/>
      <c r="BA27" s="1108"/>
      <c r="BB27" s="1105"/>
      <c r="BC27" s="177">
        <f>'Team 8'!F24</f>
        <v>0</v>
      </c>
      <c r="BD27" s="177">
        <f>'Team 8'!G24</f>
        <v>0</v>
      </c>
      <c r="BE27" s="175" t="str">
        <f t="shared" si="7"/>
        <v>0 0</v>
      </c>
      <c r="BF27" s="175"/>
      <c r="BG27" s="1108"/>
      <c r="BH27" s="1105"/>
      <c r="BI27" s="177">
        <f>'Team 9'!F24</f>
        <v>0</v>
      </c>
      <c r="BJ27" s="177">
        <f>'Team 9'!G24</f>
        <v>0</v>
      </c>
      <c r="BK27" s="175" t="str">
        <f t="shared" si="8"/>
        <v>0 0</v>
      </c>
      <c r="BL27" s="175"/>
      <c r="BM27" s="1108"/>
      <c r="BN27" s="1105"/>
      <c r="BO27" s="177">
        <f>'Team 10'!F24</f>
        <v>0</v>
      </c>
      <c r="BP27" s="177">
        <f>'Team 10'!G24</f>
        <v>0</v>
      </c>
      <c r="BQ27" s="175" t="str">
        <f t="shared" si="9"/>
        <v>0 0</v>
      </c>
      <c r="BR27" s="175"/>
      <c r="BS27" s="180"/>
    </row>
    <row r="28" spans="1:71" s="179" customFormat="1" ht="21" customHeight="1" x14ac:dyDescent="0.3">
      <c r="A28" s="189"/>
      <c r="B28" s="186"/>
      <c r="C28" s="186"/>
      <c r="D28" s="182"/>
      <c r="E28" s="182"/>
      <c r="F28" s="182"/>
      <c r="G28" s="182"/>
      <c r="H28" s="182"/>
      <c r="I28" s="188"/>
      <c r="J28" s="182"/>
      <c r="K28" s="1108"/>
      <c r="L28" s="1105"/>
      <c r="M28" s="174" t="str">
        <f>'Team 1'!F25</f>
        <v>Zoe</v>
      </c>
      <c r="N28" s="174" t="str">
        <f>'Team 1'!G25</f>
        <v>Panayi</v>
      </c>
      <c r="O28" s="175" t="str">
        <f t="shared" si="0"/>
        <v>Zoe Panayi</v>
      </c>
      <c r="P28" s="175"/>
      <c r="Q28" s="1108"/>
      <c r="R28" s="1105"/>
      <c r="S28" s="174" t="str">
        <f>'Team 2'!F25</f>
        <v>Charlotte</v>
      </c>
      <c r="T28" s="174" t="str">
        <f>'Team 2'!G25</f>
        <v>Lyon</v>
      </c>
      <c r="U28" s="175" t="str">
        <f t="shared" si="1"/>
        <v>Charlotte Lyon</v>
      </c>
      <c r="V28" s="175"/>
      <c r="W28" s="1108"/>
      <c r="X28" s="1105"/>
      <c r="Y28" s="174" t="str">
        <f>'Team 3'!F25</f>
        <v>Isabel</v>
      </c>
      <c r="Z28" s="174" t="str">
        <f>'Team 3'!G25</f>
        <v>Mullings</v>
      </c>
      <c r="AA28" s="175" t="str">
        <f t="shared" si="2"/>
        <v>Isabel Mullings</v>
      </c>
      <c r="AB28" s="175"/>
      <c r="AC28" s="1108"/>
      <c r="AD28" s="1105"/>
      <c r="AE28" s="174" t="str">
        <f>'Team 4'!F25</f>
        <v>AVA</v>
      </c>
      <c r="AF28" s="174" t="str">
        <f>'Team 4'!G25</f>
        <v>IANNONE</v>
      </c>
      <c r="AG28" s="175" t="str">
        <f t="shared" si="3"/>
        <v>AVA IANNONE</v>
      </c>
      <c r="AH28" s="174"/>
      <c r="AI28" s="1108"/>
      <c r="AJ28" s="1105"/>
      <c r="AK28" s="174" t="str">
        <f>'Team 5'!F25</f>
        <v>Mia</v>
      </c>
      <c r="AL28" s="174" t="str">
        <f>'Team 5'!G25</f>
        <v>Macklin</v>
      </c>
      <c r="AM28" s="175" t="str">
        <f t="shared" si="4"/>
        <v>Mia Macklin</v>
      </c>
      <c r="AN28" s="175"/>
      <c r="AO28" s="1108"/>
      <c r="AP28" s="1105"/>
      <c r="AQ28" s="177" t="str">
        <f>'Team 6'!F25</f>
        <v xml:space="preserve">Alice </v>
      </c>
      <c r="AR28" s="177" t="str">
        <f>'Team 6'!G25</f>
        <v>Sharrock</v>
      </c>
      <c r="AS28" s="175" t="str">
        <f t="shared" si="5"/>
        <v>Alice  Sharrock</v>
      </c>
      <c r="AT28" s="175"/>
      <c r="AU28" s="1108"/>
      <c r="AV28" s="1105"/>
      <c r="AW28" s="177" t="str">
        <f>'Team 7'!F25</f>
        <v>Vaari</v>
      </c>
      <c r="AX28" s="177" t="str">
        <f>'Team 7'!G25</f>
        <v>Mepani</v>
      </c>
      <c r="AY28" s="175" t="str">
        <f t="shared" si="6"/>
        <v>Vaari Mepani</v>
      </c>
      <c r="AZ28" s="175"/>
      <c r="BA28" s="1108"/>
      <c r="BB28" s="1105"/>
      <c r="BC28" s="177">
        <f>'Team 8'!F25</f>
        <v>0</v>
      </c>
      <c r="BD28" s="177">
        <f>'Team 8'!G25</f>
        <v>0</v>
      </c>
      <c r="BE28" s="175" t="str">
        <f t="shared" si="7"/>
        <v>0 0</v>
      </c>
      <c r="BF28" s="175"/>
      <c r="BG28" s="1108"/>
      <c r="BH28" s="1105"/>
      <c r="BI28" s="177">
        <f>'Team 9'!F25</f>
        <v>0</v>
      </c>
      <c r="BJ28" s="177">
        <f>'Team 9'!G25</f>
        <v>0</v>
      </c>
      <c r="BK28" s="175" t="str">
        <f t="shared" si="8"/>
        <v>0 0</v>
      </c>
      <c r="BL28" s="175"/>
      <c r="BM28" s="1108"/>
      <c r="BN28" s="1105"/>
      <c r="BO28" s="177">
        <f>'Team 10'!F25</f>
        <v>0</v>
      </c>
      <c r="BP28" s="177">
        <f>'Team 10'!G25</f>
        <v>0</v>
      </c>
      <c r="BQ28" s="175" t="str">
        <f t="shared" si="9"/>
        <v>0 0</v>
      </c>
      <c r="BR28" s="175"/>
      <c r="BS28" s="180"/>
    </row>
    <row r="29" spans="1:71" s="179" customFormat="1" ht="21" customHeight="1" x14ac:dyDescent="0.3">
      <c r="A29" s="189"/>
      <c r="B29" s="186"/>
      <c r="C29" s="186"/>
      <c r="D29" s="182"/>
      <c r="E29" s="182"/>
      <c r="F29" s="182"/>
      <c r="G29" s="182"/>
      <c r="H29" s="182"/>
      <c r="I29" s="188"/>
      <c r="J29" s="182"/>
      <c r="K29" s="1108">
        <v>8</v>
      </c>
      <c r="L29" s="1105" t="s">
        <v>4336</v>
      </c>
      <c r="M29" s="174" t="str">
        <f>'Team 1'!F26</f>
        <v>Yigit</v>
      </c>
      <c r="N29" s="174" t="str">
        <f>'Team 1'!G26</f>
        <v>Ilhan</v>
      </c>
      <c r="O29" s="175" t="str">
        <f t="shared" si="0"/>
        <v>Yigit Ilhan</v>
      </c>
      <c r="P29" s="175"/>
      <c r="Q29" s="1108">
        <v>8</v>
      </c>
      <c r="R29" s="1105" t="s">
        <v>4336</v>
      </c>
      <c r="S29" s="174" t="str">
        <f>'Team 2'!F26</f>
        <v>Alexander</v>
      </c>
      <c r="T29" s="174" t="str">
        <f>'Team 2'!G26</f>
        <v>Gregory</v>
      </c>
      <c r="U29" s="175" t="str">
        <f t="shared" si="1"/>
        <v>Alexander Gregory</v>
      </c>
      <c r="V29" s="175"/>
      <c r="W29" s="1108">
        <v>8</v>
      </c>
      <c r="X29" s="1105" t="s">
        <v>4336</v>
      </c>
      <c r="Y29" s="174" t="str">
        <f>'Team 3'!F26</f>
        <v>Alfie</v>
      </c>
      <c r="Z29" s="174" t="str">
        <f>'Team 3'!G26</f>
        <v>Bullock</v>
      </c>
      <c r="AA29" s="175" t="str">
        <f t="shared" si="2"/>
        <v>Alfie Bullock</v>
      </c>
      <c r="AB29" s="175"/>
      <c r="AC29" s="1108">
        <v>8</v>
      </c>
      <c r="AD29" s="1105" t="s">
        <v>4336</v>
      </c>
      <c r="AE29" s="174" t="str">
        <f>'Team 4'!F26</f>
        <v>CHARLES</v>
      </c>
      <c r="AF29" s="174" t="str">
        <f>'Team 4'!G26</f>
        <v>RAINES</v>
      </c>
      <c r="AG29" s="175" t="str">
        <f t="shared" si="3"/>
        <v>CHARLES RAINES</v>
      </c>
      <c r="AH29" s="174"/>
      <c r="AI29" s="1108">
        <v>8</v>
      </c>
      <c r="AJ29" s="1105" t="s">
        <v>4336</v>
      </c>
      <c r="AK29" s="174" t="str">
        <f>'Team 5'!F26</f>
        <v>Albert</v>
      </c>
      <c r="AL29" s="174" t="str">
        <f>'Team 5'!G26</f>
        <v>Orley</v>
      </c>
      <c r="AM29" s="175" t="str">
        <f t="shared" si="4"/>
        <v>Albert Orley</v>
      </c>
      <c r="AN29" s="175"/>
      <c r="AO29" s="1108">
        <v>8</v>
      </c>
      <c r="AP29" s="1105" t="s">
        <v>4336</v>
      </c>
      <c r="AQ29" s="177" t="str">
        <f>'Team 6'!F26</f>
        <v>Gianluca</v>
      </c>
      <c r="AR29" s="177" t="str">
        <f>'Team 6'!G26</f>
        <v>Safahe</v>
      </c>
      <c r="AS29" s="175" t="str">
        <f t="shared" si="5"/>
        <v>Gianluca Safahe</v>
      </c>
      <c r="AT29" s="175"/>
      <c r="AU29" s="1108">
        <v>8</v>
      </c>
      <c r="AV29" s="1105" t="s">
        <v>4336</v>
      </c>
      <c r="AW29" s="177" t="str">
        <f>'Team 7'!F26</f>
        <v>Aaran</v>
      </c>
      <c r="AX29" s="177" t="str">
        <f>'Team 7'!G26</f>
        <v>Parmar</v>
      </c>
      <c r="AY29" s="175" t="str">
        <f t="shared" si="6"/>
        <v>Aaran Parmar</v>
      </c>
      <c r="AZ29" s="175"/>
      <c r="BA29" s="1108">
        <v>8</v>
      </c>
      <c r="BB29" s="1105" t="s">
        <v>4336</v>
      </c>
      <c r="BC29" s="177">
        <f>'Team 8'!F26</f>
        <v>0</v>
      </c>
      <c r="BD29" s="177">
        <f>'Team 8'!G26</f>
        <v>0</v>
      </c>
      <c r="BE29" s="175" t="str">
        <f t="shared" si="7"/>
        <v>0 0</v>
      </c>
      <c r="BF29" s="175"/>
      <c r="BG29" s="1108">
        <v>8</v>
      </c>
      <c r="BH29" s="1105" t="s">
        <v>4336</v>
      </c>
      <c r="BI29" s="177">
        <f>'Team 9'!F26</f>
        <v>0</v>
      </c>
      <c r="BJ29" s="177">
        <f>'Team 9'!G26</f>
        <v>0</v>
      </c>
      <c r="BK29" s="175" t="str">
        <f t="shared" si="8"/>
        <v>0 0</v>
      </c>
      <c r="BL29" s="175"/>
      <c r="BM29" s="1108">
        <v>8</v>
      </c>
      <c r="BN29" s="1105" t="s">
        <v>4336</v>
      </c>
      <c r="BO29" s="177">
        <f>'Team 10'!F26</f>
        <v>0</v>
      </c>
      <c r="BP29" s="177">
        <f>'Team 10'!G26</f>
        <v>0</v>
      </c>
      <c r="BQ29" s="175" t="str">
        <f t="shared" si="9"/>
        <v>0 0</v>
      </c>
      <c r="BR29" s="175"/>
      <c r="BS29" s="180"/>
    </row>
    <row r="30" spans="1:71" s="179" customFormat="1" ht="21" customHeight="1" x14ac:dyDescent="0.3">
      <c r="A30" s="189"/>
      <c r="B30" s="186"/>
      <c r="C30" s="186"/>
      <c r="D30" s="182"/>
      <c r="E30" s="182"/>
      <c r="F30" s="182"/>
      <c r="G30" s="182"/>
      <c r="H30" s="182"/>
      <c r="I30" s="188"/>
      <c r="J30" s="182"/>
      <c r="K30" s="1108"/>
      <c r="L30" s="1105"/>
      <c r="M30" s="174" t="str">
        <f>'Team 1'!F27</f>
        <v>Zente</v>
      </c>
      <c r="N30" s="174" t="str">
        <f>'Team 1'!G27</f>
        <v>Buzsik</v>
      </c>
      <c r="O30" s="175" t="str">
        <f t="shared" si="0"/>
        <v>Zente Buzsik</v>
      </c>
      <c r="P30" s="175"/>
      <c r="Q30" s="1108"/>
      <c r="R30" s="1105"/>
      <c r="S30" s="174" t="str">
        <f>'Team 2'!F27</f>
        <v>Samuel</v>
      </c>
      <c r="T30" s="174" t="str">
        <f>'Team 2'!G27</f>
        <v>Heraty</v>
      </c>
      <c r="U30" s="175" t="str">
        <f t="shared" si="1"/>
        <v>Samuel Heraty</v>
      </c>
      <c r="V30" s="175"/>
      <c r="W30" s="1108"/>
      <c r="X30" s="1105"/>
      <c r="Y30" s="174" t="str">
        <f>'Team 3'!F27</f>
        <v>Ryan</v>
      </c>
      <c r="Z30" s="174" t="str">
        <f>'Team 3'!G27</f>
        <v>Wimpenny</v>
      </c>
      <c r="AA30" s="175" t="str">
        <f t="shared" si="2"/>
        <v>Ryan Wimpenny</v>
      </c>
      <c r="AB30" s="175"/>
      <c r="AC30" s="1108"/>
      <c r="AD30" s="1105"/>
      <c r="AE30" s="174" t="str">
        <f>'Team 4'!F27</f>
        <v>RAFI</v>
      </c>
      <c r="AF30" s="174" t="str">
        <f>'Team 4'!G27</f>
        <v>GIBSON</v>
      </c>
      <c r="AG30" s="175" t="str">
        <f t="shared" si="3"/>
        <v>RAFI GIBSON</v>
      </c>
      <c r="AH30" s="174"/>
      <c r="AI30" s="1108"/>
      <c r="AJ30" s="1105"/>
      <c r="AK30" s="174" t="str">
        <f>'Team 5'!F27</f>
        <v>Nathaniel</v>
      </c>
      <c r="AL30" s="174" t="str">
        <f>'Team 5'!G27</f>
        <v>Coburn</v>
      </c>
      <c r="AM30" s="175" t="str">
        <f t="shared" si="4"/>
        <v>Nathaniel Coburn</v>
      </c>
      <c r="AN30" s="175"/>
      <c r="AO30" s="1108"/>
      <c r="AP30" s="1105"/>
      <c r="AQ30" s="177" t="str">
        <f>'Team 6'!F27</f>
        <v xml:space="preserve">Owen </v>
      </c>
      <c r="AR30" s="177" t="str">
        <f>'Team 6'!G27</f>
        <v>Roberts</v>
      </c>
      <c r="AS30" s="175" t="str">
        <f t="shared" si="5"/>
        <v>Owen  Roberts</v>
      </c>
      <c r="AT30" s="175"/>
      <c r="AU30" s="1108"/>
      <c r="AV30" s="1105"/>
      <c r="AW30" s="177" t="str">
        <f>'Team 7'!F27</f>
        <v>Tsz Kwai</v>
      </c>
      <c r="AX30" s="177" t="str">
        <f>'Team 7'!G27</f>
        <v>Chan</v>
      </c>
      <c r="AY30" s="175" t="str">
        <f t="shared" si="6"/>
        <v>Tsz Kwai Chan</v>
      </c>
      <c r="AZ30" s="175"/>
      <c r="BA30" s="1108"/>
      <c r="BB30" s="1105"/>
      <c r="BC30" s="177">
        <f>'Team 8'!F27</f>
        <v>0</v>
      </c>
      <c r="BD30" s="177">
        <f>'Team 8'!G27</f>
        <v>0</v>
      </c>
      <c r="BE30" s="175" t="str">
        <f t="shared" si="7"/>
        <v>0 0</v>
      </c>
      <c r="BF30" s="175"/>
      <c r="BG30" s="1108"/>
      <c r="BH30" s="1105"/>
      <c r="BI30" s="177">
        <f>'Team 9'!F27</f>
        <v>0</v>
      </c>
      <c r="BJ30" s="177">
        <f>'Team 9'!G27</f>
        <v>0</v>
      </c>
      <c r="BK30" s="175" t="str">
        <f t="shared" si="8"/>
        <v>0 0</v>
      </c>
      <c r="BL30" s="175"/>
      <c r="BM30" s="1108"/>
      <c r="BN30" s="1105"/>
      <c r="BO30" s="177">
        <f>'Team 10'!F27</f>
        <v>0</v>
      </c>
      <c r="BP30" s="177">
        <f>'Team 10'!G27</f>
        <v>0</v>
      </c>
      <c r="BQ30" s="175" t="str">
        <f t="shared" si="9"/>
        <v>0 0</v>
      </c>
      <c r="BR30" s="175"/>
      <c r="BS30" s="180"/>
    </row>
    <row r="31" spans="1:71" s="179" customFormat="1" ht="21" customHeight="1" x14ac:dyDescent="0.3">
      <c r="A31" s="189"/>
      <c r="B31" s="186"/>
      <c r="C31" s="186"/>
      <c r="D31" s="182"/>
      <c r="E31" s="182"/>
      <c r="F31" s="182"/>
      <c r="G31" s="182"/>
      <c r="H31" s="182"/>
      <c r="I31" s="188"/>
      <c r="J31" s="182"/>
      <c r="K31" s="1108"/>
      <c r="L31" s="1105"/>
      <c r="M31" s="174" t="str">
        <f>'Team 1'!F28</f>
        <v>Michael</v>
      </c>
      <c r="N31" s="174" t="str">
        <f>'Team 1'!G28</f>
        <v>Manassero</v>
      </c>
      <c r="O31" s="175" t="str">
        <f t="shared" si="0"/>
        <v>Michael Manassero</v>
      </c>
      <c r="P31" s="175"/>
      <c r="Q31" s="1108"/>
      <c r="R31" s="1105"/>
      <c r="S31" s="174" t="str">
        <f>'Team 2'!F28</f>
        <v>Daniel</v>
      </c>
      <c r="T31" s="174" t="str">
        <f>'Team 2'!G28</f>
        <v>Humphreys</v>
      </c>
      <c r="U31" s="175" t="str">
        <f t="shared" si="1"/>
        <v>Daniel Humphreys</v>
      </c>
      <c r="V31" s="175"/>
      <c r="W31" s="1108"/>
      <c r="X31" s="1105"/>
      <c r="Y31" s="174" t="str">
        <f>'Team 3'!F28</f>
        <v>Theo</v>
      </c>
      <c r="Z31" s="174" t="str">
        <f>'Team 3'!G28</f>
        <v>Smith</v>
      </c>
      <c r="AA31" s="175" t="str">
        <f t="shared" si="2"/>
        <v>Theo Smith</v>
      </c>
      <c r="AB31" s="175"/>
      <c r="AC31" s="1108"/>
      <c r="AD31" s="1105"/>
      <c r="AE31" s="174" t="str">
        <f>'Team 4'!F28</f>
        <v>MAKSYMILIAN</v>
      </c>
      <c r="AF31" s="174" t="str">
        <f>'Team 4'!G28</f>
        <v>WOZNICKI</v>
      </c>
      <c r="AG31" s="175" t="str">
        <f t="shared" si="3"/>
        <v>MAKSYMILIAN WOZNICKI</v>
      </c>
      <c r="AH31" s="174"/>
      <c r="AI31" s="1108"/>
      <c r="AJ31" s="1105"/>
      <c r="AK31" s="174" t="str">
        <f>'Team 5'!F28</f>
        <v>Daniel</v>
      </c>
      <c r="AL31" s="174" t="str">
        <f>'Team 5'!G28</f>
        <v>Pirie</v>
      </c>
      <c r="AM31" s="175" t="str">
        <f t="shared" si="4"/>
        <v>Daniel Pirie</v>
      </c>
      <c r="AN31" s="175"/>
      <c r="AO31" s="1108"/>
      <c r="AP31" s="1105"/>
      <c r="AQ31" s="177" t="str">
        <f>'Team 6'!F28</f>
        <v>Louis</v>
      </c>
      <c r="AR31" s="177" t="str">
        <f>'Team 6'!G28</f>
        <v>Waissman</v>
      </c>
      <c r="AS31" s="175" t="str">
        <f t="shared" si="5"/>
        <v>Louis Waissman</v>
      </c>
      <c r="AT31" s="175"/>
      <c r="AU31" s="1108"/>
      <c r="AV31" s="1105"/>
      <c r="AW31" s="177" t="str">
        <f>'Team 7'!F28</f>
        <v>Advay</v>
      </c>
      <c r="AX31" s="177" t="str">
        <f>'Team 7'!G28</f>
        <v>Bhatia</v>
      </c>
      <c r="AY31" s="175" t="str">
        <f t="shared" si="6"/>
        <v>Advay Bhatia</v>
      </c>
      <c r="AZ31" s="175"/>
      <c r="BA31" s="1108"/>
      <c r="BB31" s="1105"/>
      <c r="BC31" s="177">
        <f>'Team 8'!F28</f>
        <v>0</v>
      </c>
      <c r="BD31" s="177">
        <f>'Team 8'!G28</f>
        <v>0</v>
      </c>
      <c r="BE31" s="175" t="str">
        <f t="shared" si="7"/>
        <v>0 0</v>
      </c>
      <c r="BF31" s="175"/>
      <c r="BG31" s="1108"/>
      <c r="BH31" s="1105"/>
      <c r="BI31" s="177">
        <f>'Team 9'!F28</f>
        <v>0</v>
      </c>
      <c r="BJ31" s="177">
        <f>'Team 9'!G28</f>
        <v>0</v>
      </c>
      <c r="BK31" s="175" t="str">
        <f t="shared" si="8"/>
        <v>0 0</v>
      </c>
      <c r="BL31" s="175"/>
      <c r="BM31" s="1108"/>
      <c r="BN31" s="1105"/>
      <c r="BO31" s="177">
        <f>'Team 10'!F28</f>
        <v>0</v>
      </c>
      <c r="BP31" s="177">
        <f>'Team 10'!G28</f>
        <v>0</v>
      </c>
      <c r="BQ31" s="175" t="str">
        <f t="shared" si="9"/>
        <v>0 0</v>
      </c>
      <c r="BR31" s="175"/>
      <c r="BS31" s="180"/>
    </row>
    <row r="32" spans="1:71" s="179" customFormat="1" ht="21" customHeight="1" x14ac:dyDescent="0.3">
      <c r="A32" s="189"/>
      <c r="B32" s="186"/>
      <c r="C32" s="186"/>
      <c r="D32" s="182"/>
      <c r="E32" s="182"/>
      <c r="F32" s="182"/>
      <c r="G32" s="182"/>
      <c r="H32" s="182"/>
      <c r="I32" s="188"/>
      <c r="J32" s="182"/>
      <c r="K32" s="1108"/>
      <c r="L32" s="1105"/>
      <c r="M32" s="174" t="str">
        <f>'Team 1'!F29</f>
        <v>Zalan</v>
      </c>
      <c r="N32" s="174" t="str">
        <f>'Team 1'!G29</f>
        <v>Tornay</v>
      </c>
      <c r="O32" s="175" t="str">
        <f t="shared" si="0"/>
        <v>Zalan Tornay</v>
      </c>
      <c r="P32" s="175"/>
      <c r="Q32" s="1108"/>
      <c r="R32" s="1105"/>
      <c r="S32" s="174" t="str">
        <f>'Team 2'!F29</f>
        <v>Joseph</v>
      </c>
      <c r="T32" s="174" t="str">
        <f>'Team 2'!G29</f>
        <v>Bagshaw</v>
      </c>
      <c r="U32" s="175" t="str">
        <f t="shared" si="1"/>
        <v>Joseph Bagshaw</v>
      </c>
      <c r="V32" s="175"/>
      <c r="W32" s="1108"/>
      <c r="X32" s="1105"/>
      <c r="Y32" s="174" t="str">
        <f>'Team 3'!F29</f>
        <v>Luigi</v>
      </c>
      <c r="Z32" s="174" t="str">
        <f>'Team 3'!G29</f>
        <v>Giambrone</v>
      </c>
      <c r="AA32" s="175" t="str">
        <f t="shared" si="2"/>
        <v>Luigi Giambrone</v>
      </c>
      <c r="AB32" s="175"/>
      <c r="AC32" s="1108"/>
      <c r="AD32" s="1105"/>
      <c r="AE32" s="174" t="str">
        <f>'Team 4'!F29</f>
        <v>SEBASTIAN</v>
      </c>
      <c r="AF32" s="174" t="str">
        <f>'Team 4'!G29</f>
        <v>BROWN</v>
      </c>
      <c r="AG32" s="175" t="str">
        <f t="shared" si="3"/>
        <v>SEBASTIAN BROWN</v>
      </c>
      <c r="AH32" s="174"/>
      <c r="AI32" s="1108"/>
      <c r="AJ32" s="1105"/>
      <c r="AK32" s="174" t="str">
        <f>'Team 5'!F29</f>
        <v>Joshua</v>
      </c>
      <c r="AL32" s="174" t="str">
        <f>'Team 5'!G29</f>
        <v>Parker</v>
      </c>
      <c r="AM32" s="175" t="str">
        <f t="shared" si="4"/>
        <v>Joshua Parker</v>
      </c>
      <c r="AN32" s="175"/>
      <c r="AO32" s="1108"/>
      <c r="AP32" s="1105"/>
      <c r="AQ32" s="177" t="str">
        <f>'Team 6'!F29</f>
        <v>Gabriel</v>
      </c>
      <c r="AR32" s="177" t="str">
        <f>'Team 6'!G29</f>
        <v>Rebelo</v>
      </c>
      <c r="AS32" s="175" t="str">
        <f t="shared" si="5"/>
        <v>Gabriel Rebelo</v>
      </c>
      <c r="AT32" s="175"/>
      <c r="AU32" s="1108"/>
      <c r="AV32" s="1105"/>
      <c r="AW32" s="177" t="str">
        <f>'Team 7'!F29</f>
        <v>Daniel</v>
      </c>
      <c r="AX32" s="177" t="str">
        <f>'Team 7'!G29</f>
        <v>Celi</v>
      </c>
      <c r="AY32" s="175" t="str">
        <f t="shared" si="6"/>
        <v>Daniel Celi</v>
      </c>
      <c r="AZ32" s="175"/>
      <c r="BA32" s="1108"/>
      <c r="BB32" s="1105"/>
      <c r="BC32" s="177">
        <f>'Team 8'!F29</f>
        <v>0</v>
      </c>
      <c r="BD32" s="177">
        <f>'Team 8'!G29</f>
        <v>0</v>
      </c>
      <c r="BE32" s="175" t="str">
        <f t="shared" si="7"/>
        <v>0 0</v>
      </c>
      <c r="BF32" s="175"/>
      <c r="BG32" s="1108"/>
      <c r="BH32" s="1105"/>
      <c r="BI32" s="177">
        <f>'Team 9'!F29</f>
        <v>0</v>
      </c>
      <c r="BJ32" s="177">
        <f>'Team 9'!G29</f>
        <v>0</v>
      </c>
      <c r="BK32" s="175" t="str">
        <f t="shared" si="8"/>
        <v>0 0</v>
      </c>
      <c r="BL32" s="175"/>
      <c r="BM32" s="1108"/>
      <c r="BN32" s="1105"/>
      <c r="BO32" s="177">
        <f>'Team 10'!F29</f>
        <v>0</v>
      </c>
      <c r="BP32" s="177">
        <f>'Team 10'!G29</f>
        <v>0</v>
      </c>
      <c r="BQ32" s="175" t="str">
        <f t="shared" si="9"/>
        <v>0 0</v>
      </c>
      <c r="BR32" s="175"/>
      <c r="BS32" s="180"/>
    </row>
    <row r="33" spans="1:71" s="179" customFormat="1" ht="21" customHeight="1" x14ac:dyDescent="0.3">
      <c r="A33" s="189"/>
      <c r="B33" s="186"/>
      <c r="C33" s="186"/>
      <c r="D33" s="182"/>
      <c r="E33" s="182"/>
      <c r="F33" s="182"/>
      <c r="G33" s="182"/>
      <c r="H33" s="182"/>
      <c r="I33" s="188"/>
      <c r="J33" s="182"/>
      <c r="K33" s="1104">
        <v>9</v>
      </c>
      <c r="L33" s="1105" t="s">
        <v>4337</v>
      </c>
      <c r="M33" s="174" t="str">
        <f>'Team 1'!F30</f>
        <v>Isabel</v>
      </c>
      <c r="N33" s="174" t="str">
        <f>'Team 1'!G30</f>
        <v>Spyrou</v>
      </c>
      <c r="O33" s="175" t="str">
        <f t="shared" si="0"/>
        <v>Isabel Spyrou</v>
      </c>
      <c r="P33" s="175"/>
      <c r="Q33" s="1104">
        <v>9</v>
      </c>
      <c r="R33" s="1105" t="s">
        <v>4337</v>
      </c>
      <c r="S33" s="174" t="str">
        <f>'Team 2'!F30</f>
        <v>Sophie</v>
      </c>
      <c r="T33" s="174" t="str">
        <f>'Team 2'!G30</f>
        <v>Lyon</v>
      </c>
      <c r="U33" s="175" t="str">
        <f t="shared" si="1"/>
        <v>Sophie Lyon</v>
      </c>
      <c r="V33" s="175"/>
      <c r="W33" s="1104">
        <v>9</v>
      </c>
      <c r="X33" s="1105" t="s">
        <v>4337</v>
      </c>
      <c r="Y33" s="174" t="str">
        <f>'Team 3'!F30</f>
        <v>Grace</v>
      </c>
      <c r="Z33" s="174" t="str">
        <f>'Team 3'!G30</f>
        <v>Sofokleous-Ames</v>
      </c>
      <c r="AA33" s="175" t="str">
        <f t="shared" si="2"/>
        <v>Grace Sofokleous-Ames</v>
      </c>
      <c r="AB33" s="175"/>
      <c r="AC33" s="1104">
        <v>9</v>
      </c>
      <c r="AD33" s="1105" t="s">
        <v>4337</v>
      </c>
      <c r="AE33" s="174" t="str">
        <f>'Team 4'!F30</f>
        <v>LUCY</v>
      </c>
      <c r="AF33" s="174" t="str">
        <f>'Team 4'!G30</f>
        <v>BURNHAM</v>
      </c>
      <c r="AG33" s="175" t="str">
        <f t="shared" si="3"/>
        <v>LUCY BURNHAM</v>
      </c>
      <c r="AH33" s="174"/>
      <c r="AI33" s="1104">
        <v>9</v>
      </c>
      <c r="AJ33" s="1105" t="s">
        <v>4337</v>
      </c>
      <c r="AK33" s="174" t="str">
        <f>'Team 5'!F30</f>
        <v>Isabelle</v>
      </c>
      <c r="AL33" s="174" t="str">
        <f>'Team 5'!G30</f>
        <v>Talbot</v>
      </c>
      <c r="AM33" s="175" t="str">
        <f t="shared" si="4"/>
        <v>Isabelle Talbot</v>
      </c>
      <c r="AN33" s="175"/>
      <c r="AO33" s="1104">
        <v>9</v>
      </c>
      <c r="AP33" s="1105" t="s">
        <v>4337</v>
      </c>
      <c r="AQ33" s="177" t="str">
        <f>'Team 6'!F30</f>
        <v>Laura</v>
      </c>
      <c r="AR33" s="177" t="str">
        <f>'Team 6'!G30</f>
        <v>Leksander</v>
      </c>
      <c r="AS33" s="175" t="str">
        <f t="shared" si="5"/>
        <v>Laura Leksander</v>
      </c>
      <c r="AT33" s="175"/>
      <c r="AU33" s="1104">
        <v>9</v>
      </c>
      <c r="AV33" s="1105" t="s">
        <v>4337</v>
      </c>
      <c r="AW33" s="177" t="str">
        <f>'Team 7'!F30</f>
        <v>Kayla</v>
      </c>
      <c r="AX33" s="177" t="str">
        <f>'Team 7'!G30</f>
        <v>Van Zyl</v>
      </c>
      <c r="AY33" s="175" t="str">
        <f t="shared" si="6"/>
        <v>Kayla Van Zyl</v>
      </c>
      <c r="AZ33" s="175"/>
      <c r="BA33" s="1104">
        <v>9</v>
      </c>
      <c r="BB33" s="1105" t="s">
        <v>4337</v>
      </c>
      <c r="BC33" s="177">
        <f>'Team 8'!F30</f>
        <v>0</v>
      </c>
      <c r="BD33" s="177">
        <f>'Team 8'!G30</f>
        <v>0</v>
      </c>
      <c r="BE33" s="175" t="str">
        <f t="shared" si="7"/>
        <v>0 0</v>
      </c>
      <c r="BF33" s="175"/>
      <c r="BG33" s="1104">
        <v>9</v>
      </c>
      <c r="BH33" s="1105" t="s">
        <v>4337</v>
      </c>
      <c r="BI33" s="177">
        <f>'Team 9'!F30</f>
        <v>0</v>
      </c>
      <c r="BJ33" s="177">
        <f>'Team 9'!G30</f>
        <v>0</v>
      </c>
      <c r="BK33" s="175" t="str">
        <f t="shared" si="8"/>
        <v>0 0</v>
      </c>
      <c r="BL33" s="175"/>
      <c r="BM33" s="1104">
        <v>9</v>
      </c>
      <c r="BN33" s="1105" t="s">
        <v>4337</v>
      </c>
      <c r="BO33" s="177">
        <f>'Team 10'!F30</f>
        <v>0</v>
      </c>
      <c r="BP33" s="177">
        <f>'Team 10'!G30</f>
        <v>0</v>
      </c>
      <c r="BQ33" s="175" t="str">
        <f t="shared" si="9"/>
        <v>0 0</v>
      </c>
      <c r="BR33" s="175"/>
      <c r="BS33" s="180"/>
    </row>
    <row r="34" spans="1:71" s="179" customFormat="1" ht="21" customHeight="1" x14ac:dyDescent="0.3">
      <c r="A34" s="189"/>
      <c r="B34" s="186"/>
      <c r="C34" s="186"/>
      <c r="D34" s="182"/>
      <c r="E34" s="182"/>
      <c r="F34" s="182"/>
      <c r="G34" s="182"/>
      <c r="H34" s="182"/>
      <c r="I34" s="188"/>
      <c r="J34" s="182"/>
      <c r="K34" s="1104"/>
      <c r="L34" s="1105"/>
      <c r="M34" s="174" t="str">
        <f>'Team 1'!F31</f>
        <v>Amy</v>
      </c>
      <c r="N34" s="174" t="str">
        <f>'Team 1'!G31</f>
        <v>Hanson</v>
      </c>
      <c r="O34" s="175" t="str">
        <f t="shared" si="0"/>
        <v>Amy Hanson</v>
      </c>
      <c r="P34" s="175"/>
      <c r="Q34" s="1104"/>
      <c r="R34" s="1105"/>
      <c r="S34" s="174" t="str">
        <f>'Team 2'!F31</f>
        <v>Daisy</v>
      </c>
      <c r="T34" s="174" t="str">
        <f>'Team 2'!G31</f>
        <v>Harradine</v>
      </c>
      <c r="U34" s="175" t="str">
        <f t="shared" si="1"/>
        <v>Daisy Harradine</v>
      </c>
      <c r="V34" s="175"/>
      <c r="W34" s="1104"/>
      <c r="X34" s="1105"/>
      <c r="Y34" s="174" t="str">
        <f>'Team 3'!F31</f>
        <v>Molly</v>
      </c>
      <c r="Z34" s="174" t="str">
        <f>'Team 3'!G31</f>
        <v>Bartup</v>
      </c>
      <c r="AA34" s="175" t="str">
        <f t="shared" si="2"/>
        <v>Molly Bartup</v>
      </c>
      <c r="AB34" s="175"/>
      <c r="AC34" s="1104"/>
      <c r="AD34" s="1105"/>
      <c r="AE34" s="174" t="str">
        <f>'Team 4'!F31</f>
        <v>LIBBY</v>
      </c>
      <c r="AF34" s="174" t="str">
        <f>'Team 4'!G31</f>
        <v>BLISSETT</v>
      </c>
      <c r="AG34" s="175" t="str">
        <f t="shared" si="3"/>
        <v>LIBBY BLISSETT</v>
      </c>
      <c r="AH34" s="174"/>
      <c r="AI34" s="1104"/>
      <c r="AJ34" s="1105"/>
      <c r="AK34" s="174" t="str">
        <f>'Team 5'!F31</f>
        <v>Marcie</v>
      </c>
      <c r="AL34" s="174" t="str">
        <f>'Team 5'!G31</f>
        <v>Aley</v>
      </c>
      <c r="AM34" s="175" t="str">
        <f t="shared" si="4"/>
        <v>Marcie Aley</v>
      </c>
      <c r="AN34" s="175"/>
      <c r="AO34" s="1104"/>
      <c r="AP34" s="1105"/>
      <c r="AQ34" s="177" t="str">
        <f>'Team 6'!F31</f>
        <v xml:space="preserve">Alice </v>
      </c>
      <c r="AR34" s="177" t="str">
        <f>'Team 6'!G31</f>
        <v>Sharrock</v>
      </c>
      <c r="AS34" s="175" t="str">
        <f t="shared" si="5"/>
        <v>Alice  Sharrock</v>
      </c>
      <c r="AT34" s="175"/>
      <c r="AU34" s="1104"/>
      <c r="AV34" s="1105"/>
      <c r="AW34" s="177" t="str">
        <f>'Team 7'!F31</f>
        <v>Keira</v>
      </c>
      <c r="AX34" s="177" t="str">
        <f>'Team 7'!G31</f>
        <v>Brannigan</v>
      </c>
      <c r="AY34" s="175" t="str">
        <f t="shared" si="6"/>
        <v>Keira Brannigan</v>
      </c>
      <c r="AZ34" s="175"/>
      <c r="BA34" s="1104"/>
      <c r="BB34" s="1105"/>
      <c r="BC34" s="177">
        <f>'Team 8'!F31</f>
        <v>0</v>
      </c>
      <c r="BD34" s="177">
        <f>'Team 8'!G31</f>
        <v>0</v>
      </c>
      <c r="BE34" s="175" t="str">
        <f t="shared" si="7"/>
        <v>0 0</v>
      </c>
      <c r="BF34" s="175"/>
      <c r="BG34" s="1104"/>
      <c r="BH34" s="1105"/>
      <c r="BI34" s="177">
        <f>'Team 9'!F31</f>
        <v>0</v>
      </c>
      <c r="BJ34" s="177">
        <f>'Team 9'!G31</f>
        <v>0</v>
      </c>
      <c r="BK34" s="175" t="str">
        <f t="shared" si="8"/>
        <v>0 0</v>
      </c>
      <c r="BL34" s="175"/>
      <c r="BM34" s="1104"/>
      <c r="BN34" s="1105"/>
      <c r="BO34" s="177">
        <f>'Team 10'!F31</f>
        <v>0</v>
      </c>
      <c r="BP34" s="177">
        <f>'Team 10'!G31</f>
        <v>0</v>
      </c>
      <c r="BQ34" s="175" t="str">
        <f t="shared" si="9"/>
        <v>0 0</v>
      </c>
      <c r="BR34" s="175"/>
      <c r="BS34" s="180"/>
    </row>
    <row r="35" spans="1:71" s="179" customFormat="1" ht="21" customHeight="1" x14ac:dyDescent="0.3">
      <c r="A35" s="189"/>
      <c r="B35" s="186"/>
      <c r="C35" s="186"/>
      <c r="D35" s="182"/>
      <c r="E35" s="182"/>
      <c r="F35" s="182"/>
      <c r="G35" s="182"/>
      <c r="H35" s="182"/>
      <c r="I35" s="188"/>
      <c r="J35" s="182"/>
      <c r="K35" s="1104"/>
      <c r="L35" s="1105"/>
      <c r="M35" s="174" t="str">
        <f>'Team 1'!F32</f>
        <v>Charlotte</v>
      </c>
      <c r="N35" s="174" t="str">
        <f>'Team 1'!G32</f>
        <v>Skinner</v>
      </c>
      <c r="O35" s="175" t="str">
        <f t="shared" si="0"/>
        <v>Charlotte Skinner</v>
      </c>
      <c r="P35" s="175"/>
      <c r="Q35" s="1104"/>
      <c r="R35" s="1105"/>
      <c r="S35" s="174" t="str">
        <f>'Team 2'!F32</f>
        <v>Madeleine</v>
      </c>
      <c r="T35" s="174" t="str">
        <f>'Team 2'!G32</f>
        <v>Bailiss</v>
      </c>
      <c r="U35" s="175" t="str">
        <f t="shared" si="1"/>
        <v>Madeleine Bailiss</v>
      </c>
      <c r="V35" s="175"/>
      <c r="W35" s="1104"/>
      <c r="X35" s="1105"/>
      <c r="Y35" s="174" t="str">
        <f>'Team 3'!F32</f>
        <v>Sophie</v>
      </c>
      <c r="Z35" s="174" t="str">
        <f>'Team 3'!G32</f>
        <v>Clark</v>
      </c>
      <c r="AA35" s="175" t="str">
        <f t="shared" si="2"/>
        <v>Sophie Clark</v>
      </c>
      <c r="AB35" s="175"/>
      <c r="AC35" s="1104"/>
      <c r="AD35" s="1105"/>
      <c r="AE35" s="174" t="str">
        <f>'Team 4'!F32</f>
        <v>HANNAH</v>
      </c>
      <c r="AF35" s="174" t="str">
        <f>'Team 4'!G32</f>
        <v>BOLTON</v>
      </c>
      <c r="AG35" s="175" t="str">
        <f t="shared" si="3"/>
        <v>HANNAH BOLTON</v>
      </c>
      <c r="AH35" s="174"/>
      <c r="AI35" s="1104"/>
      <c r="AJ35" s="1105"/>
      <c r="AK35" s="174" t="str">
        <f>'Team 5'!F32</f>
        <v>Kathryn</v>
      </c>
      <c r="AL35" s="174" t="str">
        <f>'Team 5'!G32</f>
        <v>Edwards</v>
      </c>
      <c r="AM35" s="175" t="str">
        <f t="shared" si="4"/>
        <v>Kathryn Edwards</v>
      </c>
      <c r="AN35" s="175"/>
      <c r="AO35" s="1104"/>
      <c r="AP35" s="1105"/>
      <c r="AQ35" s="177" t="str">
        <f>'Team 6'!F32</f>
        <v>Mina</v>
      </c>
      <c r="AR35" s="177" t="str">
        <f>'Team 6'!G32</f>
        <v>Safahe</v>
      </c>
      <c r="AS35" s="175" t="str">
        <f t="shared" si="5"/>
        <v>Mina Safahe</v>
      </c>
      <c r="AT35" s="175"/>
      <c r="AU35" s="1104"/>
      <c r="AV35" s="1105"/>
      <c r="AW35" s="177" t="str">
        <f>'Team 7'!F32</f>
        <v>Laura</v>
      </c>
      <c r="AX35" s="177" t="str">
        <f>'Team 7'!G32</f>
        <v>Hibberd</v>
      </c>
      <c r="AY35" s="175" t="str">
        <f t="shared" si="6"/>
        <v>Laura Hibberd</v>
      </c>
      <c r="AZ35" s="175"/>
      <c r="BA35" s="1104"/>
      <c r="BB35" s="1105"/>
      <c r="BC35" s="177">
        <f>'Team 8'!F32</f>
        <v>0</v>
      </c>
      <c r="BD35" s="177">
        <f>'Team 8'!G32</f>
        <v>0</v>
      </c>
      <c r="BE35" s="175" t="str">
        <f t="shared" si="7"/>
        <v>0 0</v>
      </c>
      <c r="BF35" s="175"/>
      <c r="BG35" s="1104"/>
      <c r="BH35" s="1105"/>
      <c r="BI35" s="177">
        <f>'Team 9'!F32</f>
        <v>0</v>
      </c>
      <c r="BJ35" s="177">
        <f>'Team 9'!G32</f>
        <v>0</v>
      </c>
      <c r="BK35" s="175" t="str">
        <f t="shared" si="8"/>
        <v>0 0</v>
      </c>
      <c r="BL35" s="175"/>
      <c r="BM35" s="1104"/>
      <c r="BN35" s="1105"/>
      <c r="BO35" s="177">
        <f>'Team 10'!F32</f>
        <v>0</v>
      </c>
      <c r="BP35" s="177">
        <f>'Team 10'!G32</f>
        <v>0</v>
      </c>
      <c r="BQ35" s="175" t="str">
        <f t="shared" si="9"/>
        <v>0 0</v>
      </c>
      <c r="BR35" s="175"/>
      <c r="BS35" s="180"/>
    </row>
    <row r="36" spans="1:71" s="179" customFormat="1" ht="21" customHeight="1" x14ac:dyDescent="0.3">
      <c r="A36" s="189"/>
      <c r="B36" s="186"/>
      <c r="C36" s="186"/>
      <c r="D36" s="182"/>
      <c r="E36" s="182"/>
      <c r="F36" s="182"/>
      <c r="G36" s="182"/>
      <c r="H36" s="182"/>
      <c r="I36" s="188"/>
      <c r="J36" s="182"/>
      <c r="K36" s="1104"/>
      <c r="L36" s="1105"/>
      <c r="M36" s="174" t="str">
        <f>'Team 1'!F33</f>
        <v>Maja</v>
      </c>
      <c r="N36" s="174" t="str">
        <f>'Team 1'!G33</f>
        <v>Grzybek</v>
      </c>
      <c r="O36" s="175" t="str">
        <f t="shared" si="0"/>
        <v>Maja Grzybek</v>
      </c>
      <c r="P36" s="175"/>
      <c r="Q36" s="1104"/>
      <c r="R36" s="1105"/>
      <c r="S36" s="174" t="str">
        <f>'Team 2'!F33</f>
        <v>Sophie</v>
      </c>
      <c r="T36" s="174" t="str">
        <f>'Team 2'!G33</f>
        <v>Stelmach</v>
      </c>
      <c r="U36" s="175" t="str">
        <f t="shared" si="1"/>
        <v>Sophie Stelmach</v>
      </c>
      <c r="V36" s="175"/>
      <c r="W36" s="1104"/>
      <c r="X36" s="1105"/>
      <c r="Y36" s="174" t="str">
        <f>'Team 3'!F33</f>
        <v>Jessica</v>
      </c>
      <c r="Z36" s="174" t="str">
        <f>'Team 3'!G33</f>
        <v>MacKenzie</v>
      </c>
      <c r="AA36" s="175" t="str">
        <f t="shared" si="2"/>
        <v>Jessica MacKenzie</v>
      </c>
      <c r="AB36" s="175"/>
      <c r="AC36" s="1104"/>
      <c r="AD36" s="1105"/>
      <c r="AE36" s="174" t="str">
        <f>'Team 4'!F33</f>
        <v>AMBER</v>
      </c>
      <c r="AF36" s="174" t="str">
        <f>'Team 4'!G33</f>
        <v>CURTIS</v>
      </c>
      <c r="AG36" s="175" t="str">
        <f t="shared" si="3"/>
        <v>AMBER CURTIS</v>
      </c>
      <c r="AH36" s="174"/>
      <c r="AI36" s="1104"/>
      <c r="AJ36" s="1105"/>
      <c r="AK36" s="174" t="str">
        <f>'Team 5'!F33</f>
        <v>Lily</v>
      </c>
      <c r="AL36" s="174" t="str">
        <f>'Team 5'!G33</f>
        <v>Threadgold</v>
      </c>
      <c r="AM36" s="175" t="str">
        <f t="shared" si="4"/>
        <v>Lily Threadgold</v>
      </c>
      <c r="AN36" s="175"/>
      <c r="AO36" s="1104"/>
      <c r="AP36" s="1105"/>
      <c r="AQ36" s="177" t="str">
        <f>'Team 6'!F33</f>
        <v xml:space="preserve">Crina Stefania </v>
      </c>
      <c r="AR36" s="177" t="str">
        <f>'Team 6'!G33</f>
        <v>Bostan</v>
      </c>
      <c r="AS36" s="175" t="str">
        <f t="shared" si="5"/>
        <v>Crina Stefania  Bostan</v>
      </c>
      <c r="AT36" s="175"/>
      <c r="AU36" s="1104"/>
      <c r="AV36" s="1105"/>
      <c r="AW36" s="177" t="str">
        <f>'Team 7'!F33</f>
        <v>Aoife</v>
      </c>
      <c r="AX36" s="177" t="str">
        <f>'Team 7'!G33</f>
        <v>O'Leary</v>
      </c>
      <c r="AY36" s="175" t="str">
        <f t="shared" si="6"/>
        <v>Aoife O'Leary</v>
      </c>
      <c r="AZ36" s="175"/>
      <c r="BA36" s="1104"/>
      <c r="BB36" s="1105"/>
      <c r="BC36" s="177">
        <f>'Team 8'!F33</f>
        <v>0</v>
      </c>
      <c r="BD36" s="177">
        <f>'Team 8'!G33</f>
        <v>0</v>
      </c>
      <c r="BE36" s="175" t="str">
        <f t="shared" si="7"/>
        <v>0 0</v>
      </c>
      <c r="BF36" s="175"/>
      <c r="BG36" s="1104"/>
      <c r="BH36" s="1105"/>
      <c r="BI36" s="177">
        <f>'Team 9'!F33</f>
        <v>0</v>
      </c>
      <c r="BJ36" s="177">
        <f>'Team 9'!G33</f>
        <v>0</v>
      </c>
      <c r="BK36" s="175" t="str">
        <f t="shared" si="8"/>
        <v>0 0</v>
      </c>
      <c r="BL36" s="175"/>
      <c r="BM36" s="1104"/>
      <c r="BN36" s="1105"/>
      <c r="BO36" s="177">
        <f>'Team 10'!F33</f>
        <v>0</v>
      </c>
      <c r="BP36" s="177">
        <f>'Team 10'!G33</f>
        <v>0</v>
      </c>
      <c r="BQ36" s="175" t="str">
        <f t="shared" si="9"/>
        <v>0 0</v>
      </c>
      <c r="BR36" s="175"/>
      <c r="BS36" s="180"/>
    </row>
    <row r="37" spans="1:71" s="179" customFormat="1" ht="21" customHeight="1" x14ac:dyDescent="0.3">
      <c r="A37" s="189"/>
      <c r="B37" s="186"/>
      <c r="C37" s="186"/>
      <c r="D37" s="182"/>
      <c r="E37" s="182"/>
      <c r="F37" s="182"/>
      <c r="G37" s="182"/>
      <c r="H37" s="182"/>
      <c r="I37" s="188"/>
      <c r="J37" s="182"/>
      <c r="K37" s="1104">
        <v>10</v>
      </c>
      <c r="L37" s="1105" t="s">
        <v>4338</v>
      </c>
      <c r="M37" s="174" t="str">
        <f>'Team 1'!F34</f>
        <v>Zalan</v>
      </c>
      <c r="N37" s="174" t="str">
        <f>'Team 1'!G34</f>
        <v>Tornay</v>
      </c>
      <c r="O37" s="175" t="str">
        <f t="shared" si="0"/>
        <v>Zalan Tornay</v>
      </c>
      <c r="P37" s="175"/>
      <c r="Q37" s="1104">
        <v>10</v>
      </c>
      <c r="R37" s="1105" t="s">
        <v>4338</v>
      </c>
      <c r="S37" s="174" t="str">
        <f>'Team 2'!F34</f>
        <v>Matthew</v>
      </c>
      <c r="T37" s="174" t="str">
        <f>'Team 2'!G34</f>
        <v>Costello</v>
      </c>
      <c r="U37" s="175" t="str">
        <f t="shared" si="1"/>
        <v>Matthew Costello</v>
      </c>
      <c r="V37" s="175"/>
      <c r="W37" s="1104">
        <v>10</v>
      </c>
      <c r="X37" s="1105" t="s">
        <v>4338</v>
      </c>
      <c r="Y37" s="174" t="str">
        <f>'Team 3'!F34</f>
        <v>Charlie</v>
      </c>
      <c r="Z37" s="174" t="str">
        <f>'Team 3'!G34</f>
        <v>Cropley</v>
      </c>
      <c r="AA37" s="175" t="str">
        <f t="shared" si="2"/>
        <v>Charlie Cropley</v>
      </c>
      <c r="AB37" s="175"/>
      <c r="AC37" s="1104">
        <v>10</v>
      </c>
      <c r="AD37" s="1105" t="s">
        <v>4338</v>
      </c>
      <c r="AE37" s="174" t="str">
        <f>'Team 4'!F34</f>
        <v>MATTHEW</v>
      </c>
      <c r="AF37" s="174" t="str">
        <f>'Team 4'!G34</f>
        <v>MASTERS</v>
      </c>
      <c r="AG37" s="175" t="str">
        <f t="shared" si="3"/>
        <v>MATTHEW MASTERS</v>
      </c>
      <c r="AH37" s="174"/>
      <c r="AI37" s="1104">
        <v>10</v>
      </c>
      <c r="AJ37" s="1105" t="s">
        <v>4338</v>
      </c>
      <c r="AK37" s="174" t="str">
        <f>'Team 5'!F34</f>
        <v>Jamie</v>
      </c>
      <c r="AL37" s="174" t="str">
        <f>'Team 5'!G34</f>
        <v>Hartnup</v>
      </c>
      <c r="AM37" s="175" t="str">
        <f t="shared" si="4"/>
        <v>Jamie Hartnup</v>
      </c>
      <c r="AN37" s="175"/>
      <c r="AO37" s="1104">
        <v>10</v>
      </c>
      <c r="AP37" s="1105" t="s">
        <v>4338</v>
      </c>
      <c r="AQ37" s="177" t="str">
        <f>'Team 6'!F34</f>
        <v>Razvan</v>
      </c>
      <c r="AR37" s="177" t="str">
        <f>'Team 6'!G34</f>
        <v>Lembac</v>
      </c>
      <c r="AS37" s="175" t="str">
        <f t="shared" si="5"/>
        <v>Razvan Lembac</v>
      </c>
      <c r="AT37" s="175"/>
      <c r="AU37" s="1104">
        <v>10</v>
      </c>
      <c r="AV37" s="1105" t="s">
        <v>4338</v>
      </c>
      <c r="AW37" s="177" t="str">
        <f>'Team 7'!F34</f>
        <v>Tsz Kwai</v>
      </c>
      <c r="AX37" s="177" t="str">
        <f>'Team 7'!G34</f>
        <v>Chan</v>
      </c>
      <c r="AY37" s="175" t="str">
        <f t="shared" si="6"/>
        <v>Tsz Kwai Chan</v>
      </c>
      <c r="AZ37" s="175"/>
      <c r="BA37" s="1104">
        <v>10</v>
      </c>
      <c r="BB37" s="1105" t="s">
        <v>4338</v>
      </c>
      <c r="BC37" s="177">
        <f>'Team 8'!F34</f>
        <v>0</v>
      </c>
      <c r="BD37" s="177">
        <f>'Team 8'!G34</f>
        <v>0</v>
      </c>
      <c r="BE37" s="175" t="str">
        <f t="shared" si="7"/>
        <v>0 0</v>
      </c>
      <c r="BF37" s="175"/>
      <c r="BG37" s="1104">
        <v>10</v>
      </c>
      <c r="BH37" s="1105" t="s">
        <v>4338</v>
      </c>
      <c r="BI37" s="177">
        <f>'Team 9'!F34</f>
        <v>0</v>
      </c>
      <c r="BJ37" s="177">
        <f>'Team 9'!G34</f>
        <v>0</v>
      </c>
      <c r="BK37" s="175" t="str">
        <f t="shared" si="8"/>
        <v>0 0</v>
      </c>
      <c r="BL37" s="175"/>
      <c r="BM37" s="1104">
        <v>10</v>
      </c>
      <c r="BN37" s="1105" t="s">
        <v>4338</v>
      </c>
      <c r="BO37" s="177">
        <f>'Team 10'!F34</f>
        <v>0</v>
      </c>
      <c r="BP37" s="177">
        <f>'Team 10'!G34</f>
        <v>0</v>
      </c>
      <c r="BQ37" s="175" t="str">
        <f t="shared" si="9"/>
        <v>0 0</v>
      </c>
      <c r="BR37" s="175"/>
      <c r="BS37" s="180"/>
    </row>
    <row r="38" spans="1:71" s="179" customFormat="1" ht="21" customHeight="1" x14ac:dyDescent="0.3">
      <c r="A38" s="189"/>
      <c r="B38" s="186"/>
      <c r="C38" s="186"/>
      <c r="D38" s="182"/>
      <c r="E38" s="182"/>
      <c r="F38" s="182"/>
      <c r="G38" s="182"/>
      <c r="H38" s="182"/>
      <c r="I38" s="188"/>
      <c r="J38" s="182"/>
      <c r="K38" s="1104"/>
      <c r="L38" s="1105"/>
      <c r="M38" s="174" t="str">
        <f>'Team 1'!F35</f>
        <v>Michael</v>
      </c>
      <c r="N38" s="174" t="str">
        <f>'Team 1'!G35</f>
        <v>Manassero</v>
      </c>
      <c r="O38" s="175" t="str">
        <f t="shared" si="0"/>
        <v>Michael Manassero</v>
      </c>
      <c r="P38" s="175"/>
      <c r="Q38" s="1104"/>
      <c r="R38" s="1105"/>
      <c r="S38" s="174" t="str">
        <f>'Team 2'!F35</f>
        <v>Samuel</v>
      </c>
      <c r="T38" s="174" t="str">
        <f>'Team 2'!G35</f>
        <v>Heraty</v>
      </c>
      <c r="U38" s="175" t="str">
        <f t="shared" si="1"/>
        <v>Samuel Heraty</v>
      </c>
      <c r="V38" s="175"/>
      <c r="W38" s="1104"/>
      <c r="X38" s="1105"/>
      <c r="Y38" s="174" t="str">
        <f>'Team 3'!F35</f>
        <v>George</v>
      </c>
      <c r="Z38" s="174" t="str">
        <f>'Team 3'!G35</f>
        <v>Lovelock</v>
      </c>
      <c r="AA38" s="175" t="str">
        <f t="shared" si="2"/>
        <v>George Lovelock</v>
      </c>
      <c r="AB38" s="175"/>
      <c r="AC38" s="1104"/>
      <c r="AD38" s="1105"/>
      <c r="AE38" s="174" t="str">
        <f>'Team 4'!F35</f>
        <v>MAX</v>
      </c>
      <c r="AF38" s="174" t="str">
        <f>'Team 4'!G35</f>
        <v>WALLER</v>
      </c>
      <c r="AG38" s="175" t="str">
        <f t="shared" si="3"/>
        <v>MAX WALLER</v>
      </c>
      <c r="AH38" s="174"/>
      <c r="AI38" s="1104"/>
      <c r="AJ38" s="1105"/>
      <c r="AK38" s="174" t="str">
        <f>'Team 5'!F35</f>
        <v>Robert</v>
      </c>
      <c r="AL38" s="174" t="str">
        <f>'Team 5'!G35</f>
        <v>Elliston</v>
      </c>
      <c r="AM38" s="175" t="str">
        <f t="shared" si="4"/>
        <v>Robert Elliston</v>
      </c>
      <c r="AN38" s="175"/>
      <c r="AO38" s="1104"/>
      <c r="AP38" s="1105"/>
      <c r="AQ38" s="177" t="str">
        <f>'Team 6'!F35</f>
        <v>Dawid</v>
      </c>
      <c r="AR38" s="177" t="str">
        <f>'Team 6'!G35</f>
        <v>Otulak</v>
      </c>
      <c r="AS38" s="175" t="str">
        <f t="shared" si="5"/>
        <v>Dawid Otulak</v>
      </c>
      <c r="AT38" s="175"/>
      <c r="AU38" s="1104"/>
      <c r="AV38" s="1105"/>
      <c r="AW38" s="177" t="str">
        <f>'Team 7'!F35</f>
        <v>Andrew</v>
      </c>
      <c r="AX38" s="177" t="str">
        <f>'Team 7'!G35</f>
        <v>May</v>
      </c>
      <c r="AY38" s="175" t="str">
        <f t="shared" si="6"/>
        <v>Andrew May</v>
      </c>
      <c r="AZ38" s="175"/>
      <c r="BA38" s="1104"/>
      <c r="BB38" s="1105"/>
      <c r="BC38" s="177">
        <f>'Team 8'!F35</f>
        <v>0</v>
      </c>
      <c r="BD38" s="177">
        <f>'Team 8'!G35</f>
        <v>0</v>
      </c>
      <c r="BE38" s="175" t="str">
        <f t="shared" si="7"/>
        <v>0 0</v>
      </c>
      <c r="BF38" s="175"/>
      <c r="BG38" s="1104"/>
      <c r="BH38" s="1105"/>
      <c r="BI38" s="177">
        <f>'Team 9'!F35</f>
        <v>0</v>
      </c>
      <c r="BJ38" s="177">
        <f>'Team 9'!G35</f>
        <v>0</v>
      </c>
      <c r="BK38" s="175" t="str">
        <f t="shared" si="8"/>
        <v>0 0</v>
      </c>
      <c r="BL38" s="175"/>
      <c r="BM38" s="1104"/>
      <c r="BN38" s="1105"/>
      <c r="BO38" s="177">
        <f>'Team 10'!F35</f>
        <v>0</v>
      </c>
      <c r="BP38" s="177">
        <f>'Team 10'!G35</f>
        <v>0</v>
      </c>
      <c r="BQ38" s="175" t="str">
        <f t="shared" si="9"/>
        <v>0 0</v>
      </c>
      <c r="BR38" s="175"/>
      <c r="BS38" s="180"/>
    </row>
    <row r="39" spans="1:71" s="179" customFormat="1" ht="21" customHeight="1" x14ac:dyDescent="0.3">
      <c r="A39" s="189"/>
      <c r="B39" s="186"/>
      <c r="C39" s="186"/>
      <c r="D39" s="182"/>
      <c r="E39" s="182"/>
      <c r="F39" s="182"/>
      <c r="G39" s="182"/>
      <c r="H39" s="182"/>
      <c r="I39" s="188"/>
      <c r="J39" s="182"/>
      <c r="K39" s="1104"/>
      <c r="L39" s="1105"/>
      <c r="M39" s="174" t="str">
        <f>'Team 1'!F36</f>
        <v>James</v>
      </c>
      <c r="N39" s="174" t="str">
        <f>'Team 1'!G36</f>
        <v>Smeaton</v>
      </c>
      <c r="O39" s="175" t="str">
        <f t="shared" ref="O39:O70" si="10">CONCATENATE(M39, " ",N39)</f>
        <v>James Smeaton</v>
      </c>
      <c r="P39" s="175"/>
      <c r="Q39" s="1104"/>
      <c r="R39" s="1105"/>
      <c r="S39" s="174" t="str">
        <f>'Team 2'!F36</f>
        <v>Daniel</v>
      </c>
      <c r="T39" s="174" t="str">
        <f>'Team 2'!G36</f>
        <v>Humphreys</v>
      </c>
      <c r="U39" s="175" t="str">
        <f t="shared" ref="U39:U70" si="11">CONCATENATE(S39, " ",T39)</f>
        <v>Daniel Humphreys</v>
      </c>
      <c r="V39" s="175"/>
      <c r="W39" s="1104"/>
      <c r="X39" s="1105"/>
      <c r="Y39" s="174" t="str">
        <f>'Team 3'!F36</f>
        <v>Luke</v>
      </c>
      <c r="Z39" s="174" t="str">
        <f>'Team 3'!G36</f>
        <v>Morley</v>
      </c>
      <c r="AA39" s="175" t="str">
        <f t="shared" ref="AA39:AA70" si="12">CONCATENATE(Y39, " ",Z39)</f>
        <v>Luke Morley</v>
      </c>
      <c r="AB39" s="175"/>
      <c r="AC39" s="1104"/>
      <c r="AD39" s="1105"/>
      <c r="AE39" s="174" t="str">
        <f>'Team 4'!F36</f>
        <v>ELLIS</v>
      </c>
      <c r="AF39" s="174" t="str">
        <f>'Team 4'!G36</f>
        <v>BUNCE</v>
      </c>
      <c r="AG39" s="175" t="str">
        <f t="shared" ref="AG39:AG70" si="13">CONCATENATE(AE39, " ",AF39)</f>
        <v>ELLIS BUNCE</v>
      </c>
      <c r="AH39" s="174"/>
      <c r="AI39" s="1104"/>
      <c r="AJ39" s="1105"/>
      <c r="AK39" s="174" t="str">
        <f>'Team 5'!F36</f>
        <v>Oliver</v>
      </c>
      <c r="AL39" s="174" t="str">
        <f>'Team 5'!G36</f>
        <v>Murray</v>
      </c>
      <c r="AM39" s="175" t="str">
        <f t="shared" ref="AM39:AM70" si="14">CONCATENATE(AK39, " ",AL39)</f>
        <v>Oliver Murray</v>
      </c>
      <c r="AN39" s="175"/>
      <c r="AO39" s="1104"/>
      <c r="AP39" s="1105"/>
      <c r="AQ39" s="177" t="str">
        <f>'Team 6'!F36</f>
        <v>Shanil</v>
      </c>
      <c r="AR39" s="177" t="str">
        <f>'Team 6'!G36</f>
        <v>Ramaiya</v>
      </c>
      <c r="AS39" s="175" t="str">
        <f t="shared" ref="AS39:AS70" si="15">CONCATENATE(AQ39, " ",AR39)</f>
        <v>Shanil Ramaiya</v>
      </c>
      <c r="AT39" s="175"/>
      <c r="AU39" s="1104"/>
      <c r="AV39" s="1105"/>
      <c r="AW39" s="177" t="str">
        <f>'Team 7'!F36</f>
        <v>Liam</v>
      </c>
      <c r="AX39" s="177" t="str">
        <f>'Team 7'!G36</f>
        <v>Treanor</v>
      </c>
      <c r="AY39" s="175" t="str">
        <f t="shared" ref="AY39:AY70" si="16">CONCATENATE(AW39, " ",AX39)</f>
        <v>Liam Treanor</v>
      </c>
      <c r="AZ39" s="175"/>
      <c r="BA39" s="1104"/>
      <c r="BB39" s="1105"/>
      <c r="BC39" s="177">
        <f>'Team 8'!F36</f>
        <v>0</v>
      </c>
      <c r="BD39" s="177">
        <f>'Team 8'!G36</f>
        <v>0</v>
      </c>
      <c r="BE39" s="175" t="str">
        <f t="shared" ref="BE39:BE70" si="17">CONCATENATE(BC39, " ",BD39)</f>
        <v>0 0</v>
      </c>
      <c r="BF39" s="175"/>
      <c r="BG39" s="1104"/>
      <c r="BH39" s="1105"/>
      <c r="BI39" s="177">
        <f>'Team 9'!F36</f>
        <v>0</v>
      </c>
      <c r="BJ39" s="177">
        <f>'Team 9'!G36</f>
        <v>0</v>
      </c>
      <c r="BK39" s="175" t="str">
        <f t="shared" ref="BK39:BK70" si="18">CONCATENATE(BI39, " ",BJ39)</f>
        <v>0 0</v>
      </c>
      <c r="BL39" s="175"/>
      <c r="BM39" s="1104"/>
      <c r="BN39" s="1105"/>
      <c r="BO39" s="177">
        <f>'Team 10'!F36</f>
        <v>0</v>
      </c>
      <c r="BP39" s="177">
        <f>'Team 10'!G36</f>
        <v>0</v>
      </c>
      <c r="BQ39" s="175" t="str">
        <f t="shared" ref="BQ39:BQ70" si="19">CONCATENATE(BO39, " ",BP39)</f>
        <v>0 0</v>
      </c>
      <c r="BR39" s="175"/>
      <c r="BS39" s="180"/>
    </row>
    <row r="40" spans="1:71" s="179" customFormat="1" ht="21" customHeight="1" x14ac:dyDescent="0.3">
      <c r="A40" s="189"/>
      <c r="B40" s="186"/>
      <c r="C40" s="186"/>
      <c r="D40" s="182"/>
      <c r="E40" s="182"/>
      <c r="F40" s="182"/>
      <c r="G40" s="182"/>
      <c r="H40" s="182"/>
      <c r="I40" s="188"/>
      <c r="J40" s="182"/>
      <c r="K40" s="1104"/>
      <c r="L40" s="1105"/>
      <c r="M40" s="174" t="str">
        <f>'Team 1'!F37</f>
        <v>Gabriel</v>
      </c>
      <c r="N40" s="174" t="str">
        <f>'Team 1'!G37</f>
        <v>Bhonsle</v>
      </c>
      <c r="O40" s="175" t="str">
        <f t="shared" si="10"/>
        <v>Gabriel Bhonsle</v>
      </c>
      <c r="P40" s="175"/>
      <c r="Q40" s="1104"/>
      <c r="R40" s="1105"/>
      <c r="S40" s="174" t="str">
        <f>'Team 2'!F37</f>
        <v>Harry</v>
      </c>
      <c r="T40" s="174" t="str">
        <f>'Team 2'!G37</f>
        <v>Chapman</v>
      </c>
      <c r="U40" s="175" t="str">
        <f t="shared" si="11"/>
        <v>Harry Chapman</v>
      </c>
      <c r="V40" s="175"/>
      <c r="W40" s="1104"/>
      <c r="X40" s="1105"/>
      <c r="Y40" s="174" t="str">
        <f>'Team 3'!F37</f>
        <v>Ethan</v>
      </c>
      <c r="Z40" s="174" t="str">
        <f>'Team 3'!G37</f>
        <v>Saldanha</v>
      </c>
      <c r="AA40" s="175" t="str">
        <f t="shared" si="12"/>
        <v>Ethan Saldanha</v>
      </c>
      <c r="AB40" s="175"/>
      <c r="AC40" s="1104"/>
      <c r="AD40" s="1105"/>
      <c r="AE40" s="174" t="str">
        <f>'Team 4'!F37</f>
        <v>CHARLIE</v>
      </c>
      <c r="AF40" s="174" t="str">
        <f>'Team 4'!G37</f>
        <v>STARSMORE</v>
      </c>
      <c r="AG40" s="175" t="str">
        <f t="shared" si="13"/>
        <v>CHARLIE STARSMORE</v>
      </c>
      <c r="AH40" s="174"/>
      <c r="AI40" s="1104"/>
      <c r="AJ40" s="1105"/>
      <c r="AK40" s="174" t="str">
        <f>'Team 5'!F37</f>
        <v>Matthew</v>
      </c>
      <c r="AL40" s="174" t="str">
        <f>'Team 5'!G37</f>
        <v>Pack</v>
      </c>
      <c r="AM40" s="175" t="str">
        <f t="shared" si="14"/>
        <v>Matthew Pack</v>
      </c>
      <c r="AN40" s="175"/>
      <c r="AO40" s="1104"/>
      <c r="AP40" s="1105"/>
      <c r="AQ40" s="177" t="str">
        <f>'Team 6'!F37</f>
        <v>Wiktor</v>
      </c>
      <c r="AR40" s="177" t="str">
        <f>'Team 6'!G37</f>
        <v>Brejnak</v>
      </c>
      <c r="AS40" s="175" t="str">
        <f t="shared" si="15"/>
        <v>Wiktor Brejnak</v>
      </c>
      <c r="AT40" s="175"/>
      <c r="AU40" s="1104"/>
      <c r="AV40" s="1105"/>
      <c r="AW40" s="177" t="str">
        <f>'Team 7'!F37</f>
        <v>Aaron</v>
      </c>
      <c r="AX40" s="177" t="str">
        <f>'Team 7'!G37</f>
        <v>Skinner</v>
      </c>
      <c r="AY40" s="175" t="str">
        <f t="shared" si="16"/>
        <v>Aaron Skinner</v>
      </c>
      <c r="AZ40" s="175"/>
      <c r="BA40" s="1104"/>
      <c r="BB40" s="1105"/>
      <c r="BC40" s="177">
        <f>'Team 8'!F37</f>
        <v>0</v>
      </c>
      <c r="BD40" s="177">
        <f>'Team 8'!G37</f>
        <v>0</v>
      </c>
      <c r="BE40" s="175" t="str">
        <f t="shared" si="17"/>
        <v>0 0</v>
      </c>
      <c r="BF40" s="175"/>
      <c r="BG40" s="1104"/>
      <c r="BH40" s="1105"/>
      <c r="BI40" s="177">
        <f>'Team 9'!F37</f>
        <v>0</v>
      </c>
      <c r="BJ40" s="177">
        <f>'Team 9'!G37</f>
        <v>0</v>
      </c>
      <c r="BK40" s="175" t="str">
        <f t="shared" si="18"/>
        <v>0 0</v>
      </c>
      <c r="BL40" s="175"/>
      <c r="BM40" s="1104"/>
      <c r="BN40" s="1105"/>
      <c r="BO40" s="177">
        <f>'Team 10'!F37</f>
        <v>0</v>
      </c>
      <c r="BP40" s="177">
        <f>'Team 10'!G37</f>
        <v>0</v>
      </c>
      <c r="BQ40" s="175" t="str">
        <f t="shared" si="19"/>
        <v>0 0</v>
      </c>
      <c r="BR40" s="175"/>
      <c r="BS40" s="180"/>
    </row>
    <row r="41" spans="1:71" s="179" customFormat="1" ht="21" customHeight="1" x14ac:dyDescent="0.3">
      <c r="A41" s="189"/>
      <c r="B41" s="186"/>
      <c r="C41" s="186"/>
      <c r="D41" s="182"/>
      <c r="E41" s="182"/>
      <c r="F41" s="182"/>
      <c r="G41" s="182"/>
      <c r="H41" s="182"/>
      <c r="I41" s="188"/>
      <c r="J41" s="182"/>
      <c r="K41" s="172">
        <v>11</v>
      </c>
      <c r="L41" s="177" t="s">
        <v>4339</v>
      </c>
      <c r="M41" s="174" t="str">
        <f>'Team 1'!F38</f>
        <v>Eleanor</v>
      </c>
      <c r="N41" s="174" t="str">
        <f>'Team 1'!G38</f>
        <v>Skinner</v>
      </c>
      <c r="O41" s="175" t="str">
        <f t="shared" si="10"/>
        <v>Eleanor Skinner</v>
      </c>
      <c r="P41" s="176"/>
      <c r="Q41" s="172">
        <v>11</v>
      </c>
      <c r="R41" s="177" t="s">
        <v>4339</v>
      </c>
      <c r="S41" s="174" t="str">
        <f>'Team 2'!F38</f>
        <v>Esmae</v>
      </c>
      <c r="T41" s="174" t="str">
        <f>'Team 2'!G38</f>
        <v>Green</v>
      </c>
      <c r="U41" s="175" t="str">
        <f t="shared" si="11"/>
        <v>Esmae Green</v>
      </c>
      <c r="V41" s="176"/>
      <c r="W41" s="172">
        <v>11</v>
      </c>
      <c r="X41" s="177" t="s">
        <v>4339</v>
      </c>
      <c r="Y41" s="174" t="str">
        <f>'Team 3'!F38</f>
        <v>Hannah</v>
      </c>
      <c r="Z41" s="174" t="str">
        <f>'Team 3'!G38</f>
        <v>Jounor</v>
      </c>
      <c r="AA41" s="175" t="str">
        <f t="shared" si="12"/>
        <v>Hannah Jounor</v>
      </c>
      <c r="AB41" s="176"/>
      <c r="AC41" s="172">
        <v>11</v>
      </c>
      <c r="AD41" s="177" t="s">
        <v>4339</v>
      </c>
      <c r="AE41" s="174" t="str">
        <f>'Team 4'!F38</f>
        <v>CHELSEA</v>
      </c>
      <c r="AF41" s="174" t="str">
        <f>'Team 4'!G38</f>
        <v>DARE</v>
      </c>
      <c r="AG41" s="175" t="str">
        <f t="shared" si="13"/>
        <v>CHELSEA DARE</v>
      </c>
      <c r="AH41" s="174"/>
      <c r="AI41" s="172">
        <v>11</v>
      </c>
      <c r="AJ41" s="177" t="s">
        <v>4339</v>
      </c>
      <c r="AK41" s="174" t="str">
        <f>'Team 5'!F38</f>
        <v>Maisie</v>
      </c>
      <c r="AL41" s="174" t="str">
        <f>'Team 5'!G38</f>
        <v>Cooper</v>
      </c>
      <c r="AM41" s="175" t="str">
        <f t="shared" si="14"/>
        <v>Maisie Cooper</v>
      </c>
      <c r="AN41" s="176"/>
      <c r="AO41" s="172">
        <v>11</v>
      </c>
      <c r="AP41" s="177" t="s">
        <v>4339</v>
      </c>
      <c r="AQ41" s="177" t="str">
        <f>'Team 6'!F38</f>
        <v>Mahika</v>
      </c>
      <c r="AR41" s="177" t="str">
        <f>'Team 6'!G38</f>
        <v>Chandrashekar</v>
      </c>
      <c r="AS41" s="175" t="str">
        <f t="shared" si="15"/>
        <v>Mahika Chandrashekar</v>
      </c>
      <c r="AT41" s="176"/>
      <c r="AU41" s="172">
        <v>11</v>
      </c>
      <c r="AV41" s="177" t="s">
        <v>4339</v>
      </c>
      <c r="AW41" s="177" t="str">
        <f>'Team 7'!F38</f>
        <v>Zara</v>
      </c>
      <c r="AX41" s="177" t="str">
        <f>'Team 7'!G38</f>
        <v>Jobanputra</v>
      </c>
      <c r="AY41" s="175" t="str">
        <f t="shared" si="16"/>
        <v>Zara Jobanputra</v>
      </c>
      <c r="AZ41" s="176"/>
      <c r="BA41" s="172">
        <v>11</v>
      </c>
      <c r="BB41" s="177" t="s">
        <v>4339</v>
      </c>
      <c r="BC41" s="177">
        <f>'Team 8'!F38</f>
        <v>0</v>
      </c>
      <c r="BD41" s="177">
        <f>'Team 8'!G38</f>
        <v>0</v>
      </c>
      <c r="BE41" s="175" t="str">
        <f t="shared" si="17"/>
        <v>0 0</v>
      </c>
      <c r="BF41" s="176"/>
      <c r="BG41" s="172">
        <v>11</v>
      </c>
      <c r="BH41" s="177" t="s">
        <v>4339</v>
      </c>
      <c r="BI41" s="177">
        <f>'Team 9'!F38</f>
        <v>0</v>
      </c>
      <c r="BJ41" s="177">
        <f>'Team 9'!G38</f>
        <v>0</v>
      </c>
      <c r="BK41" s="175" t="str">
        <f t="shared" si="18"/>
        <v>0 0</v>
      </c>
      <c r="BL41" s="176"/>
      <c r="BM41" s="172">
        <v>11</v>
      </c>
      <c r="BN41" s="177" t="s">
        <v>4339</v>
      </c>
      <c r="BO41" s="177">
        <f>'Team 10'!F38</f>
        <v>0</v>
      </c>
      <c r="BP41" s="177">
        <f>'Team 10'!G38</f>
        <v>0</v>
      </c>
      <c r="BQ41" s="175" t="str">
        <f t="shared" si="19"/>
        <v>0 0</v>
      </c>
      <c r="BR41" s="176"/>
      <c r="BS41" s="180"/>
    </row>
    <row r="42" spans="1:71" s="179" customFormat="1" ht="21" customHeight="1" x14ac:dyDescent="0.3">
      <c r="A42" s="189"/>
      <c r="B42" s="186"/>
      <c r="C42" s="186"/>
      <c r="D42" s="182"/>
      <c r="E42" s="182"/>
      <c r="F42" s="182"/>
      <c r="G42" s="182"/>
      <c r="H42" s="182"/>
      <c r="I42" s="188"/>
      <c r="J42" s="182"/>
      <c r="K42" s="172">
        <v>12</v>
      </c>
      <c r="L42" s="177" t="s">
        <v>4340</v>
      </c>
      <c r="M42" s="174" t="str">
        <f>'Team 1'!F39</f>
        <v>Leonardo</v>
      </c>
      <c r="N42" s="174" t="str">
        <f>'Team 1'!G39</f>
        <v>Goad</v>
      </c>
      <c r="O42" s="175" t="str">
        <f t="shared" si="10"/>
        <v>Leonardo Goad</v>
      </c>
      <c r="P42" s="176"/>
      <c r="Q42" s="172">
        <v>12</v>
      </c>
      <c r="R42" s="177" t="s">
        <v>4340</v>
      </c>
      <c r="S42" s="174" t="str">
        <f>'Team 2'!F39</f>
        <v>James</v>
      </c>
      <c r="T42" s="174" t="str">
        <f>'Team 2'!G39</f>
        <v>Winter</v>
      </c>
      <c r="U42" s="175" t="str">
        <f t="shared" si="11"/>
        <v>James Winter</v>
      </c>
      <c r="V42" s="176"/>
      <c r="W42" s="172">
        <v>12</v>
      </c>
      <c r="X42" s="177" t="s">
        <v>4340</v>
      </c>
      <c r="Y42" s="174" t="str">
        <f>'Team 3'!F39</f>
        <v xml:space="preserve">Liam </v>
      </c>
      <c r="Z42" s="174" t="str">
        <f>'Team 3'!G39</f>
        <v>Thompson</v>
      </c>
      <c r="AA42" s="175" t="str">
        <f t="shared" si="12"/>
        <v>Liam  Thompson</v>
      </c>
      <c r="AB42" s="176"/>
      <c r="AC42" s="172">
        <v>12</v>
      </c>
      <c r="AD42" s="177" t="s">
        <v>4340</v>
      </c>
      <c r="AE42" s="174" t="str">
        <f>'Team 4'!F39</f>
        <v>SIMON</v>
      </c>
      <c r="AF42" s="174" t="str">
        <f>'Team 4'!G39</f>
        <v>ROSA</v>
      </c>
      <c r="AG42" s="175" t="str">
        <f t="shared" si="13"/>
        <v>SIMON ROSA</v>
      </c>
      <c r="AH42" s="174"/>
      <c r="AI42" s="172">
        <v>12</v>
      </c>
      <c r="AJ42" s="177" t="s">
        <v>4340</v>
      </c>
      <c r="AK42" s="174" t="str">
        <f>'Team 5'!F39</f>
        <v>Myron</v>
      </c>
      <c r="AL42" s="174" t="str">
        <f>'Team 5'!G39</f>
        <v>Young</v>
      </c>
      <c r="AM42" s="175" t="str">
        <f t="shared" si="14"/>
        <v>Myron Young</v>
      </c>
      <c r="AN42" s="176"/>
      <c r="AO42" s="172">
        <v>12</v>
      </c>
      <c r="AP42" s="177" t="s">
        <v>4340</v>
      </c>
      <c r="AQ42" s="177" t="str">
        <f>'Team 6'!F39</f>
        <v>Macsen</v>
      </c>
      <c r="AR42" s="177" t="str">
        <f>'Team 6'!G39</f>
        <v>Roberts</v>
      </c>
      <c r="AS42" s="175" t="str">
        <f t="shared" si="15"/>
        <v>Macsen Roberts</v>
      </c>
      <c r="AT42" s="176"/>
      <c r="AU42" s="172">
        <v>12</v>
      </c>
      <c r="AV42" s="177" t="s">
        <v>4340</v>
      </c>
      <c r="AW42" s="177" t="str">
        <f>'Team 7'!F39</f>
        <v>Christopher</v>
      </c>
      <c r="AX42" s="177" t="str">
        <f>'Team 7'!G39</f>
        <v>Li Mow Ching</v>
      </c>
      <c r="AY42" s="175" t="str">
        <f t="shared" si="16"/>
        <v>Christopher Li Mow Ching</v>
      </c>
      <c r="AZ42" s="176"/>
      <c r="BA42" s="172">
        <v>12</v>
      </c>
      <c r="BB42" s="177" t="s">
        <v>4340</v>
      </c>
      <c r="BC42" s="177">
        <f>'Team 8'!F39</f>
        <v>0</v>
      </c>
      <c r="BD42" s="177">
        <f>'Team 8'!G39</f>
        <v>0</v>
      </c>
      <c r="BE42" s="175" t="str">
        <f t="shared" si="17"/>
        <v>0 0</v>
      </c>
      <c r="BF42" s="176"/>
      <c r="BG42" s="172">
        <v>12</v>
      </c>
      <c r="BH42" s="177" t="s">
        <v>4340</v>
      </c>
      <c r="BI42" s="177">
        <f>'Team 9'!F39</f>
        <v>0</v>
      </c>
      <c r="BJ42" s="177">
        <f>'Team 9'!G39</f>
        <v>0</v>
      </c>
      <c r="BK42" s="175" t="str">
        <f t="shared" si="18"/>
        <v>0 0</v>
      </c>
      <c r="BL42" s="176"/>
      <c r="BM42" s="172">
        <v>12</v>
      </c>
      <c r="BN42" s="177" t="s">
        <v>4340</v>
      </c>
      <c r="BO42" s="177">
        <f>'Team 10'!F39</f>
        <v>0</v>
      </c>
      <c r="BP42" s="177">
        <f>'Team 10'!G39</f>
        <v>0</v>
      </c>
      <c r="BQ42" s="175" t="str">
        <f t="shared" si="19"/>
        <v>0 0</v>
      </c>
      <c r="BR42" s="176"/>
      <c r="BS42" s="180"/>
    </row>
    <row r="43" spans="1:71" s="179" customFormat="1" ht="21" customHeight="1" x14ac:dyDescent="0.3">
      <c r="A43" s="189"/>
      <c r="B43" s="186"/>
      <c r="C43" s="186"/>
      <c r="D43" s="182"/>
      <c r="E43" s="182"/>
      <c r="F43" s="182"/>
      <c r="G43" s="182"/>
      <c r="H43" s="182"/>
      <c r="I43" s="188"/>
      <c r="J43" s="182"/>
      <c r="K43" s="172">
        <v>13</v>
      </c>
      <c r="L43" s="177" t="s">
        <v>4341</v>
      </c>
      <c r="M43" s="174" t="str">
        <f>'Team 1'!F40</f>
        <v>Amy</v>
      </c>
      <c r="N43" s="174" t="str">
        <f>'Team 1'!G40</f>
        <v>Hanson</v>
      </c>
      <c r="O43" s="175" t="str">
        <f t="shared" si="10"/>
        <v>Amy Hanson</v>
      </c>
      <c r="P43" s="176"/>
      <c r="Q43" s="172">
        <v>13</v>
      </c>
      <c r="R43" s="177" t="s">
        <v>4341</v>
      </c>
      <c r="S43" s="174" t="str">
        <f>'Team 2'!F40</f>
        <v>Ruby</v>
      </c>
      <c r="T43" s="174" t="str">
        <f>'Team 2'!G40</f>
        <v>Whitby</v>
      </c>
      <c r="U43" s="175" t="str">
        <f t="shared" si="11"/>
        <v>Ruby Whitby</v>
      </c>
      <c r="V43" s="176"/>
      <c r="W43" s="172">
        <v>13</v>
      </c>
      <c r="X43" s="177" t="s">
        <v>4341</v>
      </c>
      <c r="Y43" s="174" t="str">
        <f>'Team 3'!F40</f>
        <v>Mia</v>
      </c>
      <c r="Z43" s="174" t="str">
        <f>'Team 3'!G40</f>
        <v>Nelson</v>
      </c>
      <c r="AA43" s="175" t="str">
        <f t="shared" si="12"/>
        <v>Mia Nelson</v>
      </c>
      <c r="AB43" s="176"/>
      <c r="AC43" s="172">
        <v>13</v>
      </c>
      <c r="AD43" s="177" t="s">
        <v>4341</v>
      </c>
      <c r="AE43" s="174" t="str">
        <f>'Team 4'!F40</f>
        <v>FRANCES</v>
      </c>
      <c r="AF43" s="174" t="str">
        <f>'Team 4'!G40</f>
        <v>STARSMORE</v>
      </c>
      <c r="AG43" s="175" t="str">
        <f t="shared" si="13"/>
        <v>FRANCES STARSMORE</v>
      </c>
      <c r="AH43" s="174"/>
      <c r="AI43" s="172">
        <v>13</v>
      </c>
      <c r="AJ43" s="177" t="s">
        <v>4341</v>
      </c>
      <c r="AK43" s="174" t="str">
        <f>'Team 5'!F40</f>
        <v>Isabelle</v>
      </c>
      <c r="AL43" s="174" t="str">
        <f>'Team 5'!G40</f>
        <v>Reeve</v>
      </c>
      <c r="AM43" s="175" t="str">
        <f t="shared" si="14"/>
        <v>Isabelle Reeve</v>
      </c>
      <c r="AN43" s="176"/>
      <c r="AO43" s="172">
        <v>13</v>
      </c>
      <c r="AP43" s="177" t="s">
        <v>4341</v>
      </c>
      <c r="AQ43" s="177" t="str">
        <f>'Team 6'!F40</f>
        <v>Emma</v>
      </c>
      <c r="AR43" s="177" t="str">
        <f>'Team 6'!G40</f>
        <v>Sum</v>
      </c>
      <c r="AS43" s="175" t="str">
        <f t="shared" si="15"/>
        <v>Emma Sum</v>
      </c>
      <c r="AT43" s="176"/>
      <c r="AU43" s="172">
        <v>13</v>
      </c>
      <c r="AV43" s="177" t="s">
        <v>4341</v>
      </c>
      <c r="AW43" s="177" t="str">
        <f>'Team 7'!F40</f>
        <v>Mia</v>
      </c>
      <c r="AX43" s="177" t="str">
        <f>'Team 7'!G40</f>
        <v>Curle</v>
      </c>
      <c r="AY43" s="175" t="str">
        <f t="shared" si="16"/>
        <v>Mia Curle</v>
      </c>
      <c r="AZ43" s="176"/>
      <c r="BA43" s="172">
        <v>13</v>
      </c>
      <c r="BB43" s="177" t="s">
        <v>4341</v>
      </c>
      <c r="BC43" s="177">
        <f>'Team 8'!F40</f>
        <v>0</v>
      </c>
      <c r="BD43" s="177">
        <f>'Team 8'!G40</f>
        <v>0</v>
      </c>
      <c r="BE43" s="175" t="str">
        <f t="shared" si="17"/>
        <v>0 0</v>
      </c>
      <c r="BF43" s="176"/>
      <c r="BG43" s="172">
        <v>13</v>
      </c>
      <c r="BH43" s="177" t="s">
        <v>4341</v>
      </c>
      <c r="BI43" s="177">
        <f>'Team 9'!F40</f>
        <v>0</v>
      </c>
      <c r="BJ43" s="177">
        <f>'Team 9'!G40</f>
        <v>0</v>
      </c>
      <c r="BK43" s="175" t="str">
        <f t="shared" si="18"/>
        <v>0 0</v>
      </c>
      <c r="BL43" s="176"/>
      <c r="BM43" s="172">
        <v>13</v>
      </c>
      <c r="BN43" s="177" t="s">
        <v>4341</v>
      </c>
      <c r="BO43" s="177">
        <f>'Team 10'!F40</f>
        <v>0</v>
      </c>
      <c r="BP43" s="177">
        <f>'Team 10'!G40</f>
        <v>0</v>
      </c>
      <c r="BQ43" s="175" t="str">
        <f t="shared" si="19"/>
        <v>0 0</v>
      </c>
      <c r="BR43" s="176"/>
      <c r="BS43" s="180"/>
    </row>
    <row r="44" spans="1:71" s="179" customFormat="1" ht="21" customHeight="1" x14ac:dyDescent="0.3">
      <c r="A44" s="189"/>
      <c r="B44" s="186"/>
      <c r="C44" s="186"/>
      <c r="D44" s="182"/>
      <c r="E44" s="182"/>
      <c r="F44" s="182"/>
      <c r="G44" s="182"/>
      <c r="H44" s="182"/>
      <c r="I44" s="188"/>
      <c r="J44" s="182"/>
      <c r="K44" s="172">
        <v>14</v>
      </c>
      <c r="L44" s="177" t="s">
        <v>4342</v>
      </c>
      <c r="M44" s="174" t="str">
        <f>'Team 1'!F41</f>
        <v>Albert</v>
      </c>
      <c r="N44" s="174" t="str">
        <f>'Team 1'!G41</f>
        <v>Nezha</v>
      </c>
      <c r="O44" s="175" t="str">
        <f t="shared" si="10"/>
        <v>Albert Nezha</v>
      </c>
      <c r="P44" s="176"/>
      <c r="Q44" s="172">
        <v>14</v>
      </c>
      <c r="R44" s="177" t="s">
        <v>4342</v>
      </c>
      <c r="S44" s="174" t="str">
        <f>'Team 2'!F41</f>
        <v>Kai Jun Wai</v>
      </c>
      <c r="T44" s="174" t="str">
        <f>'Team 2'!G41</f>
        <v>Cheung</v>
      </c>
      <c r="U44" s="175" t="str">
        <f t="shared" si="11"/>
        <v>Kai Jun Wai Cheung</v>
      </c>
      <c r="V44" s="176"/>
      <c r="W44" s="172">
        <v>14</v>
      </c>
      <c r="X44" s="177" t="s">
        <v>4342</v>
      </c>
      <c r="Y44" s="174" t="str">
        <f>'Team 3'!F41</f>
        <v>Ryan</v>
      </c>
      <c r="Z44" s="174" t="str">
        <f>'Team 3'!G41</f>
        <v>Wimpenny</v>
      </c>
      <c r="AA44" s="175" t="str">
        <f t="shared" si="12"/>
        <v>Ryan Wimpenny</v>
      </c>
      <c r="AB44" s="176"/>
      <c r="AC44" s="172">
        <v>14</v>
      </c>
      <c r="AD44" s="177" t="s">
        <v>4342</v>
      </c>
      <c r="AE44" s="174" t="str">
        <f>'Team 4'!F41</f>
        <v>Samuel</v>
      </c>
      <c r="AF44" s="174" t="str">
        <f>'Team 4'!G41</f>
        <v>Rosa</v>
      </c>
      <c r="AG44" s="175" t="str">
        <f t="shared" si="13"/>
        <v>Samuel Rosa</v>
      </c>
      <c r="AH44" s="174"/>
      <c r="AI44" s="172">
        <v>14</v>
      </c>
      <c r="AJ44" s="177" t="s">
        <v>4342</v>
      </c>
      <c r="AK44" s="174" t="str">
        <f>'Team 5'!F41</f>
        <v>Bradley</v>
      </c>
      <c r="AL44" s="174" t="str">
        <f>'Team 5'!G41</f>
        <v>Rawlinson</v>
      </c>
      <c r="AM44" s="175" t="str">
        <f t="shared" si="14"/>
        <v>Bradley Rawlinson</v>
      </c>
      <c r="AN44" s="176"/>
      <c r="AO44" s="172">
        <v>14</v>
      </c>
      <c r="AP44" s="177" t="s">
        <v>4342</v>
      </c>
      <c r="AQ44" s="177" t="str">
        <f>'Team 6'!F41</f>
        <v>Dylan</v>
      </c>
      <c r="AR44" s="177" t="str">
        <f>'Team 6'!G41</f>
        <v>Roberts</v>
      </c>
      <c r="AS44" s="175" t="str">
        <f t="shared" si="15"/>
        <v>Dylan Roberts</v>
      </c>
      <c r="AT44" s="176"/>
      <c r="AU44" s="172">
        <v>14</v>
      </c>
      <c r="AV44" s="177" t="s">
        <v>4342</v>
      </c>
      <c r="AW44" s="177" t="str">
        <f>'Team 7'!F41</f>
        <v>Advay</v>
      </c>
      <c r="AX44" s="177" t="str">
        <f>'Team 7'!G41</f>
        <v>Bhatia</v>
      </c>
      <c r="AY44" s="175" t="str">
        <f t="shared" si="16"/>
        <v>Advay Bhatia</v>
      </c>
      <c r="AZ44" s="176"/>
      <c r="BA44" s="172">
        <v>14</v>
      </c>
      <c r="BB44" s="177" t="s">
        <v>4342</v>
      </c>
      <c r="BC44" s="177">
        <f>'Team 8'!F41</f>
        <v>0</v>
      </c>
      <c r="BD44" s="177">
        <f>'Team 8'!G41</f>
        <v>0</v>
      </c>
      <c r="BE44" s="175" t="str">
        <f t="shared" si="17"/>
        <v>0 0</v>
      </c>
      <c r="BF44" s="176"/>
      <c r="BG44" s="172">
        <v>14</v>
      </c>
      <c r="BH44" s="177" t="s">
        <v>4342</v>
      </c>
      <c r="BI44" s="177">
        <f>'Team 9'!F41</f>
        <v>0</v>
      </c>
      <c r="BJ44" s="177">
        <f>'Team 9'!G41</f>
        <v>0</v>
      </c>
      <c r="BK44" s="175" t="str">
        <f t="shared" si="18"/>
        <v>0 0</v>
      </c>
      <c r="BL44" s="176"/>
      <c r="BM44" s="172">
        <v>14</v>
      </c>
      <c r="BN44" s="177" t="s">
        <v>4342</v>
      </c>
      <c r="BO44" s="177">
        <f>'Team 10'!F41</f>
        <v>0</v>
      </c>
      <c r="BP44" s="177">
        <f>'Team 10'!G41</f>
        <v>0</v>
      </c>
      <c r="BQ44" s="175" t="str">
        <f t="shared" si="19"/>
        <v>0 0</v>
      </c>
      <c r="BR44" s="176"/>
      <c r="BS44" s="180"/>
    </row>
    <row r="45" spans="1:71" s="179" customFormat="1" ht="21" customHeight="1" x14ac:dyDescent="0.3">
      <c r="A45" s="189"/>
      <c r="B45" s="186"/>
      <c r="C45" s="186"/>
      <c r="D45" s="182"/>
      <c r="E45" s="182"/>
      <c r="F45" s="182"/>
      <c r="G45" s="182"/>
      <c r="H45" s="182"/>
      <c r="I45" s="188"/>
      <c r="J45" s="182"/>
      <c r="K45" s="172">
        <v>15</v>
      </c>
      <c r="L45" s="177" t="s">
        <v>4343</v>
      </c>
      <c r="M45" s="174" t="str">
        <f>'Team 1'!F42</f>
        <v>Shreya</v>
      </c>
      <c r="N45" s="174" t="str">
        <f>'Team 1'!G42</f>
        <v>Bavishi</v>
      </c>
      <c r="O45" s="175" t="str">
        <f t="shared" si="10"/>
        <v>Shreya Bavishi</v>
      </c>
      <c r="P45" s="176"/>
      <c r="Q45" s="172">
        <v>15</v>
      </c>
      <c r="R45" s="177" t="s">
        <v>4343</v>
      </c>
      <c r="S45" s="174" t="str">
        <f>'Team 2'!F42</f>
        <v>Daisy</v>
      </c>
      <c r="T45" s="174" t="str">
        <f>'Team 2'!G42</f>
        <v>Harradine</v>
      </c>
      <c r="U45" s="175" t="str">
        <f t="shared" si="11"/>
        <v>Daisy Harradine</v>
      </c>
      <c r="V45" s="176"/>
      <c r="W45" s="172">
        <v>15</v>
      </c>
      <c r="X45" s="177" t="s">
        <v>4343</v>
      </c>
      <c r="Y45" s="174" t="str">
        <f>'Team 3'!F42</f>
        <v>Hannah</v>
      </c>
      <c r="Z45" s="174" t="str">
        <f>'Team 3'!G42</f>
        <v>Lovelock</v>
      </c>
      <c r="AA45" s="175" t="str">
        <f t="shared" si="12"/>
        <v>Hannah Lovelock</v>
      </c>
      <c r="AB45" s="176"/>
      <c r="AC45" s="172">
        <v>15</v>
      </c>
      <c r="AD45" s="177" t="s">
        <v>4343</v>
      </c>
      <c r="AE45" s="174" t="str">
        <f>'Team 4'!F42</f>
        <v>MEGAN</v>
      </c>
      <c r="AF45" s="174" t="str">
        <f>'Team 4'!G42</f>
        <v>JOHNSON</v>
      </c>
      <c r="AG45" s="175" t="str">
        <f t="shared" si="13"/>
        <v>MEGAN JOHNSON</v>
      </c>
      <c r="AH45" s="174"/>
      <c r="AI45" s="172">
        <v>15</v>
      </c>
      <c r="AJ45" s="177" t="s">
        <v>4343</v>
      </c>
      <c r="AK45" s="174" t="str">
        <f>'Team 5'!F42</f>
        <v>Hollie</v>
      </c>
      <c r="AL45" s="174" t="str">
        <f>'Team 5'!G42</f>
        <v>Heighes</v>
      </c>
      <c r="AM45" s="175" t="str">
        <f t="shared" si="14"/>
        <v>Hollie Heighes</v>
      </c>
      <c r="AN45" s="176"/>
      <c r="AO45" s="172">
        <v>15</v>
      </c>
      <c r="AP45" s="177" t="s">
        <v>4343</v>
      </c>
      <c r="AQ45" s="177" t="str">
        <f>'Team 6'!F42</f>
        <v xml:space="preserve">Alice </v>
      </c>
      <c r="AR45" s="177" t="str">
        <f>'Team 6'!G42</f>
        <v>Sharrock</v>
      </c>
      <c r="AS45" s="175" t="str">
        <f t="shared" si="15"/>
        <v>Alice  Sharrock</v>
      </c>
      <c r="AT45" s="176"/>
      <c r="AU45" s="172">
        <v>15</v>
      </c>
      <c r="AV45" s="177" t="s">
        <v>4343</v>
      </c>
      <c r="AW45" s="177" t="str">
        <f>'Team 7'!F42</f>
        <v>Keanna</v>
      </c>
      <c r="AX45" s="177" t="str">
        <f>'Team 7'!G42</f>
        <v>Roets</v>
      </c>
      <c r="AY45" s="175" t="str">
        <f t="shared" si="16"/>
        <v>Keanna Roets</v>
      </c>
      <c r="AZ45" s="176"/>
      <c r="BA45" s="172">
        <v>15</v>
      </c>
      <c r="BB45" s="177" t="s">
        <v>4343</v>
      </c>
      <c r="BC45" s="177">
        <f>'Team 8'!F42</f>
        <v>0</v>
      </c>
      <c r="BD45" s="177">
        <f>'Team 8'!G42</f>
        <v>0</v>
      </c>
      <c r="BE45" s="175" t="str">
        <f t="shared" si="17"/>
        <v>0 0</v>
      </c>
      <c r="BF45" s="176"/>
      <c r="BG45" s="172">
        <v>15</v>
      </c>
      <c r="BH45" s="177" t="s">
        <v>4343</v>
      </c>
      <c r="BI45" s="177">
        <f>'Team 9'!F42</f>
        <v>0</v>
      </c>
      <c r="BJ45" s="177">
        <f>'Team 9'!G42</f>
        <v>0</v>
      </c>
      <c r="BK45" s="175" t="str">
        <f t="shared" si="18"/>
        <v>0 0</v>
      </c>
      <c r="BL45" s="176"/>
      <c r="BM45" s="172">
        <v>15</v>
      </c>
      <c r="BN45" s="177" t="s">
        <v>4343</v>
      </c>
      <c r="BO45" s="177">
        <f>'Team 10'!F42</f>
        <v>0</v>
      </c>
      <c r="BP45" s="177">
        <f>'Team 10'!G42</f>
        <v>0</v>
      </c>
      <c r="BQ45" s="175" t="str">
        <f t="shared" si="19"/>
        <v>0 0</v>
      </c>
      <c r="BR45" s="176"/>
      <c r="BS45" s="180"/>
    </row>
    <row r="46" spans="1:71" s="179" customFormat="1" ht="21" customHeight="1" x14ac:dyDescent="0.3">
      <c r="A46" s="189"/>
      <c r="B46" s="186"/>
      <c r="C46" s="186"/>
      <c r="D46" s="182"/>
      <c r="E46" s="182"/>
      <c r="F46" s="182"/>
      <c r="G46" s="182"/>
      <c r="H46" s="182"/>
      <c r="I46" s="188"/>
      <c r="J46" s="182"/>
      <c r="K46" s="172">
        <v>16</v>
      </c>
      <c r="L46" s="177" t="s">
        <v>4344</v>
      </c>
      <c r="M46" s="174" t="str">
        <f>'Team 1'!F43</f>
        <v>Zalan</v>
      </c>
      <c r="N46" s="174" t="str">
        <f>'Team 1'!G43</f>
        <v>Tornay</v>
      </c>
      <c r="O46" s="175" t="str">
        <f t="shared" si="10"/>
        <v>Zalan Tornay</v>
      </c>
      <c r="P46" s="176"/>
      <c r="Q46" s="172">
        <v>16</v>
      </c>
      <c r="R46" s="177" t="s">
        <v>4344</v>
      </c>
      <c r="S46" s="174" t="str">
        <f>'Team 2'!F43</f>
        <v>Alexander</v>
      </c>
      <c r="T46" s="174" t="str">
        <f>'Team 2'!G43</f>
        <v>Gregory</v>
      </c>
      <c r="U46" s="175" t="str">
        <f t="shared" si="11"/>
        <v>Alexander Gregory</v>
      </c>
      <c r="V46" s="176"/>
      <c r="W46" s="172">
        <v>16</v>
      </c>
      <c r="X46" s="177" t="s">
        <v>4344</v>
      </c>
      <c r="Y46" s="174" t="str">
        <f>'Team 3'!F43</f>
        <v>Alfie</v>
      </c>
      <c r="Z46" s="174" t="str">
        <f>'Team 3'!G43</f>
        <v>Bullock</v>
      </c>
      <c r="AA46" s="175" t="str">
        <f t="shared" si="12"/>
        <v>Alfie Bullock</v>
      </c>
      <c r="AB46" s="176"/>
      <c r="AC46" s="172">
        <v>16</v>
      </c>
      <c r="AD46" s="177" t="s">
        <v>4344</v>
      </c>
      <c r="AE46" s="174" t="str">
        <f>'Team 4'!F43</f>
        <v>CHARLES</v>
      </c>
      <c r="AF46" s="174" t="str">
        <f>'Team 4'!G43</f>
        <v>RAINES</v>
      </c>
      <c r="AG46" s="175" t="str">
        <f t="shared" si="13"/>
        <v>CHARLES RAINES</v>
      </c>
      <c r="AH46" s="174"/>
      <c r="AI46" s="172">
        <v>16</v>
      </c>
      <c r="AJ46" s="177" t="s">
        <v>4344</v>
      </c>
      <c r="AK46" s="174" t="str">
        <f>'Team 5'!F43</f>
        <v>Albert</v>
      </c>
      <c r="AL46" s="174" t="str">
        <f>'Team 5'!G43</f>
        <v>Orley</v>
      </c>
      <c r="AM46" s="175" t="str">
        <f t="shared" si="14"/>
        <v>Albert Orley</v>
      </c>
      <c r="AN46" s="176"/>
      <c r="AO46" s="172">
        <v>16</v>
      </c>
      <c r="AP46" s="177" t="s">
        <v>4344</v>
      </c>
      <c r="AQ46" s="177" t="str">
        <f>'Team 6'!F43</f>
        <v>Louis</v>
      </c>
      <c r="AR46" s="177" t="str">
        <f>'Team 6'!G43</f>
        <v>Waissman</v>
      </c>
      <c r="AS46" s="175" t="str">
        <f t="shared" si="15"/>
        <v>Louis Waissman</v>
      </c>
      <c r="AT46" s="176"/>
      <c r="AU46" s="172">
        <v>16</v>
      </c>
      <c r="AV46" s="177" t="s">
        <v>4344</v>
      </c>
      <c r="AW46" s="177" t="str">
        <f>'Team 7'!F43</f>
        <v>Tsz Kwai</v>
      </c>
      <c r="AX46" s="177" t="str">
        <f>'Team 7'!G43</f>
        <v>Chan</v>
      </c>
      <c r="AY46" s="175" t="str">
        <f t="shared" si="16"/>
        <v>Tsz Kwai Chan</v>
      </c>
      <c r="AZ46" s="176"/>
      <c r="BA46" s="172">
        <v>16</v>
      </c>
      <c r="BB46" s="177" t="s">
        <v>4344</v>
      </c>
      <c r="BC46" s="177">
        <f>'Team 8'!F43</f>
        <v>0</v>
      </c>
      <c r="BD46" s="177">
        <f>'Team 8'!G43</f>
        <v>0</v>
      </c>
      <c r="BE46" s="175" t="str">
        <f t="shared" si="17"/>
        <v>0 0</v>
      </c>
      <c r="BF46" s="176"/>
      <c r="BG46" s="172">
        <v>16</v>
      </c>
      <c r="BH46" s="177" t="s">
        <v>4344</v>
      </c>
      <c r="BI46" s="177">
        <f>'Team 9'!F43</f>
        <v>0</v>
      </c>
      <c r="BJ46" s="177">
        <f>'Team 9'!G43</f>
        <v>0</v>
      </c>
      <c r="BK46" s="175" t="str">
        <f t="shared" si="18"/>
        <v>0 0</v>
      </c>
      <c r="BL46" s="176"/>
      <c r="BM46" s="172">
        <v>16</v>
      </c>
      <c r="BN46" s="177" t="s">
        <v>4344</v>
      </c>
      <c r="BO46" s="177">
        <f>'Team 10'!F43</f>
        <v>0</v>
      </c>
      <c r="BP46" s="177">
        <f>'Team 10'!G43</f>
        <v>0</v>
      </c>
      <c r="BQ46" s="175" t="str">
        <f t="shared" si="19"/>
        <v>0 0</v>
      </c>
      <c r="BR46" s="176"/>
      <c r="BS46" s="180"/>
    </row>
    <row r="47" spans="1:71" s="179" customFormat="1" ht="21" customHeight="1" x14ac:dyDescent="0.3">
      <c r="A47" s="189"/>
      <c r="B47" s="186"/>
      <c r="C47" s="186"/>
      <c r="D47" s="182"/>
      <c r="E47" s="182"/>
      <c r="F47" s="182"/>
      <c r="G47" s="182"/>
      <c r="H47" s="182"/>
      <c r="I47" s="188"/>
      <c r="J47" s="182"/>
      <c r="K47" s="172">
        <v>17</v>
      </c>
      <c r="L47" s="177" t="s">
        <v>4345</v>
      </c>
      <c r="M47" s="174" t="str">
        <f>'Team 1'!F44</f>
        <v>Maja</v>
      </c>
      <c r="N47" s="174" t="str">
        <f>'Team 1'!G44</f>
        <v>Grzybek</v>
      </c>
      <c r="O47" s="175" t="str">
        <f t="shared" si="10"/>
        <v>Maja Grzybek</v>
      </c>
      <c r="P47" s="176"/>
      <c r="Q47" s="172">
        <v>17</v>
      </c>
      <c r="R47" s="177" t="s">
        <v>4345</v>
      </c>
      <c r="S47" s="174" t="str">
        <f>'Team 2'!F44</f>
        <v>Madeleine</v>
      </c>
      <c r="T47" s="174" t="str">
        <f>'Team 2'!G44</f>
        <v>Bailiss</v>
      </c>
      <c r="U47" s="175" t="str">
        <f t="shared" si="11"/>
        <v>Madeleine Bailiss</v>
      </c>
      <c r="V47" s="176"/>
      <c r="W47" s="172">
        <v>17</v>
      </c>
      <c r="X47" s="177" t="s">
        <v>4345</v>
      </c>
      <c r="Y47" s="174" t="str">
        <f>'Team 3'!F44</f>
        <v>Sophie</v>
      </c>
      <c r="Z47" s="174" t="str">
        <f>'Team 3'!G44</f>
        <v>Clark</v>
      </c>
      <c r="AA47" s="175" t="str">
        <f t="shared" si="12"/>
        <v>Sophie Clark</v>
      </c>
      <c r="AB47" s="176"/>
      <c r="AC47" s="172">
        <v>17</v>
      </c>
      <c r="AD47" s="177" t="s">
        <v>4345</v>
      </c>
      <c r="AE47" s="174" t="str">
        <f>'Team 4'!F44</f>
        <v>LIBBY</v>
      </c>
      <c r="AF47" s="174" t="str">
        <f>'Team 4'!G44</f>
        <v>BLISSETT</v>
      </c>
      <c r="AG47" s="175" t="str">
        <f t="shared" si="13"/>
        <v>LIBBY BLISSETT</v>
      </c>
      <c r="AH47" s="174"/>
      <c r="AI47" s="172">
        <v>17</v>
      </c>
      <c r="AJ47" s="177" t="s">
        <v>4345</v>
      </c>
      <c r="AK47" s="174" t="str">
        <f>'Team 5'!F44</f>
        <v>Kathryn</v>
      </c>
      <c r="AL47" s="174" t="str">
        <f>'Team 5'!G44</f>
        <v>Edwards</v>
      </c>
      <c r="AM47" s="175" t="str">
        <f t="shared" si="14"/>
        <v>Kathryn Edwards</v>
      </c>
      <c r="AN47" s="176"/>
      <c r="AO47" s="172">
        <v>17</v>
      </c>
      <c r="AP47" s="177" t="s">
        <v>4345</v>
      </c>
      <c r="AQ47" s="177" t="str">
        <f>'Team 6'!F44</f>
        <v>Laura</v>
      </c>
      <c r="AR47" s="177" t="str">
        <f>'Team 6'!G44</f>
        <v>Leksander</v>
      </c>
      <c r="AS47" s="175" t="str">
        <f t="shared" si="15"/>
        <v>Laura Leksander</v>
      </c>
      <c r="AT47" s="176"/>
      <c r="AU47" s="172">
        <v>17</v>
      </c>
      <c r="AV47" s="177" t="s">
        <v>4345</v>
      </c>
      <c r="AW47" s="177" t="str">
        <f>'Team 7'!F44</f>
        <v>Keira</v>
      </c>
      <c r="AX47" s="177" t="str">
        <f>'Team 7'!G44</f>
        <v>Brannigan</v>
      </c>
      <c r="AY47" s="175" t="str">
        <f t="shared" si="16"/>
        <v>Keira Brannigan</v>
      </c>
      <c r="AZ47" s="176"/>
      <c r="BA47" s="172">
        <v>17</v>
      </c>
      <c r="BB47" s="177" t="s">
        <v>4345</v>
      </c>
      <c r="BC47" s="177">
        <f>'Team 8'!F44</f>
        <v>0</v>
      </c>
      <c r="BD47" s="177">
        <f>'Team 8'!G44</f>
        <v>0</v>
      </c>
      <c r="BE47" s="175" t="str">
        <f t="shared" si="17"/>
        <v>0 0</v>
      </c>
      <c r="BF47" s="176"/>
      <c r="BG47" s="172">
        <v>17</v>
      </c>
      <c r="BH47" s="177" t="s">
        <v>4345</v>
      </c>
      <c r="BI47" s="177">
        <f>'Team 9'!F44</f>
        <v>0</v>
      </c>
      <c r="BJ47" s="177">
        <f>'Team 9'!G44</f>
        <v>0</v>
      </c>
      <c r="BK47" s="175" t="str">
        <f t="shared" si="18"/>
        <v>0 0</v>
      </c>
      <c r="BL47" s="176"/>
      <c r="BM47" s="172">
        <v>17</v>
      </c>
      <c r="BN47" s="177" t="s">
        <v>4345</v>
      </c>
      <c r="BO47" s="177">
        <f>'Team 10'!F44</f>
        <v>0</v>
      </c>
      <c r="BP47" s="177">
        <f>'Team 10'!G44</f>
        <v>0</v>
      </c>
      <c r="BQ47" s="175" t="str">
        <f t="shared" si="19"/>
        <v>0 0</v>
      </c>
      <c r="BR47" s="176"/>
      <c r="BS47" s="180"/>
    </row>
    <row r="48" spans="1:71" s="179" customFormat="1" ht="21" customHeight="1" x14ac:dyDescent="0.3">
      <c r="A48" s="189"/>
      <c r="B48" s="186"/>
      <c r="C48" s="186"/>
      <c r="D48" s="182"/>
      <c r="E48" s="182"/>
      <c r="F48" s="182"/>
      <c r="G48" s="182"/>
      <c r="H48" s="182"/>
      <c r="I48" s="188"/>
      <c r="J48" s="182"/>
      <c r="K48" s="172">
        <v>18</v>
      </c>
      <c r="L48" s="177" t="s">
        <v>4346</v>
      </c>
      <c r="M48" s="174">
        <f>'Team 1'!F45</f>
        <v>0</v>
      </c>
      <c r="N48" s="174">
        <f>'Team 1'!G45</f>
        <v>0</v>
      </c>
      <c r="O48" s="175" t="str">
        <f t="shared" si="10"/>
        <v>0 0</v>
      </c>
      <c r="P48" s="176"/>
      <c r="Q48" s="172">
        <v>18</v>
      </c>
      <c r="R48" s="177" t="s">
        <v>4346</v>
      </c>
      <c r="S48" s="174" t="str">
        <f>'Team 2'!F45</f>
        <v>Samuel</v>
      </c>
      <c r="T48" s="174" t="str">
        <f>'Team 2'!G45</f>
        <v>Heraty</v>
      </c>
      <c r="U48" s="175" t="str">
        <f t="shared" si="11"/>
        <v>Samuel Heraty</v>
      </c>
      <c r="V48" s="176"/>
      <c r="W48" s="172">
        <v>18</v>
      </c>
      <c r="X48" s="177" t="s">
        <v>4346</v>
      </c>
      <c r="Y48" s="174" t="str">
        <f>'Team 3'!F45</f>
        <v>Luke</v>
      </c>
      <c r="Z48" s="174" t="str">
        <f>'Team 3'!G45</f>
        <v>Morley</v>
      </c>
      <c r="AA48" s="175" t="str">
        <f t="shared" si="12"/>
        <v>Luke Morley</v>
      </c>
      <c r="AB48" s="176"/>
      <c r="AC48" s="172">
        <v>18</v>
      </c>
      <c r="AD48" s="177" t="s">
        <v>4346</v>
      </c>
      <c r="AE48" s="174" t="str">
        <f>'Team 4'!F45</f>
        <v>ELLIS</v>
      </c>
      <c r="AF48" s="174" t="str">
        <f>'Team 4'!G45</f>
        <v>BUNCE</v>
      </c>
      <c r="AG48" s="175" t="str">
        <f t="shared" si="13"/>
        <v>ELLIS BUNCE</v>
      </c>
      <c r="AH48" s="174"/>
      <c r="AI48" s="172">
        <v>18</v>
      </c>
      <c r="AJ48" s="177" t="s">
        <v>4346</v>
      </c>
      <c r="AK48" s="174" t="str">
        <f>'Team 5'!F45</f>
        <v>Daniel</v>
      </c>
      <c r="AL48" s="174" t="str">
        <f>'Team 5'!G45</f>
        <v>Parker</v>
      </c>
      <c r="AM48" s="175" t="str">
        <f t="shared" si="14"/>
        <v>Daniel Parker</v>
      </c>
      <c r="AN48" s="176"/>
      <c r="AO48" s="172">
        <v>18</v>
      </c>
      <c r="AP48" s="177" t="s">
        <v>4346</v>
      </c>
      <c r="AQ48" s="177" t="str">
        <f>'Team 6'!F45</f>
        <v>Shanil</v>
      </c>
      <c r="AR48" s="177" t="str">
        <f>'Team 6'!G45</f>
        <v>Ramaiya</v>
      </c>
      <c r="AS48" s="175" t="str">
        <f t="shared" si="15"/>
        <v>Shanil Ramaiya</v>
      </c>
      <c r="AT48" s="176"/>
      <c r="AU48" s="172">
        <v>18</v>
      </c>
      <c r="AV48" s="177" t="s">
        <v>4346</v>
      </c>
      <c r="AW48" s="177" t="str">
        <f>'Team 7'!F45</f>
        <v>Liam</v>
      </c>
      <c r="AX48" s="177" t="str">
        <f>'Team 7'!G45</f>
        <v>Treanor</v>
      </c>
      <c r="AY48" s="175" t="str">
        <f t="shared" si="16"/>
        <v>Liam Treanor</v>
      </c>
      <c r="AZ48" s="176"/>
      <c r="BA48" s="172">
        <v>18</v>
      </c>
      <c r="BB48" s="177" t="s">
        <v>4346</v>
      </c>
      <c r="BC48" s="177">
        <f>'Team 8'!F45</f>
        <v>0</v>
      </c>
      <c r="BD48" s="177">
        <f>'Team 8'!G45</f>
        <v>0</v>
      </c>
      <c r="BE48" s="175" t="str">
        <f t="shared" si="17"/>
        <v>0 0</v>
      </c>
      <c r="BF48" s="176"/>
      <c r="BG48" s="172">
        <v>18</v>
      </c>
      <c r="BH48" s="177" t="s">
        <v>4346</v>
      </c>
      <c r="BI48" s="177">
        <f>'Team 9'!F45</f>
        <v>0</v>
      </c>
      <c r="BJ48" s="177">
        <f>'Team 9'!G45</f>
        <v>0</v>
      </c>
      <c r="BK48" s="175" t="str">
        <f t="shared" si="18"/>
        <v>0 0</v>
      </c>
      <c r="BL48" s="176"/>
      <c r="BM48" s="172">
        <v>18</v>
      </c>
      <c r="BN48" s="177" t="s">
        <v>4346</v>
      </c>
      <c r="BO48" s="177">
        <f>'Team 10'!F45</f>
        <v>0</v>
      </c>
      <c r="BP48" s="177">
        <f>'Team 10'!G45</f>
        <v>0</v>
      </c>
      <c r="BQ48" s="175" t="str">
        <f t="shared" si="19"/>
        <v>0 0</v>
      </c>
      <c r="BR48" s="176"/>
      <c r="BS48" s="180"/>
    </row>
    <row r="49" spans="1:71" s="179" customFormat="1" ht="21" customHeight="1" x14ac:dyDescent="0.3">
      <c r="A49" s="189"/>
      <c r="B49" s="186"/>
      <c r="C49" s="186"/>
      <c r="D49" s="182"/>
      <c r="E49" s="182"/>
      <c r="F49" s="182"/>
      <c r="G49" s="182"/>
      <c r="H49" s="182"/>
      <c r="I49" s="188"/>
      <c r="J49" s="182"/>
      <c r="K49" s="172">
        <v>19</v>
      </c>
      <c r="L49" s="177" t="s">
        <v>4347</v>
      </c>
      <c r="M49" s="174" t="str">
        <f>'Team 1'!F46</f>
        <v>Claudia</v>
      </c>
      <c r="N49" s="174" t="str">
        <f>'Team 1'!G46</f>
        <v>Savov</v>
      </c>
      <c r="O49" s="175" t="str">
        <f t="shared" si="10"/>
        <v>Claudia Savov</v>
      </c>
      <c r="P49" s="176"/>
      <c r="Q49" s="172">
        <v>19</v>
      </c>
      <c r="R49" s="177" t="s">
        <v>4347</v>
      </c>
      <c r="S49" s="174" t="str">
        <f>'Team 2'!F46</f>
        <v>Maya</v>
      </c>
      <c r="T49" s="174" t="str">
        <f>'Team 2'!G46</f>
        <v>Wegner</v>
      </c>
      <c r="U49" s="175" t="str">
        <f t="shared" si="11"/>
        <v>Maya Wegner</v>
      </c>
      <c r="V49" s="176"/>
      <c r="W49" s="172">
        <v>19</v>
      </c>
      <c r="X49" s="177" t="s">
        <v>4347</v>
      </c>
      <c r="Y49" s="174" t="str">
        <f>'Team 3'!F46</f>
        <v>Scarlett</v>
      </c>
      <c r="Z49" s="174" t="str">
        <f>'Team 3'!G46</f>
        <v>Omand</v>
      </c>
      <c r="AA49" s="175" t="str">
        <f t="shared" si="12"/>
        <v>Scarlett Omand</v>
      </c>
      <c r="AB49" s="176"/>
      <c r="AC49" s="172">
        <v>19</v>
      </c>
      <c r="AD49" s="177" t="s">
        <v>4347</v>
      </c>
      <c r="AE49" s="174" t="str">
        <f>'Team 4'!F46</f>
        <v>WILLOW</v>
      </c>
      <c r="AF49" s="174" t="str">
        <f>'Team 4'!G46</f>
        <v>BROWNBRIDGE</v>
      </c>
      <c r="AG49" s="175" t="str">
        <f t="shared" si="13"/>
        <v>WILLOW BROWNBRIDGE</v>
      </c>
      <c r="AH49" s="174"/>
      <c r="AI49" s="172">
        <v>19</v>
      </c>
      <c r="AJ49" s="177" t="s">
        <v>4347</v>
      </c>
      <c r="AK49" s="174" t="str">
        <f>'Team 5'!F46</f>
        <v>Caoife</v>
      </c>
      <c r="AL49" s="174" t="str">
        <f>'Team 5'!G46</f>
        <v>Long</v>
      </c>
      <c r="AM49" s="175" t="str">
        <f t="shared" si="14"/>
        <v>Caoife Long</v>
      </c>
      <c r="AN49" s="176"/>
      <c r="AO49" s="172">
        <v>19</v>
      </c>
      <c r="AP49" s="177" t="s">
        <v>4347</v>
      </c>
      <c r="AQ49" s="177" t="str">
        <f>'Team 6'!F46</f>
        <v xml:space="preserve">Miraya </v>
      </c>
      <c r="AR49" s="177" t="str">
        <f>'Team 6'!G46</f>
        <v>Patel</v>
      </c>
      <c r="AS49" s="175" t="str">
        <f t="shared" si="15"/>
        <v>Miraya  Patel</v>
      </c>
      <c r="AT49" s="176"/>
      <c r="AU49" s="172">
        <v>19</v>
      </c>
      <c r="AV49" s="177" t="s">
        <v>4347</v>
      </c>
      <c r="AW49" s="177" t="str">
        <f>'Team 7'!F46</f>
        <v>Zara</v>
      </c>
      <c r="AX49" s="177" t="str">
        <f>'Team 7'!G46</f>
        <v>Jobanputra</v>
      </c>
      <c r="AY49" s="175" t="str">
        <f t="shared" si="16"/>
        <v>Zara Jobanputra</v>
      </c>
      <c r="AZ49" s="176"/>
      <c r="BA49" s="172">
        <v>19</v>
      </c>
      <c r="BB49" s="177" t="s">
        <v>4347</v>
      </c>
      <c r="BC49" s="177">
        <f>'Team 8'!F46</f>
        <v>0</v>
      </c>
      <c r="BD49" s="177">
        <f>'Team 8'!G46</f>
        <v>0</v>
      </c>
      <c r="BE49" s="175" t="str">
        <f t="shared" si="17"/>
        <v>0 0</v>
      </c>
      <c r="BF49" s="176"/>
      <c r="BG49" s="172">
        <v>19</v>
      </c>
      <c r="BH49" s="177" t="s">
        <v>4347</v>
      </c>
      <c r="BI49" s="177">
        <f>'Team 9'!F46</f>
        <v>0</v>
      </c>
      <c r="BJ49" s="177">
        <f>'Team 9'!G46</f>
        <v>0</v>
      </c>
      <c r="BK49" s="175" t="str">
        <f t="shared" si="18"/>
        <v>0 0</v>
      </c>
      <c r="BL49" s="176"/>
      <c r="BM49" s="172">
        <v>19</v>
      </c>
      <c r="BN49" s="177" t="s">
        <v>4347</v>
      </c>
      <c r="BO49" s="177">
        <f>'Team 10'!F46</f>
        <v>0</v>
      </c>
      <c r="BP49" s="177">
        <f>'Team 10'!G46</f>
        <v>0</v>
      </c>
      <c r="BQ49" s="175" t="str">
        <f t="shared" si="19"/>
        <v>0 0</v>
      </c>
      <c r="BR49" s="176"/>
      <c r="BS49" s="180"/>
    </row>
    <row r="50" spans="1:71" s="179" customFormat="1" ht="21" customHeight="1" x14ac:dyDescent="0.3">
      <c r="A50" s="189"/>
      <c r="B50" s="186"/>
      <c r="C50" s="186"/>
      <c r="D50" s="182"/>
      <c r="E50" s="182"/>
      <c r="F50" s="182"/>
      <c r="G50" s="182"/>
      <c r="H50" s="182"/>
      <c r="I50" s="188"/>
      <c r="J50" s="182"/>
      <c r="K50" s="172">
        <v>20</v>
      </c>
      <c r="L50" s="177" t="s">
        <v>4348</v>
      </c>
      <c r="M50" s="174" t="str">
        <f>'Team 1'!F47</f>
        <v>Kornel</v>
      </c>
      <c r="N50" s="174" t="str">
        <f>'Team 1'!G47</f>
        <v>Kern-Konyar</v>
      </c>
      <c r="O50" s="175" t="str">
        <f t="shared" si="10"/>
        <v>Kornel Kern-Konyar</v>
      </c>
      <c r="P50" s="176"/>
      <c r="Q50" s="172">
        <v>20</v>
      </c>
      <c r="R50" s="177" t="s">
        <v>4348</v>
      </c>
      <c r="S50" s="174" t="str">
        <f>'Team 2'!F47</f>
        <v>James</v>
      </c>
      <c r="T50" s="174" t="str">
        <f>'Team 2'!G47</f>
        <v>Winter</v>
      </c>
      <c r="U50" s="175" t="str">
        <f t="shared" si="11"/>
        <v>James Winter</v>
      </c>
      <c r="V50" s="176"/>
      <c r="W50" s="172">
        <v>20</v>
      </c>
      <c r="X50" s="177" t="s">
        <v>4348</v>
      </c>
      <c r="Y50" s="174" t="str">
        <f>'Team 3'!F47</f>
        <v>Maxwell</v>
      </c>
      <c r="Z50" s="174" t="str">
        <f>'Team 3'!G47</f>
        <v>Croft</v>
      </c>
      <c r="AA50" s="175" t="str">
        <f t="shared" si="12"/>
        <v>Maxwell Croft</v>
      </c>
      <c r="AB50" s="176"/>
      <c r="AC50" s="172">
        <v>20</v>
      </c>
      <c r="AD50" s="177" t="s">
        <v>4348</v>
      </c>
      <c r="AE50" s="174" t="str">
        <f>'Team 4'!F47</f>
        <v>SIMON</v>
      </c>
      <c r="AF50" s="174" t="str">
        <f>'Team 4'!G47</f>
        <v>ROSA</v>
      </c>
      <c r="AG50" s="175" t="str">
        <f t="shared" si="13"/>
        <v>SIMON ROSA</v>
      </c>
      <c r="AH50" s="174"/>
      <c r="AI50" s="172">
        <v>20</v>
      </c>
      <c r="AJ50" s="177" t="s">
        <v>4348</v>
      </c>
      <c r="AK50" s="174" t="str">
        <f>'Team 5'!F47</f>
        <v>Myron</v>
      </c>
      <c r="AL50" s="174" t="str">
        <f>'Team 5'!G47</f>
        <v>Young</v>
      </c>
      <c r="AM50" s="175" t="str">
        <f t="shared" si="14"/>
        <v>Myron Young</v>
      </c>
      <c r="AN50" s="176"/>
      <c r="AO50" s="172">
        <v>20</v>
      </c>
      <c r="AP50" s="177" t="s">
        <v>4348</v>
      </c>
      <c r="AQ50" s="177" t="str">
        <f>'Team 6'!F47</f>
        <v>Mikhail</v>
      </c>
      <c r="AR50" s="177" t="str">
        <f>'Team 6'!G47</f>
        <v>Fedorov</v>
      </c>
      <c r="AS50" s="175" t="str">
        <f t="shared" si="15"/>
        <v>Mikhail Fedorov</v>
      </c>
      <c r="AT50" s="176"/>
      <c r="AU50" s="172">
        <v>20</v>
      </c>
      <c r="AV50" s="177" t="s">
        <v>4348</v>
      </c>
      <c r="AW50" s="177" t="str">
        <f>'Team 7'!F47</f>
        <v>Jai</v>
      </c>
      <c r="AX50" s="177" t="str">
        <f>'Team 7'!G47</f>
        <v>Bhuwania</v>
      </c>
      <c r="AY50" s="175" t="str">
        <f t="shared" si="16"/>
        <v>Jai Bhuwania</v>
      </c>
      <c r="AZ50" s="176"/>
      <c r="BA50" s="172">
        <v>20</v>
      </c>
      <c r="BB50" s="177" t="s">
        <v>4348</v>
      </c>
      <c r="BC50" s="177">
        <f>'Team 8'!F47</f>
        <v>0</v>
      </c>
      <c r="BD50" s="177">
        <f>'Team 8'!G47</f>
        <v>0</v>
      </c>
      <c r="BE50" s="175" t="str">
        <f t="shared" si="17"/>
        <v>0 0</v>
      </c>
      <c r="BF50" s="176"/>
      <c r="BG50" s="172">
        <v>20</v>
      </c>
      <c r="BH50" s="177" t="s">
        <v>4348</v>
      </c>
      <c r="BI50" s="177">
        <f>'Team 9'!F47</f>
        <v>0</v>
      </c>
      <c r="BJ50" s="177">
        <f>'Team 9'!G47</f>
        <v>0</v>
      </c>
      <c r="BK50" s="175" t="str">
        <f t="shared" si="18"/>
        <v>0 0</v>
      </c>
      <c r="BL50" s="176"/>
      <c r="BM50" s="172">
        <v>20</v>
      </c>
      <c r="BN50" s="177" t="s">
        <v>4348</v>
      </c>
      <c r="BO50" s="177">
        <f>'Team 10'!F47</f>
        <v>0</v>
      </c>
      <c r="BP50" s="177">
        <f>'Team 10'!G47</f>
        <v>0</v>
      </c>
      <c r="BQ50" s="175" t="str">
        <f t="shared" si="19"/>
        <v>0 0</v>
      </c>
      <c r="BR50" s="176"/>
      <c r="BS50" s="180"/>
    </row>
    <row r="51" spans="1:71" s="179" customFormat="1" ht="21" customHeight="1" x14ac:dyDescent="0.3">
      <c r="A51" s="189"/>
      <c r="B51" s="186"/>
      <c r="C51" s="186"/>
      <c r="D51" s="182"/>
      <c r="E51" s="182"/>
      <c r="F51" s="182"/>
      <c r="G51" s="182"/>
      <c r="H51" s="182"/>
      <c r="I51" s="188"/>
      <c r="J51" s="182"/>
      <c r="K51" s="172">
        <v>21</v>
      </c>
      <c r="L51" s="177" t="s">
        <v>4349</v>
      </c>
      <c r="M51" s="174" t="str">
        <f>'Team 1'!F48</f>
        <v>Ane</v>
      </c>
      <c r="N51" s="174" t="str">
        <f>'Team 1'!G48</f>
        <v>Pedraza-Eguia</v>
      </c>
      <c r="O51" s="175" t="str">
        <f t="shared" si="10"/>
        <v>Ane Pedraza-Eguia</v>
      </c>
      <c r="P51" s="176"/>
      <c r="Q51" s="172">
        <v>21</v>
      </c>
      <c r="R51" s="177" t="s">
        <v>4349</v>
      </c>
      <c r="S51" s="174" t="str">
        <f>'Team 2'!F48</f>
        <v>Sophie</v>
      </c>
      <c r="T51" s="174" t="str">
        <f>'Team 2'!G48</f>
        <v>Heraty</v>
      </c>
      <c r="U51" s="175" t="str">
        <f t="shared" si="11"/>
        <v>Sophie Heraty</v>
      </c>
      <c r="V51" s="176"/>
      <c r="W51" s="172">
        <v>21</v>
      </c>
      <c r="X51" s="177" t="s">
        <v>4349</v>
      </c>
      <c r="Y51" s="174" t="str">
        <f>'Team 3'!F48</f>
        <v>Maya</v>
      </c>
      <c r="Z51" s="174" t="str">
        <f>'Team 3'!G48</f>
        <v>Robu</v>
      </c>
      <c r="AA51" s="175" t="str">
        <f t="shared" si="12"/>
        <v>Maya Robu</v>
      </c>
      <c r="AB51" s="176"/>
      <c r="AC51" s="172">
        <v>21</v>
      </c>
      <c r="AD51" s="177" t="s">
        <v>4349</v>
      </c>
      <c r="AE51" s="174" t="str">
        <f>'Team 4'!F48</f>
        <v>FRANCES</v>
      </c>
      <c r="AF51" s="174" t="str">
        <f>'Team 4'!G48</f>
        <v>STARSMORE</v>
      </c>
      <c r="AG51" s="175" t="str">
        <f t="shared" si="13"/>
        <v>FRANCES STARSMORE</v>
      </c>
      <c r="AH51" s="174"/>
      <c r="AI51" s="172">
        <v>21</v>
      </c>
      <c r="AJ51" s="177" t="s">
        <v>4349</v>
      </c>
      <c r="AK51" s="174" t="str">
        <f>'Team 5'!F48</f>
        <v>Orlagh</v>
      </c>
      <c r="AL51" s="174" t="str">
        <f>'Team 5'!G48</f>
        <v>Northgrave</v>
      </c>
      <c r="AM51" s="175" t="str">
        <f t="shared" si="14"/>
        <v>Orlagh Northgrave</v>
      </c>
      <c r="AN51" s="176"/>
      <c r="AO51" s="172">
        <v>21</v>
      </c>
      <c r="AP51" s="177" t="s">
        <v>4349</v>
      </c>
      <c r="AQ51" s="177" t="str">
        <f>'Team 6'!F48</f>
        <v xml:space="preserve">Polina </v>
      </c>
      <c r="AR51" s="177" t="str">
        <f>'Team 6'!G48</f>
        <v>Fedorova</v>
      </c>
      <c r="AS51" s="175" t="str">
        <f t="shared" si="15"/>
        <v>Polina  Fedorova</v>
      </c>
      <c r="AT51" s="176"/>
      <c r="AU51" s="172">
        <v>21</v>
      </c>
      <c r="AV51" s="177" t="s">
        <v>4349</v>
      </c>
      <c r="AW51" s="177" t="str">
        <f>'Team 7'!F48</f>
        <v>Jessica</v>
      </c>
      <c r="AX51" s="177" t="str">
        <f>'Team 7'!G48</f>
        <v>Riach</v>
      </c>
      <c r="AY51" s="175" t="str">
        <f t="shared" si="16"/>
        <v>Jessica Riach</v>
      </c>
      <c r="AZ51" s="176"/>
      <c r="BA51" s="172">
        <v>21</v>
      </c>
      <c r="BB51" s="177" t="s">
        <v>4349</v>
      </c>
      <c r="BC51" s="177">
        <f>'Team 8'!F48</f>
        <v>0</v>
      </c>
      <c r="BD51" s="177">
        <f>'Team 8'!G48</f>
        <v>0</v>
      </c>
      <c r="BE51" s="175" t="str">
        <f t="shared" si="17"/>
        <v>0 0</v>
      </c>
      <c r="BF51" s="176"/>
      <c r="BG51" s="172">
        <v>21</v>
      </c>
      <c r="BH51" s="177" t="s">
        <v>4349</v>
      </c>
      <c r="BI51" s="177">
        <f>'Team 9'!F48</f>
        <v>0</v>
      </c>
      <c r="BJ51" s="177">
        <f>'Team 9'!G48</f>
        <v>0</v>
      </c>
      <c r="BK51" s="175" t="str">
        <f t="shared" si="18"/>
        <v>0 0</v>
      </c>
      <c r="BL51" s="176"/>
      <c r="BM51" s="172">
        <v>21</v>
      </c>
      <c r="BN51" s="177" t="s">
        <v>4349</v>
      </c>
      <c r="BO51" s="177">
        <f>'Team 10'!F48</f>
        <v>0</v>
      </c>
      <c r="BP51" s="177">
        <f>'Team 10'!G48</f>
        <v>0</v>
      </c>
      <c r="BQ51" s="175" t="str">
        <f t="shared" si="19"/>
        <v>0 0</v>
      </c>
      <c r="BR51" s="176"/>
      <c r="BS51" s="180"/>
    </row>
    <row r="52" spans="1:71" s="179" customFormat="1" ht="20.25" customHeight="1" x14ac:dyDescent="0.3">
      <c r="A52" s="189"/>
      <c r="B52" s="186"/>
      <c r="C52" s="186"/>
      <c r="D52" s="182"/>
      <c r="E52" s="182"/>
      <c r="F52" s="182"/>
      <c r="G52" s="182"/>
      <c r="H52" s="182"/>
      <c r="I52" s="188"/>
      <c r="J52" s="182"/>
      <c r="K52" s="172">
        <v>22</v>
      </c>
      <c r="L52" s="177" t="s">
        <v>4350</v>
      </c>
      <c r="M52" s="174" t="str">
        <f>'Team 1'!F49</f>
        <v>Yigit</v>
      </c>
      <c r="N52" s="174" t="str">
        <f>'Team 1'!G49</f>
        <v>Ilhan</v>
      </c>
      <c r="O52" s="175" t="str">
        <f t="shared" si="10"/>
        <v>Yigit Ilhan</v>
      </c>
      <c r="P52" s="176"/>
      <c r="Q52" s="172">
        <v>22</v>
      </c>
      <c r="R52" s="177" t="s">
        <v>4350</v>
      </c>
      <c r="S52" s="174" t="str">
        <f>'Team 2'!F49</f>
        <v>James</v>
      </c>
      <c r="T52" s="174" t="str">
        <f>'Team 2'!G49</f>
        <v>Winter</v>
      </c>
      <c r="U52" s="175" t="str">
        <f t="shared" si="11"/>
        <v>James Winter</v>
      </c>
      <c r="V52" s="176"/>
      <c r="W52" s="172">
        <v>22</v>
      </c>
      <c r="X52" s="177" t="s">
        <v>4350</v>
      </c>
      <c r="Y52" s="174" t="str">
        <f>'Team 3'!F49</f>
        <v>Ryan</v>
      </c>
      <c r="Z52" s="174" t="str">
        <f>'Team 3'!G49</f>
        <v>Wimpenny</v>
      </c>
      <c r="AA52" s="175" t="str">
        <f t="shared" si="12"/>
        <v>Ryan Wimpenny</v>
      </c>
      <c r="AB52" s="176"/>
      <c r="AC52" s="172">
        <v>22</v>
      </c>
      <c r="AD52" s="177" t="s">
        <v>4350</v>
      </c>
      <c r="AE52" s="174" t="str">
        <f>'Team 4'!F49</f>
        <v>SAMUEL</v>
      </c>
      <c r="AF52" s="174" t="str">
        <f>'Team 4'!G49</f>
        <v>ROSA</v>
      </c>
      <c r="AG52" s="175" t="str">
        <f t="shared" si="13"/>
        <v>SAMUEL ROSA</v>
      </c>
      <c r="AH52" s="174"/>
      <c r="AI52" s="172">
        <v>22</v>
      </c>
      <c r="AJ52" s="177" t="s">
        <v>4350</v>
      </c>
      <c r="AK52" s="174" t="str">
        <f>'Team 5'!F49</f>
        <v>Liam</v>
      </c>
      <c r="AL52" s="174" t="str">
        <f>'Team 5'!G49</f>
        <v>Hurst</v>
      </c>
      <c r="AM52" s="175" t="str">
        <f t="shared" si="14"/>
        <v>Liam Hurst</v>
      </c>
      <c r="AN52" s="176"/>
      <c r="AO52" s="172">
        <v>22</v>
      </c>
      <c r="AP52" s="177" t="s">
        <v>4350</v>
      </c>
      <c r="AQ52" s="177" t="str">
        <f>'Team 6'!F49</f>
        <v>Gert</v>
      </c>
      <c r="AR52" s="177" t="str">
        <f>'Team 6'!G49</f>
        <v>Zeqiri</v>
      </c>
      <c r="AS52" s="175" t="str">
        <f t="shared" si="15"/>
        <v>Gert Zeqiri</v>
      </c>
      <c r="AT52" s="176"/>
      <c r="AU52" s="172">
        <v>22</v>
      </c>
      <c r="AV52" s="177" t="s">
        <v>4350</v>
      </c>
      <c r="AW52" s="177" t="str">
        <f>'Team 7'!F49</f>
        <v>Advay</v>
      </c>
      <c r="AX52" s="177" t="str">
        <f>'Team 7'!G49</f>
        <v>Bhatia</v>
      </c>
      <c r="AY52" s="175" t="str">
        <f t="shared" si="16"/>
        <v>Advay Bhatia</v>
      </c>
      <c r="AZ52" s="176"/>
      <c r="BA52" s="172">
        <v>22</v>
      </c>
      <c r="BB52" s="177" t="s">
        <v>4350</v>
      </c>
      <c r="BC52" s="177">
        <f>'Team 8'!F49</f>
        <v>0</v>
      </c>
      <c r="BD52" s="177">
        <f>'Team 8'!G49</f>
        <v>0</v>
      </c>
      <c r="BE52" s="175" t="str">
        <f t="shared" si="17"/>
        <v>0 0</v>
      </c>
      <c r="BF52" s="176"/>
      <c r="BG52" s="172">
        <v>22</v>
      </c>
      <c r="BH52" s="177" t="s">
        <v>4350</v>
      </c>
      <c r="BI52" s="177">
        <f>'Team 9'!F49</f>
        <v>0</v>
      </c>
      <c r="BJ52" s="177">
        <f>'Team 9'!G49</f>
        <v>0</v>
      </c>
      <c r="BK52" s="175" t="str">
        <f t="shared" si="18"/>
        <v>0 0</v>
      </c>
      <c r="BL52" s="176"/>
      <c r="BM52" s="172">
        <v>22</v>
      </c>
      <c r="BN52" s="177" t="s">
        <v>4350</v>
      </c>
      <c r="BO52" s="177">
        <f>'Team 10'!F49</f>
        <v>0</v>
      </c>
      <c r="BP52" s="177">
        <f>'Team 10'!G49</f>
        <v>0</v>
      </c>
      <c r="BQ52" s="175" t="str">
        <f t="shared" si="19"/>
        <v>0 0</v>
      </c>
      <c r="BR52" s="176"/>
      <c r="BS52" s="180"/>
    </row>
    <row r="53" spans="1:71" s="179" customFormat="1" ht="21" customHeight="1" x14ac:dyDescent="0.3">
      <c r="A53" s="189"/>
      <c r="B53" s="186"/>
      <c r="C53" s="186"/>
      <c r="D53" s="182"/>
      <c r="E53" s="182"/>
      <c r="F53" s="182"/>
      <c r="G53" s="182"/>
      <c r="H53" s="182"/>
      <c r="I53" s="188"/>
      <c r="J53" s="182"/>
      <c r="K53" s="172">
        <v>23</v>
      </c>
      <c r="L53" s="177" t="s">
        <v>4351</v>
      </c>
      <c r="M53" s="174" t="str">
        <f>'Team 1'!F50</f>
        <v>Zoe</v>
      </c>
      <c r="N53" s="174" t="str">
        <f>'Team 1'!G50</f>
        <v>Panayi</v>
      </c>
      <c r="O53" s="175" t="str">
        <f t="shared" si="10"/>
        <v>Zoe Panayi</v>
      </c>
      <c r="P53" s="176"/>
      <c r="Q53" s="172">
        <v>23</v>
      </c>
      <c r="R53" s="177" t="s">
        <v>4351</v>
      </c>
      <c r="S53" s="174" t="str">
        <f>'Team 2'!F50</f>
        <v>Charlotte</v>
      </c>
      <c r="T53" s="174" t="str">
        <f>'Team 2'!G50</f>
        <v>Lyon</v>
      </c>
      <c r="U53" s="175" t="str">
        <f t="shared" si="11"/>
        <v>Charlotte Lyon</v>
      </c>
      <c r="V53" s="176"/>
      <c r="W53" s="172">
        <v>23</v>
      </c>
      <c r="X53" s="177" t="s">
        <v>4351</v>
      </c>
      <c r="Y53" s="174" t="str">
        <f>'Team 3'!F50</f>
        <v>Hannah</v>
      </c>
      <c r="Z53" s="174" t="str">
        <f>'Team 3'!G50</f>
        <v>Lovelock</v>
      </c>
      <c r="AA53" s="175" t="str">
        <f t="shared" si="12"/>
        <v>Hannah Lovelock</v>
      </c>
      <c r="AB53" s="176"/>
      <c r="AC53" s="172">
        <v>23</v>
      </c>
      <c r="AD53" s="177" t="s">
        <v>4351</v>
      </c>
      <c r="AE53" s="174" t="str">
        <f>'Team 4'!F50</f>
        <v>ANNABELLA</v>
      </c>
      <c r="AF53" s="174" t="str">
        <f>'Team 4'!G50</f>
        <v>COJEEN</v>
      </c>
      <c r="AG53" s="175" t="str">
        <f t="shared" si="13"/>
        <v>ANNABELLA COJEEN</v>
      </c>
      <c r="AH53" s="174"/>
      <c r="AI53" s="172">
        <v>23</v>
      </c>
      <c r="AJ53" s="177" t="s">
        <v>4351</v>
      </c>
      <c r="AK53" s="174" t="str">
        <f>'Team 5'!F50</f>
        <v>Mia</v>
      </c>
      <c r="AL53" s="174" t="str">
        <f>'Team 5'!G50</f>
        <v>Macklin</v>
      </c>
      <c r="AM53" s="175" t="str">
        <f t="shared" si="14"/>
        <v>Mia Macklin</v>
      </c>
      <c r="AN53" s="176"/>
      <c r="AO53" s="172">
        <v>23</v>
      </c>
      <c r="AP53" s="177" t="s">
        <v>4351</v>
      </c>
      <c r="AQ53" s="177" t="str">
        <f>'Team 6'!F50</f>
        <v xml:space="preserve">Crina Stefania </v>
      </c>
      <c r="AR53" s="177" t="str">
        <f>'Team 6'!G50</f>
        <v>Bostan</v>
      </c>
      <c r="AS53" s="175" t="str">
        <f t="shared" si="15"/>
        <v>Crina Stefania  Bostan</v>
      </c>
      <c r="AT53" s="176"/>
      <c r="AU53" s="172">
        <v>23</v>
      </c>
      <c r="AV53" s="177" t="s">
        <v>4351</v>
      </c>
      <c r="AW53" s="177" t="str">
        <f>'Team 7'!F50</f>
        <v>Keira</v>
      </c>
      <c r="AX53" s="177" t="str">
        <f>'Team 7'!G50</f>
        <v>Brannigan</v>
      </c>
      <c r="AY53" s="175" t="str">
        <f t="shared" si="16"/>
        <v>Keira Brannigan</v>
      </c>
      <c r="AZ53" s="176"/>
      <c r="BA53" s="172">
        <v>23</v>
      </c>
      <c r="BB53" s="177" t="s">
        <v>4351</v>
      </c>
      <c r="BC53" s="177">
        <f>'Team 8'!F50</f>
        <v>0</v>
      </c>
      <c r="BD53" s="177">
        <f>'Team 8'!G50</f>
        <v>0</v>
      </c>
      <c r="BE53" s="175" t="str">
        <f t="shared" si="17"/>
        <v>0 0</v>
      </c>
      <c r="BF53" s="176"/>
      <c r="BG53" s="172">
        <v>23</v>
      </c>
      <c r="BH53" s="177" t="s">
        <v>4351</v>
      </c>
      <c r="BI53" s="177">
        <f>'Team 9'!F50</f>
        <v>0</v>
      </c>
      <c r="BJ53" s="177">
        <f>'Team 9'!G50</f>
        <v>0</v>
      </c>
      <c r="BK53" s="175" t="str">
        <f t="shared" si="18"/>
        <v>0 0</v>
      </c>
      <c r="BL53" s="176"/>
      <c r="BM53" s="172">
        <v>23</v>
      </c>
      <c r="BN53" s="177" t="s">
        <v>4351</v>
      </c>
      <c r="BO53" s="177">
        <f>'Team 10'!F50</f>
        <v>0</v>
      </c>
      <c r="BP53" s="177">
        <f>'Team 10'!G50</f>
        <v>0</v>
      </c>
      <c r="BQ53" s="175" t="str">
        <f t="shared" si="19"/>
        <v>0 0</v>
      </c>
      <c r="BR53" s="176"/>
      <c r="BS53" s="190"/>
    </row>
    <row r="54" spans="1:71" s="179" customFormat="1" ht="21" customHeight="1" x14ac:dyDescent="0.3">
      <c r="A54" s="189"/>
      <c r="B54" s="186"/>
      <c r="C54" s="186"/>
      <c r="D54" s="182"/>
      <c r="E54" s="182"/>
      <c r="F54" s="182"/>
      <c r="G54" s="182"/>
      <c r="H54" s="182"/>
      <c r="I54" s="188"/>
      <c r="J54" s="182"/>
      <c r="K54" s="172">
        <v>24</v>
      </c>
      <c r="L54" s="177" t="s">
        <v>4352</v>
      </c>
      <c r="M54" s="174">
        <f>'Team 1'!F51</f>
        <v>0</v>
      </c>
      <c r="N54" s="174">
        <f>'Team 1'!G51</f>
        <v>0</v>
      </c>
      <c r="O54" s="175" t="str">
        <f t="shared" si="10"/>
        <v>0 0</v>
      </c>
      <c r="P54" s="176"/>
      <c r="Q54" s="172">
        <v>24</v>
      </c>
      <c r="R54" s="177" t="s">
        <v>4352</v>
      </c>
      <c r="S54" s="174" t="str">
        <f>'Team 2'!F51</f>
        <v>Oliver</v>
      </c>
      <c r="T54" s="174" t="str">
        <f>'Team 2'!G51</f>
        <v>Tubridy</v>
      </c>
      <c r="U54" s="175" t="str">
        <f t="shared" si="11"/>
        <v>Oliver Tubridy</v>
      </c>
      <c r="V54" s="176"/>
      <c r="W54" s="172">
        <v>24</v>
      </c>
      <c r="X54" s="177" t="s">
        <v>4352</v>
      </c>
      <c r="Y54" s="174" t="str">
        <f>'Team 3'!F51</f>
        <v>Alfie</v>
      </c>
      <c r="Z54" s="174" t="str">
        <f>'Team 3'!G51</f>
        <v>Bullock</v>
      </c>
      <c r="AA54" s="175" t="str">
        <f t="shared" si="12"/>
        <v>Alfie Bullock</v>
      </c>
      <c r="AB54" s="176"/>
      <c r="AC54" s="172">
        <v>24</v>
      </c>
      <c r="AD54" s="177" t="s">
        <v>4352</v>
      </c>
      <c r="AE54" s="174" t="str">
        <f>'Team 4'!F51</f>
        <v>RAFI</v>
      </c>
      <c r="AF54" s="174" t="str">
        <f>'Team 4'!G51</f>
        <v>GIBSON</v>
      </c>
      <c r="AG54" s="175" t="str">
        <f t="shared" si="13"/>
        <v>RAFI GIBSON</v>
      </c>
      <c r="AH54" s="174"/>
      <c r="AI54" s="172">
        <v>24</v>
      </c>
      <c r="AJ54" s="177" t="s">
        <v>4352</v>
      </c>
      <c r="AK54" s="174" t="str">
        <f>'Team 5'!F51</f>
        <v>Joshua</v>
      </c>
      <c r="AL54" s="174" t="str">
        <f>'Team 5'!G51</f>
        <v>Parker</v>
      </c>
      <c r="AM54" s="175" t="str">
        <f t="shared" si="14"/>
        <v>Joshua Parker</v>
      </c>
      <c r="AN54" s="176"/>
      <c r="AO54" s="172">
        <v>24</v>
      </c>
      <c r="AP54" s="177" t="s">
        <v>4352</v>
      </c>
      <c r="AQ54" s="177" t="str">
        <f>'Team 6'!F51</f>
        <v xml:space="preserve">Owen </v>
      </c>
      <c r="AR54" s="177" t="str">
        <f>'Team 6'!G51</f>
        <v xml:space="preserve">Roberts </v>
      </c>
      <c r="AS54" s="175" t="str">
        <f t="shared" si="15"/>
        <v xml:space="preserve">Owen  Roberts </v>
      </c>
      <c r="AT54" s="176"/>
      <c r="AU54" s="172">
        <v>24</v>
      </c>
      <c r="AV54" s="177" t="s">
        <v>4352</v>
      </c>
      <c r="AW54" s="177" t="str">
        <f>'Team 7'!F51</f>
        <v>Aaran</v>
      </c>
      <c r="AX54" s="177" t="str">
        <f>'Team 7'!G51</f>
        <v>Parmar</v>
      </c>
      <c r="AY54" s="175" t="str">
        <f t="shared" si="16"/>
        <v>Aaran Parmar</v>
      </c>
      <c r="AZ54" s="176"/>
      <c r="BA54" s="172">
        <v>24</v>
      </c>
      <c r="BB54" s="177" t="s">
        <v>4352</v>
      </c>
      <c r="BC54" s="177">
        <f>'Team 8'!F51</f>
        <v>0</v>
      </c>
      <c r="BD54" s="177">
        <f>'Team 8'!G51</f>
        <v>0</v>
      </c>
      <c r="BE54" s="175" t="str">
        <f t="shared" si="17"/>
        <v>0 0</v>
      </c>
      <c r="BF54" s="176"/>
      <c r="BG54" s="172">
        <v>24</v>
      </c>
      <c r="BH54" s="177" t="s">
        <v>4352</v>
      </c>
      <c r="BI54" s="177">
        <f>'Team 9'!F51</f>
        <v>0</v>
      </c>
      <c r="BJ54" s="177">
        <f>'Team 9'!G51</f>
        <v>0</v>
      </c>
      <c r="BK54" s="175" t="str">
        <f t="shared" si="18"/>
        <v>0 0</v>
      </c>
      <c r="BL54" s="176"/>
      <c r="BM54" s="172">
        <v>24</v>
      </c>
      <c r="BN54" s="177" t="s">
        <v>4352</v>
      </c>
      <c r="BO54" s="177">
        <f>'Team 10'!F51</f>
        <v>0</v>
      </c>
      <c r="BP54" s="177">
        <f>'Team 10'!G51</f>
        <v>0</v>
      </c>
      <c r="BQ54" s="175" t="str">
        <f t="shared" si="19"/>
        <v>0 0</v>
      </c>
      <c r="BR54" s="176"/>
      <c r="BS54" s="191"/>
    </row>
    <row r="55" spans="1:71" s="179" customFormat="1" ht="21" customHeight="1" x14ac:dyDescent="0.3">
      <c r="A55" s="189"/>
      <c r="B55" s="186"/>
      <c r="C55" s="186"/>
      <c r="D55" s="182"/>
      <c r="E55" s="182"/>
      <c r="F55" s="182"/>
      <c r="G55" s="182"/>
      <c r="H55" s="182"/>
      <c r="I55" s="188"/>
      <c r="J55" s="182"/>
      <c r="K55" s="172">
        <v>25</v>
      </c>
      <c r="L55" s="177" t="s">
        <v>4353</v>
      </c>
      <c r="M55" s="174" t="str">
        <f>'Team 1'!F52</f>
        <v>Isabel</v>
      </c>
      <c r="N55" s="174" t="str">
        <f>'Team 1'!G52</f>
        <v>Spyrou</v>
      </c>
      <c r="O55" s="175" t="str">
        <f t="shared" si="10"/>
        <v>Isabel Spyrou</v>
      </c>
      <c r="P55" s="176"/>
      <c r="Q55" s="172">
        <v>25</v>
      </c>
      <c r="R55" s="177" t="s">
        <v>4353</v>
      </c>
      <c r="S55" s="174" t="str">
        <f>'Team 2'!F52</f>
        <v>Sophie</v>
      </c>
      <c r="T55" s="174" t="str">
        <f>'Team 2'!G52</f>
        <v>Lyon</v>
      </c>
      <c r="U55" s="175" t="str">
        <f t="shared" si="11"/>
        <v>Sophie Lyon</v>
      </c>
      <c r="V55" s="176"/>
      <c r="W55" s="172">
        <v>25</v>
      </c>
      <c r="X55" s="177" t="s">
        <v>4353</v>
      </c>
      <c r="Y55" s="174" t="str">
        <f>'Team 3'!F52</f>
        <v>Grace</v>
      </c>
      <c r="Z55" s="174" t="str">
        <f>'Team 3'!G52</f>
        <v>Sofokleous-Ames</v>
      </c>
      <c r="AA55" s="175" t="str">
        <f t="shared" si="12"/>
        <v>Grace Sofokleous-Ames</v>
      </c>
      <c r="AB55" s="176"/>
      <c r="AC55" s="172">
        <v>25</v>
      </c>
      <c r="AD55" s="177" t="s">
        <v>4353</v>
      </c>
      <c r="AE55" s="174" t="str">
        <f>'Team 4'!F52</f>
        <v>MEGAN</v>
      </c>
      <c r="AF55" s="174" t="str">
        <f>'Team 4'!G52</f>
        <v>JOHNSON</v>
      </c>
      <c r="AG55" s="175" t="str">
        <f t="shared" si="13"/>
        <v>MEGAN JOHNSON</v>
      </c>
      <c r="AH55" s="174"/>
      <c r="AI55" s="172">
        <v>25</v>
      </c>
      <c r="AJ55" s="177" t="s">
        <v>4353</v>
      </c>
      <c r="AK55" s="174" t="str">
        <f>'Team 5'!F52</f>
        <v>Isabelle</v>
      </c>
      <c r="AL55" s="174" t="str">
        <f>'Team 5'!G52</f>
        <v>Talbot</v>
      </c>
      <c r="AM55" s="175" t="str">
        <f t="shared" si="14"/>
        <v>Isabelle Talbot</v>
      </c>
      <c r="AN55" s="176"/>
      <c r="AO55" s="172">
        <v>25</v>
      </c>
      <c r="AP55" s="177" t="s">
        <v>4353</v>
      </c>
      <c r="AQ55" s="177" t="str">
        <f>'Team 6'!F52</f>
        <v>Hannah</v>
      </c>
      <c r="AR55" s="177" t="str">
        <f>'Team 6'!G52</f>
        <v>Barrios</v>
      </c>
      <c r="AS55" s="175" t="str">
        <f t="shared" si="15"/>
        <v>Hannah Barrios</v>
      </c>
      <c r="AT55" s="176"/>
      <c r="AU55" s="172">
        <v>25</v>
      </c>
      <c r="AV55" s="177" t="s">
        <v>4353</v>
      </c>
      <c r="AW55" s="177" t="str">
        <f>'Team 7'!F52</f>
        <v>Kayla</v>
      </c>
      <c r="AX55" s="177" t="str">
        <f>'Team 7'!G52</f>
        <v>Van Zyl</v>
      </c>
      <c r="AY55" s="175" t="str">
        <f t="shared" si="16"/>
        <v>Kayla Van Zyl</v>
      </c>
      <c r="AZ55" s="176"/>
      <c r="BA55" s="172">
        <v>25</v>
      </c>
      <c r="BB55" s="177" t="s">
        <v>4353</v>
      </c>
      <c r="BC55" s="177">
        <f>'Team 8'!F52</f>
        <v>0</v>
      </c>
      <c r="BD55" s="177">
        <f>'Team 8'!G52</f>
        <v>0</v>
      </c>
      <c r="BE55" s="175" t="str">
        <f t="shared" si="17"/>
        <v>0 0</v>
      </c>
      <c r="BF55" s="176"/>
      <c r="BG55" s="172">
        <v>25</v>
      </c>
      <c r="BH55" s="177" t="s">
        <v>4353</v>
      </c>
      <c r="BI55" s="177">
        <f>'Team 9'!F52</f>
        <v>0</v>
      </c>
      <c r="BJ55" s="177">
        <f>'Team 9'!G52</f>
        <v>0</v>
      </c>
      <c r="BK55" s="175" t="str">
        <f t="shared" si="18"/>
        <v>0 0</v>
      </c>
      <c r="BL55" s="176"/>
      <c r="BM55" s="172">
        <v>25</v>
      </c>
      <c r="BN55" s="177" t="s">
        <v>4353</v>
      </c>
      <c r="BO55" s="177">
        <f>'Team 10'!F52</f>
        <v>0</v>
      </c>
      <c r="BP55" s="177">
        <f>'Team 10'!G52</f>
        <v>0</v>
      </c>
      <c r="BQ55" s="175" t="str">
        <f t="shared" si="19"/>
        <v>0 0</v>
      </c>
      <c r="BR55" s="176"/>
      <c r="BS55" s="191"/>
    </row>
    <row r="56" spans="1:71" s="179" customFormat="1" ht="21" customHeight="1" x14ac:dyDescent="0.3">
      <c r="A56" s="189"/>
      <c r="B56" s="186"/>
      <c r="C56" s="186"/>
      <c r="D56" s="182"/>
      <c r="E56" s="182"/>
      <c r="F56" s="182"/>
      <c r="G56" s="182"/>
      <c r="H56" s="182"/>
      <c r="I56" s="188"/>
      <c r="J56" s="182"/>
      <c r="K56" s="172">
        <v>26</v>
      </c>
      <c r="L56" s="177" t="s">
        <v>4354</v>
      </c>
      <c r="M56" s="174" t="str">
        <f>'Team 1'!F53</f>
        <v>James</v>
      </c>
      <c r="N56" s="174" t="str">
        <f>'Team 1'!G53</f>
        <v>Smeaton</v>
      </c>
      <c r="O56" s="175" t="str">
        <f t="shared" si="10"/>
        <v>James Smeaton</v>
      </c>
      <c r="P56" s="176"/>
      <c r="Q56" s="172">
        <v>26</v>
      </c>
      <c r="R56" s="177" t="s">
        <v>4354</v>
      </c>
      <c r="S56" s="174" t="str">
        <f>'Team 2'!F53</f>
        <v>Matthew</v>
      </c>
      <c r="T56" s="174" t="str">
        <f>'Team 2'!G53</f>
        <v>Costello</v>
      </c>
      <c r="U56" s="175" t="str">
        <f t="shared" si="11"/>
        <v>Matthew Costello</v>
      </c>
      <c r="V56" s="176"/>
      <c r="W56" s="172">
        <v>26</v>
      </c>
      <c r="X56" s="177" t="s">
        <v>4354</v>
      </c>
      <c r="Y56" s="174" t="str">
        <f>'Team 3'!F53</f>
        <v>Charlie</v>
      </c>
      <c r="Z56" s="174" t="str">
        <f>'Team 3'!G53</f>
        <v>Cropley</v>
      </c>
      <c r="AA56" s="175" t="str">
        <f t="shared" si="12"/>
        <v>Charlie Cropley</v>
      </c>
      <c r="AB56" s="176"/>
      <c r="AC56" s="172">
        <v>26</v>
      </c>
      <c r="AD56" s="177" t="s">
        <v>4354</v>
      </c>
      <c r="AE56" s="174" t="str">
        <f>'Team 4'!F53</f>
        <v>MATTHEW</v>
      </c>
      <c r="AF56" s="174" t="str">
        <f>'Team 4'!G53</f>
        <v>MASTERS</v>
      </c>
      <c r="AG56" s="175" t="str">
        <f t="shared" si="13"/>
        <v>MATTHEW MASTERS</v>
      </c>
      <c r="AH56" s="174"/>
      <c r="AI56" s="172">
        <v>26</v>
      </c>
      <c r="AJ56" s="177" t="s">
        <v>4354</v>
      </c>
      <c r="AK56" s="174" t="str">
        <f>'Team 5'!F53</f>
        <v>Jamie</v>
      </c>
      <c r="AL56" s="174" t="str">
        <f>'Team 5'!G53</f>
        <v>Hartnup</v>
      </c>
      <c r="AM56" s="175" t="str">
        <f t="shared" si="14"/>
        <v>Jamie Hartnup</v>
      </c>
      <c r="AN56" s="176"/>
      <c r="AO56" s="172">
        <v>26</v>
      </c>
      <c r="AP56" s="177" t="s">
        <v>4354</v>
      </c>
      <c r="AQ56" s="177" t="str">
        <f>'Team 6'!F53</f>
        <v>Owen</v>
      </c>
      <c r="AR56" s="177" t="str">
        <f>'Team 6'!G53</f>
        <v>Roberts</v>
      </c>
      <c r="AS56" s="175" t="str">
        <f t="shared" si="15"/>
        <v>Owen Roberts</v>
      </c>
      <c r="AT56" s="176"/>
      <c r="AU56" s="172">
        <v>26</v>
      </c>
      <c r="AV56" s="177" t="s">
        <v>4354</v>
      </c>
      <c r="AW56" s="177" t="str">
        <f>'Team 7'!F53</f>
        <v>Tsz Kwai</v>
      </c>
      <c r="AX56" s="177" t="str">
        <f>'Team 7'!G53</f>
        <v>Chan</v>
      </c>
      <c r="AY56" s="175" t="str">
        <f t="shared" si="16"/>
        <v>Tsz Kwai Chan</v>
      </c>
      <c r="AZ56" s="176"/>
      <c r="BA56" s="172">
        <v>26</v>
      </c>
      <c r="BB56" s="177" t="s">
        <v>4354</v>
      </c>
      <c r="BC56" s="177">
        <f>'Team 8'!F53</f>
        <v>0</v>
      </c>
      <c r="BD56" s="177">
        <f>'Team 8'!G53</f>
        <v>0</v>
      </c>
      <c r="BE56" s="175" t="str">
        <f t="shared" si="17"/>
        <v>0 0</v>
      </c>
      <c r="BF56" s="176"/>
      <c r="BG56" s="172">
        <v>26</v>
      </c>
      <c r="BH56" s="177" t="s">
        <v>4354</v>
      </c>
      <c r="BI56" s="177">
        <f>'Team 9'!F53</f>
        <v>0</v>
      </c>
      <c r="BJ56" s="177">
        <f>'Team 9'!G53</f>
        <v>0</v>
      </c>
      <c r="BK56" s="175" t="str">
        <f t="shared" si="18"/>
        <v>0 0</v>
      </c>
      <c r="BL56" s="176"/>
      <c r="BM56" s="172">
        <v>26</v>
      </c>
      <c r="BN56" s="177" t="s">
        <v>4354</v>
      </c>
      <c r="BO56" s="177">
        <f>'Team 10'!F53</f>
        <v>0</v>
      </c>
      <c r="BP56" s="177">
        <f>'Team 10'!G53</f>
        <v>0</v>
      </c>
      <c r="BQ56" s="175" t="str">
        <f t="shared" si="19"/>
        <v>0 0</v>
      </c>
      <c r="BR56" s="176"/>
      <c r="BS56" s="191"/>
    </row>
    <row r="57" spans="1:71" s="179" customFormat="1" ht="21" customHeight="1" x14ac:dyDescent="0.3">
      <c r="A57" s="186"/>
      <c r="B57" s="186"/>
      <c r="C57" s="186"/>
      <c r="D57" s="182"/>
      <c r="E57" s="182"/>
      <c r="F57" s="182"/>
      <c r="G57" s="182"/>
      <c r="H57" s="182"/>
      <c r="I57" s="188"/>
      <c r="J57" s="182"/>
      <c r="K57" s="172">
        <v>27</v>
      </c>
      <c r="L57" s="177" t="s">
        <v>4355</v>
      </c>
      <c r="M57" s="174" t="str">
        <f>'Team 1'!F54</f>
        <v>Ines</v>
      </c>
      <c r="N57" s="174" t="str">
        <f>'Team 1'!G54</f>
        <v>Puente</v>
      </c>
      <c r="O57" s="175" t="str">
        <f t="shared" si="10"/>
        <v>Ines Puente</v>
      </c>
      <c r="P57" s="176"/>
      <c r="Q57" s="172">
        <v>27</v>
      </c>
      <c r="R57" s="177" t="s">
        <v>4355</v>
      </c>
      <c r="S57" s="174" t="str">
        <f>'Team 2'!F54</f>
        <v>Seren</v>
      </c>
      <c r="T57" s="174" t="str">
        <f>'Team 2'!G54</f>
        <v>Cooper</v>
      </c>
      <c r="U57" s="175" t="str">
        <f t="shared" si="11"/>
        <v>Seren Cooper</v>
      </c>
      <c r="V57" s="176"/>
      <c r="W57" s="172">
        <v>27</v>
      </c>
      <c r="X57" s="177" t="s">
        <v>4355</v>
      </c>
      <c r="Y57" s="174" t="str">
        <f>'Team 3'!F54</f>
        <v>Hannah</v>
      </c>
      <c r="Z57" s="174" t="str">
        <f>'Team 3'!G54</f>
        <v>Jounor</v>
      </c>
      <c r="AA57" s="175" t="str">
        <f t="shared" si="12"/>
        <v>Hannah Jounor</v>
      </c>
      <c r="AB57" s="176"/>
      <c r="AC57" s="172">
        <v>27</v>
      </c>
      <c r="AD57" s="177" t="s">
        <v>4355</v>
      </c>
      <c r="AE57" s="174" t="str">
        <f>'Team 4'!F54</f>
        <v>MIA</v>
      </c>
      <c r="AF57" s="174" t="str">
        <f>'Team 4'!G54</f>
        <v>ZUBCEVIC</v>
      </c>
      <c r="AG57" s="175" t="str">
        <f t="shared" si="13"/>
        <v>MIA ZUBCEVIC</v>
      </c>
      <c r="AH57" s="174"/>
      <c r="AI57" s="172">
        <v>27</v>
      </c>
      <c r="AJ57" s="177" t="s">
        <v>4355</v>
      </c>
      <c r="AK57" s="174" t="str">
        <f>'Team 5'!F54</f>
        <v>Caoife</v>
      </c>
      <c r="AL57" s="174" t="str">
        <f>'Team 5'!G54</f>
        <v>Long</v>
      </c>
      <c r="AM57" s="175" t="str">
        <f t="shared" si="14"/>
        <v>Caoife Long</v>
      </c>
      <c r="AN57" s="176"/>
      <c r="AO57" s="172">
        <v>27</v>
      </c>
      <c r="AP57" s="177" t="s">
        <v>4355</v>
      </c>
      <c r="AQ57" s="177" t="str">
        <f>'Team 6'!F54</f>
        <v xml:space="preserve">Miraya </v>
      </c>
      <c r="AR57" s="177" t="str">
        <f>'Team 6'!G54</f>
        <v>Patel</v>
      </c>
      <c r="AS57" s="175" t="str">
        <f t="shared" si="15"/>
        <v>Miraya  Patel</v>
      </c>
      <c r="AT57" s="176"/>
      <c r="AU57" s="172">
        <v>27</v>
      </c>
      <c r="AV57" s="177" t="s">
        <v>4355</v>
      </c>
      <c r="AW57" s="177" t="str">
        <f>'Team 7'!F54</f>
        <v>Lara</v>
      </c>
      <c r="AX57" s="177" t="str">
        <f>'Team 7'!G54</f>
        <v>Shah</v>
      </c>
      <c r="AY57" s="175" t="str">
        <f t="shared" si="16"/>
        <v>Lara Shah</v>
      </c>
      <c r="AZ57" s="176"/>
      <c r="BA57" s="172">
        <v>27</v>
      </c>
      <c r="BB57" s="177" t="s">
        <v>4355</v>
      </c>
      <c r="BC57" s="177">
        <f>'Team 8'!F54</f>
        <v>0</v>
      </c>
      <c r="BD57" s="177">
        <f>'Team 8'!G54</f>
        <v>0</v>
      </c>
      <c r="BE57" s="175" t="str">
        <f t="shared" si="17"/>
        <v>0 0</v>
      </c>
      <c r="BF57" s="176"/>
      <c r="BG57" s="172">
        <v>27</v>
      </c>
      <c r="BH57" s="177" t="s">
        <v>4355</v>
      </c>
      <c r="BI57" s="177">
        <f>'Team 9'!F54</f>
        <v>0</v>
      </c>
      <c r="BJ57" s="177">
        <f>'Team 9'!G54</f>
        <v>0</v>
      </c>
      <c r="BK57" s="175" t="str">
        <f t="shared" si="18"/>
        <v>0 0</v>
      </c>
      <c r="BL57" s="176"/>
      <c r="BM57" s="172">
        <v>27</v>
      </c>
      <c r="BN57" s="177" t="s">
        <v>4355</v>
      </c>
      <c r="BO57" s="177">
        <f>'Team 10'!F54</f>
        <v>0</v>
      </c>
      <c r="BP57" s="177">
        <f>'Team 10'!G54</f>
        <v>0</v>
      </c>
      <c r="BQ57" s="175" t="str">
        <f t="shared" si="19"/>
        <v>0 0</v>
      </c>
      <c r="BR57" s="176"/>
      <c r="BS57" s="180"/>
    </row>
    <row r="58" spans="1:71" s="179" customFormat="1" ht="21" customHeight="1" x14ac:dyDescent="0.3">
      <c r="A58" s="186"/>
      <c r="B58" s="186"/>
      <c r="C58" s="186"/>
      <c r="D58" s="182"/>
      <c r="E58" s="182"/>
      <c r="F58" s="182"/>
      <c r="G58" s="182"/>
      <c r="H58" s="182"/>
      <c r="I58" s="188"/>
      <c r="J58" s="182"/>
      <c r="K58" s="172">
        <v>28</v>
      </c>
      <c r="L58" s="177" t="s">
        <v>4356</v>
      </c>
      <c r="M58" s="174" t="str">
        <f>'Team 1'!F55</f>
        <v>Leonardo</v>
      </c>
      <c r="N58" s="174" t="str">
        <f>'Team 1'!G55</f>
        <v>Goad</v>
      </c>
      <c r="O58" s="175" t="str">
        <f t="shared" si="10"/>
        <v>Leonardo Goad</v>
      </c>
      <c r="P58" s="176"/>
      <c r="Q58" s="172">
        <v>28</v>
      </c>
      <c r="R58" s="177" t="s">
        <v>4356</v>
      </c>
      <c r="S58" s="174" t="str">
        <f>'Team 2'!F55</f>
        <v>Kai Jun Wai</v>
      </c>
      <c r="T58" s="174" t="str">
        <f>'Team 2'!G55</f>
        <v>Cheung</v>
      </c>
      <c r="U58" s="175" t="str">
        <f t="shared" si="11"/>
        <v>Kai Jun Wai Cheung</v>
      </c>
      <c r="V58" s="176"/>
      <c r="W58" s="172">
        <v>28</v>
      </c>
      <c r="X58" s="177" t="s">
        <v>4356</v>
      </c>
      <c r="Y58" s="174" t="str">
        <f>'Team 3'!F55</f>
        <v>Harry</v>
      </c>
      <c r="Z58" s="174" t="str">
        <f>'Team 3'!G55</f>
        <v>Lythgoe</v>
      </c>
      <c r="AA58" s="175" t="str">
        <f t="shared" si="12"/>
        <v>Harry Lythgoe</v>
      </c>
      <c r="AB58" s="176"/>
      <c r="AC58" s="172">
        <v>28</v>
      </c>
      <c r="AD58" s="177" t="s">
        <v>4356</v>
      </c>
      <c r="AE58" s="174" t="str">
        <f>'Team 4'!F55</f>
        <v>JAMES</v>
      </c>
      <c r="AF58" s="174" t="str">
        <f>'Team 4'!G55</f>
        <v>MOHAMMED</v>
      </c>
      <c r="AG58" s="175" t="str">
        <f t="shared" si="13"/>
        <v>JAMES MOHAMMED</v>
      </c>
      <c r="AH58" s="174"/>
      <c r="AI58" s="172">
        <v>28</v>
      </c>
      <c r="AJ58" s="177" t="s">
        <v>4356</v>
      </c>
      <c r="AK58" s="174" t="str">
        <f>'Team 5'!F55</f>
        <v>Braden</v>
      </c>
      <c r="AL58" s="174" t="str">
        <f>'Team 5'!G55</f>
        <v>Barnacle</v>
      </c>
      <c r="AM58" s="175" t="str">
        <f t="shared" si="14"/>
        <v>Braden Barnacle</v>
      </c>
      <c r="AN58" s="176"/>
      <c r="AO58" s="172">
        <v>28</v>
      </c>
      <c r="AP58" s="177" t="s">
        <v>4356</v>
      </c>
      <c r="AQ58" s="177" t="str">
        <f>'Team 6'!F55</f>
        <v>Macsen</v>
      </c>
      <c r="AR58" s="177" t="str">
        <f>'Team 6'!G55</f>
        <v>Roberts</v>
      </c>
      <c r="AS58" s="175" t="str">
        <f t="shared" si="15"/>
        <v>Macsen Roberts</v>
      </c>
      <c r="AT58" s="176"/>
      <c r="AU58" s="172">
        <v>28</v>
      </c>
      <c r="AV58" s="177" t="s">
        <v>4356</v>
      </c>
      <c r="AW58" s="177" t="str">
        <f>'Team 7'!F55</f>
        <v>Christopher</v>
      </c>
      <c r="AX58" s="177" t="str">
        <f>'Team 7'!G55</f>
        <v>Li Mow Ching</v>
      </c>
      <c r="AY58" s="175" t="str">
        <f t="shared" si="16"/>
        <v>Christopher Li Mow Ching</v>
      </c>
      <c r="AZ58" s="176"/>
      <c r="BA58" s="172">
        <v>28</v>
      </c>
      <c r="BB58" s="177" t="s">
        <v>4356</v>
      </c>
      <c r="BC58" s="177">
        <f>'Team 8'!F55</f>
        <v>0</v>
      </c>
      <c r="BD58" s="177">
        <f>'Team 8'!G55</f>
        <v>0</v>
      </c>
      <c r="BE58" s="175" t="str">
        <f t="shared" si="17"/>
        <v>0 0</v>
      </c>
      <c r="BF58" s="176"/>
      <c r="BG58" s="172">
        <v>28</v>
      </c>
      <c r="BH58" s="177" t="s">
        <v>4356</v>
      </c>
      <c r="BI58" s="177">
        <f>'Team 9'!F55</f>
        <v>0</v>
      </c>
      <c r="BJ58" s="177">
        <f>'Team 9'!G55</f>
        <v>0</v>
      </c>
      <c r="BK58" s="175" t="str">
        <f t="shared" si="18"/>
        <v>0 0</v>
      </c>
      <c r="BL58" s="176"/>
      <c r="BM58" s="172">
        <v>28</v>
      </c>
      <c r="BN58" s="177" t="s">
        <v>4356</v>
      </c>
      <c r="BO58" s="177">
        <f>'Team 10'!F55</f>
        <v>0</v>
      </c>
      <c r="BP58" s="177">
        <f>'Team 10'!G55</f>
        <v>0</v>
      </c>
      <c r="BQ58" s="175" t="str">
        <f t="shared" si="19"/>
        <v>0 0</v>
      </c>
      <c r="BR58" s="176"/>
      <c r="BS58" s="180"/>
    </row>
    <row r="59" spans="1:71" s="179" customFormat="1" ht="21" customHeight="1" x14ac:dyDescent="0.3">
      <c r="A59" s="186"/>
      <c r="B59" s="186"/>
      <c r="C59" s="186"/>
      <c r="D59" s="182"/>
      <c r="E59" s="182"/>
      <c r="F59" s="182"/>
      <c r="G59" s="182"/>
      <c r="H59" s="182"/>
      <c r="I59" s="188"/>
      <c r="J59" s="182"/>
      <c r="K59" s="172">
        <v>29</v>
      </c>
      <c r="L59" s="177" t="s">
        <v>4357</v>
      </c>
      <c r="M59" s="174" t="str">
        <f>'Team 1'!F56</f>
        <v>Edanur</v>
      </c>
      <c r="N59" s="174" t="str">
        <f>'Team 1'!G56</f>
        <v>Yigit</v>
      </c>
      <c r="O59" s="175" t="str">
        <f t="shared" si="10"/>
        <v>Edanur Yigit</v>
      </c>
      <c r="P59" s="176"/>
      <c r="Q59" s="172">
        <v>29</v>
      </c>
      <c r="R59" s="177" t="s">
        <v>4357</v>
      </c>
      <c r="S59" s="174" t="str">
        <f>'Team 2'!F56</f>
        <v>Jasmin</v>
      </c>
      <c r="T59" s="174" t="str">
        <f>'Team 2'!G56</f>
        <v>Hunt</v>
      </c>
      <c r="U59" s="175" t="str">
        <f t="shared" si="11"/>
        <v>Jasmin Hunt</v>
      </c>
      <c r="V59" s="176"/>
      <c r="W59" s="172">
        <v>29</v>
      </c>
      <c r="X59" s="177" t="s">
        <v>4357</v>
      </c>
      <c r="Y59" s="174" t="str">
        <f>'Team 3'!F56</f>
        <v>Niamh</v>
      </c>
      <c r="Z59" s="174" t="str">
        <f>'Team 3'!G56</f>
        <v>Holland</v>
      </c>
      <c r="AA59" s="175" t="str">
        <f t="shared" si="12"/>
        <v>Niamh Holland</v>
      </c>
      <c r="AB59" s="176"/>
      <c r="AC59" s="172">
        <v>29</v>
      </c>
      <c r="AD59" s="177" t="s">
        <v>4357</v>
      </c>
      <c r="AE59" s="174" t="str">
        <f>'Team 4'!F56</f>
        <v>ISLA</v>
      </c>
      <c r="AF59" s="174" t="str">
        <f>'Team 4'!G56</f>
        <v>MOHAMMED</v>
      </c>
      <c r="AG59" s="175" t="str">
        <f t="shared" si="13"/>
        <v>ISLA MOHAMMED</v>
      </c>
      <c r="AH59" s="174"/>
      <c r="AI59" s="172">
        <v>29</v>
      </c>
      <c r="AJ59" s="177" t="s">
        <v>4357</v>
      </c>
      <c r="AK59" s="174" t="str">
        <f>'Team 5'!F56</f>
        <v>Aimee</v>
      </c>
      <c r="AL59" s="174" t="str">
        <f>'Team 5'!G56</f>
        <v>Baker</v>
      </c>
      <c r="AM59" s="175" t="str">
        <f t="shared" si="14"/>
        <v>Aimee Baker</v>
      </c>
      <c r="AN59" s="176"/>
      <c r="AO59" s="172">
        <v>29</v>
      </c>
      <c r="AP59" s="177" t="s">
        <v>4357</v>
      </c>
      <c r="AQ59" s="177" t="str">
        <f>'Team 6'!F56</f>
        <v>Emma</v>
      </c>
      <c r="AR59" s="177" t="str">
        <f>'Team 6'!G56</f>
        <v>Sum</v>
      </c>
      <c r="AS59" s="175" t="str">
        <f t="shared" si="15"/>
        <v>Emma Sum</v>
      </c>
      <c r="AT59" s="176"/>
      <c r="AU59" s="172">
        <v>29</v>
      </c>
      <c r="AV59" s="177" t="s">
        <v>4357</v>
      </c>
      <c r="AW59" s="177" t="str">
        <f>'Team 7'!F56</f>
        <v>Mia</v>
      </c>
      <c r="AX59" s="177" t="str">
        <f>'Team 7'!G56</f>
        <v>Curle</v>
      </c>
      <c r="AY59" s="175" t="str">
        <f t="shared" si="16"/>
        <v>Mia Curle</v>
      </c>
      <c r="AZ59" s="176"/>
      <c r="BA59" s="172">
        <v>29</v>
      </c>
      <c r="BB59" s="177" t="s">
        <v>4357</v>
      </c>
      <c r="BC59" s="177">
        <f>'Team 8'!F56</f>
        <v>0</v>
      </c>
      <c r="BD59" s="177">
        <f>'Team 8'!G56</f>
        <v>0</v>
      </c>
      <c r="BE59" s="175" t="str">
        <f t="shared" si="17"/>
        <v>0 0</v>
      </c>
      <c r="BF59" s="176"/>
      <c r="BG59" s="172">
        <v>29</v>
      </c>
      <c r="BH59" s="177" t="s">
        <v>4357</v>
      </c>
      <c r="BI59" s="177">
        <f>'Team 9'!F56</f>
        <v>0</v>
      </c>
      <c r="BJ59" s="177">
        <f>'Team 9'!G56</f>
        <v>0</v>
      </c>
      <c r="BK59" s="175" t="str">
        <f t="shared" si="18"/>
        <v>0 0</v>
      </c>
      <c r="BL59" s="176"/>
      <c r="BM59" s="172">
        <v>29</v>
      </c>
      <c r="BN59" s="177" t="s">
        <v>4357</v>
      </c>
      <c r="BO59" s="177">
        <f>'Team 10'!F56</f>
        <v>0</v>
      </c>
      <c r="BP59" s="177">
        <f>'Team 10'!G56</f>
        <v>0</v>
      </c>
      <c r="BQ59" s="175" t="str">
        <f t="shared" si="19"/>
        <v>0 0</v>
      </c>
      <c r="BR59" s="176"/>
      <c r="BS59" s="180"/>
    </row>
    <row r="60" spans="1:71" s="179" customFormat="1" ht="21" customHeight="1" x14ac:dyDescent="0.3">
      <c r="A60" s="186"/>
      <c r="B60" s="186"/>
      <c r="C60" s="186"/>
      <c r="D60" s="182"/>
      <c r="E60" s="182"/>
      <c r="F60" s="182"/>
      <c r="G60" s="182"/>
      <c r="H60" s="182"/>
      <c r="I60" s="188"/>
      <c r="J60" s="182"/>
      <c r="K60" s="172">
        <v>30</v>
      </c>
      <c r="L60" s="177" t="s">
        <v>4358</v>
      </c>
      <c r="M60" s="174" t="str">
        <f>'Team 1'!F57</f>
        <v>Ned Peter</v>
      </c>
      <c r="N60" s="174" t="str">
        <f>'Team 1'!G57</f>
        <v>Andrews</v>
      </c>
      <c r="O60" s="175" t="str">
        <f t="shared" si="10"/>
        <v>Ned Peter Andrews</v>
      </c>
      <c r="P60" s="176"/>
      <c r="Q60" s="172">
        <v>30</v>
      </c>
      <c r="R60" s="177" t="s">
        <v>4358</v>
      </c>
      <c r="S60" s="174" t="str">
        <f>'Team 2'!F57</f>
        <v>Oliver</v>
      </c>
      <c r="T60" s="174" t="str">
        <f>'Team 2'!G57</f>
        <v>Tubridy</v>
      </c>
      <c r="U60" s="175" t="str">
        <f t="shared" si="11"/>
        <v>Oliver Tubridy</v>
      </c>
      <c r="V60" s="176"/>
      <c r="W60" s="172">
        <v>30</v>
      </c>
      <c r="X60" s="177" t="s">
        <v>4358</v>
      </c>
      <c r="Y60" s="174" t="str">
        <f>'Team 3'!F57</f>
        <v>Mikhail</v>
      </c>
      <c r="Z60" s="174" t="str">
        <f>'Team 3'!G57</f>
        <v>Zharinov</v>
      </c>
      <c r="AA60" s="175" t="str">
        <f t="shared" si="12"/>
        <v>Mikhail Zharinov</v>
      </c>
      <c r="AB60" s="176"/>
      <c r="AC60" s="172">
        <v>30</v>
      </c>
      <c r="AD60" s="177" t="s">
        <v>4358</v>
      </c>
      <c r="AE60" s="174" t="str">
        <f>'Team 4'!F57</f>
        <v>RILEY</v>
      </c>
      <c r="AF60" s="174" t="str">
        <f>'Team 4'!G57</f>
        <v>BUNCE</v>
      </c>
      <c r="AG60" s="175" t="str">
        <f t="shared" si="13"/>
        <v>RILEY BUNCE</v>
      </c>
      <c r="AH60" s="174"/>
      <c r="AI60" s="172">
        <v>30</v>
      </c>
      <c r="AJ60" s="177" t="s">
        <v>4358</v>
      </c>
      <c r="AK60" s="174" t="str">
        <f>'Team 5'!F57</f>
        <v>Poyraz</v>
      </c>
      <c r="AL60" s="174" t="str">
        <f>'Team 5'!G57</f>
        <v>Akbiyik</v>
      </c>
      <c r="AM60" s="175" t="str">
        <f t="shared" si="14"/>
        <v>Poyraz Akbiyik</v>
      </c>
      <c r="AN60" s="176"/>
      <c r="AO60" s="172">
        <v>30</v>
      </c>
      <c r="AP60" s="177" t="s">
        <v>4358</v>
      </c>
      <c r="AQ60" s="177" t="str">
        <f>'Team 6'!F57</f>
        <v xml:space="preserve">Cosmin Ioan </v>
      </c>
      <c r="AR60" s="177" t="str">
        <f>'Team 6'!G57</f>
        <v>Iojan</v>
      </c>
      <c r="AS60" s="175" t="str">
        <f t="shared" si="15"/>
        <v>Cosmin Ioan  Iojan</v>
      </c>
      <c r="AT60" s="176"/>
      <c r="AU60" s="172">
        <v>30</v>
      </c>
      <c r="AV60" s="177" t="s">
        <v>4358</v>
      </c>
      <c r="AW60" s="177" t="str">
        <f>'Team 7'!F57</f>
        <v>Daniel</v>
      </c>
      <c r="AX60" s="177" t="str">
        <f>'Team 7'!G57</f>
        <v>Celi</v>
      </c>
      <c r="AY60" s="175" t="str">
        <f t="shared" si="16"/>
        <v>Daniel Celi</v>
      </c>
      <c r="AZ60" s="176"/>
      <c r="BA60" s="172">
        <v>30</v>
      </c>
      <c r="BB60" s="177" t="s">
        <v>4358</v>
      </c>
      <c r="BC60" s="177">
        <f>'Team 8'!F57</f>
        <v>0</v>
      </c>
      <c r="BD60" s="177">
        <f>'Team 8'!G57</f>
        <v>0</v>
      </c>
      <c r="BE60" s="175" t="str">
        <f t="shared" si="17"/>
        <v>0 0</v>
      </c>
      <c r="BF60" s="176"/>
      <c r="BG60" s="172">
        <v>30</v>
      </c>
      <c r="BH60" s="177" t="s">
        <v>4358</v>
      </c>
      <c r="BI60" s="177">
        <f>'Team 9'!F57</f>
        <v>0</v>
      </c>
      <c r="BJ60" s="177">
        <f>'Team 9'!G57</f>
        <v>0</v>
      </c>
      <c r="BK60" s="175" t="str">
        <f t="shared" si="18"/>
        <v>0 0</v>
      </c>
      <c r="BL60" s="176"/>
      <c r="BM60" s="172">
        <v>30</v>
      </c>
      <c r="BN60" s="177" t="s">
        <v>4358</v>
      </c>
      <c r="BO60" s="177">
        <f>'Team 10'!F57</f>
        <v>0</v>
      </c>
      <c r="BP60" s="177">
        <f>'Team 10'!G57</f>
        <v>0</v>
      </c>
      <c r="BQ60" s="175" t="str">
        <f t="shared" si="19"/>
        <v>0 0</v>
      </c>
      <c r="BR60" s="176"/>
      <c r="BS60" s="180"/>
    </row>
    <row r="61" spans="1:71" s="179" customFormat="1" ht="21" customHeight="1" x14ac:dyDescent="0.3">
      <c r="A61" s="186"/>
      <c r="B61" s="186"/>
      <c r="C61" s="186"/>
      <c r="D61" s="182"/>
      <c r="E61" s="182"/>
      <c r="F61" s="182"/>
      <c r="G61" s="182"/>
      <c r="H61" s="182"/>
      <c r="I61" s="188"/>
      <c r="J61" s="182"/>
      <c r="K61" s="172">
        <v>31</v>
      </c>
      <c r="L61" s="177" t="s">
        <v>4359</v>
      </c>
      <c r="M61" s="174" t="str">
        <f>'Team 1'!F58</f>
        <v>Emily</v>
      </c>
      <c r="N61" s="174" t="str">
        <f>'Team 1'!G58</f>
        <v>Hudszky</v>
      </c>
      <c r="O61" s="175" t="str">
        <f t="shared" si="10"/>
        <v>Emily Hudszky</v>
      </c>
      <c r="P61" s="176"/>
      <c r="Q61" s="172">
        <v>31</v>
      </c>
      <c r="R61" s="177" t="s">
        <v>4359</v>
      </c>
      <c r="S61" s="174" t="str">
        <f>'Team 2'!F58</f>
        <v>Sophie</v>
      </c>
      <c r="T61" s="174" t="str">
        <f>'Team 2'!G58</f>
        <v>Stelmach</v>
      </c>
      <c r="U61" s="175" t="str">
        <f t="shared" si="11"/>
        <v>Sophie Stelmach</v>
      </c>
      <c r="V61" s="176"/>
      <c r="W61" s="172">
        <v>31</v>
      </c>
      <c r="X61" s="177" t="s">
        <v>4359</v>
      </c>
      <c r="Y61" s="174" t="str">
        <f>'Team 3'!F58</f>
        <v>Isabel</v>
      </c>
      <c r="Z61" s="174" t="str">
        <f>'Team 3'!G58</f>
        <v>Mullings</v>
      </c>
      <c r="AA61" s="175" t="str">
        <f t="shared" si="12"/>
        <v>Isabel Mullings</v>
      </c>
      <c r="AB61" s="176"/>
      <c r="AC61" s="172">
        <v>31</v>
      </c>
      <c r="AD61" s="177" t="s">
        <v>4359</v>
      </c>
      <c r="AE61" s="174" t="str">
        <f>'Team 4'!F58</f>
        <v>ABIGAIL</v>
      </c>
      <c r="AF61" s="174" t="str">
        <f>'Team 4'!G58</f>
        <v>JOHNSON</v>
      </c>
      <c r="AG61" s="175" t="str">
        <f t="shared" si="13"/>
        <v>ABIGAIL JOHNSON</v>
      </c>
      <c r="AH61" s="174"/>
      <c r="AI61" s="172">
        <v>31</v>
      </c>
      <c r="AJ61" s="177" t="s">
        <v>4359</v>
      </c>
      <c r="AK61" s="174" t="str">
        <f>'Team 5'!F58</f>
        <v>Mia</v>
      </c>
      <c r="AL61" s="174" t="str">
        <f>'Team 5'!G58</f>
        <v>Macklin</v>
      </c>
      <c r="AM61" s="175" t="str">
        <f t="shared" si="14"/>
        <v>Mia Macklin</v>
      </c>
      <c r="AN61" s="176"/>
      <c r="AO61" s="172">
        <v>31</v>
      </c>
      <c r="AP61" s="177" t="s">
        <v>4359</v>
      </c>
      <c r="AQ61" s="177" t="str">
        <f>'Team 6'!F58</f>
        <v xml:space="preserve">Alice </v>
      </c>
      <c r="AR61" s="177" t="str">
        <f>'Team 6'!G58</f>
        <v>Sharrock</v>
      </c>
      <c r="AS61" s="175" t="str">
        <f t="shared" si="15"/>
        <v>Alice  Sharrock</v>
      </c>
      <c r="AT61" s="176"/>
      <c r="AU61" s="172">
        <v>31</v>
      </c>
      <c r="AV61" s="177" t="s">
        <v>4359</v>
      </c>
      <c r="AW61" s="177" t="str">
        <f>'Team 7'!F58</f>
        <v>Jessica</v>
      </c>
      <c r="AX61" s="177" t="str">
        <f>'Team 7'!G58</f>
        <v>Sharp</v>
      </c>
      <c r="AY61" s="175" t="str">
        <f t="shared" si="16"/>
        <v>Jessica Sharp</v>
      </c>
      <c r="AZ61" s="176"/>
      <c r="BA61" s="172">
        <v>31</v>
      </c>
      <c r="BB61" s="177" t="s">
        <v>4359</v>
      </c>
      <c r="BC61" s="177">
        <f>'Team 8'!F58</f>
        <v>0</v>
      </c>
      <c r="BD61" s="177">
        <f>'Team 8'!G58</f>
        <v>0</v>
      </c>
      <c r="BE61" s="175" t="str">
        <f t="shared" si="17"/>
        <v>0 0</v>
      </c>
      <c r="BF61" s="176"/>
      <c r="BG61" s="172">
        <v>31</v>
      </c>
      <c r="BH61" s="177" t="s">
        <v>4359</v>
      </c>
      <c r="BI61" s="177">
        <f>'Team 9'!F58</f>
        <v>0</v>
      </c>
      <c r="BJ61" s="177">
        <f>'Team 9'!G58</f>
        <v>0</v>
      </c>
      <c r="BK61" s="175" t="str">
        <f t="shared" si="18"/>
        <v>0 0</v>
      </c>
      <c r="BL61" s="176"/>
      <c r="BM61" s="172">
        <v>31</v>
      </c>
      <c r="BN61" s="177" t="s">
        <v>4359</v>
      </c>
      <c r="BO61" s="177">
        <f>'Team 10'!F58</f>
        <v>0</v>
      </c>
      <c r="BP61" s="177">
        <f>'Team 10'!G58</f>
        <v>0</v>
      </c>
      <c r="BQ61" s="175" t="str">
        <f t="shared" si="19"/>
        <v>0 0</v>
      </c>
      <c r="BR61" s="176"/>
      <c r="BS61" s="180"/>
    </row>
    <row r="62" spans="1:71" s="179" customFormat="1" ht="21" customHeight="1" x14ac:dyDescent="0.3">
      <c r="A62" s="186"/>
      <c r="B62" s="186"/>
      <c r="C62" s="186"/>
      <c r="D62" s="182"/>
      <c r="E62" s="182"/>
      <c r="F62" s="182"/>
      <c r="G62" s="182"/>
      <c r="H62" s="182"/>
      <c r="I62" s="188"/>
      <c r="J62" s="182"/>
      <c r="K62" s="172">
        <v>32</v>
      </c>
      <c r="L62" s="177" t="s">
        <v>4360</v>
      </c>
      <c r="M62" s="174" t="str">
        <f>'Team 1'!F59</f>
        <v>Zalan</v>
      </c>
      <c r="N62" s="174" t="str">
        <f>'Team 1'!G59</f>
        <v>Tornay</v>
      </c>
      <c r="O62" s="175" t="str">
        <f t="shared" si="10"/>
        <v>Zalan Tornay</v>
      </c>
      <c r="P62" s="176"/>
      <c r="Q62" s="172">
        <v>32</v>
      </c>
      <c r="R62" s="177" t="s">
        <v>4360</v>
      </c>
      <c r="S62" s="174" t="str">
        <f>'Team 2'!F59</f>
        <v>Daniel</v>
      </c>
      <c r="T62" s="174" t="str">
        <f>'Team 2'!G59</f>
        <v>Humphreys</v>
      </c>
      <c r="U62" s="175" t="str">
        <f t="shared" si="11"/>
        <v>Daniel Humphreys</v>
      </c>
      <c r="V62" s="176"/>
      <c r="W62" s="172">
        <v>32</v>
      </c>
      <c r="X62" s="177" t="s">
        <v>4360</v>
      </c>
      <c r="Y62" s="174" t="str">
        <f>'Team 3'!F59</f>
        <v>Ewan</v>
      </c>
      <c r="Z62" s="174" t="str">
        <f>'Team 3'!G59</f>
        <v>Thompson</v>
      </c>
      <c r="AA62" s="175" t="str">
        <f t="shared" si="12"/>
        <v>Ewan Thompson</v>
      </c>
      <c r="AB62" s="176"/>
      <c r="AC62" s="172">
        <v>32</v>
      </c>
      <c r="AD62" s="177" t="s">
        <v>4360</v>
      </c>
      <c r="AE62" s="174" t="str">
        <f>'Team 4'!F59</f>
        <v>CHARLES</v>
      </c>
      <c r="AF62" s="174" t="str">
        <f>'Team 4'!G59</f>
        <v>RAINES</v>
      </c>
      <c r="AG62" s="175" t="str">
        <f t="shared" si="13"/>
        <v>CHARLES RAINES</v>
      </c>
      <c r="AH62" s="174"/>
      <c r="AI62" s="172">
        <v>32</v>
      </c>
      <c r="AJ62" s="177" t="s">
        <v>4360</v>
      </c>
      <c r="AK62" s="174" t="str">
        <f>'Team 5'!F59</f>
        <v>Joshua</v>
      </c>
      <c r="AL62" s="174" t="str">
        <f>'Team 5'!G59</f>
        <v>Parker</v>
      </c>
      <c r="AM62" s="175" t="str">
        <f t="shared" si="14"/>
        <v>Joshua Parker</v>
      </c>
      <c r="AN62" s="176"/>
      <c r="AO62" s="172">
        <v>32</v>
      </c>
      <c r="AP62" s="177" t="s">
        <v>4360</v>
      </c>
      <c r="AQ62" s="177">
        <f>'Team 6'!F59</f>
        <v>0</v>
      </c>
      <c r="AR62" s="177">
        <f>'Team 6'!G59</f>
        <v>0</v>
      </c>
      <c r="AS62" s="175" t="str">
        <f t="shared" si="15"/>
        <v>0 0</v>
      </c>
      <c r="AT62" s="176"/>
      <c r="AU62" s="172">
        <v>32</v>
      </c>
      <c r="AV62" s="177" t="s">
        <v>4360</v>
      </c>
      <c r="AW62" s="177" t="str">
        <f>'Team 7'!F59</f>
        <v>Aaran</v>
      </c>
      <c r="AX62" s="177" t="str">
        <f>'Team 7'!G59</f>
        <v>Parmar</v>
      </c>
      <c r="AY62" s="175" t="str">
        <f t="shared" si="16"/>
        <v>Aaran Parmar</v>
      </c>
      <c r="AZ62" s="176"/>
      <c r="BA62" s="172">
        <v>32</v>
      </c>
      <c r="BB62" s="177" t="s">
        <v>4360</v>
      </c>
      <c r="BC62" s="177">
        <f>'Team 8'!F59</f>
        <v>0</v>
      </c>
      <c r="BD62" s="177">
        <f>'Team 8'!G59</f>
        <v>0</v>
      </c>
      <c r="BE62" s="175" t="str">
        <f t="shared" si="17"/>
        <v>0 0</v>
      </c>
      <c r="BF62" s="176"/>
      <c r="BG62" s="172">
        <v>32</v>
      </c>
      <c r="BH62" s="177" t="s">
        <v>4360</v>
      </c>
      <c r="BI62" s="177">
        <f>'Team 9'!F59</f>
        <v>0</v>
      </c>
      <c r="BJ62" s="177">
        <f>'Team 9'!G59</f>
        <v>0</v>
      </c>
      <c r="BK62" s="175" t="str">
        <f t="shared" si="18"/>
        <v>0 0</v>
      </c>
      <c r="BL62" s="176"/>
      <c r="BM62" s="172">
        <v>32</v>
      </c>
      <c r="BN62" s="177" t="s">
        <v>4360</v>
      </c>
      <c r="BO62" s="177">
        <f>'Team 10'!F59</f>
        <v>0</v>
      </c>
      <c r="BP62" s="177">
        <f>'Team 10'!G59</f>
        <v>0</v>
      </c>
      <c r="BQ62" s="175" t="str">
        <f t="shared" si="19"/>
        <v>0 0</v>
      </c>
      <c r="BR62" s="176"/>
      <c r="BS62" s="180"/>
    </row>
    <row r="63" spans="1:71" s="179" customFormat="1" ht="21" customHeight="1" x14ac:dyDescent="0.3">
      <c r="A63" s="186"/>
      <c r="B63" s="186"/>
      <c r="C63" s="186"/>
      <c r="D63" s="182"/>
      <c r="E63" s="182"/>
      <c r="F63" s="182"/>
      <c r="G63" s="182"/>
      <c r="H63" s="182"/>
      <c r="I63" s="188"/>
      <c r="J63" s="182"/>
      <c r="K63" s="172">
        <v>33</v>
      </c>
      <c r="L63" s="177" t="s">
        <v>4361</v>
      </c>
      <c r="M63" s="174" t="str">
        <f>'Team 1'!F60</f>
        <v>Bianca</v>
      </c>
      <c r="N63" s="174" t="str">
        <f>'Team 1'!G60</f>
        <v>Gomez-Velasco</v>
      </c>
      <c r="O63" s="175" t="str">
        <f t="shared" si="10"/>
        <v>Bianca Gomez-Velasco</v>
      </c>
      <c r="P63" s="176"/>
      <c r="Q63" s="172">
        <v>33</v>
      </c>
      <c r="R63" s="177" t="s">
        <v>4361</v>
      </c>
      <c r="S63" s="174" t="str">
        <f>'Team 2'!F60</f>
        <v>Sophie</v>
      </c>
      <c r="T63" s="174" t="str">
        <f>'Team 2'!G60</f>
        <v>Lyon</v>
      </c>
      <c r="U63" s="175" t="str">
        <f t="shared" si="11"/>
        <v>Sophie Lyon</v>
      </c>
      <c r="V63" s="176"/>
      <c r="W63" s="172">
        <v>33</v>
      </c>
      <c r="X63" s="177" t="s">
        <v>4361</v>
      </c>
      <c r="Y63" s="174" t="str">
        <f>'Team 3'!F60</f>
        <v>Mia</v>
      </c>
      <c r="Z63" s="174" t="str">
        <f>'Team 3'!G60</f>
        <v>Nelson</v>
      </c>
      <c r="AA63" s="175" t="str">
        <f t="shared" si="12"/>
        <v>Mia Nelson</v>
      </c>
      <c r="AB63" s="176"/>
      <c r="AC63" s="172">
        <v>33</v>
      </c>
      <c r="AD63" s="177" t="s">
        <v>4361</v>
      </c>
      <c r="AE63" s="174" t="str">
        <f>'Team 4'!F60</f>
        <v>AMBER</v>
      </c>
      <c r="AF63" s="174" t="str">
        <f>'Team 4'!G60</f>
        <v>CURTIS</v>
      </c>
      <c r="AG63" s="175" t="str">
        <f t="shared" si="13"/>
        <v>AMBER CURTIS</v>
      </c>
      <c r="AH63" s="174"/>
      <c r="AI63" s="172">
        <v>33</v>
      </c>
      <c r="AJ63" s="177" t="s">
        <v>4361</v>
      </c>
      <c r="AK63" s="174" t="str">
        <f>'Team 5'!F60</f>
        <v>Marcie</v>
      </c>
      <c r="AL63" s="174" t="str">
        <f>'Team 5'!G60</f>
        <v>Aley</v>
      </c>
      <c r="AM63" s="175" t="str">
        <f t="shared" si="14"/>
        <v>Marcie Aley</v>
      </c>
      <c r="AN63" s="176"/>
      <c r="AO63" s="172">
        <v>33</v>
      </c>
      <c r="AP63" s="177" t="s">
        <v>4361</v>
      </c>
      <c r="AQ63" s="177" t="str">
        <f>'Team 6'!F60</f>
        <v xml:space="preserve">Mina </v>
      </c>
      <c r="AR63" s="177" t="str">
        <f>'Team 6'!G60</f>
        <v>Safahe</v>
      </c>
      <c r="AS63" s="175" t="str">
        <f t="shared" si="15"/>
        <v>Mina  Safahe</v>
      </c>
      <c r="AT63" s="176"/>
      <c r="AU63" s="172">
        <v>33</v>
      </c>
      <c r="AV63" s="177" t="s">
        <v>4361</v>
      </c>
      <c r="AW63" s="177" t="str">
        <f>'Team 7'!F60</f>
        <v>Julia</v>
      </c>
      <c r="AX63" s="177" t="str">
        <f>'Team 7'!G60</f>
        <v>Ozen</v>
      </c>
      <c r="AY63" s="175" t="str">
        <f t="shared" si="16"/>
        <v>Julia Ozen</v>
      </c>
      <c r="AZ63" s="176"/>
      <c r="BA63" s="172">
        <v>33</v>
      </c>
      <c r="BB63" s="177" t="s">
        <v>4361</v>
      </c>
      <c r="BC63" s="177">
        <f>'Team 8'!F60</f>
        <v>0</v>
      </c>
      <c r="BD63" s="177">
        <f>'Team 8'!G60</f>
        <v>0</v>
      </c>
      <c r="BE63" s="175" t="str">
        <f t="shared" si="17"/>
        <v>0 0</v>
      </c>
      <c r="BF63" s="176"/>
      <c r="BG63" s="172">
        <v>33</v>
      </c>
      <c r="BH63" s="177" t="s">
        <v>4361</v>
      </c>
      <c r="BI63" s="177">
        <f>'Team 9'!F60</f>
        <v>0</v>
      </c>
      <c r="BJ63" s="177">
        <f>'Team 9'!G60</f>
        <v>0</v>
      </c>
      <c r="BK63" s="175" t="str">
        <f t="shared" si="18"/>
        <v>0 0</v>
      </c>
      <c r="BL63" s="176"/>
      <c r="BM63" s="172">
        <v>33</v>
      </c>
      <c r="BN63" s="177" t="s">
        <v>4361</v>
      </c>
      <c r="BO63" s="177">
        <f>'Team 10'!F60</f>
        <v>0</v>
      </c>
      <c r="BP63" s="177">
        <f>'Team 10'!G60</f>
        <v>0</v>
      </c>
      <c r="BQ63" s="175" t="str">
        <f t="shared" si="19"/>
        <v>0 0</v>
      </c>
      <c r="BR63" s="176"/>
      <c r="BS63" s="180"/>
    </row>
    <row r="64" spans="1:71" s="179" customFormat="1" ht="21" customHeight="1" x14ac:dyDescent="0.3">
      <c r="A64" s="186"/>
      <c r="B64" s="186"/>
      <c r="C64" s="186"/>
      <c r="D64" s="182"/>
      <c r="E64" s="182"/>
      <c r="F64" s="182"/>
      <c r="G64" s="182"/>
      <c r="H64" s="182"/>
      <c r="I64" s="188"/>
      <c r="J64" s="182"/>
      <c r="K64" s="172">
        <v>34</v>
      </c>
      <c r="L64" s="177" t="s">
        <v>4362</v>
      </c>
      <c r="M64" s="174" t="str">
        <f>'Team 1'!F61</f>
        <v>Gabriel</v>
      </c>
      <c r="N64" s="174" t="str">
        <f>'Team 1'!G61</f>
        <v>Bhonsle</v>
      </c>
      <c r="O64" s="175" t="str">
        <f t="shared" si="10"/>
        <v>Gabriel Bhonsle</v>
      </c>
      <c r="P64" s="176"/>
      <c r="Q64" s="172">
        <v>34</v>
      </c>
      <c r="R64" s="177" t="s">
        <v>4362</v>
      </c>
      <c r="S64" s="174" t="str">
        <f>'Team 2'!F61</f>
        <v>Daniel</v>
      </c>
      <c r="T64" s="174" t="str">
        <f>'Team 2'!G61</f>
        <v>Humphreys</v>
      </c>
      <c r="U64" s="175" t="str">
        <f t="shared" si="11"/>
        <v>Daniel Humphreys</v>
      </c>
      <c r="V64" s="176"/>
      <c r="W64" s="172">
        <v>34</v>
      </c>
      <c r="X64" s="177" t="s">
        <v>4362</v>
      </c>
      <c r="Y64" s="174" t="str">
        <f>'Team 3'!F61</f>
        <v>George</v>
      </c>
      <c r="Z64" s="174" t="str">
        <f>'Team 3'!G61</f>
        <v>Lovelock</v>
      </c>
      <c r="AA64" s="175" t="str">
        <f t="shared" si="12"/>
        <v>George Lovelock</v>
      </c>
      <c r="AB64" s="176"/>
      <c r="AC64" s="172">
        <v>34</v>
      </c>
      <c r="AD64" s="177" t="s">
        <v>4362</v>
      </c>
      <c r="AE64" s="174" t="str">
        <f>'Team 4'!F61</f>
        <v>MAX</v>
      </c>
      <c r="AF64" s="174" t="str">
        <f>'Team 4'!G61</f>
        <v>WALLER</v>
      </c>
      <c r="AG64" s="175" t="str">
        <f t="shared" si="13"/>
        <v>MAX WALLER</v>
      </c>
      <c r="AH64" s="174"/>
      <c r="AI64" s="172">
        <v>34</v>
      </c>
      <c r="AJ64" s="177" t="s">
        <v>4362</v>
      </c>
      <c r="AK64" s="174" t="str">
        <f>'Team 5'!F61</f>
        <v>Robert</v>
      </c>
      <c r="AL64" s="174" t="str">
        <f>'Team 5'!G61</f>
        <v>Elliston</v>
      </c>
      <c r="AM64" s="175" t="str">
        <f t="shared" si="14"/>
        <v>Robert Elliston</v>
      </c>
      <c r="AN64" s="176"/>
      <c r="AO64" s="172">
        <v>34</v>
      </c>
      <c r="AP64" s="177" t="s">
        <v>4362</v>
      </c>
      <c r="AQ64" s="177" t="str">
        <f>'Team 6'!F61</f>
        <v xml:space="preserve">Wiktor </v>
      </c>
      <c r="AR64" s="177" t="str">
        <f>'Team 6'!G61</f>
        <v>Brejnak</v>
      </c>
      <c r="AS64" s="175" t="str">
        <f t="shared" si="15"/>
        <v>Wiktor  Brejnak</v>
      </c>
      <c r="AT64" s="176"/>
      <c r="AU64" s="172">
        <v>34</v>
      </c>
      <c r="AV64" s="177" t="s">
        <v>4362</v>
      </c>
      <c r="AW64" s="177" t="str">
        <f>'Team 7'!F61</f>
        <v>Andrew</v>
      </c>
      <c r="AX64" s="177" t="str">
        <f>'Team 7'!G61</f>
        <v>May</v>
      </c>
      <c r="AY64" s="175" t="str">
        <f t="shared" si="16"/>
        <v>Andrew May</v>
      </c>
      <c r="AZ64" s="176"/>
      <c r="BA64" s="172">
        <v>34</v>
      </c>
      <c r="BB64" s="177" t="s">
        <v>4362</v>
      </c>
      <c r="BC64" s="177">
        <f>'Team 8'!F61</f>
        <v>0</v>
      </c>
      <c r="BD64" s="177">
        <f>'Team 8'!G61</f>
        <v>0</v>
      </c>
      <c r="BE64" s="175" t="str">
        <f t="shared" si="17"/>
        <v>0 0</v>
      </c>
      <c r="BF64" s="176"/>
      <c r="BG64" s="172">
        <v>34</v>
      </c>
      <c r="BH64" s="177" t="s">
        <v>4362</v>
      </c>
      <c r="BI64" s="177">
        <f>'Team 9'!F61</f>
        <v>0</v>
      </c>
      <c r="BJ64" s="177">
        <f>'Team 9'!G61</f>
        <v>0</v>
      </c>
      <c r="BK64" s="175" t="str">
        <f t="shared" si="18"/>
        <v>0 0</v>
      </c>
      <c r="BL64" s="176"/>
      <c r="BM64" s="172">
        <v>34</v>
      </c>
      <c r="BN64" s="177" t="s">
        <v>4362</v>
      </c>
      <c r="BO64" s="177">
        <f>'Team 10'!F61</f>
        <v>0</v>
      </c>
      <c r="BP64" s="177">
        <f>'Team 10'!G61</f>
        <v>0</v>
      </c>
      <c r="BQ64" s="175" t="str">
        <f t="shared" si="19"/>
        <v>0 0</v>
      </c>
      <c r="BR64" s="176"/>
      <c r="BS64" s="180"/>
    </row>
    <row r="65" spans="1:72" s="179" customFormat="1" ht="21" customHeight="1" x14ac:dyDescent="0.3">
      <c r="A65" s="186"/>
      <c r="B65" s="186"/>
      <c r="C65" s="186"/>
      <c r="D65" s="182"/>
      <c r="E65" s="182"/>
      <c r="F65" s="182"/>
      <c r="G65" s="182"/>
      <c r="H65" s="182"/>
      <c r="I65" s="188"/>
      <c r="J65" s="182"/>
      <c r="K65" s="172">
        <v>35</v>
      </c>
      <c r="L65" s="177" t="s">
        <v>4363</v>
      </c>
      <c r="M65" s="174" t="str">
        <f>'Team 1'!F62</f>
        <v>Claudia</v>
      </c>
      <c r="N65" s="174" t="str">
        <f>'Team 1'!G62</f>
        <v>Savov</v>
      </c>
      <c r="O65" s="175" t="str">
        <f t="shared" si="10"/>
        <v>Claudia Savov</v>
      </c>
      <c r="P65" s="176"/>
      <c r="Q65" s="172">
        <v>35</v>
      </c>
      <c r="R65" s="177" t="s">
        <v>4363</v>
      </c>
      <c r="S65" s="174" t="str">
        <f>'Team 2'!F62</f>
        <v>Annabelle</v>
      </c>
      <c r="T65" s="174" t="str">
        <f>'Team 2'!G62</f>
        <v>Harris</v>
      </c>
      <c r="U65" s="175" t="str">
        <f t="shared" si="11"/>
        <v>Annabelle Harris</v>
      </c>
      <c r="V65" s="176"/>
      <c r="W65" s="172">
        <v>35</v>
      </c>
      <c r="X65" s="177" t="s">
        <v>4363</v>
      </c>
      <c r="Y65" s="174" t="str">
        <f>'Team 3'!F62</f>
        <v>Scarlett</v>
      </c>
      <c r="Z65" s="174" t="str">
        <f>'Team 3'!G62</f>
        <v>Omand</v>
      </c>
      <c r="AA65" s="175" t="str">
        <f t="shared" si="12"/>
        <v>Scarlett Omand</v>
      </c>
      <c r="AB65" s="176"/>
      <c r="AC65" s="172">
        <v>35</v>
      </c>
      <c r="AD65" s="177" t="s">
        <v>4363</v>
      </c>
      <c r="AE65" s="174" t="str">
        <f>'Team 4'!F62</f>
        <v>CHELSEA</v>
      </c>
      <c r="AF65" s="174" t="str">
        <f>'Team 4'!G62</f>
        <v>DARE</v>
      </c>
      <c r="AG65" s="175" t="str">
        <f t="shared" si="13"/>
        <v>CHELSEA DARE</v>
      </c>
      <c r="AH65" s="174"/>
      <c r="AI65" s="172">
        <v>35</v>
      </c>
      <c r="AJ65" s="177" t="s">
        <v>4363</v>
      </c>
      <c r="AK65" s="174" t="str">
        <f>'Team 5'!F62</f>
        <v>Maisie</v>
      </c>
      <c r="AL65" s="174" t="str">
        <f>'Team 5'!G62</f>
        <v>Cooper</v>
      </c>
      <c r="AM65" s="175" t="str">
        <f t="shared" si="14"/>
        <v>Maisie Cooper</v>
      </c>
      <c r="AN65" s="176"/>
      <c r="AO65" s="172">
        <v>35</v>
      </c>
      <c r="AP65" s="177" t="s">
        <v>4363</v>
      </c>
      <c r="AQ65" s="177" t="str">
        <f>'Team 6'!F62</f>
        <v>Mahika</v>
      </c>
      <c r="AR65" s="177" t="str">
        <f>'Team 6'!G62</f>
        <v>Chandrashekar</v>
      </c>
      <c r="AS65" s="175" t="str">
        <f t="shared" si="15"/>
        <v>Mahika Chandrashekar</v>
      </c>
      <c r="AT65" s="176"/>
      <c r="AU65" s="172">
        <v>35</v>
      </c>
      <c r="AV65" s="177" t="s">
        <v>4363</v>
      </c>
      <c r="AW65" s="177" t="str">
        <f>'Team 7'!F62</f>
        <v>Arabella</v>
      </c>
      <c r="AX65" s="177" t="str">
        <f>'Team 7'!G62</f>
        <v>Connick</v>
      </c>
      <c r="AY65" s="175" t="str">
        <f t="shared" si="16"/>
        <v>Arabella Connick</v>
      </c>
      <c r="AZ65" s="176"/>
      <c r="BA65" s="172">
        <v>35</v>
      </c>
      <c r="BB65" s="177" t="s">
        <v>4363</v>
      </c>
      <c r="BC65" s="177">
        <f>'Team 8'!F62</f>
        <v>0</v>
      </c>
      <c r="BD65" s="177">
        <f>'Team 8'!G62</f>
        <v>0</v>
      </c>
      <c r="BE65" s="175" t="str">
        <f t="shared" si="17"/>
        <v>0 0</v>
      </c>
      <c r="BF65" s="176"/>
      <c r="BG65" s="172">
        <v>35</v>
      </c>
      <c r="BH65" s="177" t="s">
        <v>4363</v>
      </c>
      <c r="BI65" s="177">
        <f>'Team 9'!F62</f>
        <v>0</v>
      </c>
      <c r="BJ65" s="177">
        <f>'Team 9'!G62</f>
        <v>0</v>
      </c>
      <c r="BK65" s="175" t="str">
        <f t="shared" si="18"/>
        <v>0 0</v>
      </c>
      <c r="BL65" s="176"/>
      <c r="BM65" s="172">
        <v>35</v>
      </c>
      <c r="BN65" s="177" t="s">
        <v>4363</v>
      </c>
      <c r="BO65" s="177">
        <f>'Team 10'!F62</f>
        <v>0</v>
      </c>
      <c r="BP65" s="177">
        <f>'Team 10'!G62</f>
        <v>0</v>
      </c>
      <c r="BQ65" s="175" t="str">
        <f t="shared" si="19"/>
        <v>0 0</v>
      </c>
      <c r="BR65" s="176"/>
      <c r="BS65" s="180"/>
    </row>
    <row r="66" spans="1:72" s="179" customFormat="1" ht="21" customHeight="1" x14ac:dyDescent="0.3">
      <c r="A66" s="186"/>
      <c r="B66" s="186"/>
      <c r="C66" s="186"/>
      <c r="D66" s="182"/>
      <c r="E66" s="182"/>
      <c r="F66" s="182"/>
      <c r="G66" s="182"/>
      <c r="H66" s="182"/>
      <c r="I66" s="188"/>
      <c r="J66" s="182"/>
      <c r="K66" s="172">
        <v>36</v>
      </c>
      <c r="L66" s="177" t="s">
        <v>4364</v>
      </c>
      <c r="M66" s="174" t="str">
        <f>'Team 1'!F63</f>
        <v>Kornel</v>
      </c>
      <c r="N66" s="174" t="str">
        <f>'Team 1'!G63</f>
        <v>Kern-Konyar</v>
      </c>
      <c r="O66" s="175" t="str">
        <f t="shared" si="10"/>
        <v>Kornel Kern-Konyar</v>
      </c>
      <c r="P66" s="176"/>
      <c r="Q66" s="172">
        <v>36</v>
      </c>
      <c r="R66" s="177" t="s">
        <v>4364</v>
      </c>
      <c r="S66" s="174" t="str">
        <f>'Team 2'!F63</f>
        <v>Alex</v>
      </c>
      <c r="T66" s="174" t="str">
        <f>'Team 2'!G63</f>
        <v>Cash</v>
      </c>
      <c r="U66" s="175" t="str">
        <f t="shared" si="11"/>
        <v>Alex Cash</v>
      </c>
      <c r="V66" s="176"/>
      <c r="W66" s="172">
        <v>36</v>
      </c>
      <c r="X66" s="177" t="s">
        <v>4364</v>
      </c>
      <c r="Y66" s="174" t="str">
        <f>'Team 3'!F63</f>
        <v>Fabio</v>
      </c>
      <c r="Z66" s="174" t="str">
        <f>'Team 3'!G63</f>
        <v>Giambrone</v>
      </c>
      <c r="AA66" s="175" t="str">
        <f t="shared" si="12"/>
        <v>Fabio Giambrone</v>
      </c>
      <c r="AB66" s="176"/>
      <c r="AC66" s="172">
        <v>36</v>
      </c>
      <c r="AD66" s="177" t="s">
        <v>4364</v>
      </c>
      <c r="AE66" s="174" t="str">
        <f>'Team 4'!F63</f>
        <v>JAMES</v>
      </c>
      <c r="AF66" s="174" t="str">
        <f>'Team 4'!G63</f>
        <v>MOHAMMED</v>
      </c>
      <c r="AG66" s="175" t="str">
        <f t="shared" si="13"/>
        <v>JAMES MOHAMMED</v>
      </c>
      <c r="AH66" s="174"/>
      <c r="AI66" s="172">
        <v>36</v>
      </c>
      <c r="AJ66" s="177" t="s">
        <v>4364</v>
      </c>
      <c r="AK66" s="174" t="str">
        <f>'Team 5'!F63</f>
        <v>Braden</v>
      </c>
      <c r="AL66" s="174" t="str">
        <f>'Team 5'!G63</f>
        <v>Barnacle</v>
      </c>
      <c r="AM66" s="175" t="str">
        <f t="shared" si="14"/>
        <v>Braden Barnacle</v>
      </c>
      <c r="AN66" s="176"/>
      <c r="AO66" s="172">
        <v>36</v>
      </c>
      <c r="AP66" s="177" t="s">
        <v>4364</v>
      </c>
      <c r="AQ66" s="177" t="str">
        <f>'Team 6'!F63</f>
        <v>Mikhail</v>
      </c>
      <c r="AR66" s="177" t="str">
        <f>'Team 6'!G63</f>
        <v>Fedorov</v>
      </c>
      <c r="AS66" s="175" t="str">
        <f t="shared" si="15"/>
        <v>Mikhail Fedorov</v>
      </c>
      <c r="AT66" s="176"/>
      <c r="AU66" s="172">
        <v>36</v>
      </c>
      <c r="AV66" s="177" t="s">
        <v>4364</v>
      </c>
      <c r="AW66" s="177" t="str">
        <f>'Team 7'!F63</f>
        <v>Arush</v>
      </c>
      <c r="AX66" s="177" t="str">
        <f>'Team 7'!G63</f>
        <v>Agarwal</v>
      </c>
      <c r="AY66" s="175" t="str">
        <f t="shared" si="16"/>
        <v>Arush Agarwal</v>
      </c>
      <c r="AZ66" s="176"/>
      <c r="BA66" s="172">
        <v>36</v>
      </c>
      <c r="BB66" s="177" t="s">
        <v>4364</v>
      </c>
      <c r="BC66" s="177">
        <f>'Team 8'!F63</f>
        <v>0</v>
      </c>
      <c r="BD66" s="177">
        <f>'Team 8'!G63</f>
        <v>0</v>
      </c>
      <c r="BE66" s="175" t="str">
        <f t="shared" si="17"/>
        <v>0 0</v>
      </c>
      <c r="BF66" s="176"/>
      <c r="BG66" s="172">
        <v>36</v>
      </c>
      <c r="BH66" s="177" t="s">
        <v>4364</v>
      </c>
      <c r="BI66" s="177">
        <f>'Team 9'!F63</f>
        <v>0</v>
      </c>
      <c r="BJ66" s="177">
        <f>'Team 9'!G63</f>
        <v>0</v>
      </c>
      <c r="BK66" s="175" t="str">
        <f t="shared" si="18"/>
        <v>0 0</v>
      </c>
      <c r="BL66" s="176"/>
      <c r="BM66" s="172">
        <v>36</v>
      </c>
      <c r="BN66" s="177" t="s">
        <v>4364</v>
      </c>
      <c r="BO66" s="177">
        <f>'Team 10'!F63</f>
        <v>0</v>
      </c>
      <c r="BP66" s="177">
        <f>'Team 10'!G63</f>
        <v>0</v>
      </c>
      <c r="BQ66" s="175" t="str">
        <f t="shared" si="19"/>
        <v>0 0</v>
      </c>
      <c r="BR66" s="176"/>
      <c r="BS66" s="180"/>
    </row>
    <row r="67" spans="1:72" s="179" customFormat="1" ht="21" customHeight="1" x14ac:dyDescent="0.3">
      <c r="A67" s="186"/>
      <c r="B67" s="186"/>
      <c r="C67" s="186"/>
      <c r="D67" s="182"/>
      <c r="E67" s="182"/>
      <c r="F67" s="182"/>
      <c r="G67" s="182"/>
      <c r="H67" s="182"/>
      <c r="I67" s="188"/>
      <c r="J67" s="182"/>
      <c r="K67" s="172">
        <v>37</v>
      </c>
      <c r="L67" s="177" t="s">
        <v>4365</v>
      </c>
      <c r="M67" s="174" t="str">
        <f>'Team 1'!F64</f>
        <v>Amy</v>
      </c>
      <c r="N67" s="174" t="str">
        <f>'Team 1'!G64</f>
        <v>Hanson</v>
      </c>
      <c r="O67" s="175" t="str">
        <f t="shared" si="10"/>
        <v>Amy Hanson</v>
      </c>
      <c r="P67" s="176"/>
      <c r="Q67" s="172">
        <v>37</v>
      </c>
      <c r="R67" s="177" t="s">
        <v>4365</v>
      </c>
      <c r="S67" s="174" t="str">
        <f>'Team 2'!F64</f>
        <v>Gracie</v>
      </c>
      <c r="T67" s="174" t="str">
        <f>'Team 2'!G64</f>
        <v>Fleming-Jacobs</v>
      </c>
      <c r="U67" s="175" t="str">
        <f t="shared" si="11"/>
        <v>Gracie Fleming-Jacobs</v>
      </c>
      <c r="V67" s="176"/>
      <c r="W67" s="172">
        <v>37</v>
      </c>
      <c r="X67" s="177" t="s">
        <v>4365</v>
      </c>
      <c r="Y67" s="174" t="str">
        <f>'Team 3'!F64</f>
        <v>Mia</v>
      </c>
      <c r="Z67" s="174" t="str">
        <f>'Team 3'!G64</f>
        <v>Nelson</v>
      </c>
      <c r="AA67" s="175" t="str">
        <f t="shared" si="12"/>
        <v>Mia Nelson</v>
      </c>
      <c r="AB67" s="176"/>
      <c r="AC67" s="172">
        <v>37</v>
      </c>
      <c r="AD67" s="177" t="s">
        <v>4365</v>
      </c>
      <c r="AE67" s="174" t="str">
        <f>'Team 4'!F64</f>
        <v>ANNABELLA</v>
      </c>
      <c r="AF67" s="174" t="str">
        <f>'Team 4'!G64</f>
        <v>COJEEN</v>
      </c>
      <c r="AG67" s="175" t="str">
        <f t="shared" si="13"/>
        <v>ANNABELLA COJEEN</v>
      </c>
      <c r="AH67" s="174"/>
      <c r="AI67" s="172">
        <v>37</v>
      </c>
      <c r="AJ67" s="177" t="s">
        <v>4365</v>
      </c>
      <c r="AK67" s="174" t="str">
        <f>'Team 5'!F64</f>
        <v>Aimee</v>
      </c>
      <c r="AL67" s="174" t="str">
        <f>'Team 5'!G64</f>
        <v>Baker</v>
      </c>
      <c r="AM67" s="175" t="str">
        <f t="shared" si="14"/>
        <v>Aimee Baker</v>
      </c>
      <c r="AN67" s="176"/>
      <c r="AO67" s="172">
        <v>37</v>
      </c>
      <c r="AP67" s="177" t="s">
        <v>4365</v>
      </c>
      <c r="AQ67" s="177" t="str">
        <f>'Team 6'!F64</f>
        <v>Polina</v>
      </c>
      <c r="AR67" s="177" t="str">
        <f>'Team 6'!G64</f>
        <v>Fedorova</v>
      </c>
      <c r="AS67" s="175" t="str">
        <f t="shared" si="15"/>
        <v>Polina Fedorova</v>
      </c>
      <c r="AT67" s="176"/>
      <c r="AU67" s="172">
        <v>37</v>
      </c>
      <c r="AV67" s="177" t="s">
        <v>4365</v>
      </c>
      <c r="AW67" s="177" t="str">
        <f>'Team 7'!F64</f>
        <v>Vaari</v>
      </c>
      <c r="AX67" s="177" t="str">
        <f>'Team 7'!G64</f>
        <v>Mepani</v>
      </c>
      <c r="AY67" s="175" t="str">
        <f t="shared" si="16"/>
        <v>Vaari Mepani</v>
      </c>
      <c r="AZ67" s="176"/>
      <c r="BA67" s="172">
        <v>37</v>
      </c>
      <c r="BB67" s="177" t="s">
        <v>4365</v>
      </c>
      <c r="BC67" s="177">
        <f>'Team 8'!F64</f>
        <v>0</v>
      </c>
      <c r="BD67" s="177">
        <f>'Team 8'!G64</f>
        <v>0</v>
      </c>
      <c r="BE67" s="175" t="str">
        <f t="shared" si="17"/>
        <v>0 0</v>
      </c>
      <c r="BF67" s="176"/>
      <c r="BG67" s="172">
        <v>37</v>
      </c>
      <c r="BH67" s="177" t="s">
        <v>4365</v>
      </c>
      <c r="BI67" s="177">
        <f>'Team 9'!F64</f>
        <v>0</v>
      </c>
      <c r="BJ67" s="177">
        <f>'Team 9'!G64</f>
        <v>0</v>
      </c>
      <c r="BK67" s="175" t="str">
        <f t="shared" si="18"/>
        <v>0 0</v>
      </c>
      <c r="BL67" s="176"/>
      <c r="BM67" s="172">
        <v>37</v>
      </c>
      <c r="BN67" s="177" t="s">
        <v>4365</v>
      </c>
      <c r="BO67" s="177">
        <f>'Team 10'!F64</f>
        <v>0</v>
      </c>
      <c r="BP67" s="177">
        <f>'Team 10'!G64</f>
        <v>0</v>
      </c>
      <c r="BQ67" s="175" t="str">
        <f t="shared" si="19"/>
        <v>0 0</v>
      </c>
      <c r="BR67" s="176"/>
      <c r="BS67" s="180"/>
    </row>
    <row r="68" spans="1:72" s="179" customFormat="1" ht="21" customHeight="1" x14ac:dyDescent="0.3">
      <c r="A68" s="186"/>
      <c r="B68" s="186"/>
      <c r="C68" s="186"/>
      <c r="D68" s="182"/>
      <c r="E68" s="182"/>
      <c r="F68" s="182"/>
      <c r="G68" s="182"/>
      <c r="H68" s="182"/>
      <c r="I68" s="188"/>
      <c r="J68" s="182"/>
      <c r="K68" s="172">
        <v>38</v>
      </c>
      <c r="L68" s="177" t="s">
        <v>4366</v>
      </c>
      <c r="M68" s="174" t="str">
        <f>'Team 1'!F65</f>
        <v>Yigit</v>
      </c>
      <c r="N68" s="174" t="str">
        <f>'Team 1'!G65</f>
        <v>Ilhan</v>
      </c>
      <c r="O68" s="175" t="str">
        <f t="shared" si="10"/>
        <v>Yigit Ilhan</v>
      </c>
      <c r="P68" s="176"/>
      <c r="Q68" s="172">
        <v>38</v>
      </c>
      <c r="R68" s="177" t="s">
        <v>4366</v>
      </c>
      <c r="S68" s="174" t="str">
        <f>'Team 2'!F65</f>
        <v>Joseph</v>
      </c>
      <c r="T68" s="174" t="str">
        <f>'Team 2'!G65</f>
        <v>Bagshaw</v>
      </c>
      <c r="U68" s="175" t="str">
        <f t="shared" si="11"/>
        <v>Joseph Bagshaw</v>
      </c>
      <c r="V68" s="176"/>
      <c r="W68" s="172">
        <v>38</v>
      </c>
      <c r="X68" s="177" t="s">
        <v>4366</v>
      </c>
      <c r="Y68" s="174" t="str">
        <f>'Team 3'!F65</f>
        <v>Mikhail</v>
      </c>
      <c r="Z68" s="174" t="str">
        <f>'Team 3'!G65</f>
        <v>Zharinov</v>
      </c>
      <c r="AA68" s="175" t="str">
        <f t="shared" si="12"/>
        <v>Mikhail Zharinov</v>
      </c>
      <c r="AB68" s="176"/>
      <c r="AC68" s="172">
        <v>38</v>
      </c>
      <c r="AD68" s="177" t="s">
        <v>4366</v>
      </c>
      <c r="AE68" s="174" t="str">
        <f>'Team 4'!F65</f>
        <v>RILEY</v>
      </c>
      <c r="AF68" s="174" t="str">
        <f>'Team 4'!G65</f>
        <v>BUNCE</v>
      </c>
      <c r="AG68" s="175" t="str">
        <f t="shared" si="13"/>
        <v>RILEY BUNCE</v>
      </c>
      <c r="AH68" s="174"/>
      <c r="AI68" s="172">
        <v>38</v>
      </c>
      <c r="AJ68" s="177" t="s">
        <v>4366</v>
      </c>
      <c r="AK68" s="174" t="str">
        <f>'Team 5'!F65</f>
        <v>Mohammed</v>
      </c>
      <c r="AL68" s="174" t="str">
        <f>'Team 5'!G65</f>
        <v>Malek</v>
      </c>
      <c r="AM68" s="175" t="str">
        <f t="shared" si="14"/>
        <v>Mohammed Malek</v>
      </c>
      <c r="AN68" s="176"/>
      <c r="AO68" s="172">
        <v>38</v>
      </c>
      <c r="AP68" s="177" t="s">
        <v>4366</v>
      </c>
      <c r="AQ68" s="177" t="str">
        <f>'Team 6'!F65</f>
        <v xml:space="preserve">Gert </v>
      </c>
      <c r="AR68" s="177" t="str">
        <f>'Team 6'!G65</f>
        <v>Zeqiri</v>
      </c>
      <c r="AS68" s="175" t="str">
        <f t="shared" si="15"/>
        <v>Gert  Zeqiri</v>
      </c>
      <c r="AT68" s="176"/>
      <c r="AU68" s="172">
        <v>38</v>
      </c>
      <c r="AV68" s="177" t="s">
        <v>4366</v>
      </c>
      <c r="AW68" s="177" t="str">
        <f>'Team 7'!F65</f>
        <v>Daniel</v>
      </c>
      <c r="AX68" s="177" t="str">
        <f>'Team 7'!G65</f>
        <v>Celi</v>
      </c>
      <c r="AY68" s="175" t="str">
        <f t="shared" si="16"/>
        <v>Daniel Celi</v>
      </c>
      <c r="AZ68" s="176"/>
      <c r="BA68" s="172">
        <v>38</v>
      </c>
      <c r="BB68" s="177" t="s">
        <v>4366</v>
      </c>
      <c r="BC68" s="177">
        <f>'Team 8'!F65</f>
        <v>0</v>
      </c>
      <c r="BD68" s="177">
        <f>'Team 8'!G65</f>
        <v>0</v>
      </c>
      <c r="BE68" s="175" t="str">
        <f t="shared" si="17"/>
        <v>0 0</v>
      </c>
      <c r="BF68" s="176"/>
      <c r="BG68" s="172">
        <v>38</v>
      </c>
      <c r="BH68" s="177" t="s">
        <v>4366</v>
      </c>
      <c r="BI68" s="177">
        <f>'Team 9'!F65</f>
        <v>0</v>
      </c>
      <c r="BJ68" s="177">
        <f>'Team 9'!G65</f>
        <v>0</v>
      </c>
      <c r="BK68" s="175" t="str">
        <f t="shared" si="18"/>
        <v>0 0</v>
      </c>
      <c r="BL68" s="176"/>
      <c r="BM68" s="172">
        <v>38</v>
      </c>
      <c r="BN68" s="177" t="s">
        <v>4366</v>
      </c>
      <c r="BO68" s="177">
        <f>'Team 10'!F65</f>
        <v>0</v>
      </c>
      <c r="BP68" s="177">
        <f>'Team 10'!G65</f>
        <v>0</v>
      </c>
      <c r="BQ68" s="175" t="str">
        <f t="shared" si="19"/>
        <v>0 0</v>
      </c>
      <c r="BR68" s="176"/>
      <c r="BS68" s="180"/>
    </row>
    <row r="69" spans="1:72" s="179" customFormat="1" ht="21" customHeight="1" x14ac:dyDescent="0.3">
      <c r="A69" s="186"/>
      <c r="B69" s="186"/>
      <c r="C69" s="186"/>
      <c r="D69" s="182"/>
      <c r="E69" s="182"/>
      <c r="F69" s="182"/>
      <c r="G69" s="182"/>
      <c r="H69" s="182"/>
      <c r="I69" s="188"/>
      <c r="J69" s="182"/>
      <c r="K69" s="172">
        <v>39</v>
      </c>
      <c r="L69" s="177" t="s">
        <v>4367</v>
      </c>
      <c r="M69" s="174" t="str">
        <f>'Team 1'!F66</f>
        <v>Taisia</v>
      </c>
      <c r="N69" s="174" t="str">
        <f>'Team 1'!G66</f>
        <v>Flury</v>
      </c>
      <c r="O69" s="175" t="str">
        <f t="shared" si="10"/>
        <v>Taisia Flury</v>
      </c>
      <c r="P69" s="176"/>
      <c r="Q69" s="172">
        <v>39</v>
      </c>
      <c r="R69" s="177" t="s">
        <v>4367</v>
      </c>
      <c r="S69" s="174" t="str">
        <f>'Team 2'!F66</f>
        <v>Daisy</v>
      </c>
      <c r="T69" s="174" t="str">
        <f>'Team 2'!G66</f>
        <v>Harradine</v>
      </c>
      <c r="U69" s="175" t="str">
        <f t="shared" si="11"/>
        <v>Daisy Harradine</v>
      </c>
      <c r="V69" s="176"/>
      <c r="W69" s="172">
        <v>39</v>
      </c>
      <c r="X69" s="177" t="s">
        <v>4367</v>
      </c>
      <c r="Y69" s="174" t="str">
        <f>'Team 3'!F66</f>
        <v>Molly</v>
      </c>
      <c r="Z69" s="174" t="str">
        <f>'Team 3'!G66</f>
        <v>Bartup</v>
      </c>
      <c r="AA69" s="175" t="str">
        <f t="shared" si="12"/>
        <v>Molly Bartup</v>
      </c>
      <c r="AB69" s="176"/>
      <c r="AC69" s="172">
        <v>39</v>
      </c>
      <c r="AD69" s="177" t="s">
        <v>4367</v>
      </c>
      <c r="AE69" s="174" t="str">
        <f>'Team 4'!F66</f>
        <v>ZAHRA</v>
      </c>
      <c r="AF69" s="174" t="str">
        <f>'Team 4'!G66</f>
        <v>WALLER</v>
      </c>
      <c r="AG69" s="175" t="str">
        <f t="shared" si="13"/>
        <v>ZAHRA WALLER</v>
      </c>
      <c r="AH69" s="174"/>
      <c r="AI69" s="172">
        <v>39</v>
      </c>
      <c r="AJ69" s="177" t="s">
        <v>4367</v>
      </c>
      <c r="AK69" s="174" t="str">
        <f>'Team 5'!F66</f>
        <v>Hollie</v>
      </c>
      <c r="AL69" s="174" t="str">
        <f>'Team 5'!G66</f>
        <v>Heighes</v>
      </c>
      <c r="AM69" s="175" t="str">
        <f t="shared" si="14"/>
        <v>Hollie Heighes</v>
      </c>
      <c r="AN69" s="176"/>
      <c r="AO69" s="172">
        <v>39</v>
      </c>
      <c r="AP69" s="177" t="s">
        <v>4367</v>
      </c>
      <c r="AQ69" s="177" t="str">
        <f>'Team 6'!F66</f>
        <v>Mina</v>
      </c>
      <c r="AR69" s="177" t="str">
        <f>'Team 6'!G66</f>
        <v>Safahe</v>
      </c>
      <c r="AS69" s="175" t="str">
        <f t="shared" si="15"/>
        <v>Mina Safahe</v>
      </c>
      <c r="AT69" s="176"/>
      <c r="AU69" s="172">
        <v>39</v>
      </c>
      <c r="AV69" s="177" t="s">
        <v>4367</v>
      </c>
      <c r="AW69" s="177" t="str">
        <f>'Team 7'!F66</f>
        <v>Keira</v>
      </c>
      <c r="AX69" s="177" t="str">
        <f>'Team 7'!G66</f>
        <v>Brannigan</v>
      </c>
      <c r="AY69" s="175" t="str">
        <f t="shared" si="16"/>
        <v>Keira Brannigan</v>
      </c>
      <c r="AZ69" s="176"/>
      <c r="BA69" s="172">
        <v>39</v>
      </c>
      <c r="BB69" s="177" t="s">
        <v>4367</v>
      </c>
      <c r="BC69" s="177">
        <f>'Team 8'!F66</f>
        <v>0</v>
      </c>
      <c r="BD69" s="177">
        <f>'Team 8'!G66</f>
        <v>0</v>
      </c>
      <c r="BE69" s="175" t="str">
        <f t="shared" si="17"/>
        <v>0 0</v>
      </c>
      <c r="BF69" s="176"/>
      <c r="BG69" s="172">
        <v>39</v>
      </c>
      <c r="BH69" s="177" t="s">
        <v>4367</v>
      </c>
      <c r="BI69" s="177">
        <f>'Team 9'!F66</f>
        <v>0</v>
      </c>
      <c r="BJ69" s="177">
        <f>'Team 9'!G66</f>
        <v>0</v>
      </c>
      <c r="BK69" s="175" t="str">
        <f t="shared" si="18"/>
        <v>0 0</v>
      </c>
      <c r="BL69" s="176"/>
      <c r="BM69" s="172">
        <v>39</v>
      </c>
      <c r="BN69" s="177" t="s">
        <v>4367</v>
      </c>
      <c r="BO69" s="177">
        <f>'Team 10'!F66</f>
        <v>0</v>
      </c>
      <c r="BP69" s="177">
        <f>'Team 10'!G66</f>
        <v>0</v>
      </c>
      <c r="BQ69" s="175" t="str">
        <f t="shared" si="19"/>
        <v>0 0</v>
      </c>
      <c r="BR69" s="176"/>
      <c r="BS69" s="180"/>
    </row>
    <row r="70" spans="1:72" s="179" customFormat="1" ht="21" customHeight="1" x14ac:dyDescent="0.3">
      <c r="A70" s="186"/>
      <c r="B70" s="186"/>
      <c r="C70" s="186"/>
      <c r="D70" s="182"/>
      <c r="E70" s="182"/>
      <c r="F70" s="182"/>
      <c r="G70" s="182"/>
      <c r="H70" s="182"/>
      <c r="I70" s="188"/>
      <c r="J70" s="182"/>
      <c r="K70" s="172">
        <v>40</v>
      </c>
      <c r="L70" s="177" t="s">
        <v>4368</v>
      </c>
      <c r="M70" s="174" t="str">
        <f>'Team 1'!F67</f>
        <v>Michael</v>
      </c>
      <c r="N70" s="174" t="str">
        <f>'Team 1'!G67</f>
        <v>Manassero</v>
      </c>
      <c r="O70" s="175" t="str">
        <f t="shared" si="10"/>
        <v>Michael Manassero</v>
      </c>
      <c r="P70" s="176"/>
      <c r="Q70" s="172">
        <v>40</v>
      </c>
      <c r="R70" s="177" t="s">
        <v>4368</v>
      </c>
      <c r="S70" s="174" t="str">
        <f>'Team 2'!F67</f>
        <v>Samuel</v>
      </c>
      <c r="T70" s="174" t="str">
        <f>'Team 2'!G67</f>
        <v>Heraty</v>
      </c>
      <c r="U70" s="175" t="str">
        <f t="shared" si="11"/>
        <v>Samuel Heraty</v>
      </c>
      <c r="V70" s="176"/>
      <c r="W70" s="172">
        <v>40</v>
      </c>
      <c r="X70" s="177" t="s">
        <v>4368</v>
      </c>
      <c r="Y70" s="174" t="str">
        <f>'Team 3'!F67</f>
        <v>Theo</v>
      </c>
      <c r="Z70" s="174" t="str">
        <f>'Team 3'!G67</f>
        <v>Smith</v>
      </c>
      <c r="AA70" s="175" t="str">
        <f t="shared" si="12"/>
        <v>Theo Smith</v>
      </c>
      <c r="AB70" s="176"/>
      <c r="AC70" s="172">
        <v>40</v>
      </c>
      <c r="AD70" s="177" t="s">
        <v>4368</v>
      </c>
      <c r="AE70" s="174" t="str">
        <f>'Team 4'!F67</f>
        <v>RAFI</v>
      </c>
      <c r="AF70" s="174" t="str">
        <f>'Team 4'!G67</f>
        <v>GIBSON</v>
      </c>
      <c r="AG70" s="175" t="str">
        <f t="shared" si="13"/>
        <v>RAFI GIBSON</v>
      </c>
      <c r="AH70" s="174"/>
      <c r="AI70" s="172">
        <v>40</v>
      </c>
      <c r="AJ70" s="177" t="s">
        <v>4368</v>
      </c>
      <c r="AK70" s="174" t="str">
        <f>'Team 5'!F67</f>
        <v>Nathaniel</v>
      </c>
      <c r="AL70" s="174" t="str">
        <f>'Team 5'!G67</f>
        <v>Coburn</v>
      </c>
      <c r="AM70" s="175" t="str">
        <f t="shared" si="14"/>
        <v>Nathaniel Coburn</v>
      </c>
      <c r="AN70" s="176"/>
      <c r="AO70" s="172">
        <v>40</v>
      </c>
      <c r="AP70" s="177" t="s">
        <v>4368</v>
      </c>
      <c r="AQ70" s="177" t="str">
        <f>'Team 6'!F67</f>
        <v>Gabriel</v>
      </c>
      <c r="AR70" s="177" t="str">
        <f>'Team 6'!G67</f>
        <v>Rebelo</v>
      </c>
      <c r="AS70" s="175" t="str">
        <f t="shared" si="15"/>
        <v>Gabriel Rebelo</v>
      </c>
      <c r="AT70" s="176"/>
      <c r="AU70" s="172">
        <v>40</v>
      </c>
      <c r="AV70" s="177" t="s">
        <v>4368</v>
      </c>
      <c r="AW70" s="177" t="str">
        <f>'Team 7'!F67</f>
        <v>Advay</v>
      </c>
      <c r="AX70" s="177" t="str">
        <f>'Team 7'!G67</f>
        <v>Bhatia</v>
      </c>
      <c r="AY70" s="175" t="str">
        <f t="shared" si="16"/>
        <v>Advay Bhatia</v>
      </c>
      <c r="AZ70" s="176"/>
      <c r="BA70" s="172">
        <v>40</v>
      </c>
      <c r="BB70" s="177" t="s">
        <v>4368</v>
      </c>
      <c r="BC70" s="177">
        <f>'Team 8'!F67</f>
        <v>0</v>
      </c>
      <c r="BD70" s="177">
        <f>'Team 8'!G67</f>
        <v>0</v>
      </c>
      <c r="BE70" s="175" t="str">
        <f t="shared" si="17"/>
        <v>0 0</v>
      </c>
      <c r="BF70" s="176"/>
      <c r="BG70" s="172">
        <v>40</v>
      </c>
      <c r="BH70" s="177" t="s">
        <v>4368</v>
      </c>
      <c r="BI70" s="177">
        <f>'Team 9'!F67</f>
        <v>0</v>
      </c>
      <c r="BJ70" s="177">
        <f>'Team 9'!G67</f>
        <v>0</v>
      </c>
      <c r="BK70" s="175" t="str">
        <f t="shared" si="18"/>
        <v>0 0</v>
      </c>
      <c r="BL70" s="176"/>
      <c r="BM70" s="172">
        <v>40</v>
      </c>
      <c r="BN70" s="177" t="s">
        <v>4368</v>
      </c>
      <c r="BO70" s="177">
        <f>'Team 10'!F67</f>
        <v>0</v>
      </c>
      <c r="BP70" s="177">
        <f>'Team 10'!G67</f>
        <v>0</v>
      </c>
      <c r="BQ70" s="175" t="str">
        <f t="shared" si="19"/>
        <v>0 0</v>
      </c>
      <c r="BR70" s="176"/>
      <c r="BS70" s="180"/>
    </row>
    <row r="71" spans="1:72" s="179" customFormat="1" ht="21" customHeight="1" x14ac:dyDescent="0.3">
      <c r="A71" s="186"/>
      <c r="B71" s="186"/>
      <c r="C71" s="186"/>
      <c r="D71" s="182"/>
      <c r="E71" s="182"/>
      <c r="F71" s="182"/>
      <c r="G71" s="182"/>
      <c r="H71" s="182"/>
      <c r="I71" s="188"/>
      <c r="J71" s="182"/>
      <c r="K71" s="172">
        <v>41</v>
      </c>
      <c r="L71" s="177" t="s">
        <v>4369</v>
      </c>
      <c r="M71" s="174" t="str">
        <f>'Team 1'!F68</f>
        <v>Maja</v>
      </c>
      <c r="N71" s="174" t="str">
        <f>'Team 1'!G68</f>
        <v>Grzybek</v>
      </c>
      <c r="O71" s="175" t="str">
        <f t="shared" ref="O71:O102" si="20">CONCATENATE(M71, " ",N71)</f>
        <v>Maja Grzybek</v>
      </c>
      <c r="P71" s="176"/>
      <c r="Q71" s="172">
        <v>41</v>
      </c>
      <c r="R71" s="177" t="s">
        <v>4369</v>
      </c>
      <c r="S71" s="174" t="str">
        <f>'Team 2'!F68</f>
        <v>Madeleine</v>
      </c>
      <c r="T71" s="174" t="str">
        <f>'Team 2'!G68</f>
        <v>Bailiss</v>
      </c>
      <c r="U71" s="175" t="str">
        <f t="shared" ref="U71:U102" si="21">CONCATENATE(S71, " ",T71)</f>
        <v>Madeleine Bailiss</v>
      </c>
      <c r="V71" s="176"/>
      <c r="W71" s="172">
        <v>41</v>
      </c>
      <c r="X71" s="177" t="s">
        <v>4369</v>
      </c>
      <c r="Y71" s="174" t="str">
        <f>'Team 3'!F68</f>
        <v>Charlotte</v>
      </c>
      <c r="Z71" s="174" t="str">
        <f>'Team 3'!G68</f>
        <v>Brakenbury</v>
      </c>
      <c r="AA71" s="175" t="str">
        <f t="shared" ref="AA71:AA102" si="22">CONCATENATE(Y71, " ",Z71)</f>
        <v>Charlotte Brakenbury</v>
      </c>
      <c r="AB71" s="176"/>
      <c r="AC71" s="172">
        <v>41</v>
      </c>
      <c r="AD71" s="177" t="s">
        <v>4369</v>
      </c>
      <c r="AE71" s="174" t="str">
        <f>'Team 4'!F68</f>
        <v>LUCY</v>
      </c>
      <c r="AF71" s="174" t="str">
        <f>'Team 4'!G68</f>
        <v>BURNHAM</v>
      </c>
      <c r="AG71" s="175" t="str">
        <f t="shared" ref="AG71:AG102" si="23">CONCATENATE(AE71, " ",AF71)</f>
        <v>LUCY BURNHAM</v>
      </c>
      <c r="AH71" s="174"/>
      <c r="AI71" s="172">
        <v>41</v>
      </c>
      <c r="AJ71" s="177" t="s">
        <v>4369</v>
      </c>
      <c r="AK71" s="174" t="str">
        <f>'Team 5'!F68</f>
        <v>Lily</v>
      </c>
      <c r="AL71" s="174" t="str">
        <f>'Team 5'!G68</f>
        <v>Threadgold</v>
      </c>
      <c r="AM71" s="175" t="str">
        <f t="shared" ref="AM71:AM102" si="24">CONCATENATE(AK71, " ",AL71)</f>
        <v>Lily Threadgold</v>
      </c>
      <c r="AN71" s="176"/>
      <c r="AO71" s="172">
        <v>41</v>
      </c>
      <c r="AP71" s="177" t="s">
        <v>4369</v>
      </c>
      <c r="AQ71" s="177" t="str">
        <f>'Team 6'!F68</f>
        <v xml:space="preserve">Alice </v>
      </c>
      <c r="AR71" s="177" t="str">
        <f>'Team 6'!G68</f>
        <v>Sharrock</v>
      </c>
      <c r="AS71" s="175" t="str">
        <f t="shared" ref="AS71:AS102" si="25">CONCATENATE(AQ71, " ",AR71)</f>
        <v>Alice  Sharrock</v>
      </c>
      <c r="AT71" s="176"/>
      <c r="AU71" s="172">
        <v>41</v>
      </c>
      <c r="AV71" s="177" t="s">
        <v>4369</v>
      </c>
      <c r="AW71" s="177" t="str">
        <f>'Team 7'!F68</f>
        <v>Laura</v>
      </c>
      <c r="AX71" s="177" t="str">
        <f>'Team 7'!G68</f>
        <v>Hibberd</v>
      </c>
      <c r="AY71" s="175" t="str">
        <f t="shared" ref="AY71:AY102" si="26">CONCATENATE(AW71, " ",AX71)</f>
        <v>Laura Hibberd</v>
      </c>
      <c r="AZ71" s="176"/>
      <c r="BA71" s="172">
        <v>41</v>
      </c>
      <c r="BB71" s="177" t="s">
        <v>4369</v>
      </c>
      <c r="BC71" s="177">
        <f>'Team 8'!F68</f>
        <v>0</v>
      </c>
      <c r="BD71" s="177">
        <f>'Team 8'!G68</f>
        <v>0</v>
      </c>
      <c r="BE71" s="175" t="str">
        <f t="shared" ref="BE71:BE102" si="27">CONCATENATE(BC71, " ",BD71)</f>
        <v>0 0</v>
      </c>
      <c r="BF71" s="176"/>
      <c r="BG71" s="172">
        <v>41</v>
      </c>
      <c r="BH71" s="177" t="s">
        <v>4369</v>
      </c>
      <c r="BI71" s="177">
        <f>'Team 9'!F68</f>
        <v>0</v>
      </c>
      <c r="BJ71" s="177">
        <f>'Team 9'!G68</f>
        <v>0</v>
      </c>
      <c r="BK71" s="175" t="str">
        <f t="shared" ref="BK71:BK102" si="28">CONCATENATE(BI71, " ",BJ71)</f>
        <v>0 0</v>
      </c>
      <c r="BL71" s="176"/>
      <c r="BM71" s="172">
        <v>41</v>
      </c>
      <c r="BN71" s="177" t="s">
        <v>4369</v>
      </c>
      <c r="BO71" s="177">
        <f>'Team 10'!F68</f>
        <v>0</v>
      </c>
      <c r="BP71" s="177">
        <f>'Team 10'!G68</f>
        <v>0</v>
      </c>
      <c r="BQ71" s="175" t="str">
        <f t="shared" ref="BQ71:BQ102" si="29">CONCATENATE(BO71, " ",BP71)</f>
        <v>0 0</v>
      </c>
      <c r="BR71" s="176"/>
      <c r="BS71" s="180"/>
    </row>
    <row r="72" spans="1:72" s="197" customFormat="1" ht="21" customHeight="1" x14ac:dyDescent="0.3">
      <c r="A72" s="192"/>
      <c r="B72" s="192"/>
      <c r="C72" s="192"/>
      <c r="D72" s="193"/>
      <c r="E72" s="193"/>
      <c r="F72" s="193"/>
      <c r="G72" s="193"/>
      <c r="H72" s="193"/>
      <c r="I72" s="194"/>
      <c r="J72" s="195"/>
      <c r="K72" s="172">
        <v>42</v>
      </c>
      <c r="L72" s="177" t="s">
        <v>4370</v>
      </c>
      <c r="M72" s="174" t="str">
        <f>'Team 1'!F69</f>
        <v>James</v>
      </c>
      <c r="N72" s="174" t="str">
        <f>'Team 1'!G69</f>
        <v>Smeaton</v>
      </c>
      <c r="O72" s="175" t="str">
        <f t="shared" si="20"/>
        <v>James Smeaton</v>
      </c>
      <c r="P72" s="176"/>
      <c r="Q72" s="172">
        <v>42</v>
      </c>
      <c r="R72" s="177" t="s">
        <v>4370</v>
      </c>
      <c r="S72" s="174" t="str">
        <f>'Team 2'!F69</f>
        <v>Harry</v>
      </c>
      <c r="T72" s="174" t="str">
        <f>'Team 2'!G69</f>
        <v>Chapman</v>
      </c>
      <c r="U72" s="175" t="str">
        <f t="shared" si="21"/>
        <v>Harry Chapman</v>
      </c>
      <c r="V72" s="176"/>
      <c r="W72" s="172">
        <v>42</v>
      </c>
      <c r="X72" s="177" t="s">
        <v>4370</v>
      </c>
      <c r="Y72" s="174" t="str">
        <f>'Team 3'!F69</f>
        <v>Luke</v>
      </c>
      <c r="Z72" s="174" t="str">
        <f>'Team 3'!G69</f>
        <v>Morley</v>
      </c>
      <c r="AA72" s="175" t="str">
        <f t="shared" si="22"/>
        <v>Luke Morley</v>
      </c>
      <c r="AB72" s="176"/>
      <c r="AC72" s="172">
        <v>42</v>
      </c>
      <c r="AD72" s="177" t="s">
        <v>4370</v>
      </c>
      <c r="AE72" s="174" t="str">
        <f>'Team 4'!F69</f>
        <v>MATTHEW</v>
      </c>
      <c r="AF72" s="174" t="str">
        <f>'Team 4'!G69</f>
        <v>MASTERS</v>
      </c>
      <c r="AG72" s="175" t="str">
        <f t="shared" si="23"/>
        <v>MATTHEW MASTERS</v>
      </c>
      <c r="AH72" s="174"/>
      <c r="AI72" s="172">
        <v>42</v>
      </c>
      <c r="AJ72" s="177" t="s">
        <v>4370</v>
      </c>
      <c r="AK72" s="174" t="str">
        <f>'Team 5'!F69</f>
        <v>Robert</v>
      </c>
      <c r="AL72" s="174" t="str">
        <f>'Team 5'!G69</f>
        <v>Elliston</v>
      </c>
      <c r="AM72" s="175" t="str">
        <f t="shared" si="24"/>
        <v>Robert Elliston</v>
      </c>
      <c r="AN72" s="176"/>
      <c r="AO72" s="172">
        <v>42</v>
      </c>
      <c r="AP72" s="177" t="s">
        <v>4370</v>
      </c>
      <c r="AQ72" s="177" t="str">
        <f>'Team 6'!F69</f>
        <v>Razvan</v>
      </c>
      <c r="AR72" s="177" t="str">
        <f>'Team 6'!G69</f>
        <v>Lembac</v>
      </c>
      <c r="AS72" s="175" t="str">
        <f t="shared" si="25"/>
        <v>Razvan Lembac</v>
      </c>
      <c r="AT72" s="176"/>
      <c r="AU72" s="172">
        <v>42</v>
      </c>
      <c r="AV72" s="177" t="s">
        <v>4370</v>
      </c>
      <c r="AW72" s="177" t="str">
        <f>'Team 7'!F69</f>
        <v>Liam</v>
      </c>
      <c r="AX72" s="177" t="str">
        <f>'Team 7'!G69</f>
        <v>Treanor</v>
      </c>
      <c r="AY72" s="175" t="str">
        <f t="shared" si="26"/>
        <v>Liam Treanor</v>
      </c>
      <c r="AZ72" s="176"/>
      <c r="BA72" s="172">
        <v>42</v>
      </c>
      <c r="BB72" s="177" t="s">
        <v>4370</v>
      </c>
      <c r="BC72" s="177">
        <f>'Team 8'!F69</f>
        <v>0</v>
      </c>
      <c r="BD72" s="177">
        <f>'Team 8'!G69</f>
        <v>0</v>
      </c>
      <c r="BE72" s="175" t="str">
        <f t="shared" si="27"/>
        <v>0 0</v>
      </c>
      <c r="BF72" s="176"/>
      <c r="BG72" s="172">
        <v>42</v>
      </c>
      <c r="BH72" s="177" t="s">
        <v>4370</v>
      </c>
      <c r="BI72" s="177">
        <f>'Team 9'!F69</f>
        <v>0</v>
      </c>
      <c r="BJ72" s="177">
        <f>'Team 9'!G69</f>
        <v>0</v>
      </c>
      <c r="BK72" s="175" t="str">
        <f t="shared" si="28"/>
        <v>0 0</v>
      </c>
      <c r="BL72" s="176"/>
      <c r="BM72" s="172">
        <v>42</v>
      </c>
      <c r="BN72" s="177" t="s">
        <v>4370</v>
      </c>
      <c r="BO72" s="177">
        <f>'Team 10'!F69</f>
        <v>0</v>
      </c>
      <c r="BP72" s="177">
        <f>'Team 10'!G69</f>
        <v>0</v>
      </c>
      <c r="BQ72" s="175" t="str">
        <f t="shared" si="29"/>
        <v>0 0</v>
      </c>
      <c r="BR72" s="176"/>
      <c r="BS72" s="196"/>
    </row>
    <row r="73" spans="1:72" s="199" customFormat="1" ht="21" customHeight="1" x14ac:dyDescent="0.3">
      <c r="A73" s="198"/>
      <c r="B73" s="198"/>
      <c r="C73" s="198"/>
      <c r="D73" s="198"/>
      <c r="E73" s="198"/>
      <c r="F73" s="198"/>
      <c r="G73" s="198"/>
      <c r="H73" s="198"/>
      <c r="J73" s="200"/>
      <c r="K73" s="1104">
        <v>43</v>
      </c>
      <c r="L73" s="1105" t="s">
        <v>4371</v>
      </c>
      <c r="M73" s="174" t="str">
        <f>'Team 1'!F70</f>
        <v>Eleanor</v>
      </c>
      <c r="N73" s="174" t="str">
        <f>'Team 1'!G70</f>
        <v>Skinner</v>
      </c>
      <c r="O73" s="175" t="str">
        <f t="shared" si="20"/>
        <v>Eleanor Skinner</v>
      </c>
      <c r="P73" s="176"/>
      <c r="Q73" s="1104">
        <v>43</v>
      </c>
      <c r="R73" s="1105" t="s">
        <v>4371</v>
      </c>
      <c r="S73" s="174" t="str">
        <f>'Team 2'!F70</f>
        <v>Esmae</v>
      </c>
      <c r="T73" s="174" t="str">
        <f>'Team 2'!G70</f>
        <v>Green</v>
      </c>
      <c r="U73" s="175" t="str">
        <f t="shared" si="21"/>
        <v>Esmae Green</v>
      </c>
      <c r="V73" s="175"/>
      <c r="W73" s="1104">
        <v>43</v>
      </c>
      <c r="X73" s="1105" t="s">
        <v>4371</v>
      </c>
      <c r="Y73" s="174" t="str">
        <f>'Team 3'!F70</f>
        <v>Hannah</v>
      </c>
      <c r="Z73" s="174" t="str">
        <f>'Team 3'!G70</f>
        <v>Jounor</v>
      </c>
      <c r="AA73" s="175" t="str">
        <f t="shared" si="22"/>
        <v>Hannah Jounor</v>
      </c>
      <c r="AB73" s="175"/>
      <c r="AC73" s="1104">
        <v>43</v>
      </c>
      <c r="AD73" s="1105" t="s">
        <v>4371</v>
      </c>
      <c r="AE73" s="174" t="str">
        <f>'Team 4'!F70</f>
        <v>CHELSEA</v>
      </c>
      <c r="AF73" s="174" t="str">
        <f>'Team 4'!G70</f>
        <v>DARE</v>
      </c>
      <c r="AG73" s="175" t="str">
        <f t="shared" si="23"/>
        <v>CHELSEA DARE</v>
      </c>
      <c r="AH73" s="174"/>
      <c r="AI73" s="1104">
        <v>43</v>
      </c>
      <c r="AJ73" s="1105" t="s">
        <v>4371</v>
      </c>
      <c r="AK73" s="174" t="str">
        <f>'Team 5'!F70</f>
        <v>Layla</v>
      </c>
      <c r="AL73" s="174" t="str">
        <f>'Team 5'!G70</f>
        <v>Cook</v>
      </c>
      <c r="AM73" s="175" t="str">
        <f t="shared" si="24"/>
        <v>Layla Cook</v>
      </c>
      <c r="AN73" s="175"/>
      <c r="AO73" s="1104">
        <v>43</v>
      </c>
      <c r="AP73" s="1105" t="s">
        <v>4371</v>
      </c>
      <c r="AQ73" s="177" t="str">
        <f>'Team 6'!F70</f>
        <v>Mahika</v>
      </c>
      <c r="AR73" s="177" t="str">
        <f>'Team 6'!G70</f>
        <v>Chandrashekar</v>
      </c>
      <c r="AS73" s="175" t="str">
        <f t="shared" si="25"/>
        <v>Mahika Chandrashekar</v>
      </c>
      <c r="AT73" s="175"/>
      <c r="AU73" s="1104">
        <v>43</v>
      </c>
      <c r="AV73" s="1105" t="s">
        <v>4371</v>
      </c>
      <c r="AW73" s="177" t="str">
        <f>'Team 7'!F70</f>
        <v>Alexa</v>
      </c>
      <c r="AX73" s="177" t="str">
        <f>'Team 7'!G70</f>
        <v>Homer</v>
      </c>
      <c r="AY73" s="175" t="str">
        <f t="shared" si="26"/>
        <v>Alexa Homer</v>
      </c>
      <c r="AZ73" s="175"/>
      <c r="BA73" s="1104">
        <v>43</v>
      </c>
      <c r="BB73" s="1105" t="s">
        <v>4371</v>
      </c>
      <c r="BC73" s="177">
        <f>'Team 8'!F70</f>
        <v>0</v>
      </c>
      <c r="BD73" s="177">
        <f>'Team 8'!G70</f>
        <v>0</v>
      </c>
      <c r="BE73" s="175" t="str">
        <f t="shared" si="27"/>
        <v>0 0</v>
      </c>
      <c r="BF73" s="175"/>
      <c r="BG73" s="1104">
        <v>43</v>
      </c>
      <c r="BH73" s="1105" t="s">
        <v>4371</v>
      </c>
      <c r="BI73" s="177">
        <f>'Team 9'!F70</f>
        <v>0</v>
      </c>
      <c r="BJ73" s="177">
        <f>'Team 9'!G70</f>
        <v>0</v>
      </c>
      <c r="BK73" s="175" t="str">
        <f t="shared" si="28"/>
        <v>0 0</v>
      </c>
      <c r="BL73" s="175"/>
      <c r="BM73" s="1104">
        <v>43</v>
      </c>
      <c r="BN73" s="1105" t="s">
        <v>4371</v>
      </c>
      <c r="BO73" s="177">
        <f>'Team 10'!F70</f>
        <v>0</v>
      </c>
      <c r="BP73" s="177">
        <f>'Team 10'!G70</f>
        <v>0</v>
      </c>
      <c r="BQ73" s="175" t="str">
        <f t="shared" si="29"/>
        <v>0 0</v>
      </c>
      <c r="BR73" s="175"/>
      <c r="BS73" s="201" t="str">
        <f>CONCATENATE('Team 1'!$F70, " ",'Team 1'!$G70)</f>
        <v>Eleanor Skinner</v>
      </c>
      <c r="BT73" s="202" t="str">
        <f>CONCATENATE('Team 1'!$F71, " ",'Team 1'!$G71)</f>
        <v>Ines Puente</v>
      </c>
    </row>
    <row r="74" spans="1:72" s="199" customFormat="1" ht="21" customHeight="1" x14ac:dyDescent="0.3">
      <c r="A74" s="198"/>
      <c r="B74" s="198"/>
      <c r="C74" s="198"/>
      <c r="D74" s="198"/>
      <c r="E74" s="198"/>
      <c r="F74" s="198"/>
      <c r="G74" s="198"/>
      <c r="H74" s="198"/>
      <c r="J74" s="200"/>
      <c r="K74" s="1104"/>
      <c r="L74" s="1105"/>
      <c r="M74" s="174" t="str">
        <f>'Team 1'!F71</f>
        <v>Ines</v>
      </c>
      <c r="N74" s="174" t="str">
        <f>'Team 1'!G71</f>
        <v>Puente</v>
      </c>
      <c r="O74" s="175" t="str">
        <f t="shared" si="20"/>
        <v>Ines Puente</v>
      </c>
      <c r="P74" s="176"/>
      <c r="Q74" s="1104"/>
      <c r="R74" s="1105"/>
      <c r="S74" s="174" t="str">
        <f>'Team 2'!F71</f>
        <v>Seren</v>
      </c>
      <c r="T74" s="174" t="str">
        <f>'Team 2'!G71</f>
        <v>Cooper</v>
      </c>
      <c r="U74" s="175" t="str">
        <f t="shared" si="21"/>
        <v>Seren Cooper</v>
      </c>
      <c r="V74" s="175"/>
      <c r="W74" s="1104"/>
      <c r="X74" s="1105"/>
      <c r="Y74" s="174" t="str">
        <f>'Team 3'!F71</f>
        <v>Chloe</v>
      </c>
      <c r="Z74" s="174" t="str">
        <f>'Team 3'!G71</f>
        <v>Wimpenny</v>
      </c>
      <c r="AA74" s="175" t="str">
        <f t="shared" si="22"/>
        <v>Chloe Wimpenny</v>
      </c>
      <c r="AB74" s="175"/>
      <c r="AC74" s="1104"/>
      <c r="AD74" s="1105"/>
      <c r="AE74" s="174" t="str">
        <f>'Team 4'!F71</f>
        <v>MIA</v>
      </c>
      <c r="AF74" s="174" t="str">
        <f>'Team 4'!G71</f>
        <v>ZUBCEVIC</v>
      </c>
      <c r="AG74" s="175" t="str">
        <f t="shared" si="23"/>
        <v>MIA ZUBCEVIC</v>
      </c>
      <c r="AH74" s="174"/>
      <c r="AI74" s="1104"/>
      <c r="AJ74" s="1105"/>
      <c r="AK74" s="174" t="str">
        <f>'Team 5'!F71</f>
        <v>Maisie</v>
      </c>
      <c r="AL74" s="174" t="str">
        <f>'Team 5'!G71</f>
        <v>Cooper</v>
      </c>
      <c r="AM74" s="175" t="str">
        <f t="shared" si="24"/>
        <v>Maisie Cooper</v>
      </c>
      <c r="AN74" s="175"/>
      <c r="AO74" s="1104"/>
      <c r="AP74" s="1105"/>
      <c r="AQ74" s="177" t="str">
        <f>'Team 6'!F71</f>
        <v>Miraya</v>
      </c>
      <c r="AR74" s="177" t="str">
        <f>'Team 6'!G71</f>
        <v>Patel</v>
      </c>
      <c r="AS74" s="175" t="str">
        <f t="shared" si="25"/>
        <v>Miraya Patel</v>
      </c>
      <c r="AT74" s="175"/>
      <c r="AU74" s="1104"/>
      <c r="AV74" s="1105"/>
      <c r="AW74" s="177" t="str">
        <f>'Team 7'!F71</f>
        <v>Lara</v>
      </c>
      <c r="AX74" s="177" t="str">
        <f>'Team 7'!G71</f>
        <v>Shah</v>
      </c>
      <c r="AY74" s="175" t="str">
        <f t="shared" si="26"/>
        <v>Lara Shah</v>
      </c>
      <c r="AZ74" s="175"/>
      <c r="BA74" s="1104"/>
      <c r="BB74" s="1105"/>
      <c r="BC74" s="177">
        <f>'Team 8'!F71</f>
        <v>0</v>
      </c>
      <c r="BD74" s="177">
        <f>'Team 8'!G71</f>
        <v>0</v>
      </c>
      <c r="BE74" s="175" t="str">
        <f t="shared" si="27"/>
        <v>0 0</v>
      </c>
      <c r="BF74" s="175"/>
      <c r="BG74" s="1104"/>
      <c r="BH74" s="1105"/>
      <c r="BI74" s="177">
        <f>'Team 9'!F71</f>
        <v>0</v>
      </c>
      <c r="BJ74" s="177">
        <f>'Team 9'!G71</f>
        <v>0</v>
      </c>
      <c r="BK74" s="175" t="str">
        <f t="shared" si="28"/>
        <v>0 0</v>
      </c>
      <c r="BL74" s="175"/>
      <c r="BM74" s="1104"/>
      <c r="BN74" s="1105"/>
      <c r="BO74" s="177">
        <f>'Team 10'!F71</f>
        <v>0</v>
      </c>
      <c r="BP74" s="177">
        <f>'Team 10'!G71</f>
        <v>0</v>
      </c>
      <c r="BQ74" s="175" t="str">
        <f t="shared" si="29"/>
        <v>0 0</v>
      </c>
      <c r="BR74" s="175"/>
      <c r="BS74" s="201"/>
      <c r="BT74" s="202"/>
    </row>
    <row r="75" spans="1:72" s="199" customFormat="1" ht="21" customHeight="1" x14ac:dyDescent="0.3">
      <c r="A75" s="198"/>
      <c r="B75" s="198"/>
      <c r="C75" s="198"/>
      <c r="D75" s="198"/>
      <c r="E75" s="198"/>
      <c r="F75" s="198"/>
      <c r="G75" s="198"/>
      <c r="H75" s="198"/>
      <c r="J75" s="200"/>
      <c r="K75" s="1104"/>
      <c r="L75" s="1105"/>
      <c r="M75" s="174" t="str">
        <f>'Team 1'!F72</f>
        <v>Claudia</v>
      </c>
      <c r="N75" s="174" t="str">
        <f>'Team 1'!G72</f>
        <v>Savov</v>
      </c>
      <c r="O75" s="175" t="str">
        <f t="shared" si="20"/>
        <v>Claudia Savov</v>
      </c>
      <c r="P75" s="176"/>
      <c r="Q75" s="1104"/>
      <c r="R75" s="1105"/>
      <c r="S75" s="174" t="str">
        <f>'Team 2'!F72</f>
        <v>Maya</v>
      </c>
      <c r="T75" s="174" t="str">
        <f>'Team 2'!G72</f>
        <v>Wegner</v>
      </c>
      <c r="U75" s="175" t="str">
        <f t="shared" si="21"/>
        <v>Maya Wegner</v>
      </c>
      <c r="V75" s="175"/>
      <c r="W75" s="1104"/>
      <c r="X75" s="1105"/>
      <c r="Y75" s="174" t="str">
        <f>'Team 3'!F72</f>
        <v>Scarlett</v>
      </c>
      <c r="Z75" s="174" t="str">
        <f>'Team 3'!G72</f>
        <v>Omand</v>
      </c>
      <c r="AA75" s="175" t="str">
        <f t="shared" si="22"/>
        <v>Scarlett Omand</v>
      </c>
      <c r="AB75" s="175"/>
      <c r="AC75" s="1104"/>
      <c r="AD75" s="1105"/>
      <c r="AE75" s="174" t="str">
        <f>'Team 4'!F72</f>
        <v>WILLOW</v>
      </c>
      <c r="AF75" s="174" t="str">
        <f>'Team 4'!G72</f>
        <v>BROWNBRIDGE</v>
      </c>
      <c r="AG75" s="175" t="str">
        <f t="shared" si="23"/>
        <v>WILLOW BROWNBRIDGE</v>
      </c>
      <c r="AH75" s="174"/>
      <c r="AI75" s="1104"/>
      <c r="AJ75" s="1105"/>
      <c r="AK75" s="174" t="str">
        <f>'Team 5'!F72</f>
        <v>Caoife</v>
      </c>
      <c r="AL75" s="174" t="str">
        <f>'Team 5'!G72</f>
        <v>Long</v>
      </c>
      <c r="AM75" s="175" t="str">
        <f t="shared" si="24"/>
        <v>Caoife Long</v>
      </c>
      <c r="AN75" s="175"/>
      <c r="AO75" s="1104"/>
      <c r="AP75" s="1105"/>
      <c r="AQ75" s="177" t="str">
        <f>'Team 6'!F72</f>
        <v>Anna</v>
      </c>
      <c r="AR75" s="177" t="str">
        <f>'Team 6'!G72</f>
        <v>Rescia</v>
      </c>
      <c r="AS75" s="175" t="str">
        <f t="shared" si="25"/>
        <v>Anna Rescia</v>
      </c>
      <c r="AT75" s="175"/>
      <c r="AU75" s="1104"/>
      <c r="AV75" s="1105"/>
      <c r="AW75" s="177" t="str">
        <f>'Team 7'!F72</f>
        <v>Zara</v>
      </c>
      <c r="AX75" s="177" t="str">
        <f>'Team 7'!G72</f>
        <v>Jobanputra</v>
      </c>
      <c r="AY75" s="175" t="str">
        <f t="shared" si="26"/>
        <v>Zara Jobanputra</v>
      </c>
      <c r="AZ75" s="175"/>
      <c r="BA75" s="1104"/>
      <c r="BB75" s="1105"/>
      <c r="BC75" s="177">
        <f>'Team 8'!F72</f>
        <v>0</v>
      </c>
      <c r="BD75" s="177">
        <f>'Team 8'!G72</f>
        <v>0</v>
      </c>
      <c r="BE75" s="175" t="str">
        <f t="shared" si="27"/>
        <v>0 0</v>
      </c>
      <c r="BF75" s="175"/>
      <c r="BG75" s="1104"/>
      <c r="BH75" s="1105"/>
      <c r="BI75" s="177">
        <f>'Team 9'!F72</f>
        <v>0</v>
      </c>
      <c r="BJ75" s="177">
        <f>'Team 9'!G72</f>
        <v>0</v>
      </c>
      <c r="BK75" s="175" t="str">
        <f t="shared" si="28"/>
        <v>0 0</v>
      </c>
      <c r="BL75" s="175"/>
      <c r="BM75" s="1104"/>
      <c r="BN75" s="1105"/>
      <c r="BO75" s="177">
        <f>'Team 10'!F72</f>
        <v>0</v>
      </c>
      <c r="BP75" s="177">
        <f>'Team 10'!G72</f>
        <v>0</v>
      </c>
      <c r="BQ75" s="175" t="str">
        <f t="shared" si="29"/>
        <v>0 0</v>
      </c>
      <c r="BR75" s="175"/>
      <c r="BS75" s="201"/>
      <c r="BT75" s="202"/>
    </row>
    <row r="76" spans="1:72" s="197" customFormat="1" ht="21" customHeight="1" x14ac:dyDescent="0.3">
      <c r="A76" s="192"/>
      <c r="B76" s="192"/>
      <c r="C76" s="192"/>
      <c r="D76" s="192"/>
      <c r="E76" s="192"/>
      <c r="F76" s="192"/>
      <c r="G76" s="192"/>
      <c r="H76" s="192"/>
      <c r="J76" s="203"/>
      <c r="K76" s="1104"/>
      <c r="L76" s="1105"/>
      <c r="M76" s="174" t="str">
        <f>'Team 1'!F73</f>
        <v>Aaliyah</v>
      </c>
      <c r="N76" s="174" t="str">
        <f>'Team 1'!G73</f>
        <v>Gordon</v>
      </c>
      <c r="O76" s="175" t="str">
        <f t="shared" si="20"/>
        <v>Aaliyah Gordon</v>
      </c>
      <c r="P76" s="176"/>
      <c r="Q76" s="1104"/>
      <c r="R76" s="1105"/>
      <c r="S76" s="174" t="str">
        <f>'Team 2'!F73</f>
        <v>Annabelle</v>
      </c>
      <c r="T76" s="174" t="str">
        <f>'Team 2'!G73</f>
        <v>Harris</v>
      </c>
      <c r="U76" s="175" t="str">
        <f t="shared" si="21"/>
        <v>Annabelle Harris</v>
      </c>
      <c r="V76" s="175"/>
      <c r="W76" s="1104"/>
      <c r="X76" s="1105"/>
      <c r="Y76" s="174" t="str">
        <f>'Team 3'!F73</f>
        <v>Niamh</v>
      </c>
      <c r="Z76" s="174" t="str">
        <f>'Team 3'!G73</f>
        <v>Holland</v>
      </c>
      <c r="AA76" s="175" t="str">
        <f t="shared" si="22"/>
        <v>Niamh Holland</v>
      </c>
      <c r="AB76" s="175"/>
      <c r="AC76" s="1104"/>
      <c r="AD76" s="1105"/>
      <c r="AE76" s="174" t="str">
        <f>'Team 4'!F73</f>
        <v>Olivia</v>
      </c>
      <c r="AF76" s="174" t="str">
        <f>'Team 4'!G73</f>
        <v>Genge</v>
      </c>
      <c r="AG76" s="175" t="str">
        <f t="shared" si="23"/>
        <v>Olivia Genge</v>
      </c>
      <c r="AH76" s="174"/>
      <c r="AI76" s="1104"/>
      <c r="AJ76" s="1105"/>
      <c r="AK76" s="174" t="str">
        <f>'Team 5'!F73</f>
        <v>Megan</v>
      </c>
      <c r="AL76" s="174" t="str">
        <f>'Team 5'!G73</f>
        <v>Alexander</v>
      </c>
      <c r="AM76" s="175" t="str">
        <f t="shared" si="24"/>
        <v>Megan Alexander</v>
      </c>
      <c r="AN76" s="175"/>
      <c r="AO76" s="1104"/>
      <c r="AP76" s="1105"/>
      <c r="AQ76" s="177" t="str">
        <f>'Team 6'!F73</f>
        <v>Roya</v>
      </c>
      <c r="AR76" s="177" t="str">
        <f>'Team 6'!G73</f>
        <v>Malliwal</v>
      </c>
      <c r="AS76" s="175" t="str">
        <f t="shared" si="25"/>
        <v>Roya Malliwal</v>
      </c>
      <c r="AT76" s="175"/>
      <c r="AU76" s="1104"/>
      <c r="AV76" s="1105"/>
      <c r="AW76" s="177" t="str">
        <f>'Team 7'!F73</f>
        <v>Arabella</v>
      </c>
      <c r="AX76" s="177" t="str">
        <f>'Team 7'!G73</f>
        <v>Connick</v>
      </c>
      <c r="AY76" s="175" t="str">
        <f t="shared" si="26"/>
        <v>Arabella Connick</v>
      </c>
      <c r="AZ76" s="175"/>
      <c r="BA76" s="1104"/>
      <c r="BB76" s="1105"/>
      <c r="BC76" s="177">
        <f>'Team 8'!F73</f>
        <v>0</v>
      </c>
      <c r="BD76" s="177">
        <f>'Team 8'!G73</f>
        <v>0</v>
      </c>
      <c r="BE76" s="175" t="str">
        <f t="shared" si="27"/>
        <v>0 0</v>
      </c>
      <c r="BF76" s="175"/>
      <c r="BG76" s="1104"/>
      <c r="BH76" s="1105"/>
      <c r="BI76" s="177">
        <f>'Team 9'!F73</f>
        <v>0</v>
      </c>
      <c r="BJ76" s="177">
        <f>'Team 9'!G73</f>
        <v>0</v>
      </c>
      <c r="BK76" s="175" t="str">
        <f t="shared" si="28"/>
        <v>0 0</v>
      </c>
      <c r="BL76" s="175"/>
      <c r="BM76" s="1104"/>
      <c r="BN76" s="1105"/>
      <c r="BO76" s="177">
        <f>'Team 10'!F73</f>
        <v>0</v>
      </c>
      <c r="BP76" s="177">
        <f>'Team 10'!G73</f>
        <v>0</v>
      </c>
      <c r="BQ76" s="175" t="str">
        <f t="shared" si="29"/>
        <v>0 0</v>
      </c>
      <c r="BR76" s="175"/>
      <c r="BS76" s="204" t="str">
        <f>CONCATENATE('Team 1'!$F72, " ",'Team 1'!$G72)</f>
        <v>Claudia Savov</v>
      </c>
      <c r="BT76" s="205" t="str">
        <f>CONCATENATE('Team 1'!$F73, " ",'Team 1'!$G73)</f>
        <v>Aaliyah Gordon</v>
      </c>
    </row>
    <row r="77" spans="1:72" s="197" customFormat="1" ht="21" customHeight="1" x14ac:dyDescent="0.3">
      <c r="A77" s="192"/>
      <c r="B77" s="192"/>
      <c r="C77" s="192"/>
      <c r="D77" s="192"/>
      <c r="E77" s="192"/>
      <c r="F77" s="192"/>
      <c r="G77" s="192"/>
      <c r="H77" s="192"/>
      <c r="J77" s="203"/>
      <c r="K77" s="1104">
        <v>44</v>
      </c>
      <c r="L77" s="1105" t="s">
        <v>4372</v>
      </c>
      <c r="M77" s="174">
        <f>'Team 1'!F74</f>
        <v>0</v>
      </c>
      <c r="N77" s="174">
        <f>'Team 1'!G74</f>
        <v>0</v>
      </c>
      <c r="O77" s="175" t="str">
        <f t="shared" si="20"/>
        <v>0 0</v>
      </c>
      <c r="P77" s="176"/>
      <c r="Q77" s="1104">
        <v>44</v>
      </c>
      <c r="R77" s="1105" t="s">
        <v>4372</v>
      </c>
      <c r="S77" s="174" t="str">
        <f>'Team 2'!F74</f>
        <v>James</v>
      </c>
      <c r="T77" s="174" t="str">
        <f>'Team 2'!G74</f>
        <v>Winter</v>
      </c>
      <c r="U77" s="175" t="str">
        <f t="shared" si="21"/>
        <v>James Winter</v>
      </c>
      <c r="V77" s="175"/>
      <c r="W77" s="1104">
        <v>44</v>
      </c>
      <c r="X77" s="1105" t="s">
        <v>4372</v>
      </c>
      <c r="Y77" s="174" t="str">
        <f>'Team 3'!F74</f>
        <v xml:space="preserve">Liam </v>
      </c>
      <c r="Z77" s="174" t="str">
        <f>'Team 3'!G74</f>
        <v>Thompson</v>
      </c>
      <c r="AA77" s="175" t="str">
        <f t="shared" si="22"/>
        <v>Liam  Thompson</v>
      </c>
      <c r="AB77" s="175"/>
      <c r="AC77" s="1104">
        <v>44</v>
      </c>
      <c r="AD77" s="1105" t="s">
        <v>4372</v>
      </c>
      <c r="AE77" s="174" t="str">
        <f>'Team 4'!F74</f>
        <v>SIMON</v>
      </c>
      <c r="AF77" s="174" t="str">
        <f>'Team 4'!G74</f>
        <v>ROSA</v>
      </c>
      <c r="AG77" s="175" t="str">
        <f t="shared" si="23"/>
        <v>SIMON ROSA</v>
      </c>
      <c r="AH77" s="174"/>
      <c r="AI77" s="1104">
        <v>44</v>
      </c>
      <c r="AJ77" s="1105" t="s">
        <v>4372</v>
      </c>
      <c r="AK77" s="174" t="str">
        <f>'Team 5'!F74</f>
        <v>Myron</v>
      </c>
      <c r="AL77" s="174" t="str">
        <f>'Team 5'!G74</f>
        <v>Young</v>
      </c>
      <c r="AM77" s="175" t="str">
        <f t="shared" si="24"/>
        <v>Myron Young</v>
      </c>
      <c r="AN77" s="175"/>
      <c r="AO77" s="1104">
        <v>44</v>
      </c>
      <c r="AP77" s="1105" t="s">
        <v>4372</v>
      </c>
      <c r="AQ77" s="177" t="str">
        <f>'Team 6'!F74</f>
        <v>Zayn</v>
      </c>
      <c r="AR77" s="177" t="str">
        <f>'Team 6'!G74</f>
        <v>Tang</v>
      </c>
      <c r="AS77" s="175" t="str">
        <f t="shared" si="25"/>
        <v>Zayn Tang</v>
      </c>
      <c r="AT77" s="175"/>
      <c r="AU77" s="1104">
        <v>44</v>
      </c>
      <c r="AV77" s="1105" t="s">
        <v>4372</v>
      </c>
      <c r="AW77" s="177" t="str">
        <f>'Team 7'!F74</f>
        <v>Christopher</v>
      </c>
      <c r="AX77" s="177" t="str">
        <f>'Team 7'!G74</f>
        <v>Li Mow Ching</v>
      </c>
      <c r="AY77" s="175" t="str">
        <f t="shared" si="26"/>
        <v>Christopher Li Mow Ching</v>
      </c>
      <c r="AZ77" s="175"/>
      <c r="BA77" s="1104">
        <v>44</v>
      </c>
      <c r="BB77" s="1105" t="s">
        <v>4372</v>
      </c>
      <c r="BC77" s="177">
        <f>'Team 8'!F74</f>
        <v>0</v>
      </c>
      <c r="BD77" s="177">
        <f>'Team 8'!G74</f>
        <v>0</v>
      </c>
      <c r="BE77" s="175" t="str">
        <f t="shared" si="27"/>
        <v>0 0</v>
      </c>
      <c r="BF77" s="175"/>
      <c r="BG77" s="1104">
        <v>44</v>
      </c>
      <c r="BH77" s="1105" t="s">
        <v>4372</v>
      </c>
      <c r="BI77" s="177">
        <f>'Team 9'!F74</f>
        <v>0</v>
      </c>
      <c r="BJ77" s="177">
        <f>'Team 9'!G74</f>
        <v>0</v>
      </c>
      <c r="BK77" s="175" t="str">
        <f t="shared" si="28"/>
        <v>0 0</v>
      </c>
      <c r="BL77" s="175"/>
      <c r="BM77" s="1104">
        <v>44</v>
      </c>
      <c r="BN77" s="1105" t="s">
        <v>4372</v>
      </c>
      <c r="BO77" s="177">
        <f>'Team 10'!F74</f>
        <v>0</v>
      </c>
      <c r="BP77" s="177">
        <f>'Team 10'!G74</f>
        <v>0</v>
      </c>
      <c r="BQ77" s="175" t="str">
        <f t="shared" si="29"/>
        <v>0 0</v>
      </c>
      <c r="BR77" s="175"/>
      <c r="BS77" s="204" t="str">
        <f>CONCATENATE('Team 1'!$F74, " ",'Team 1'!$G74)</f>
        <v xml:space="preserve"> </v>
      </c>
      <c r="BT77" s="205" t="str">
        <f>CONCATENATE('Team 1'!$F75, " ",'Team 1'!$G75)</f>
        <v xml:space="preserve"> </v>
      </c>
    </row>
    <row r="78" spans="1:72" s="197" customFormat="1" ht="21" customHeight="1" x14ac:dyDescent="0.3">
      <c r="A78" s="192"/>
      <c r="B78" s="192"/>
      <c r="C78" s="192"/>
      <c r="D78" s="192"/>
      <c r="E78" s="192"/>
      <c r="F78" s="192"/>
      <c r="G78" s="192"/>
      <c r="H78" s="192"/>
      <c r="J78" s="203"/>
      <c r="K78" s="1104"/>
      <c r="L78" s="1105"/>
      <c r="M78" s="174">
        <f>'Team 1'!F75</f>
        <v>0</v>
      </c>
      <c r="N78" s="174">
        <f>'Team 1'!G75</f>
        <v>0</v>
      </c>
      <c r="O78" s="175" t="str">
        <f t="shared" si="20"/>
        <v>0 0</v>
      </c>
      <c r="P78" s="176"/>
      <c r="Q78" s="1104"/>
      <c r="R78" s="1105"/>
      <c r="S78" s="174" t="str">
        <f>'Team 2'!F75</f>
        <v>Kai Jun Wai</v>
      </c>
      <c r="T78" s="174" t="str">
        <f>'Team 2'!G75</f>
        <v>Cheung</v>
      </c>
      <c r="U78" s="175" t="str">
        <f t="shared" si="21"/>
        <v>Kai Jun Wai Cheung</v>
      </c>
      <c r="V78" s="175"/>
      <c r="W78" s="1104"/>
      <c r="X78" s="1105"/>
      <c r="Y78" s="174" t="str">
        <f>'Team 3'!F75</f>
        <v>Harry</v>
      </c>
      <c r="Z78" s="174" t="str">
        <f>'Team 3'!G75</f>
        <v>Lythgoe</v>
      </c>
      <c r="AA78" s="175" t="str">
        <f t="shared" si="22"/>
        <v>Harry Lythgoe</v>
      </c>
      <c r="AB78" s="175"/>
      <c r="AC78" s="1104"/>
      <c r="AD78" s="1105"/>
      <c r="AE78" s="174" t="str">
        <f>'Team 4'!F75</f>
        <v>JAMES</v>
      </c>
      <c r="AF78" s="174" t="str">
        <f>'Team 4'!G75</f>
        <v>MOHAMMED</v>
      </c>
      <c r="AG78" s="175" t="str">
        <f t="shared" si="23"/>
        <v>JAMES MOHAMMED</v>
      </c>
      <c r="AH78" s="174"/>
      <c r="AI78" s="1104"/>
      <c r="AJ78" s="1105"/>
      <c r="AK78" s="174" t="str">
        <f>'Team 5'!F75</f>
        <v>Braden</v>
      </c>
      <c r="AL78" s="174" t="str">
        <f>'Team 5'!G75</f>
        <v>Barnacle</v>
      </c>
      <c r="AM78" s="175" t="str">
        <f t="shared" si="24"/>
        <v>Braden Barnacle</v>
      </c>
      <c r="AN78" s="175"/>
      <c r="AO78" s="1104"/>
      <c r="AP78" s="1105"/>
      <c r="AQ78" s="177" t="str">
        <f>'Team 6'!F75</f>
        <v>Mikhail</v>
      </c>
      <c r="AR78" s="177" t="str">
        <f>'Team 6'!G75</f>
        <v>Fedorov</v>
      </c>
      <c r="AS78" s="175" t="str">
        <f t="shared" si="25"/>
        <v>Mikhail Fedorov</v>
      </c>
      <c r="AT78" s="175"/>
      <c r="AU78" s="1104"/>
      <c r="AV78" s="1105"/>
      <c r="AW78" s="177" t="str">
        <f>'Team 7'!F75</f>
        <v>Arush</v>
      </c>
      <c r="AX78" s="177" t="str">
        <f>'Team 7'!G75</f>
        <v>Agarwal</v>
      </c>
      <c r="AY78" s="175" t="str">
        <f t="shared" si="26"/>
        <v>Arush Agarwal</v>
      </c>
      <c r="AZ78" s="175"/>
      <c r="BA78" s="1104"/>
      <c r="BB78" s="1105"/>
      <c r="BC78" s="177">
        <f>'Team 8'!F75</f>
        <v>0</v>
      </c>
      <c r="BD78" s="177">
        <f>'Team 8'!G75</f>
        <v>0</v>
      </c>
      <c r="BE78" s="175" t="str">
        <f t="shared" si="27"/>
        <v>0 0</v>
      </c>
      <c r="BF78" s="175"/>
      <c r="BG78" s="1104"/>
      <c r="BH78" s="1105"/>
      <c r="BI78" s="177">
        <f>'Team 9'!F75</f>
        <v>0</v>
      </c>
      <c r="BJ78" s="177">
        <f>'Team 9'!G75</f>
        <v>0</v>
      </c>
      <c r="BK78" s="175" t="str">
        <f t="shared" si="28"/>
        <v>0 0</v>
      </c>
      <c r="BL78" s="175"/>
      <c r="BM78" s="1104"/>
      <c r="BN78" s="1105"/>
      <c r="BO78" s="177">
        <f>'Team 10'!F75</f>
        <v>0</v>
      </c>
      <c r="BP78" s="177">
        <f>'Team 10'!G75</f>
        <v>0</v>
      </c>
      <c r="BQ78" s="175" t="str">
        <f t="shared" si="29"/>
        <v>0 0</v>
      </c>
      <c r="BR78" s="175"/>
      <c r="BS78" s="204"/>
      <c r="BT78" s="205"/>
    </row>
    <row r="79" spans="1:72" s="197" customFormat="1" ht="21" customHeight="1" x14ac:dyDescent="0.3">
      <c r="A79" s="192"/>
      <c r="B79" s="192"/>
      <c r="C79" s="192"/>
      <c r="D79" s="192"/>
      <c r="E79" s="192"/>
      <c r="F79" s="192"/>
      <c r="G79" s="192"/>
      <c r="H79" s="192"/>
      <c r="J79" s="203"/>
      <c r="K79" s="1104"/>
      <c r="L79" s="1105"/>
      <c r="M79" s="174">
        <f>'Team 1'!F76</f>
        <v>0</v>
      </c>
      <c r="N79" s="174">
        <f>'Team 1'!G76</f>
        <v>0</v>
      </c>
      <c r="O79" s="175" t="str">
        <f t="shared" si="20"/>
        <v>0 0</v>
      </c>
      <c r="P79" s="176"/>
      <c r="Q79" s="1104"/>
      <c r="R79" s="1105"/>
      <c r="S79" s="174" t="str">
        <f>'Team 2'!F76</f>
        <v>Charlie</v>
      </c>
      <c r="T79" s="174" t="str">
        <f>'Team 2'!G76</f>
        <v>Pritchard</v>
      </c>
      <c r="U79" s="175" t="str">
        <f t="shared" si="21"/>
        <v>Charlie Pritchard</v>
      </c>
      <c r="V79" s="175"/>
      <c r="W79" s="1104"/>
      <c r="X79" s="1105"/>
      <c r="Y79" s="174" t="str">
        <f>'Team 3'!F76</f>
        <v>Maxwell</v>
      </c>
      <c r="Z79" s="174" t="str">
        <f>'Team 3'!G76</f>
        <v>Croft</v>
      </c>
      <c r="AA79" s="175" t="str">
        <f t="shared" si="22"/>
        <v>Maxwell Croft</v>
      </c>
      <c r="AB79" s="175"/>
      <c r="AC79" s="1104"/>
      <c r="AD79" s="1105"/>
      <c r="AE79" s="174" t="str">
        <f>'Team 4'!F76</f>
        <v>CHARLIE</v>
      </c>
      <c r="AF79" s="174" t="str">
        <f>'Team 4'!G76</f>
        <v>COJEEN</v>
      </c>
      <c r="AG79" s="175" t="str">
        <f t="shared" si="23"/>
        <v>CHARLIE COJEEN</v>
      </c>
      <c r="AH79" s="174"/>
      <c r="AI79" s="1104"/>
      <c r="AJ79" s="1105"/>
      <c r="AK79" s="174" t="str">
        <f>'Team 5'!F76</f>
        <v>Mohammed</v>
      </c>
      <c r="AL79" s="174" t="str">
        <f>'Team 5'!G76</f>
        <v>Malek</v>
      </c>
      <c r="AM79" s="175" t="str">
        <f t="shared" si="24"/>
        <v>Mohammed Malek</v>
      </c>
      <c r="AN79" s="175"/>
      <c r="AO79" s="1104"/>
      <c r="AP79" s="1105"/>
      <c r="AQ79" s="177" t="str">
        <f>'Team 6'!F76</f>
        <v>Aaron</v>
      </c>
      <c r="AR79" s="177" t="str">
        <f>'Team 6'!G76</f>
        <v>Lal</v>
      </c>
      <c r="AS79" s="175" t="str">
        <f t="shared" si="25"/>
        <v>Aaron Lal</v>
      </c>
      <c r="AT79" s="175"/>
      <c r="AU79" s="1104"/>
      <c r="AV79" s="1105"/>
      <c r="AW79" s="177" t="str">
        <f>'Team 7'!F76</f>
        <v>Jai</v>
      </c>
      <c r="AX79" s="177" t="str">
        <f>'Team 7'!G76</f>
        <v>Bhuwania</v>
      </c>
      <c r="AY79" s="175" t="str">
        <f t="shared" si="26"/>
        <v>Jai Bhuwania</v>
      </c>
      <c r="AZ79" s="175"/>
      <c r="BA79" s="1104"/>
      <c r="BB79" s="1105"/>
      <c r="BC79" s="177">
        <f>'Team 8'!F76</f>
        <v>0</v>
      </c>
      <c r="BD79" s="177">
        <f>'Team 8'!G76</f>
        <v>0</v>
      </c>
      <c r="BE79" s="175" t="str">
        <f t="shared" si="27"/>
        <v>0 0</v>
      </c>
      <c r="BF79" s="175"/>
      <c r="BG79" s="1104"/>
      <c r="BH79" s="1105"/>
      <c r="BI79" s="177">
        <f>'Team 9'!F76</f>
        <v>0</v>
      </c>
      <c r="BJ79" s="177">
        <f>'Team 9'!G76</f>
        <v>0</v>
      </c>
      <c r="BK79" s="175" t="str">
        <f t="shared" si="28"/>
        <v>0 0</v>
      </c>
      <c r="BL79" s="175"/>
      <c r="BM79" s="1104"/>
      <c r="BN79" s="1105"/>
      <c r="BO79" s="177">
        <f>'Team 10'!F76</f>
        <v>0</v>
      </c>
      <c r="BP79" s="177">
        <f>'Team 10'!G76</f>
        <v>0</v>
      </c>
      <c r="BQ79" s="175" t="str">
        <f t="shared" si="29"/>
        <v>0 0</v>
      </c>
      <c r="BR79" s="175"/>
      <c r="BS79" s="204"/>
      <c r="BT79" s="205"/>
    </row>
    <row r="80" spans="1:72" s="197" customFormat="1" ht="21" customHeight="1" x14ac:dyDescent="0.3">
      <c r="A80" s="192"/>
      <c r="B80" s="192"/>
      <c r="C80" s="192"/>
      <c r="D80" s="192"/>
      <c r="E80" s="192"/>
      <c r="F80" s="192"/>
      <c r="G80" s="192"/>
      <c r="H80" s="192"/>
      <c r="J80" s="203"/>
      <c r="K80" s="1104"/>
      <c r="L80" s="1105"/>
      <c r="M80" s="174">
        <f>'Team 1'!F77</f>
        <v>0</v>
      </c>
      <c r="N80" s="174">
        <f>'Team 1'!G77</f>
        <v>0</v>
      </c>
      <c r="O80" s="175" t="str">
        <f t="shared" si="20"/>
        <v>0 0</v>
      </c>
      <c r="P80" s="176"/>
      <c r="Q80" s="1104"/>
      <c r="R80" s="1105"/>
      <c r="S80" s="174" t="str">
        <f>'Team 2'!F77</f>
        <v>Alex</v>
      </c>
      <c r="T80" s="174" t="str">
        <f>'Team 2'!G77</f>
        <v>Cash</v>
      </c>
      <c r="U80" s="175" t="str">
        <f t="shared" si="21"/>
        <v>Alex Cash</v>
      </c>
      <c r="V80" s="175"/>
      <c r="W80" s="1104"/>
      <c r="X80" s="1105"/>
      <c r="Y80" s="174" t="str">
        <f>'Team 3'!F77</f>
        <v>Fabio</v>
      </c>
      <c r="Z80" s="174" t="str">
        <f>'Team 3'!G77</f>
        <v>Giambrone</v>
      </c>
      <c r="AA80" s="175" t="str">
        <f t="shared" si="22"/>
        <v>Fabio Giambrone</v>
      </c>
      <c r="AB80" s="175"/>
      <c r="AC80" s="1104"/>
      <c r="AD80" s="1105"/>
      <c r="AE80" s="174" t="str">
        <f>'Team 4'!F77</f>
        <v>SOLOMON</v>
      </c>
      <c r="AF80" s="174" t="str">
        <f>'Team 4'!G77</f>
        <v>HAWKES</v>
      </c>
      <c r="AG80" s="175" t="str">
        <f t="shared" si="23"/>
        <v>SOLOMON HAWKES</v>
      </c>
      <c r="AH80" s="174"/>
      <c r="AI80" s="1104"/>
      <c r="AJ80" s="1105"/>
      <c r="AK80" s="174" t="str">
        <f>'Team 5'!F77</f>
        <v>Hayden</v>
      </c>
      <c r="AL80" s="174" t="str">
        <f>'Team 5'!G77</f>
        <v>Whele</v>
      </c>
      <c r="AM80" s="175" t="str">
        <f t="shared" si="24"/>
        <v>Hayden Whele</v>
      </c>
      <c r="AN80" s="175"/>
      <c r="AO80" s="1104"/>
      <c r="AP80" s="1105"/>
      <c r="AQ80" s="177" t="str">
        <f>'Team 6'!F77</f>
        <v>Macsen</v>
      </c>
      <c r="AR80" s="177" t="str">
        <f>'Team 6'!G77</f>
        <v>Roberts</v>
      </c>
      <c r="AS80" s="175" t="str">
        <f t="shared" si="25"/>
        <v>Macsen Roberts</v>
      </c>
      <c r="AT80" s="175"/>
      <c r="AU80" s="1104"/>
      <c r="AV80" s="1105"/>
      <c r="AW80" s="177" t="str">
        <f>'Team 7'!F77</f>
        <v>Siddharth</v>
      </c>
      <c r="AX80" s="177" t="str">
        <f>'Team 7'!G77</f>
        <v>Kanjalkar</v>
      </c>
      <c r="AY80" s="175" t="str">
        <f t="shared" si="26"/>
        <v>Siddharth Kanjalkar</v>
      </c>
      <c r="AZ80" s="175"/>
      <c r="BA80" s="1104"/>
      <c r="BB80" s="1105"/>
      <c r="BC80" s="177">
        <f>'Team 8'!F77</f>
        <v>0</v>
      </c>
      <c r="BD80" s="177">
        <f>'Team 8'!G77</f>
        <v>0</v>
      </c>
      <c r="BE80" s="175" t="str">
        <f t="shared" si="27"/>
        <v>0 0</v>
      </c>
      <c r="BF80" s="175"/>
      <c r="BG80" s="1104"/>
      <c r="BH80" s="1105"/>
      <c r="BI80" s="177">
        <f>'Team 9'!F77</f>
        <v>0</v>
      </c>
      <c r="BJ80" s="177">
        <f>'Team 9'!G77</f>
        <v>0</v>
      </c>
      <c r="BK80" s="175" t="str">
        <f t="shared" si="28"/>
        <v>0 0</v>
      </c>
      <c r="BL80" s="175"/>
      <c r="BM80" s="1104"/>
      <c r="BN80" s="1105"/>
      <c r="BO80" s="177">
        <f>'Team 10'!F77</f>
        <v>0</v>
      </c>
      <c r="BP80" s="177">
        <f>'Team 10'!G77</f>
        <v>0</v>
      </c>
      <c r="BQ80" s="175" t="str">
        <f t="shared" si="29"/>
        <v>0 0</v>
      </c>
      <c r="BR80" s="175"/>
      <c r="BS80" s="204" t="str">
        <f>CONCATENATE('Team 1'!$F76, " ",'Team 1'!$G76)</f>
        <v xml:space="preserve"> </v>
      </c>
      <c r="BT80" s="205" t="str">
        <f>CONCATENATE('Team 1'!$F77, " ",'Team 1'!$G77)</f>
        <v xml:space="preserve"> </v>
      </c>
    </row>
    <row r="81" spans="1:72" s="197" customFormat="1" ht="21" customHeight="1" x14ac:dyDescent="0.3">
      <c r="A81" s="192"/>
      <c r="B81" s="192"/>
      <c r="C81" s="192"/>
      <c r="D81" s="192"/>
      <c r="E81" s="192"/>
      <c r="F81" s="192"/>
      <c r="G81" s="192"/>
      <c r="H81" s="192"/>
      <c r="J81" s="203"/>
      <c r="K81" s="1104">
        <v>45</v>
      </c>
      <c r="L81" s="1105" t="s">
        <v>4373</v>
      </c>
      <c r="M81" s="174" t="str">
        <f>'Team 1'!F78</f>
        <v>Edanur</v>
      </c>
      <c r="N81" s="174" t="str">
        <f>'Team 1'!G78</f>
        <v>Yigit</v>
      </c>
      <c r="O81" s="175" t="str">
        <f t="shared" si="20"/>
        <v>Edanur Yigit</v>
      </c>
      <c r="P81" s="176"/>
      <c r="Q81" s="1104">
        <v>45</v>
      </c>
      <c r="R81" s="1105" t="s">
        <v>4373</v>
      </c>
      <c r="S81" s="174" t="str">
        <f>'Team 2'!F78</f>
        <v>Gracie</v>
      </c>
      <c r="T81" s="174" t="str">
        <f>'Team 2'!G78</f>
        <v>Fleming-Jacobs</v>
      </c>
      <c r="U81" s="175" t="str">
        <f t="shared" si="21"/>
        <v>Gracie Fleming-Jacobs</v>
      </c>
      <c r="V81" s="175"/>
      <c r="W81" s="1104">
        <v>45</v>
      </c>
      <c r="X81" s="1105" t="s">
        <v>4373</v>
      </c>
      <c r="Y81" s="174" t="str">
        <f>'Team 3'!F78</f>
        <v>Olivia</v>
      </c>
      <c r="Z81" s="174" t="str">
        <f>'Team 3'!G78</f>
        <v>Croft</v>
      </c>
      <c r="AA81" s="175" t="str">
        <f t="shared" si="22"/>
        <v>Olivia Croft</v>
      </c>
      <c r="AB81" s="175"/>
      <c r="AC81" s="1104">
        <v>45</v>
      </c>
      <c r="AD81" s="1105" t="s">
        <v>4373</v>
      </c>
      <c r="AE81" s="174" t="str">
        <f>'Team 4'!F78</f>
        <v>ANNABELLA</v>
      </c>
      <c r="AF81" s="174" t="str">
        <f>'Team 4'!G78</f>
        <v>COJEEN</v>
      </c>
      <c r="AG81" s="175" t="str">
        <f t="shared" si="23"/>
        <v>ANNABELLA COJEEN</v>
      </c>
      <c r="AH81" s="174"/>
      <c r="AI81" s="1104">
        <v>45</v>
      </c>
      <c r="AJ81" s="1105" t="s">
        <v>4373</v>
      </c>
      <c r="AK81" s="174" t="str">
        <f>'Team 5'!F78</f>
        <v>Isabelle</v>
      </c>
      <c r="AL81" s="174" t="str">
        <f>'Team 5'!G78</f>
        <v>Reeve</v>
      </c>
      <c r="AM81" s="175" t="str">
        <f t="shared" si="24"/>
        <v>Isabelle Reeve</v>
      </c>
      <c r="AN81" s="175"/>
      <c r="AO81" s="1104">
        <v>45</v>
      </c>
      <c r="AP81" s="1105" t="s">
        <v>4373</v>
      </c>
      <c r="AQ81" s="177" t="str">
        <f>'Team 6'!F78</f>
        <v>Polina</v>
      </c>
      <c r="AR81" s="177" t="str">
        <f>'Team 6'!G78</f>
        <v>Fedorova</v>
      </c>
      <c r="AS81" s="175" t="str">
        <f t="shared" si="25"/>
        <v>Polina Fedorova</v>
      </c>
      <c r="AT81" s="175"/>
      <c r="AU81" s="1104">
        <v>45</v>
      </c>
      <c r="AV81" s="1105" t="s">
        <v>4373</v>
      </c>
      <c r="AW81" s="177" t="str">
        <f>'Team 7'!F78</f>
        <v>Vaari</v>
      </c>
      <c r="AX81" s="177" t="str">
        <f>'Team 7'!G78</f>
        <v>Mepani</v>
      </c>
      <c r="AY81" s="175" t="str">
        <f t="shared" si="26"/>
        <v>Vaari Mepani</v>
      </c>
      <c r="AZ81" s="175"/>
      <c r="BA81" s="1104">
        <v>45</v>
      </c>
      <c r="BB81" s="1105" t="s">
        <v>4373</v>
      </c>
      <c r="BC81" s="177">
        <f>'Team 8'!F78</f>
        <v>0</v>
      </c>
      <c r="BD81" s="177">
        <f>'Team 8'!G78</f>
        <v>0</v>
      </c>
      <c r="BE81" s="175" t="str">
        <f t="shared" si="27"/>
        <v>0 0</v>
      </c>
      <c r="BF81" s="175"/>
      <c r="BG81" s="1104">
        <v>45</v>
      </c>
      <c r="BH81" s="1105" t="s">
        <v>4373</v>
      </c>
      <c r="BI81" s="177">
        <f>'Team 9'!F78</f>
        <v>0</v>
      </c>
      <c r="BJ81" s="177">
        <f>'Team 9'!G78</f>
        <v>0</v>
      </c>
      <c r="BK81" s="175" t="str">
        <f t="shared" si="28"/>
        <v>0 0</v>
      </c>
      <c r="BL81" s="175"/>
      <c r="BM81" s="1104">
        <v>45</v>
      </c>
      <c r="BN81" s="1105" t="s">
        <v>4373</v>
      </c>
      <c r="BO81" s="177">
        <f>'Team 10'!F78</f>
        <v>0</v>
      </c>
      <c r="BP81" s="177">
        <f>'Team 10'!G78</f>
        <v>0</v>
      </c>
      <c r="BQ81" s="175" t="str">
        <f t="shared" si="29"/>
        <v>0 0</v>
      </c>
      <c r="BR81" s="175"/>
      <c r="BS81" s="204" t="str">
        <f>CONCATENATE('Team 1'!$F78, " ",'Team 1'!$G78)</f>
        <v>Edanur Yigit</v>
      </c>
      <c r="BT81" s="205" t="str">
        <f>CONCATENATE('Team 1'!$F79, " ",'Team 1'!$G79)</f>
        <v>Ane Pedraza-Eguia</v>
      </c>
    </row>
    <row r="82" spans="1:72" s="197" customFormat="1" ht="21" customHeight="1" x14ac:dyDescent="0.3">
      <c r="A82" s="192"/>
      <c r="B82" s="192"/>
      <c r="C82" s="192"/>
      <c r="D82" s="192"/>
      <c r="E82" s="192"/>
      <c r="F82" s="192"/>
      <c r="G82" s="192"/>
      <c r="H82" s="192"/>
      <c r="J82" s="203"/>
      <c r="K82" s="1104"/>
      <c r="L82" s="1105"/>
      <c r="M82" s="174" t="str">
        <f>'Team 1'!F79</f>
        <v>Ane</v>
      </c>
      <c r="N82" s="174" t="str">
        <f>'Team 1'!G79</f>
        <v>Pedraza-Eguia</v>
      </c>
      <c r="O82" s="175" t="str">
        <f t="shared" si="20"/>
        <v>Ane Pedraza-Eguia</v>
      </c>
      <c r="P82" s="176"/>
      <c r="Q82" s="1104"/>
      <c r="R82" s="1105"/>
      <c r="S82" s="174" t="str">
        <f>'Team 2'!F79</f>
        <v>Jasmin</v>
      </c>
      <c r="T82" s="174" t="str">
        <f>'Team 2'!G79</f>
        <v>Hunt</v>
      </c>
      <c r="U82" s="175" t="str">
        <f t="shared" si="21"/>
        <v>Jasmin Hunt</v>
      </c>
      <c r="V82" s="175"/>
      <c r="W82" s="1104"/>
      <c r="X82" s="1105"/>
      <c r="Y82" s="174" t="str">
        <f>'Team 3'!F79</f>
        <v>Niamh</v>
      </c>
      <c r="Z82" s="174" t="str">
        <f>'Team 3'!G79</f>
        <v>Holland</v>
      </c>
      <c r="AA82" s="175" t="str">
        <f t="shared" si="22"/>
        <v>Niamh Holland</v>
      </c>
      <c r="AB82" s="175"/>
      <c r="AC82" s="1104"/>
      <c r="AD82" s="1105"/>
      <c r="AE82" s="174" t="str">
        <f>'Team 4'!F79</f>
        <v>AVA</v>
      </c>
      <c r="AF82" s="174" t="str">
        <f>'Team 4'!G79</f>
        <v>IANNONE</v>
      </c>
      <c r="AG82" s="175" t="str">
        <f t="shared" si="23"/>
        <v>AVA IANNONE</v>
      </c>
      <c r="AH82" s="174"/>
      <c r="AI82" s="1104"/>
      <c r="AJ82" s="1105"/>
      <c r="AK82" s="174" t="str">
        <f>'Team 5'!F79</f>
        <v>Orlagh</v>
      </c>
      <c r="AL82" s="174" t="str">
        <f>'Team 5'!G79</f>
        <v>Northgrave</v>
      </c>
      <c r="AM82" s="175" t="str">
        <f t="shared" si="24"/>
        <v>Orlagh Northgrave</v>
      </c>
      <c r="AN82" s="175"/>
      <c r="AO82" s="1104"/>
      <c r="AP82" s="1105"/>
      <c r="AQ82" s="177" t="str">
        <f>'Team 6'!F79</f>
        <v>Emma</v>
      </c>
      <c r="AR82" s="177" t="str">
        <f>'Team 6'!G79</f>
        <v>Sum</v>
      </c>
      <c r="AS82" s="175" t="str">
        <f t="shared" si="25"/>
        <v>Emma Sum</v>
      </c>
      <c r="AT82" s="175"/>
      <c r="AU82" s="1104"/>
      <c r="AV82" s="1105"/>
      <c r="AW82" s="177" t="str">
        <f>'Team 7'!F79</f>
        <v>Eliza</v>
      </c>
      <c r="AX82" s="177" t="str">
        <f>'Team 7'!G79</f>
        <v>Mayor</v>
      </c>
      <c r="AY82" s="175" t="str">
        <f t="shared" si="26"/>
        <v>Eliza Mayor</v>
      </c>
      <c r="AZ82" s="175"/>
      <c r="BA82" s="1104"/>
      <c r="BB82" s="1105"/>
      <c r="BC82" s="177">
        <f>'Team 8'!F79</f>
        <v>0</v>
      </c>
      <c r="BD82" s="177">
        <f>'Team 8'!G79</f>
        <v>0</v>
      </c>
      <c r="BE82" s="175" t="str">
        <f t="shared" si="27"/>
        <v>0 0</v>
      </c>
      <c r="BF82" s="175"/>
      <c r="BG82" s="1104"/>
      <c r="BH82" s="1105"/>
      <c r="BI82" s="177">
        <f>'Team 9'!F79</f>
        <v>0</v>
      </c>
      <c r="BJ82" s="177">
        <f>'Team 9'!G79</f>
        <v>0</v>
      </c>
      <c r="BK82" s="175" t="str">
        <f t="shared" si="28"/>
        <v>0 0</v>
      </c>
      <c r="BL82" s="175"/>
      <c r="BM82" s="1104"/>
      <c r="BN82" s="1105"/>
      <c r="BO82" s="177">
        <f>'Team 10'!F79</f>
        <v>0</v>
      </c>
      <c r="BP82" s="177">
        <f>'Team 10'!G79</f>
        <v>0</v>
      </c>
      <c r="BQ82" s="175" t="str">
        <f t="shared" si="29"/>
        <v>0 0</v>
      </c>
      <c r="BR82" s="175"/>
      <c r="BS82" s="204"/>
      <c r="BT82" s="205"/>
    </row>
    <row r="83" spans="1:72" s="197" customFormat="1" ht="21" customHeight="1" x14ac:dyDescent="0.3">
      <c r="A83" s="192"/>
      <c r="B83" s="192"/>
      <c r="C83" s="192"/>
      <c r="D83" s="192"/>
      <c r="E83" s="192"/>
      <c r="F83" s="192"/>
      <c r="G83" s="192"/>
      <c r="H83" s="192"/>
      <c r="J83" s="203"/>
      <c r="K83" s="1104"/>
      <c r="L83" s="1105"/>
      <c r="M83" s="174" t="str">
        <f>'Team 1'!F80</f>
        <v>Maryla</v>
      </c>
      <c r="N83" s="174" t="str">
        <f>'Team 1'!G80</f>
        <v>Koslacz</v>
      </c>
      <c r="O83" s="175" t="str">
        <f t="shared" si="20"/>
        <v>Maryla Koslacz</v>
      </c>
      <c r="P83" s="176"/>
      <c r="Q83" s="1104"/>
      <c r="R83" s="1105"/>
      <c r="S83" s="174" t="str">
        <f>'Team 2'!F80</f>
        <v>Sophie</v>
      </c>
      <c r="T83" s="174" t="str">
        <f>'Team 2'!G80</f>
        <v>Heraty</v>
      </c>
      <c r="U83" s="175" t="str">
        <f t="shared" si="21"/>
        <v>Sophie Heraty</v>
      </c>
      <c r="V83" s="175"/>
      <c r="W83" s="1104"/>
      <c r="X83" s="1105"/>
      <c r="Y83" s="174" t="str">
        <f>'Team 3'!F80</f>
        <v>Mia</v>
      </c>
      <c r="Z83" s="174" t="str">
        <f>'Team 3'!G80</f>
        <v>Nelson</v>
      </c>
      <c r="AA83" s="175" t="str">
        <f t="shared" si="22"/>
        <v>Mia Nelson</v>
      </c>
      <c r="AB83" s="175"/>
      <c r="AC83" s="1104"/>
      <c r="AD83" s="1105"/>
      <c r="AE83" s="174" t="str">
        <f>'Team 4'!F80</f>
        <v>FRANCES</v>
      </c>
      <c r="AF83" s="174" t="str">
        <f>'Team 4'!G80</f>
        <v>STARSMORE</v>
      </c>
      <c r="AG83" s="175" t="str">
        <f t="shared" si="23"/>
        <v>FRANCES STARSMORE</v>
      </c>
      <c r="AH83" s="174"/>
      <c r="AI83" s="1104"/>
      <c r="AJ83" s="1105"/>
      <c r="AK83" s="174" t="str">
        <f>'Team 5'!F80</f>
        <v>Kayla</v>
      </c>
      <c r="AL83" s="174" t="str">
        <f>'Team 5'!G80</f>
        <v>Paxton</v>
      </c>
      <c r="AM83" s="175" t="str">
        <f t="shared" si="24"/>
        <v>Kayla Paxton</v>
      </c>
      <c r="AN83" s="175"/>
      <c r="AO83" s="1104"/>
      <c r="AP83" s="1105"/>
      <c r="AQ83" s="177" t="str">
        <f>'Team 6'!F80</f>
        <v>Mahika</v>
      </c>
      <c r="AR83" s="177" t="str">
        <f>'Team 6'!G80</f>
        <v>Chandrashekar</v>
      </c>
      <c r="AS83" s="175" t="str">
        <f t="shared" si="25"/>
        <v>Mahika Chandrashekar</v>
      </c>
      <c r="AT83" s="175"/>
      <c r="AU83" s="1104"/>
      <c r="AV83" s="1105"/>
      <c r="AW83" s="177" t="str">
        <f>'Team 7'!F80</f>
        <v>Maria</v>
      </c>
      <c r="AX83" s="177" t="str">
        <f>'Team 7'!G80</f>
        <v>Tzanidaki</v>
      </c>
      <c r="AY83" s="175" t="str">
        <f t="shared" si="26"/>
        <v>Maria Tzanidaki</v>
      </c>
      <c r="AZ83" s="175"/>
      <c r="BA83" s="1104"/>
      <c r="BB83" s="1105"/>
      <c r="BC83" s="177">
        <f>'Team 8'!F80</f>
        <v>0</v>
      </c>
      <c r="BD83" s="177">
        <f>'Team 8'!G80</f>
        <v>0</v>
      </c>
      <c r="BE83" s="175" t="str">
        <f t="shared" si="27"/>
        <v>0 0</v>
      </c>
      <c r="BF83" s="175"/>
      <c r="BG83" s="1104"/>
      <c r="BH83" s="1105"/>
      <c r="BI83" s="177">
        <f>'Team 9'!F80</f>
        <v>0</v>
      </c>
      <c r="BJ83" s="177">
        <f>'Team 9'!G80</f>
        <v>0</v>
      </c>
      <c r="BK83" s="175" t="str">
        <f t="shared" si="28"/>
        <v>0 0</v>
      </c>
      <c r="BL83" s="175"/>
      <c r="BM83" s="1104"/>
      <c r="BN83" s="1105"/>
      <c r="BO83" s="177">
        <f>'Team 10'!F80</f>
        <v>0</v>
      </c>
      <c r="BP83" s="177">
        <f>'Team 10'!G80</f>
        <v>0</v>
      </c>
      <c r="BQ83" s="175" t="str">
        <f t="shared" si="29"/>
        <v>0 0</v>
      </c>
      <c r="BR83" s="175"/>
      <c r="BS83" s="204"/>
      <c r="BT83" s="205"/>
    </row>
    <row r="84" spans="1:72" s="197" customFormat="1" ht="21" customHeight="1" x14ac:dyDescent="0.3">
      <c r="A84" s="192"/>
      <c r="B84" s="192"/>
      <c r="C84" s="192"/>
      <c r="D84" s="192"/>
      <c r="E84" s="192"/>
      <c r="F84" s="192"/>
      <c r="G84" s="192"/>
      <c r="H84" s="192"/>
      <c r="J84" s="203"/>
      <c r="K84" s="1104"/>
      <c r="L84" s="1105"/>
      <c r="M84" s="174" t="str">
        <f>'Team 1'!F81</f>
        <v>Amy</v>
      </c>
      <c r="N84" s="174" t="str">
        <f>'Team 1'!G81</f>
        <v>Hanson</v>
      </c>
      <c r="O84" s="175" t="str">
        <f t="shared" si="20"/>
        <v>Amy Hanson</v>
      </c>
      <c r="P84" s="176"/>
      <c r="Q84" s="1104"/>
      <c r="R84" s="1105"/>
      <c r="S84" s="174" t="str">
        <f>'Team 2'!F81</f>
        <v>Ruby</v>
      </c>
      <c r="T84" s="174" t="str">
        <f>'Team 2'!G81</f>
        <v>Whitby</v>
      </c>
      <c r="U84" s="175" t="str">
        <f t="shared" si="21"/>
        <v>Ruby Whitby</v>
      </c>
      <c r="V84" s="175"/>
      <c r="W84" s="1104"/>
      <c r="X84" s="1105"/>
      <c r="Y84" s="174" t="str">
        <f>'Team 3'!F81</f>
        <v>Maya</v>
      </c>
      <c r="Z84" s="174" t="str">
        <f>'Team 3'!G81</f>
        <v>Robu</v>
      </c>
      <c r="AA84" s="175" t="str">
        <f t="shared" si="22"/>
        <v>Maya Robu</v>
      </c>
      <c r="AB84" s="175"/>
      <c r="AC84" s="1104"/>
      <c r="AD84" s="1105"/>
      <c r="AE84" s="174" t="str">
        <f>'Team 4'!F81</f>
        <v>ISLA</v>
      </c>
      <c r="AF84" s="174" t="str">
        <f>'Team 4'!G81</f>
        <v>MOHAMMED</v>
      </c>
      <c r="AG84" s="175" t="str">
        <f t="shared" si="23"/>
        <v>ISLA MOHAMMED</v>
      </c>
      <c r="AH84" s="174"/>
      <c r="AI84" s="1104"/>
      <c r="AJ84" s="1105"/>
      <c r="AK84" s="174" t="str">
        <f>'Team 5'!F81</f>
        <v>Aimee</v>
      </c>
      <c r="AL84" s="174" t="str">
        <f>'Team 5'!G81</f>
        <v>Baker</v>
      </c>
      <c r="AM84" s="175" t="str">
        <f t="shared" si="24"/>
        <v>Aimee Baker</v>
      </c>
      <c r="AN84" s="175"/>
      <c r="AO84" s="1104"/>
      <c r="AP84" s="1105"/>
      <c r="AQ84" s="177" t="str">
        <f>'Team 6'!F81</f>
        <v>Miraya</v>
      </c>
      <c r="AR84" s="177" t="str">
        <f>'Team 6'!G81</f>
        <v>Patel</v>
      </c>
      <c r="AS84" s="175" t="str">
        <f t="shared" si="25"/>
        <v>Miraya Patel</v>
      </c>
      <c r="AT84" s="175"/>
      <c r="AU84" s="1104"/>
      <c r="AV84" s="1105"/>
      <c r="AW84" s="177" t="str">
        <f>'Team 7'!F81</f>
        <v>Mia</v>
      </c>
      <c r="AX84" s="177" t="str">
        <f>'Team 7'!G81</f>
        <v>Curle</v>
      </c>
      <c r="AY84" s="175" t="str">
        <f t="shared" si="26"/>
        <v>Mia Curle</v>
      </c>
      <c r="AZ84" s="175"/>
      <c r="BA84" s="1104"/>
      <c r="BB84" s="1105"/>
      <c r="BC84" s="177">
        <f>'Team 8'!F81</f>
        <v>0</v>
      </c>
      <c r="BD84" s="177">
        <f>'Team 8'!G81</f>
        <v>0</v>
      </c>
      <c r="BE84" s="175" t="str">
        <f t="shared" si="27"/>
        <v>0 0</v>
      </c>
      <c r="BF84" s="175"/>
      <c r="BG84" s="1104"/>
      <c r="BH84" s="1105"/>
      <c r="BI84" s="177">
        <f>'Team 9'!F81</f>
        <v>0</v>
      </c>
      <c r="BJ84" s="177">
        <f>'Team 9'!G81</f>
        <v>0</v>
      </c>
      <c r="BK84" s="175" t="str">
        <f t="shared" si="28"/>
        <v>0 0</v>
      </c>
      <c r="BL84" s="175"/>
      <c r="BM84" s="1104"/>
      <c r="BN84" s="1105"/>
      <c r="BO84" s="177">
        <f>'Team 10'!F81</f>
        <v>0</v>
      </c>
      <c r="BP84" s="177">
        <f>'Team 10'!G81</f>
        <v>0</v>
      </c>
      <c r="BQ84" s="175" t="str">
        <f t="shared" si="29"/>
        <v>0 0</v>
      </c>
      <c r="BR84" s="175"/>
      <c r="BS84" s="204" t="str">
        <f>CONCATENATE('Team 1'!$F80, " ",'Team 1'!$G80)</f>
        <v>Maryla Koslacz</v>
      </c>
      <c r="BT84" s="205" t="str">
        <f>CONCATENATE('Team 1'!$F81, " ",'Team 1'!$G81)</f>
        <v>Amy Hanson</v>
      </c>
    </row>
    <row r="85" spans="1:72" s="197" customFormat="1" ht="21" customHeight="1" x14ac:dyDescent="0.3">
      <c r="A85" s="192"/>
      <c r="B85" s="192"/>
      <c r="C85" s="192"/>
      <c r="D85" s="192"/>
      <c r="E85" s="192"/>
      <c r="F85" s="192"/>
      <c r="G85" s="192"/>
      <c r="H85" s="192"/>
      <c r="J85" s="203"/>
      <c r="K85" s="1104">
        <v>46</v>
      </c>
      <c r="L85" s="1105" t="s">
        <v>4374</v>
      </c>
      <c r="M85" s="174" t="str">
        <f>'Team 1'!F82</f>
        <v>Ned Peter</v>
      </c>
      <c r="N85" s="174" t="str">
        <f>'Team 1'!G82</f>
        <v>Andrews</v>
      </c>
      <c r="O85" s="175" t="str">
        <f t="shared" si="20"/>
        <v>Ned Peter Andrews</v>
      </c>
      <c r="P85" s="176"/>
      <c r="Q85" s="1104">
        <v>46</v>
      </c>
      <c r="R85" s="1105" t="s">
        <v>4374</v>
      </c>
      <c r="S85" s="174" t="str">
        <f>'Team 2'!F82</f>
        <v>Oliver</v>
      </c>
      <c r="T85" s="174" t="str">
        <f>'Team 2'!G82</f>
        <v>Tubridy</v>
      </c>
      <c r="U85" s="175" t="str">
        <f t="shared" si="21"/>
        <v>Oliver Tubridy</v>
      </c>
      <c r="V85" s="175"/>
      <c r="W85" s="1104">
        <v>46</v>
      </c>
      <c r="X85" s="1105" t="s">
        <v>4374</v>
      </c>
      <c r="Y85" s="174" t="str">
        <f>'Team 3'!F82</f>
        <v>Mikhail</v>
      </c>
      <c r="Z85" s="174" t="str">
        <f>'Team 3'!G82</f>
        <v>Zharinov</v>
      </c>
      <c r="AA85" s="175" t="str">
        <f t="shared" si="22"/>
        <v>Mikhail Zharinov</v>
      </c>
      <c r="AB85" s="175"/>
      <c r="AC85" s="1104">
        <v>46</v>
      </c>
      <c r="AD85" s="1105" t="s">
        <v>4374</v>
      </c>
      <c r="AE85" s="174" t="str">
        <f>'Team 4'!F82</f>
        <v>RILEY</v>
      </c>
      <c r="AF85" s="174" t="str">
        <f>'Team 4'!G82</f>
        <v>BUNCE</v>
      </c>
      <c r="AG85" s="175" t="str">
        <f t="shared" si="23"/>
        <v>RILEY BUNCE</v>
      </c>
      <c r="AH85" s="174"/>
      <c r="AI85" s="1104">
        <v>46</v>
      </c>
      <c r="AJ85" s="1105" t="s">
        <v>4374</v>
      </c>
      <c r="AK85" s="174" t="str">
        <f>'Team 5'!F82</f>
        <v>Bradley</v>
      </c>
      <c r="AL85" s="174" t="str">
        <f>'Team 5'!G82</f>
        <v>Rawlinson</v>
      </c>
      <c r="AM85" s="175" t="str">
        <f t="shared" si="24"/>
        <v>Bradley Rawlinson</v>
      </c>
      <c r="AN85" s="175"/>
      <c r="AO85" s="1104">
        <v>46</v>
      </c>
      <c r="AP85" s="1105" t="s">
        <v>4374</v>
      </c>
      <c r="AQ85" s="177" t="str">
        <f>'Team 6'!F82</f>
        <v>Petros</v>
      </c>
      <c r="AR85" s="177" t="str">
        <f>'Team 6'!G82</f>
        <v>Soteriou</v>
      </c>
      <c r="AS85" s="175" t="str">
        <f t="shared" si="25"/>
        <v>Petros Soteriou</v>
      </c>
      <c r="AT85" s="175"/>
      <c r="AU85" s="1104">
        <v>46</v>
      </c>
      <c r="AV85" s="1105" t="s">
        <v>4374</v>
      </c>
      <c r="AW85" s="177" t="str">
        <f>'Team 7'!F82</f>
        <v>Daniel</v>
      </c>
      <c r="AX85" s="177" t="str">
        <f>'Team 7'!G82</f>
        <v>Celi</v>
      </c>
      <c r="AY85" s="175" t="str">
        <f t="shared" si="26"/>
        <v>Daniel Celi</v>
      </c>
      <c r="AZ85" s="175"/>
      <c r="BA85" s="1104">
        <v>46</v>
      </c>
      <c r="BB85" s="1105" t="s">
        <v>4374</v>
      </c>
      <c r="BC85" s="177">
        <f>'Team 8'!F82</f>
        <v>0</v>
      </c>
      <c r="BD85" s="177">
        <f>'Team 8'!G82</f>
        <v>0</v>
      </c>
      <c r="BE85" s="175" t="str">
        <f t="shared" si="27"/>
        <v>0 0</v>
      </c>
      <c r="BF85" s="175"/>
      <c r="BG85" s="1104">
        <v>46</v>
      </c>
      <c r="BH85" s="1105" t="s">
        <v>4374</v>
      </c>
      <c r="BI85" s="177">
        <f>'Team 9'!F82</f>
        <v>0</v>
      </c>
      <c r="BJ85" s="177">
        <f>'Team 9'!G82</f>
        <v>0</v>
      </c>
      <c r="BK85" s="175" t="str">
        <f t="shared" si="28"/>
        <v>0 0</v>
      </c>
      <c r="BL85" s="175"/>
      <c r="BM85" s="1104">
        <v>46</v>
      </c>
      <c r="BN85" s="1105" t="s">
        <v>4374</v>
      </c>
      <c r="BO85" s="177">
        <f>'Team 10'!F82</f>
        <v>0</v>
      </c>
      <c r="BP85" s="177">
        <f>'Team 10'!G82</f>
        <v>0</v>
      </c>
      <c r="BQ85" s="175" t="str">
        <f t="shared" si="29"/>
        <v>0 0</v>
      </c>
      <c r="BR85" s="175"/>
      <c r="BS85" s="204" t="str">
        <f>CONCATENATE('Team 1'!$F82, " ",'Team 1'!$G82)</f>
        <v>Ned Peter Andrews</v>
      </c>
      <c r="BT85" s="205" t="str">
        <f>CONCATENATE('Team 1'!$F83, " ",'Team 1'!$G83)</f>
        <v>Albert Nezha</v>
      </c>
    </row>
    <row r="86" spans="1:72" s="197" customFormat="1" ht="21" customHeight="1" x14ac:dyDescent="0.3">
      <c r="A86" s="192"/>
      <c r="B86" s="192"/>
      <c r="C86" s="192"/>
      <c r="D86" s="192"/>
      <c r="E86" s="192"/>
      <c r="F86" s="192"/>
      <c r="G86" s="192"/>
      <c r="H86" s="192"/>
      <c r="J86" s="203"/>
      <c r="K86" s="1104"/>
      <c r="L86" s="1105"/>
      <c r="M86" s="174" t="str">
        <f>'Team 1'!F83</f>
        <v>Albert</v>
      </c>
      <c r="N86" s="174" t="str">
        <f>'Team 1'!G83</f>
        <v>Nezha</v>
      </c>
      <c r="O86" s="175" t="str">
        <f t="shared" si="20"/>
        <v>Albert Nezha</v>
      </c>
      <c r="P86" s="176"/>
      <c r="Q86" s="1104"/>
      <c r="R86" s="1105"/>
      <c r="S86" s="174" t="str">
        <f>'Team 2'!F83</f>
        <v>Alex</v>
      </c>
      <c r="T86" s="174" t="str">
        <f>'Team 2'!G83</f>
        <v>Cash</v>
      </c>
      <c r="U86" s="175" t="str">
        <f t="shared" si="21"/>
        <v>Alex Cash</v>
      </c>
      <c r="V86" s="175"/>
      <c r="W86" s="1104"/>
      <c r="X86" s="1105"/>
      <c r="Y86" s="174" t="str">
        <f>'Team 3'!F83</f>
        <v>Ewan</v>
      </c>
      <c r="Z86" s="174" t="str">
        <f>'Team 3'!G83</f>
        <v>Thompson</v>
      </c>
      <c r="AA86" s="175" t="str">
        <f t="shared" si="22"/>
        <v>Ewan Thompson</v>
      </c>
      <c r="AB86" s="175"/>
      <c r="AC86" s="1104"/>
      <c r="AD86" s="1105"/>
      <c r="AE86" s="174" t="str">
        <f>'Team 4'!F83</f>
        <v>SAMUEL</v>
      </c>
      <c r="AF86" s="174" t="str">
        <f>'Team 4'!G83</f>
        <v>ROSA</v>
      </c>
      <c r="AG86" s="175" t="str">
        <f t="shared" si="23"/>
        <v>SAMUEL ROSA</v>
      </c>
      <c r="AH86" s="174"/>
      <c r="AI86" s="1104"/>
      <c r="AJ86" s="1105"/>
      <c r="AK86" s="174" t="str">
        <f>'Team 5'!F83</f>
        <v>Benjamin</v>
      </c>
      <c r="AL86" s="174" t="str">
        <f>'Team 5'!G83</f>
        <v>Holland</v>
      </c>
      <c r="AM86" s="175" t="str">
        <f t="shared" si="24"/>
        <v>Benjamin Holland</v>
      </c>
      <c r="AN86" s="175"/>
      <c r="AO86" s="1104"/>
      <c r="AP86" s="1105"/>
      <c r="AQ86" s="177" t="str">
        <f>'Team 6'!F83</f>
        <v>Gert</v>
      </c>
      <c r="AR86" s="177" t="str">
        <f>'Team 6'!G83</f>
        <v>Zeqiri</v>
      </c>
      <c r="AS86" s="175" t="str">
        <f t="shared" si="25"/>
        <v>Gert Zeqiri</v>
      </c>
      <c r="AT86" s="175"/>
      <c r="AU86" s="1104"/>
      <c r="AV86" s="1105"/>
      <c r="AW86" s="177" t="str">
        <f>'Team 7'!F83</f>
        <v>Nikhil</v>
      </c>
      <c r="AX86" s="177" t="str">
        <f>'Team 7'!G83</f>
        <v>Dawett</v>
      </c>
      <c r="AY86" s="175" t="str">
        <f t="shared" si="26"/>
        <v>Nikhil Dawett</v>
      </c>
      <c r="AZ86" s="175"/>
      <c r="BA86" s="1104"/>
      <c r="BB86" s="1105"/>
      <c r="BC86" s="177">
        <f>'Team 8'!F83</f>
        <v>0</v>
      </c>
      <c r="BD86" s="177">
        <f>'Team 8'!G83</f>
        <v>0</v>
      </c>
      <c r="BE86" s="175" t="str">
        <f t="shared" si="27"/>
        <v>0 0</v>
      </c>
      <c r="BF86" s="175"/>
      <c r="BG86" s="1104"/>
      <c r="BH86" s="1105"/>
      <c r="BI86" s="177">
        <f>'Team 9'!F83</f>
        <v>0</v>
      </c>
      <c r="BJ86" s="177">
        <f>'Team 9'!G83</f>
        <v>0</v>
      </c>
      <c r="BK86" s="175" t="str">
        <f t="shared" si="28"/>
        <v>0 0</v>
      </c>
      <c r="BL86" s="175"/>
      <c r="BM86" s="1104"/>
      <c r="BN86" s="1105"/>
      <c r="BO86" s="177">
        <f>'Team 10'!F83</f>
        <v>0</v>
      </c>
      <c r="BP86" s="177">
        <f>'Team 10'!G83</f>
        <v>0</v>
      </c>
      <c r="BQ86" s="175" t="str">
        <f t="shared" si="29"/>
        <v>0 0</v>
      </c>
      <c r="BR86" s="175"/>
      <c r="BS86" s="204"/>
      <c r="BT86" s="205"/>
    </row>
    <row r="87" spans="1:72" s="197" customFormat="1" ht="21" customHeight="1" x14ac:dyDescent="0.3">
      <c r="A87" s="192"/>
      <c r="B87" s="192"/>
      <c r="C87" s="192"/>
      <c r="D87" s="192"/>
      <c r="E87" s="192"/>
      <c r="F87" s="192"/>
      <c r="G87" s="192"/>
      <c r="H87" s="192"/>
      <c r="J87" s="203"/>
      <c r="K87" s="1104"/>
      <c r="L87" s="1105"/>
      <c r="M87" s="174" t="str">
        <f>'Team 1'!F84</f>
        <v>Zente</v>
      </c>
      <c r="N87" s="174" t="str">
        <f>'Team 1'!G84</f>
        <v>Buzsik</v>
      </c>
      <c r="O87" s="175" t="str">
        <f t="shared" si="20"/>
        <v>Zente Buzsik</v>
      </c>
      <c r="P87" s="176"/>
      <c r="Q87" s="1104"/>
      <c r="R87" s="1105"/>
      <c r="S87" s="174" t="str">
        <f>'Team 2'!F84</f>
        <v>Joseph</v>
      </c>
      <c r="T87" s="174" t="str">
        <f>'Team 2'!G84</f>
        <v>Bagshaw</v>
      </c>
      <c r="U87" s="175" t="str">
        <f t="shared" si="21"/>
        <v>Joseph Bagshaw</v>
      </c>
      <c r="V87" s="175"/>
      <c r="W87" s="1104"/>
      <c r="X87" s="1105"/>
      <c r="Y87" s="174" t="str">
        <f>'Team 3'!F84</f>
        <v>Luigi</v>
      </c>
      <c r="Z87" s="174" t="str">
        <f>'Team 3'!G84</f>
        <v>Giambrone</v>
      </c>
      <c r="AA87" s="175" t="str">
        <f t="shared" si="22"/>
        <v>Luigi Giambrone</v>
      </c>
      <c r="AB87" s="175"/>
      <c r="AC87" s="1104"/>
      <c r="AD87" s="1105"/>
      <c r="AE87" s="174" t="str">
        <f>'Team 4'!F84</f>
        <v>JAMES</v>
      </c>
      <c r="AF87" s="174" t="str">
        <f>'Team 4'!G84</f>
        <v>MOHAMMED</v>
      </c>
      <c r="AG87" s="175" t="str">
        <f t="shared" si="23"/>
        <v>JAMES MOHAMMED</v>
      </c>
      <c r="AH87" s="174"/>
      <c r="AI87" s="1104"/>
      <c r="AJ87" s="1105"/>
      <c r="AK87" s="174" t="str">
        <f>'Team 5'!F84</f>
        <v>Liam</v>
      </c>
      <c r="AL87" s="174" t="str">
        <f>'Team 5'!G84</f>
        <v>Hurst</v>
      </c>
      <c r="AM87" s="175" t="str">
        <f t="shared" si="24"/>
        <v>Liam Hurst</v>
      </c>
      <c r="AN87" s="175"/>
      <c r="AO87" s="1104"/>
      <c r="AP87" s="1105"/>
      <c r="AQ87" s="177" t="str">
        <f>'Team 6'!F84</f>
        <v xml:space="preserve">Cosmin Ioan </v>
      </c>
      <c r="AR87" s="177" t="str">
        <f>'Team 6'!G84</f>
        <v>Iojan</v>
      </c>
      <c r="AS87" s="175" t="str">
        <f t="shared" si="25"/>
        <v>Cosmin Ioan  Iojan</v>
      </c>
      <c r="AT87" s="175"/>
      <c r="AU87" s="1104"/>
      <c r="AV87" s="1105"/>
      <c r="AW87" s="177" t="str">
        <f>'Team 7'!F84</f>
        <v>Advay</v>
      </c>
      <c r="AX87" s="177" t="str">
        <f>'Team 7'!G84</f>
        <v>Bhatia</v>
      </c>
      <c r="AY87" s="175" t="str">
        <f t="shared" si="26"/>
        <v>Advay Bhatia</v>
      </c>
      <c r="AZ87" s="175"/>
      <c r="BA87" s="1104"/>
      <c r="BB87" s="1105"/>
      <c r="BC87" s="177">
        <f>'Team 8'!F84</f>
        <v>0</v>
      </c>
      <c r="BD87" s="177">
        <f>'Team 8'!G84</f>
        <v>0</v>
      </c>
      <c r="BE87" s="175" t="str">
        <f t="shared" si="27"/>
        <v>0 0</v>
      </c>
      <c r="BF87" s="175"/>
      <c r="BG87" s="1104"/>
      <c r="BH87" s="1105"/>
      <c r="BI87" s="177">
        <f>'Team 9'!F84</f>
        <v>0</v>
      </c>
      <c r="BJ87" s="177">
        <f>'Team 9'!G84</f>
        <v>0</v>
      </c>
      <c r="BK87" s="175" t="str">
        <f t="shared" si="28"/>
        <v>0 0</v>
      </c>
      <c r="BL87" s="175"/>
      <c r="BM87" s="1104"/>
      <c r="BN87" s="1105"/>
      <c r="BO87" s="177">
        <f>'Team 10'!F84</f>
        <v>0</v>
      </c>
      <c r="BP87" s="177">
        <f>'Team 10'!G84</f>
        <v>0</v>
      </c>
      <c r="BQ87" s="175" t="str">
        <f t="shared" si="29"/>
        <v>0 0</v>
      </c>
      <c r="BR87" s="175"/>
      <c r="BS87" s="204"/>
      <c r="BT87" s="205"/>
    </row>
    <row r="88" spans="1:72" s="197" customFormat="1" ht="21" customHeight="1" x14ac:dyDescent="0.3">
      <c r="A88" s="192"/>
      <c r="B88" s="192"/>
      <c r="C88" s="192"/>
      <c r="D88" s="192"/>
      <c r="E88" s="192"/>
      <c r="F88" s="192"/>
      <c r="G88" s="192"/>
      <c r="H88" s="192"/>
      <c r="J88" s="203"/>
      <c r="K88" s="1104"/>
      <c r="L88" s="1105"/>
      <c r="M88" s="174" t="str">
        <f>'Team 1'!F85</f>
        <v>Yigit</v>
      </c>
      <c r="N88" s="174" t="str">
        <f>'Team 1'!G85</f>
        <v>Ilhan</v>
      </c>
      <c r="O88" s="175" t="str">
        <f t="shared" si="20"/>
        <v>Yigit Ilhan</v>
      </c>
      <c r="P88" s="176"/>
      <c r="Q88" s="1104"/>
      <c r="R88" s="1105"/>
      <c r="S88" s="174" t="str">
        <f>'Team 2'!F85</f>
        <v>Charlie</v>
      </c>
      <c r="T88" s="174" t="str">
        <f>'Team 2'!G85</f>
        <v>Pritchard</v>
      </c>
      <c r="U88" s="175" t="str">
        <f t="shared" si="21"/>
        <v>Charlie Pritchard</v>
      </c>
      <c r="V88" s="175"/>
      <c r="W88" s="1104"/>
      <c r="X88" s="1105"/>
      <c r="Y88" s="174" t="str">
        <f>'Team 3'!F85</f>
        <v>Ryan</v>
      </c>
      <c r="Z88" s="174" t="str">
        <f>'Team 3'!G85</f>
        <v>Wimpenny</v>
      </c>
      <c r="AA88" s="175" t="str">
        <f t="shared" si="22"/>
        <v>Ryan Wimpenny</v>
      </c>
      <c r="AB88" s="175"/>
      <c r="AC88" s="1104"/>
      <c r="AD88" s="1105"/>
      <c r="AE88" s="174" t="str">
        <f>'Team 4'!F85</f>
        <v>ROWAN</v>
      </c>
      <c r="AF88" s="174" t="str">
        <f>'Team 4'!G85</f>
        <v>FULLER</v>
      </c>
      <c r="AG88" s="175" t="str">
        <f t="shared" si="23"/>
        <v>ROWAN FULLER</v>
      </c>
      <c r="AH88" s="174"/>
      <c r="AI88" s="1104"/>
      <c r="AJ88" s="1105"/>
      <c r="AK88" s="174" t="str">
        <f>'Team 5'!F85</f>
        <v>Poyraz</v>
      </c>
      <c r="AL88" s="174" t="str">
        <f>'Team 5'!G85</f>
        <v>Akbiyik</v>
      </c>
      <c r="AM88" s="175" t="str">
        <f t="shared" si="24"/>
        <v>Poyraz Akbiyik</v>
      </c>
      <c r="AN88" s="175"/>
      <c r="AO88" s="1104"/>
      <c r="AP88" s="1105"/>
      <c r="AQ88" s="177" t="str">
        <f>'Team 6'!F85</f>
        <v>Dragos</v>
      </c>
      <c r="AR88" s="177" t="str">
        <f>'Team 6'!G85</f>
        <v>Musteate</v>
      </c>
      <c r="AS88" s="175" t="str">
        <f t="shared" si="25"/>
        <v>Dragos Musteate</v>
      </c>
      <c r="AT88" s="175"/>
      <c r="AU88" s="1104"/>
      <c r="AV88" s="1105"/>
      <c r="AW88" s="177" t="str">
        <f>'Team 7'!F85</f>
        <v>Bruno</v>
      </c>
      <c r="AX88" s="177" t="str">
        <f>'Team 7'!G85</f>
        <v>Francisco</v>
      </c>
      <c r="AY88" s="175" t="str">
        <f t="shared" si="26"/>
        <v>Bruno Francisco</v>
      </c>
      <c r="AZ88" s="175"/>
      <c r="BA88" s="1104"/>
      <c r="BB88" s="1105"/>
      <c r="BC88" s="177">
        <f>'Team 8'!F85</f>
        <v>0</v>
      </c>
      <c r="BD88" s="177">
        <f>'Team 8'!G85</f>
        <v>0</v>
      </c>
      <c r="BE88" s="175" t="str">
        <f t="shared" si="27"/>
        <v>0 0</v>
      </c>
      <c r="BF88" s="175"/>
      <c r="BG88" s="1104"/>
      <c r="BH88" s="1105"/>
      <c r="BI88" s="177">
        <f>'Team 9'!F85</f>
        <v>0</v>
      </c>
      <c r="BJ88" s="177">
        <f>'Team 9'!G85</f>
        <v>0</v>
      </c>
      <c r="BK88" s="175" t="str">
        <f t="shared" si="28"/>
        <v>0 0</v>
      </c>
      <c r="BL88" s="175"/>
      <c r="BM88" s="1104"/>
      <c r="BN88" s="1105"/>
      <c r="BO88" s="177">
        <f>'Team 10'!F85</f>
        <v>0</v>
      </c>
      <c r="BP88" s="177">
        <f>'Team 10'!G85</f>
        <v>0</v>
      </c>
      <c r="BQ88" s="175" t="str">
        <f t="shared" si="29"/>
        <v>0 0</v>
      </c>
      <c r="BR88" s="175"/>
      <c r="BS88" s="204" t="str">
        <f>CONCATENATE('Team 1'!$F84, " ",'Team 1'!$G84)</f>
        <v>Zente Buzsik</v>
      </c>
      <c r="BT88" s="205" t="str">
        <f>CONCATENATE('Team 1'!$F85, " ",'Team 1'!$G85)</f>
        <v>Yigit Ilhan</v>
      </c>
    </row>
    <row r="89" spans="1:72" s="197" customFormat="1" ht="21" customHeight="1" x14ac:dyDescent="0.3">
      <c r="A89" s="192"/>
      <c r="B89" s="192"/>
      <c r="C89" s="192"/>
      <c r="D89" s="192"/>
      <c r="E89" s="192"/>
      <c r="F89" s="192"/>
      <c r="G89" s="192"/>
      <c r="H89" s="192"/>
      <c r="J89" s="203"/>
      <c r="K89" s="1104">
        <v>47</v>
      </c>
      <c r="L89" s="1105" t="s">
        <v>4375</v>
      </c>
      <c r="M89" s="174" t="str">
        <f>'Team 1'!F86</f>
        <v>Shreya</v>
      </c>
      <c r="N89" s="174" t="str">
        <f>'Team 1'!G86</f>
        <v>Bavishi</v>
      </c>
      <c r="O89" s="175" t="str">
        <f t="shared" si="20"/>
        <v>Shreya Bavishi</v>
      </c>
      <c r="P89" s="176"/>
      <c r="Q89" s="1104">
        <v>47</v>
      </c>
      <c r="R89" s="1105" t="s">
        <v>4375</v>
      </c>
      <c r="S89" s="174" t="str">
        <f>'Team 2'!F86</f>
        <v>Daisy</v>
      </c>
      <c r="T89" s="174" t="str">
        <f>'Team 2'!G86</f>
        <v>Harradine</v>
      </c>
      <c r="U89" s="175" t="str">
        <f t="shared" si="21"/>
        <v>Daisy Harradine</v>
      </c>
      <c r="V89" s="175"/>
      <c r="W89" s="1104">
        <v>47</v>
      </c>
      <c r="X89" s="1105" t="s">
        <v>4375</v>
      </c>
      <c r="Y89" s="174" t="str">
        <f>'Team 3'!F86</f>
        <v>Jessica</v>
      </c>
      <c r="Z89" s="174" t="str">
        <f>'Team 3'!G86</f>
        <v>MacKenzie</v>
      </c>
      <c r="AA89" s="175" t="str">
        <f t="shared" si="22"/>
        <v>Jessica MacKenzie</v>
      </c>
      <c r="AB89" s="175"/>
      <c r="AC89" s="1104">
        <v>47</v>
      </c>
      <c r="AD89" s="1105" t="s">
        <v>4375</v>
      </c>
      <c r="AE89" s="174" t="str">
        <f>'Team 4'!F86</f>
        <v>MEGAN</v>
      </c>
      <c r="AF89" s="174" t="str">
        <f>'Team 4'!G86</f>
        <v>JOHNSON</v>
      </c>
      <c r="AG89" s="175" t="str">
        <f t="shared" si="23"/>
        <v>MEGAN JOHNSON</v>
      </c>
      <c r="AH89" s="174"/>
      <c r="AI89" s="1104">
        <v>47</v>
      </c>
      <c r="AJ89" s="1105" t="s">
        <v>4375</v>
      </c>
      <c r="AK89" s="174" t="str">
        <f>'Team 5'!F86</f>
        <v>Hollie</v>
      </c>
      <c r="AL89" s="174" t="str">
        <f>'Team 5'!G86</f>
        <v>Heighes</v>
      </c>
      <c r="AM89" s="175" t="str">
        <f t="shared" si="24"/>
        <v>Hollie Heighes</v>
      </c>
      <c r="AN89" s="175"/>
      <c r="AO89" s="1104">
        <v>47</v>
      </c>
      <c r="AP89" s="1105" t="s">
        <v>4375</v>
      </c>
      <c r="AQ89" s="177" t="str">
        <f>'Team 6'!F86</f>
        <v xml:space="preserve">Mina </v>
      </c>
      <c r="AR89" s="177" t="str">
        <f>'Team 6'!G86</f>
        <v>Safahe</v>
      </c>
      <c r="AS89" s="175" t="str">
        <f t="shared" si="25"/>
        <v>Mina  Safahe</v>
      </c>
      <c r="AT89" s="175"/>
      <c r="AU89" s="1104">
        <v>47</v>
      </c>
      <c r="AV89" s="1105" t="s">
        <v>4375</v>
      </c>
      <c r="AW89" s="177" t="str">
        <f>'Team 7'!F86</f>
        <v>Keanna</v>
      </c>
      <c r="AX89" s="177" t="str">
        <f>'Team 7'!G86</f>
        <v>Roets</v>
      </c>
      <c r="AY89" s="175" t="str">
        <f t="shared" si="26"/>
        <v>Keanna Roets</v>
      </c>
      <c r="AZ89" s="175"/>
      <c r="BA89" s="1104">
        <v>47</v>
      </c>
      <c r="BB89" s="1105" t="s">
        <v>4375</v>
      </c>
      <c r="BC89" s="177">
        <f>'Team 8'!F86</f>
        <v>0</v>
      </c>
      <c r="BD89" s="177">
        <f>'Team 8'!G86</f>
        <v>0</v>
      </c>
      <c r="BE89" s="175" t="str">
        <f t="shared" si="27"/>
        <v>0 0</v>
      </c>
      <c r="BF89" s="175"/>
      <c r="BG89" s="1104">
        <v>47</v>
      </c>
      <c r="BH89" s="1105" t="s">
        <v>4375</v>
      </c>
      <c r="BI89" s="177">
        <f>'Team 9'!F86</f>
        <v>0</v>
      </c>
      <c r="BJ89" s="177">
        <f>'Team 9'!G86</f>
        <v>0</v>
      </c>
      <c r="BK89" s="175" t="str">
        <f t="shared" si="28"/>
        <v>0 0</v>
      </c>
      <c r="BL89" s="175"/>
      <c r="BM89" s="1104">
        <v>47</v>
      </c>
      <c r="BN89" s="1105" t="s">
        <v>4375</v>
      </c>
      <c r="BO89" s="177">
        <f>'Team 10'!F86</f>
        <v>0</v>
      </c>
      <c r="BP89" s="177">
        <f>'Team 10'!G86</f>
        <v>0</v>
      </c>
      <c r="BQ89" s="175" t="str">
        <f t="shared" si="29"/>
        <v>0 0</v>
      </c>
      <c r="BR89" s="175"/>
      <c r="BS89" s="204" t="str">
        <f>CONCATENATE('Team 1'!$F86, " ",'Team 1'!$G86)</f>
        <v>Shreya Bavishi</v>
      </c>
      <c r="BT89" s="205" t="str">
        <f>CONCATENATE('Team 1'!$F87, " ",'Team 1'!$G87)</f>
        <v>Taisia Flury</v>
      </c>
    </row>
    <row r="90" spans="1:72" s="197" customFormat="1" ht="21" customHeight="1" x14ac:dyDescent="0.3">
      <c r="A90" s="192"/>
      <c r="B90" s="192"/>
      <c r="C90" s="192"/>
      <c r="D90" s="192"/>
      <c r="E90" s="192"/>
      <c r="F90" s="192"/>
      <c r="G90" s="192"/>
      <c r="H90" s="192"/>
      <c r="J90" s="203"/>
      <c r="K90" s="1104"/>
      <c r="L90" s="1105"/>
      <c r="M90" s="174" t="str">
        <f>'Team 1'!F87</f>
        <v>Taisia</v>
      </c>
      <c r="N90" s="174" t="str">
        <f>'Team 1'!G87</f>
        <v>Flury</v>
      </c>
      <c r="O90" s="175" t="str">
        <f t="shared" si="20"/>
        <v>Taisia Flury</v>
      </c>
      <c r="P90" s="176"/>
      <c r="Q90" s="1104"/>
      <c r="R90" s="1105"/>
      <c r="S90" s="174" t="str">
        <f>'Team 2'!F87</f>
        <v>Jasmin</v>
      </c>
      <c r="T90" s="174" t="str">
        <f>'Team 2'!G87</f>
        <v>Hunt</v>
      </c>
      <c r="U90" s="175" t="str">
        <f t="shared" si="21"/>
        <v>Jasmin Hunt</v>
      </c>
      <c r="V90" s="175"/>
      <c r="W90" s="1104"/>
      <c r="X90" s="1105"/>
      <c r="Y90" s="174" t="str">
        <f>'Team 3'!F87</f>
        <v>Molly</v>
      </c>
      <c r="Z90" s="174" t="str">
        <f>'Team 3'!G87</f>
        <v>Bartup</v>
      </c>
      <c r="AA90" s="175" t="str">
        <f t="shared" si="22"/>
        <v>Molly Bartup</v>
      </c>
      <c r="AB90" s="175"/>
      <c r="AC90" s="1104"/>
      <c r="AD90" s="1105"/>
      <c r="AE90" s="174" t="str">
        <f>'Team 4'!F87</f>
        <v>ZAHRA</v>
      </c>
      <c r="AF90" s="174" t="str">
        <f>'Team 4'!G87</f>
        <v>WALLER</v>
      </c>
      <c r="AG90" s="175" t="str">
        <f t="shared" si="23"/>
        <v>ZAHRA WALLER</v>
      </c>
      <c r="AH90" s="174"/>
      <c r="AI90" s="1104"/>
      <c r="AJ90" s="1105"/>
      <c r="AK90" s="174" t="str">
        <f>'Team 5'!F87</f>
        <v>Esmee</v>
      </c>
      <c r="AL90" s="174" t="str">
        <f>'Team 5'!G87</f>
        <v>Reeve</v>
      </c>
      <c r="AM90" s="175" t="str">
        <f t="shared" si="24"/>
        <v>Esmee Reeve</v>
      </c>
      <c r="AN90" s="175"/>
      <c r="AO90" s="1104"/>
      <c r="AP90" s="1105"/>
      <c r="AQ90" s="177" t="str">
        <f>'Team 6'!F87</f>
        <v>Laura</v>
      </c>
      <c r="AR90" s="177" t="str">
        <f>'Team 6'!G87</f>
        <v>Leksander</v>
      </c>
      <c r="AS90" s="175" t="str">
        <f t="shared" si="25"/>
        <v>Laura Leksander</v>
      </c>
      <c r="AT90" s="175"/>
      <c r="AU90" s="1104"/>
      <c r="AV90" s="1105"/>
      <c r="AW90" s="177" t="str">
        <f>'Team 7'!F87</f>
        <v>Keira</v>
      </c>
      <c r="AX90" s="177" t="str">
        <f>'Team 7'!G87</f>
        <v>Brannigan</v>
      </c>
      <c r="AY90" s="175" t="str">
        <f t="shared" si="26"/>
        <v>Keira Brannigan</v>
      </c>
      <c r="AZ90" s="175"/>
      <c r="BA90" s="1104"/>
      <c r="BB90" s="1105"/>
      <c r="BC90" s="177">
        <f>'Team 8'!F87</f>
        <v>0</v>
      </c>
      <c r="BD90" s="177">
        <f>'Team 8'!G87</f>
        <v>0</v>
      </c>
      <c r="BE90" s="175" t="str">
        <f t="shared" si="27"/>
        <v>0 0</v>
      </c>
      <c r="BF90" s="175"/>
      <c r="BG90" s="1104"/>
      <c r="BH90" s="1105"/>
      <c r="BI90" s="177">
        <f>'Team 9'!F87</f>
        <v>0</v>
      </c>
      <c r="BJ90" s="177">
        <f>'Team 9'!G87</f>
        <v>0</v>
      </c>
      <c r="BK90" s="175" t="str">
        <f t="shared" si="28"/>
        <v>0 0</v>
      </c>
      <c r="BL90" s="175"/>
      <c r="BM90" s="1104"/>
      <c r="BN90" s="1105"/>
      <c r="BO90" s="177">
        <f>'Team 10'!F87</f>
        <v>0</v>
      </c>
      <c r="BP90" s="177">
        <f>'Team 10'!G87</f>
        <v>0</v>
      </c>
      <c r="BQ90" s="175" t="str">
        <f t="shared" si="29"/>
        <v>0 0</v>
      </c>
      <c r="BR90" s="175"/>
      <c r="BS90" s="204"/>
      <c r="BT90" s="205"/>
    </row>
    <row r="91" spans="1:72" s="197" customFormat="1" ht="21" customHeight="1" x14ac:dyDescent="0.3">
      <c r="A91" s="192"/>
      <c r="B91" s="192"/>
      <c r="C91" s="192"/>
      <c r="D91" s="192"/>
      <c r="E91" s="192"/>
      <c r="F91" s="192"/>
      <c r="G91" s="192"/>
      <c r="H91" s="192"/>
      <c r="J91" s="203"/>
      <c r="K91" s="1104"/>
      <c r="L91" s="1105"/>
      <c r="M91" s="174" t="str">
        <f>'Team 1'!F88</f>
        <v>Zoe</v>
      </c>
      <c r="N91" s="174" t="str">
        <f>'Team 1'!G88</f>
        <v>Panayi</v>
      </c>
      <c r="O91" s="175" t="str">
        <f t="shared" si="20"/>
        <v>Zoe Panayi</v>
      </c>
      <c r="P91" s="176"/>
      <c r="Q91" s="1104"/>
      <c r="R91" s="1105"/>
      <c r="S91" s="174" t="str">
        <f>'Team 2'!F88</f>
        <v>Charlotte</v>
      </c>
      <c r="T91" s="174" t="str">
        <f>'Team 2'!G88</f>
        <v>Lyon</v>
      </c>
      <c r="U91" s="175" t="str">
        <f t="shared" si="21"/>
        <v>Charlotte Lyon</v>
      </c>
      <c r="V91" s="175"/>
      <c r="W91" s="1104"/>
      <c r="X91" s="1105"/>
      <c r="Y91" s="174" t="str">
        <f>'Team 3'!F88</f>
        <v xml:space="preserve">Hannah </v>
      </c>
      <c r="Z91" s="174" t="str">
        <f>'Team 3'!G88</f>
        <v>Lovelock</v>
      </c>
      <c r="AA91" s="175" t="str">
        <f t="shared" si="22"/>
        <v>Hannah  Lovelock</v>
      </c>
      <c r="AB91" s="175"/>
      <c r="AC91" s="1104"/>
      <c r="AD91" s="1105"/>
      <c r="AE91" s="174" t="str">
        <f>'Team 4'!F88</f>
        <v>ANNABELLA</v>
      </c>
      <c r="AF91" s="174" t="str">
        <f>'Team 4'!G88</f>
        <v>COJEEN</v>
      </c>
      <c r="AG91" s="175" t="str">
        <f t="shared" si="23"/>
        <v>ANNABELLA COJEEN</v>
      </c>
      <c r="AH91" s="174"/>
      <c r="AI91" s="1104"/>
      <c r="AJ91" s="1105"/>
      <c r="AK91" s="174" t="str">
        <f>'Team 5'!F88</f>
        <v>Mia</v>
      </c>
      <c r="AL91" s="174" t="str">
        <f>'Team 5'!G88</f>
        <v>Macklin</v>
      </c>
      <c r="AM91" s="175" t="str">
        <f t="shared" si="24"/>
        <v>Mia Macklin</v>
      </c>
      <c r="AN91" s="175"/>
      <c r="AO91" s="1104"/>
      <c r="AP91" s="1105"/>
      <c r="AQ91" s="177" t="str">
        <f>'Team 6'!F88</f>
        <v xml:space="preserve">Crina Stefania </v>
      </c>
      <c r="AR91" s="177" t="str">
        <f>'Team 6'!G88</f>
        <v>Bostan</v>
      </c>
      <c r="AS91" s="175" t="str">
        <f t="shared" si="25"/>
        <v>Crina Stefania  Bostan</v>
      </c>
      <c r="AT91" s="175"/>
      <c r="AU91" s="1104"/>
      <c r="AV91" s="1105"/>
      <c r="AW91" s="177" t="str">
        <f>'Team 7'!F88</f>
        <v>Jessica</v>
      </c>
      <c r="AX91" s="177" t="str">
        <f>'Team 7'!G88</f>
        <v>Sharp</v>
      </c>
      <c r="AY91" s="175" t="str">
        <f t="shared" si="26"/>
        <v>Jessica Sharp</v>
      </c>
      <c r="AZ91" s="175"/>
      <c r="BA91" s="1104"/>
      <c r="BB91" s="1105"/>
      <c r="BC91" s="177">
        <f>'Team 8'!F88</f>
        <v>0</v>
      </c>
      <c r="BD91" s="177">
        <f>'Team 8'!G88</f>
        <v>0</v>
      </c>
      <c r="BE91" s="175" t="str">
        <f t="shared" si="27"/>
        <v>0 0</v>
      </c>
      <c r="BF91" s="175"/>
      <c r="BG91" s="1104"/>
      <c r="BH91" s="1105"/>
      <c r="BI91" s="177">
        <f>'Team 9'!F88</f>
        <v>0</v>
      </c>
      <c r="BJ91" s="177">
        <f>'Team 9'!G88</f>
        <v>0</v>
      </c>
      <c r="BK91" s="175" t="str">
        <f t="shared" si="28"/>
        <v>0 0</v>
      </c>
      <c r="BL91" s="175"/>
      <c r="BM91" s="1104"/>
      <c r="BN91" s="1105"/>
      <c r="BO91" s="177">
        <f>'Team 10'!F88</f>
        <v>0</v>
      </c>
      <c r="BP91" s="177">
        <f>'Team 10'!G88</f>
        <v>0</v>
      </c>
      <c r="BQ91" s="175" t="str">
        <f t="shared" si="29"/>
        <v>0 0</v>
      </c>
      <c r="BR91" s="175"/>
      <c r="BS91" s="204"/>
      <c r="BT91" s="205"/>
    </row>
    <row r="92" spans="1:72" s="197" customFormat="1" ht="21" customHeight="1" x14ac:dyDescent="0.3">
      <c r="A92" s="192"/>
      <c r="B92" s="192"/>
      <c r="C92" s="192"/>
      <c r="D92" s="192"/>
      <c r="E92" s="192"/>
      <c r="F92" s="192"/>
      <c r="G92" s="192"/>
      <c r="H92" s="192"/>
      <c r="J92" s="203"/>
      <c r="K92" s="1104"/>
      <c r="L92" s="1105"/>
      <c r="M92" s="174" t="str">
        <f>'Team 1'!F89</f>
        <v>Emily</v>
      </c>
      <c r="N92" s="174" t="str">
        <f>'Team 1'!G89</f>
        <v>Hudszky</v>
      </c>
      <c r="O92" s="175" t="str">
        <f t="shared" si="20"/>
        <v>Emily Hudszky</v>
      </c>
      <c r="P92" s="176"/>
      <c r="Q92" s="1104"/>
      <c r="R92" s="1105"/>
      <c r="S92" s="174" t="str">
        <f>'Team 2'!F89</f>
        <v>Sophie</v>
      </c>
      <c r="T92" s="174" t="str">
        <f>'Team 2'!G89</f>
        <v>Stelmach</v>
      </c>
      <c r="U92" s="175" t="str">
        <f t="shared" si="21"/>
        <v>Sophie Stelmach</v>
      </c>
      <c r="V92" s="175"/>
      <c r="W92" s="1104"/>
      <c r="X92" s="1105"/>
      <c r="Y92" s="174" t="str">
        <f>'Team 3'!F89</f>
        <v>Isabel</v>
      </c>
      <c r="Z92" s="174" t="str">
        <f>'Team 3'!G89</f>
        <v>Mullings</v>
      </c>
      <c r="AA92" s="175" t="str">
        <f t="shared" si="22"/>
        <v>Isabel Mullings</v>
      </c>
      <c r="AB92" s="175"/>
      <c r="AC92" s="1104"/>
      <c r="AD92" s="1105"/>
      <c r="AE92" s="174" t="str">
        <f>'Team 4'!F89</f>
        <v>ABIGAIL</v>
      </c>
      <c r="AF92" s="174" t="str">
        <f>'Team 4'!G89</f>
        <v>JOHNSON</v>
      </c>
      <c r="AG92" s="175" t="str">
        <f t="shared" si="23"/>
        <v>ABIGAIL JOHNSON</v>
      </c>
      <c r="AH92" s="174"/>
      <c r="AI92" s="1104"/>
      <c r="AJ92" s="1105"/>
      <c r="AK92" s="174" t="str">
        <f>'Team 5'!F89</f>
        <v>Francesca</v>
      </c>
      <c r="AL92" s="174" t="str">
        <f>'Team 5'!G89</f>
        <v>Baker</v>
      </c>
      <c r="AM92" s="175" t="str">
        <f t="shared" si="24"/>
        <v>Francesca Baker</v>
      </c>
      <c r="AN92" s="175"/>
      <c r="AO92" s="1104"/>
      <c r="AP92" s="1105"/>
      <c r="AQ92" s="177" t="str">
        <f>'Team 6'!F89</f>
        <v xml:space="preserve">Alice </v>
      </c>
      <c r="AR92" s="177" t="str">
        <f>'Team 6'!G89</f>
        <v>Sharrock</v>
      </c>
      <c r="AS92" s="175" t="str">
        <f t="shared" si="25"/>
        <v>Alice  Sharrock</v>
      </c>
      <c r="AT92" s="175"/>
      <c r="AU92" s="1104"/>
      <c r="AV92" s="1105"/>
      <c r="AW92" s="177" t="str">
        <f>'Team 7'!F89</f>
        <v>Vaari</v>
      </c>
      <c r="AX92" s="177" t="str">
        <f>'Team 7'!G89</f>
        <v>Mepani</v>
      </c>
      <c r="AY92" s="175" t="str">
        <f t="shared" si="26"/>
        <v>Vaari Mepani</v>
      </c>
      <c r="AZ92" s="175"/>
      <c r="BA92" s="1104"/>
      <c r="BB92" s="1105"/>
      <c r="BC92" s="177">
        <f>'Team 8'!F89</f>
        <v>0</v>
      </c>
      <c r="BD92" s="177">
        <f>'Team 8'!G89</f>
        <v>0</v>
      </c>
      <c r="BE92" s="175" t="str">
        <f t="shared" si="27"/>
        <v>0 0</v>
      </c>
      <c r="BF92" s="175"/>
      <c r="BG92" s="1104"/>
      <c r="BH92" s="1105"/>
      <c r="BI92" s="177">
        <f>'Team 9'!F89</f>
        <v>0</v>
      </c>
      <c r="BJ92" s="177">
        <f>'Team 9'!G89</f>
        <v>0</v>
      </c>
      <c r="BK92" s="175" t="str">
        <f t="shared" si="28"/>
        <v>0 0</v>
      </c>
      <c r="BL92" s="175"/>
      <c r="BM92" s="1104"/>
      <c r="BN92" s="1105"/>
      <c r="BO92" s="177">
        <f>'Team 10'!F89</f>
        <v>0</v>
      </c>
      <c r="BP92" s="177">
        <f>'Team 10'!G89</f>
        <v>0</v>
      </c>
      <c r="BQ92" s="175" t="str">
        <f t="shared" si="29"/>
        <v>0 0</v>
      </c>
      <c r="BR92" s="175"/>
      <c r="BS92" s="204" t="str">
        <f>CONCATENATE('Team 1'!$F88, " ",'Team 1'!$G88)</f>
        <v>Zoe Panayi</v>
      </c>
      <c r="BT92" s="205" t="str">
        <f>CONCATENATE('Team 1'!$F89, " ",'Team 1'!$G89)</f>
        <v>Emily Hudszky</v>
      </c>
    </row>
    <row r="93" spans="1:72" s="197" customFormat="1" ht="21" customHeight="1" x14ac:dyDescent="0.3">
      <c r="A93" s="192"/>
      <c r="B93" s="192"/>
      <c r="C93" s="192"/>
      <c r="D93" s="192"/>
      <c r="E93" s="192"/>
      <c r="F93" s="192"/>
      <c r="G93" s="192"/>
      <c r="H93" s="192"/>
      <c r="J93" s="203"/>
      <c r="K93" s="1104">
        <v>48</v>
      </c>
      <c r="L93" s="1105" t="s">
        <v>4376</v>
      </c>
      <c r="M93" s="174" t="str">
        <f>'Team 1'!F90</f>
        <v>Zalan</v>
      </c>
      <c r="N93" s="174" t="str">
        <f>'Team 1'!G90</f>
        <v>Tornay</v>
      </c>
      <c r="O93" s="175" t="str">
        <f t="shared" si="20"/>
        <v>Zalan Tornay</v>
      </c>
      <c r="P93" s="176"/>
      <c r="Q93" s="1104">
        <v>48</v>
      </c>
      <c r="R93" s="1105" t="s">
        <v>4376</v>
      </c>
      <c r="S93" s="174" t="str">
        <f>'Team 2'!F90</f>
        <v>Alexander</v>
      </c>
      <c r="T93" s="174" t="str">
        <f>'Team 2'!G90</f>
        <v>Gregory</v>
      </c>
      <c r="U93" s="175" t="str">
        <f t="shared" si="21"/>
        <v>Alexander Gregory</v>
      </c>
      <c r="V93" s="175"/>
      <c r="W93" s="1104">
        <v>48</v>
      </c>
      <c r="X93" s="1105" t="s">
        <v>4376</v>
      </c>
      <c r="Y93" s="174" t="str">
        <f>'Team 3'!F90</f>
        <v>Alfie</v>
      </c>
      <c r="Z93" s="174" t="str">
        <f>'Team 3'!G90</f>
        <v>Bullock</v>
      </c>
      <c r="AA93" s="175" t="str">
        <f t="shared" si="22"/>
        <v>Alfie Bullock</v>
      </c>
      <c r="AB93" s="175"/>
      <c r="AC93" s="1104">
        <v>48</v>
      </c>
      <c r="AD93" s="1105" t="s">
        <v>4376</v>
      </c>
      <c r="AE93" s="174" t="str">
        <f>'Team 4'!F90</f>
        <v>CHARLES</v>
      </c>
      <c r="AF93" s="174" t="str">
        <f>'Team 4'!G90</f>
        <v>RAINES</v>
      </c>
      <c r="AG93" s="175" t="str">
        <f t="shared" si="23"/>
        <v>CHARLES RAINES</v>
      </c>
      <c r="AH93" s="174"/>
      <c r="AI93" s="1104">
        <v>48</v>
      </c>
      <c r="AJ93" s="1105" t="s">
        <v>4376</v>
      </c>
      <c r="AK93" s="174" t="str">
        <f>'Team 5'!F90</f>
        <v>Albert</v>
      </c>
      <c r="AL93" s="174" t="str">
        <f>'Team 5'!G90</f>
        <v>Orley</v>
      </c>
      <c r="AM93" s="175" t="str">
        <f t="shared" si="24"/>
        <v>Albert Orley</v>
      </c>
      <c r="AN93" s="175"/>
      <c r="AO93" s="1104">
        <v>48</v>
      </c>
      <c r="AP93" s="1105" t="s">
        <v>4376</v>
      </c>
      <c r="AQ93" s="177" t="str">
        <f>'Team 6'!F90</f>
        <v>Gianluca</v>
      </c>
      <c r="AR93" s="177" t="str">
        <f>'Team 6'!G90</f>
        <v>Safahe</v>
      </c>
      <c r="AS93" s="175" t="str">
        <f t="shared" si="25"/>
        <v>Gianluca Safahe</v>
      </c>
      <c r="AT93" s="175"/>
      <c r="AU93" s="1104">
        <v>48</v>
      </c>
      <c r="AV93" s="1105" t="s">
        <v>4376</v>
      </c>
      <c r="AW93" s="177" t="str">
        <f>'Team 7'!F90</f>
        <v>Tsz Kwai</v>
      </c>
      <c r="AX93" s="177" t="str">
        <f>'Team 7'!G90</f>
        <v>Chan</v>
      </c>
      <c r="AY93" s="175" t="str">
        <f t="shared" si="26"/>
        <v>Tsz Kwai Chan</v>
      </c>
      <c r="AZ93" s="175"/>
      <c r="BA93" s="1104">
        <v>48</v>
      </c>
      <c r="BB93" s="1105" t="s">
        <v>4376</v>
      </c>
      <c r="BC93" s="177">
        <f>'Team 8'!F90</f>
        <v>0</v>
      </c>
      <c r="BD93" s="177">
        <f>'Team 8'!G90</f>
        <v>0</v>
      </c>
      <c r="BE93" s="175" t="str">
        <f t="shared" si="27"/>
        <v>0 0</v>
      </c>
      <c r="BF93" s="175"/>
      <c r="BG93" s="1104">
        <v>48</v>
      </c>
      <c r="BH93" s="1105" t="s">
        <v>4376</v>
      </c>
      <c r="BI93" s="177">
        <f>'Team 9'!F90</f>
        <v>0</v>
      </c>
      <c r="BJ93" s="177">
        <f>'Team 9'!G90</f>
        <v>0</v>
      </c>
      <c r="BK93" s="175" t="str">
        <f t="shared" si="28"/>
        <v>0 0</v>
      </c>
      <c r="BL93" s="175"/>
      <c r="BM93" s="1104">
        <v>48</v>
      </c>
      <c r="BN93" s="1105" t="s">
        <v>4376</v>
      </c>
      <c r="BO93" s="177">
        <f>'Team 10'!F90</f>
        <v>0</v>
      </c>
      <c r="BP93" s="177">
        <f>'Team 10'!G90</f>
        <v>0</v>
      </c>
      <c r="BQ93" s="175" t="str">
        <f t="shared" si="29"/>
        <v>0 0</v>
      </c>
      <c r="BR93" s="175"/>
      <c r="BS93" s="204" t="str">
        <f>CONCATENATE('Team 1'!$F90, " ",'Team 1'!$G90)</f>
        <v>Zalan Tornay</v>
      </c>
      <c r="BT93" s="205" t="str">
        <f>CONCATENATE('Team 1'!$F91, " ",'Team 1'!$G91)</f>
        <v>Michael Manassero</v>
      </c>
    </row>
    <row r="94" spans="1:72" s="197" customFormat="1" ht="21" customHeight="1" x14ac:dyDescent="0.3">
      <c r="A94" s="192"/>
      <c r="B94" s="192"/>
      <c r="C94" s="192"/>
      <c r="D94" s="192"/>
      <c r="E94" s="192"/>
      <c r="F94" s="192"/>
      <c r="G94" s="192"/>
      <c r="H94" s="192"/>
      <c r="J94" s="203"/>
      <c r="K94" s="1104"/>
      <c r="L94" s="1105"/>
      <c r="M94" s="174" t="str">
        <f>'Team 1'!F91</f>
        <v>Michael</v>
      </c>
      <c r="N94" s="174" t="str">
        <f>'Team 1'!G91</f>
        <v>Manassero</v>
      </c>
      <c r="O94" s="175" t="str">
        <f t="shared" si="20"/>
        <v>Michael Manassero</v>
      </c>
      <c r="P94" s="176"/>
      <c r="Q94" s="1104"/>
      <c r="R94" s="1105"/>
      <c r="S94" s="174" t="str">
        <f>'Team 2'!F91</f>
        <v>Samuel</v>
      </c>
      <c r="T94" s="174" t="str">
        <f>'Team 2'!G91</f>
        <v>Heraty</v>
      </c>
      <c r="U94" s="175" t="str">
        <f t="shared" si="21"/>
        <v>Samuel Heraty</v>
      </c>
      <c r="V94" s="175"/>
      <c r="W94" s="1104"/>
      <c r="X94" s="1105"/>
      <c r="Y94" s="174" t="str">
        <f>'Team 3'!F91</f>
        <v>Theo</v>
      </c>
      <c r="Z94" s="174" t="str">
        <f>'Team 3'!G91</f>
        <v>Smith</v>
      </c>
      <c r="AA94" s="175" t="str">
        <f t="shared" si="22"/>
        <v>Theo Smith</v>
      </c>
      <c r="AB94" s="175"/>
      <c r="AC94" s="1104"/>
      <c r="AD94" s="1105"/>
      <c r="AE94" s="174" t="str">
        <f>'Team 4'!F91</f>
        <v>MAKSYMILIAN</v>
      </c>
      <c r="AF94" s="174" t="str">
        <f>'Team 4'!G91</f>
        <v>WOZNICKI</v>
      </c>
      <c r="AG94" s="175" t="str">
        <f t="shared" si="23"/>
        <v>MAKSYMILIAN WOZNICKI</v>
      </c>
      <c r="AH94" s="174"/>
      <c r="AI94" s="1104"/>
      <c r="AJ94" s="1105"/>
      <c r="AK94" s="174" t="str">
        <f>'Team 5'!F91</f>
        <v>Nathaniel</v>
      </c>
      <c r="AL94" s="174" t="str">
        <f>'Team 5'!G91</f>
        <v>Coburn</v>
      </c>
      <c r="AM94" s="175" t="str">
        <f t="shared" si="24"/>
        <v>Nathaniel Coburn</v>
      </c>
      <c r="AN94" s="175"/>
      <c r="AO94" s="1104"/>
      <c r="AP94" s="1105"/>
      <c r="AQ94" s="177" t="str">
        <f>'Team 6'!F91</f>
        <v xml:space="preserve">Owen </v>
      </c>
      <c r="AR94" s="177" t="str">
        <f>'Team 6'!G91</f>
        <v>Roberts</v>
      </c>
      <c r="AS94" s="175" t="str">
        <f t="shared" si="25"/>
        <v>Owen  Roberts</v>
      </c>
      <c r="AT94" s="175"/>
      <c r="AU94" s="1104"/>
      <c r="AV94" s="1105"/>
      <c r="AW94" s="177" t="str">
        <f>'Team 7'!F91</f>
        <v>Advay</v>
      </c>
      <c r="AX94" s="177" t="str">
        <f>'Team 7'!G91</f>
        <v>Bhatia</v>
      </c>
      <c r="AY94" s="175" t="str">
        <f t="shared" si="26"/>
        <v>Advay Bhatia</v>
      </c>
      <c r="AZ94" s="175"/>
      <c r="BA94" s="1104"/>
      <c r="BB94" s="1105"/>
      <c r="BC94" s="177">
        <f>'Team 8'!F91</f>
        <v>0</v>
      </c>
      <c r="BD94" s="177">
        <f>'Team 8'!G91</f>
        <v>0</v>
      </c>
      <c r="BE94" s="175" t="str">
        <f t="shared" si="27"/>
        <v>0 0</v>
      </c>
      <c r="BF94" s="175"/>
      <c r="BG94" s="1104"/>
      <c r="BH94" s="1105"/>
      <c r="BI94" s="177">
        <f>'Team 9'!F91</f>
        <v>0</v>
      </c>
      <c r="BJ94" s="177">
        <f>'Team 9'!G91</f>
        <v>0</v>
      </c>
      <c r="BK94" s="175" t="str">
        <f t="shared" si="28"/>
        <v>0 0</v>
      </c>
      <c r="BL94" s="175"/>
      <c r="BM94" s="1104"/>
      <c r="BN94" s="1105"/>
      <c r="BO94" s="177">
        <f>'Team 10'!F91</f>
        <v>0</v>
      </c>
      <c r="BP94" s="177">
        <f>'Team 10'!G91</f>
        <v>0</v>
      </c>
      <c r="BQ94" s="175" t="str">
        <f t="shared" si="29"/>
        <v>0 0</v>
      </c>
      <c r="BR94" s="175"/>
      <c r="BS94" s="204"/>
      <c r="BT94" s="205"/>
    </row>
    <row r="95" spans="1:72" s="197" customFormat="1" ht="21" customHeight="1" x14ac:dyDescent="0.3">
      <c r="A95" s="192"/>
      <c r="B95" s="192"/>
      <c r="C95" s="192"/>
      <c r="D95" s="192"/>
      <c r="E95" s="192"/>
      <c r="F95" s="192"/>
      <c r="G95" s="192"/>
      <c r="H95" s="192"/>
      <c r="J95" s="203"/>
      <c r="K95" s="1104"/>
      <c r="L95" s="1105"/>
      <c r="M95" s="174" t="str">
        <f>'Team 1'!F92</f>
        <v>Ned Peter</v>
      </c>
      <c r="N95" s="174" t="str">
        <f>'Team 1'!G92</f>
        <v>Andrews</v>
      </c>
      <c r="O95" s="175" t="str">
        <f t="shared" si="20"/>
        <v>Ned Peter Andrews</v>
      </c>
      <c r="P95" s="176"/>
      <c r="Q95" s="1104"/>
      <c r="R95" s="1105"/>
      <c r="S95" s="174" t="str">
        <f>'Team 2'!F92</f>
        <v>John</v>
      </c>
      <c r="T95" s="174" t="str">
        <f>'Team 2'!G92</f>
        <v>Langdon</v>
      </c>
      <c r="U95" s="175" t="str">
        <f t="shared" si="21"/>
        <v>John Langdon</v>
      </c>
      <c r="V95" s="175"/>
      <c r="W95" s="1104"/>
      <c r="X95" s="1105"/>
      <c r="Y95" s="174" t="str">
        <f>'Team 3'!F92</f>
        <v>Mikhail</v>
      </c>
      <c r="Z95" s="174" t="str">
        <f>'Team 3'!G92</f>
        <v>Zharinov</v>
      </c>
      <c r="AA95" s="175" t="str">
        <f t="shared" si="22"/>
        <v>Mikhail Zharinov</v>
      </c>
      <c r="AB95" s="175"/>
      <c r="AC95" s="1104"/>
      <c r="AD95" s="1105"/>
      <c r="AE95" s="174" t="str">
        <f>'Team 4'!F92</f>
        <v>RAFI</v>
      </c>
      <c r="AF95" s="174" t="str">
        <f>'Team 4'!G92</f>
        <v>GIBSON</v>
      </c>
      <c r="AG95" s="175" t="str">
        <f t="shared" si="23"/>
        <v>RAFI GIBSON</v>
      </c>
      <c r="AH95" s="174"/>
      <c r="AI95" s="1104"/>
      <c r="AJ95" s="1105"/>
      <c r="AK95" s="174" t="str">
        <f>'Team 5'!F92</f>
        <v>Joshua</v>
      </c>
      <c r="AL95" s="174" t="str">
        <f>'Team 5'!G92</f>
        <v>Parker</v>
      </c>
      <c r="AM95" s="175" t="str">
        <f t="shared" si="24"/>
        <v>Joshua Parker</v>
      </c>
      <c r="AN95" s="175"/>
      <c r="AO95" s="1104"/>
      <c r="AP95" s="1105"/>
      <c r="AQ95" s="177" t="str">
        <f>'Team 6'!F92</f>
        <v>Louis</v>
      </c>
      <c r="AR95" s="177" t="str">
        <f>'Team 6'!G92</f>
        <v>Waissman</v>
      </c>
      <c r="AS95" s="175" t="str">
        <f t="shared" si="25"/>
        <v>Louis Waissman</v>
      </c>
      <c r="AT95" s="175"/>
      <c r="AU95" s="1104"/>
      <c r="AV95" s="1105"/>
      <c r="AW95" s="177" t="str">
        <f>'Team 7'!F92</f>
        <v>Aaran</v>
      </c>
      <c r="AX95" s="177" t="str">
        <f>'Team 7'!G92</f>
        <v>Parmar</v>
      </c>
      <c r="AY95" s="175" t="str">
        <f t="shared" si="26"/>
        <v>Aaran Parmar</v>
      </c>
      <c r="AZ95" s="175"/>
      <c r="BA95" s="1104"/>
      <c r="BB95" s="1105"/>
      <c r="BC95" s="177">
        <f>'Team 8'!F92</f>
        <v>0</v>
      </c>
      <c r="BD95" s="177">
        <f>'Team 8'!G92</f>
        <v>0</v>
      </c>
      <c r="BE95" s="175" t="str">
        <f t="shared" si="27"/>
        <v>0 0</v>
      </c>
      <c r="BF95" s="175"/>
      <c r="BG95" s="1104"/>
      <c r="BH95" s="1105"/>
      <c r="BI95" s="177">
        <f>'Team 9'!F92</f>
        <v>0</v>
      </c>
      <c r="BJ95" s="177">
        <f>'Team 9'!G92</f>
        <v>0</v>
      </c>
      <c r="BK95" s="175" t="str">
        <f t="shared" si="28"/>
        <v>0 0</v>
      </c>
      <c r="BL95" s="175"/>
      <c r="BM95" s="1104"/>
      <c r="BN95" s="1105"/>
      <c r="BO95" s="177">
        <f>'Team 10'!F92</f>
        <v>0</v>
      </c>
      <c r="BP95" s="177">
        <f>'Team 10'!G92</f>
        <v>0</v>
      </c>
      <c r="BQ95" s="175" t="str">
        <f t="shared" si="29"/>
        <v>0 0</v>
      </c>
      <c r="BR95" s="175"/>
      <c r="BS95" s="204"/>
      <c r="BT95" s="205"/>
    </row>
    <row r="96" spans="1:72" s="197" customFormat="1" ht="21" customHeight="1" x14ac:dyDescent="0.3">
      <c r="A96" s="192"/>
      <c r="B96" s="192"/>
      <c r="C96" s="192"/>
      <c r="D96" s="192"/>
      <c r="E96" s="192"/>
      <c r="F96" s="192"/>
      <c r="G96" s="192"/>
      <c r="H96" s="192"/>
      <c r="J96" s="203"/>
      <c r="K96" s="1104"/>
      <c r="L96" s="1105"/>
      <c r="M96" s="174" t="str">
        <f>'Team 1'!F93</f>
        <v>Zente</v>
      </c>
      <c r="N96" s="174" t="str">
        <f>'Team 1'!G93</f>
        <v>Buzsik</v>
      </c>
      <c r="O96" s="175" t="str">
        <f t="shared" si="20"/>
        <v>Zente Buzsik</v>
      </c>
      <c r="P96" s="176"/>
      <c r="Q96" s="1104"/>
      <c r="R96" s="1105"/>
      <c r="S96" s="174" t="str">
        <f>'Team 2'!F93</f>
        <v>Daniel</v>
      </c>
      <c r="T96" s="174" t="str">
        <f>'Team 2'!G93</f>
        <v>Humphreys</v>
      </c>
      <c r="U96" s="175" t="str">
        <f t="shared" si="21"/>
        <v>Daniel Humphreys</v>
      </c>
      <c r="V96" s="175"/>
      <c r="W96" s="1104"/>
      <c r="X96" s="1105"/>
      <c r="Y96" s="174" t="str">
        <f>'Team 3'!F93</f>
        <v>Ewan</v>
      </c>
      <c r="Z96" s="174" t="str">
        <f>'Team 3'!G93</f>
        <v>Thompson</v>
      </c>
      <c r="AA96" s="175" t="str">
        <f t="shared" si="22"/>
        <v>Ewan Thompson</v>
      </c>
      <c r="AB96" s="175"/>
      <c r="AC96" s="1104"/>
      <c r="AD96" s="1105"/>
      <c r="AE96" s="174" t="str">
        <f>'Team 4'!F93</f>
        <v>SEBASTIAN</v>
      </c>
      <c r="AF96" s="174" t="str">
        <f>'Team 4'!G93</f>
        <v>BROWN</v>
      </c>
      <c r="AG96" s="175" t="str">
        <f t="shared" si="23"/>
        <v>SEBASTIAN BROWN</v>
      </c>
      <c r="AH96" s="174"/>
      <c r="AI96" s="1104"/>
      <c r="AJ96" s="1105"/>
      <c r="AK96" s="174" t="str">
        <f>'Team 5'!F93</f>
        <v>Daniel</v>
      </c>
      <c r="AL96" s="174" t="str">
        <f>'Team 5'!G93</f>
        <v>Pirie</v>
      </c>
      <c r="AM96" s="175" t="str">
        <f t="shared" si="24"/>
        <v>Daniel Pirie</v>
      </c>
      <c r="AN96" s="175"/>
      <c r="AO96" s="1104"/>
      <c r="AP96" s="1105"/>
      <c r="AQ96" s="177" t="str">
        <f>'Team 6'!F93</f>
        <v>Gabriel</v>
      </c>
      <c r="AR96" s="177" t="str">
        <f>'Team 6'!G93</f>
        <v>Rebelo</v>
      </c>
      <c r="AS96" s="175" t="str">
        <f t="shared" si="25"/>
        <v>Gabriel Rebelo</v>
      </c>
      <c r="AT96" s="175"/>
      <c r="AU96" s="1104"/>
      <c r="AV96" s="1105"/>
      <c r="AW96" s="177" t="str">
        <f>'Team 7'!F93</f>
        <v>Daniel</v>
      </c>
      <c r="AX96" s="177" t="str">
        <f>'Team 7'!G93</f>
        <v>Celi</v>
      </c>
      <c r="AY96" s="175" t="str">
        <f t="shared" si="26"/>
        <v>Daniel Celi</v>
      </c>
      <c r="AZ96" s="175"/>
      <c r="BA96" s="1104"/>
      <c r="BB96" s="1105"/>
      <c r="BC96" s="177">
        <f>'Team 8'!F93</f>
        <v>0</v>
      </c>
      <c r="BD96" s="177">
        <f>'Team 8'!G93</f>
        <v>0</v>
      </c>
      <c r="BE96" s="175" t="str">
        <f t="shared" si="27"/>
        <v>0 0</v>
      </c>
      <c r="BF96" s="175"/>
      <c r="BG96" s="1104"/>
      <c r="BH96" s="1105"/>
      <c r="BI96" s="177">
        <f>'Team 9'!F93</f>
        <v>0</v>
      </c>
      <c r="BJ96" s="177">
        <f>'Team 9'!G93</f>
        <v>0</v>
      </c>
      <c r="BK96" s="175" t="str">
        <f t="shared" si="28"/>
        <v>0 0</v>
      </c>
      <c r="BL96" s="175"/>
      <c r="BM96" s="1104"/>
      <c r="BN96" s="1105"/>
      <c r="BO96" s="177">
        <f>'Team 10'!F93</f>
        <v>0</v>
      </c>
      <c r="BP96" s="177">
        <f>'Team 10'!G93</f>
        <v>0</v>
      </c>
      <c r="BQ96" s="175" t="str">
        <f t="shared" si="29"/>
        <v>0 0</v>
      </c>
      <c r="BR96" s="175"/>
      <c r="BS96" s="204" t="str">
        <f>CONCATENATE('Team 1'!$F92, " ",'Team 1'!$G92)</f>
        <v>Ned Peter Andrews</v>
      </c>
      <c r="BT96" s="205" t="str">
        <f>CONCATENATE('Team 1'!$F93, " ",'Team 1'!$G93)</f>
        <v>Zente Buzsik</v>
      </c>
    </row>
    <row r="97" spans="1:72" s="197" customFormat="1" ht="21" customHeight="1" x14ac:dyDescent="0.3">
      <c r="A97" s="192"/>
      <c r="B97" s="192"/>
      <c r="C97" s="192"/>
      <c r="D97" s="192"/>
      <c r="E97" s="192"/>
      <c r="F97" s="192"/>
      <c r="G97" s="192"/>
      <c r="H97" s="192"/>
      <c r="J97" s="203"/>
      <c r="K97" s="1104">
        <v>49</v>
      </c>
      <c r="L97" s="1105" t="s">
        <v>4377</v>
      </c>
      <c r="M97" s="174" t="str">
        <f>'Team 1'!F94</f>
        <v>Isabel</v>
      </c>
      <c r="N97" s="174" t="str">
        <f>'Team 1'!G94</f>
        <v>Spyrou</v>
      </c>
      <c r="O97" s="175" t="str">
        <f t="shared" si="20"/>
        <v>Isabel Spyrou</v>
      </c>
      <c r="P97" s="176"/>
      <c r="Q97" s="1104">
        <v>49</v>
      </c>
      <c r="R97" s="1105" t="s">
        <v>4377</v>
      </c>
      <c r="S97" s="174" t="str">
        <f>'Team 2'!F94</f>
        <v>Lucy</v>
      </c>
      <c r="T97" s="174" t="str">
        <f>'Team 2'!G94</f>
        <v>Crocker</v>
      </c>
      <c r="U97" s="175" t="str">
        <f t="shared" si="21"/>
        <v>Lucy Crocker</v>
      </c>
      <c r="V97" s="175"/>
      <c r="W97" s="1104">
        <v>49</v>
      </c>
      <c r="X97" s="1105" t="s">
        <v>4377</v>
      </c>
      <c r="Y97" s="174" t="str">
        <f>'Team 3'!F94</f>
        <v>Sophie</v>
      </c>
      <c r="Z97" s="174" t="str">
        <f>'Team 3'!G94</f>
        <v>Clark</v>
      </c>
      <c r="AA97" s="175" t="str">
        <f t="shared" si="22"/>
        <v>Sophie Clark</v>
      </c>
      <c r="AB97" s="175"/>
      <c r="AC97" s="1104">
        <v>49</v>
      </c>
      <c r="AD97" s="1105" t="s">
        <v>4377</v>
      </c>
      <c r="AE97" s="174" t="str">
        <f>'Team 4'!F94</f>
        <v>LUCY</v>
      </c>
      <c r="AF97" s="174" t="str">
        <f>'Team 4'!G94</f>
        <v>BURNHAM</v>
      </c>
      <c r="AG97" s="175" t="str">
        <f t="shared" si="23"/>
        <v>LUCY BURNHAM</v>
      </c>
      <c r="AH97" s="174"/>
      <c r="AI97" s="1104">
        <v>49</v>
      </c>
      <c r="AJ97" s="1105" t="s">
        <v>4377</v>
      </c>
      <c r="AK97" s="174" t="str">
        <f>'Team 5'!F94</f>
        <v>Lily</v>
      </c>
      <c r="AL97" s="174" t="str">
        <f>'Team 5'!G94</f>
        <v>Threadgold</v>
      </c>
      <c r="AM97" s="175" t="str">
        <f t="shared" si="24"/>
        <v>Lily Threadgold</v>
      </c>
      <c r="AN97" s="175"/>
      <c r="AO97" s="1104">
        <v>49</v>
      </c>
      <c r="AP97" s="1105" t="s">
        <v>4377</v>
      </c>
      <c r="AQ97" s="177" t="str">
        <f>'Team 6'!F94</f>
        <v>Esha</v>
      </c>
      <c r="AR97" s="177" t="str">
        <f>'Team 6'!G94</f>
        <v>Patel</v>
      </c>
      <c r="AS97" s="175" t="str">
        <f t="shared" si="25"/>
        <v>Esha Patel</v>
      </c>
      <c r="AT97" s="175"/>
      <c r="AU97" s="1104">
        <v>49</v>
      </c>
      <c r="AV97" s="1105" t="s">
        <v>4377</v>
      </c>
      <c r="AW97" s="177" t="str">
        <f>'Team 7'!F94</f>
        <v>Aoife</v>
      </c>
      <c r="AX97" s="177" t="str">
        <f>'Team 7'!G94</f>
        <v>O'Leary</v>
      </c>
      <c r="AY97" s="175" t="str">
        <f t="shared" si="26"/>
        <v>Aoife O'Leary</v>
      </c>
      <c r="AZ97" s="175"/>
      <c r="BA97" s="1104">
        <v>49</v>
      </c>
      <c r="BB97" s="1105" t="s">
        <v>4377</v>
      </c>
      <c r="BC97" s="177">
        <f>'Team 8'!F94</f>
        <v>0</v>
      </c>
      <c r="BD97" s="177">
        <f>'Team 8'!G94</f>
        <v>0</v>
      </c>
      <c r="BE97" s="175" t="str">
        <f t="shared" si="27"/>
        <v>0 0</v>
      </c>
      <c r="BF97" s="175"/>
      <c r="BG97" s="1104">
        <v>49</v>
      </c>
      <c r="BH97" s="1105" t="s">
        <v>4377</v>
      </c>
      <c r="BI97" s="177">
        <f>'Team 9'!F94</f>
        <v>0</v>
      </c>
      <c r="BJ97" s="177">
        <f>'Team 9'!G94</f>
        <v>0</v>
      </c>
      <c r="BK97" s="175" t="str">
        <f t="shared" si="28"/>
        <v>0 0</v>
      </c>
      <c r="BL97" s="175"/>
      <c r="BM97" s="1104">
        <v>49</v>
      </c>
      <c r="BN97" s="1105" t="s">
        <v>4377</v>
      </c>
      <c r="BO97" s="177">
        <f>'Team 10'!F94</f>
        <v>0</v>
      </c>
      <c r="BP97" s="177">
        <f>'Team 10'!G94</f>
        <v>0</v>
      </c>
      <c r="BQ97" s="175" t="str">
        <f t="shared" si="29"/>
        <v>0 0</v>
      </c>
      <c r="BR97" s="175"/>
      <c r="BS97" s="204" t="str">
        <f>CONCATENATE('Team 1'!$F94, " ",'Team 1'!$G94)</f>
        <v>Isabel Spyrou</v>
      </c>
      <c r="BT97" s="205" t="str">
        <f>CONCATENATE('Team 1'!$F95, " ",'Team 1'!$G95)</f>
        <v>Bianca Gomez-Velasco</v>
      </c>
    </row>
    <row r="98" spans="1:72" s="197" customFormat="1" ht="21" customHeight="1" x14ac:dyDescent="0.3">
      <c r="A98" s="192"/>
      <c r="B98" s="192"/>
      <c r="C98" s="192"/>
      <c r="D98" s="192"/>
      <c r="E98" s="192"/>
      <c r="F98" s="192"/>
      <c r="G98" s="192"/>
      <c r="H98" s="192"/>
      <c r="J98" s="203"/>
      <c r="K98" s="1104"/>
      <c r="L98" s="1105"/>
      <c r="M98" s="174" t="str">
        <f>'Team 1'!F95</f>
        <v>Bianca</v>
      </c>
      <c r="N98" s="174" t="str">
        <f>'Team 1'!G95</f>
        <v>Gomez-Velasco</v>
      </c>
      <c r="O98" s="175" t="str">
        <f t="shared" si="20"/>
        <v>Bianca Gomez-Velasco</v>
      </c>
      <c r="P98" s="176"/>
      <c r="Q98" s="1104"/>
      <c r="R98" s="1105"/>
      <c r="S98" s="174" t="str">
        <f>'Team 2'!F95</f>
        <v>Charlotte</v>
      </c>
      <c r="T98" s="174" t="str">
        <f>'Team 2'!G95</f>
        <v>Lyon</v>
      </c>
      <c r="U98" s="175" t="str">
        <f t="shared" si="21"/>
        <v>Charlotte Lyon</v>
      </c>
      <c r="V98" s="175"/>
      <c r="W98" s="1104"/>
      <c r="X98" s="1105"/>
      <c r="Y98" s="174" t="str">
        <f>'Team 3'!F95</f>
        <v>Grace</v>
      </c>
      <c r="Z98" s="174" t="str">
        <f>'Team 3'!G95</f>
        <v>Sofokleous-Ames</v>
      </c>
      <c r="AA98" s="175" t="str">
        <f t="shared" si="22"/>
        <v>Grace Sofokleous-Ames</v>
      </c>
      <c r="AB98" s="175"/>
      <c r="AC98" s="1104"/>
      <c r="AD98" s="1105"/>
      <c r="AE98" s="174" t="str">
        <f>'Team 4'!F95</f>
        <v>LIBBY</v>
      </c>
      <c r="AF98" s="174" t="str">
        <f>'Team 4'!G95</f>
        <v>BLISSETT</v>
      </c>
      <c r="AG98" s="175" t="str">
        <f t="shared" si="23"/>
        <v>LIBBY BLISSETT</v>
      </c>
      <c r="AH98" s="174"/>
      <c r="AI98" s="1104"/>
      <c r="AJ98" s="1105"/>
      <c r="AK98" s="174" t="str">
        <f>'Team 5'!F95</f>
        <v>Kathryn</v>
      </c>
      <c r="AL98" s="174" t="str">
        <f>'Team 5'!G95</f>
        <v>Edwards</v>
      </c>
      <c r="AM98" s="175" t="str">
        <f t="shared" si="24"/>
        <v>Kathryn Edwards</v>
      </c>
      <c r="AN98" s="175"/>
      <c r="AO98" s="1104"/>
      <c r="AP98" s="1105"/>
      <c r="AQ98" s="177" t="str">
        <f>'Team 6'!F95</f>
        <v xml:space="preserve">Alice </v>
      </c>
      <c r="AR98" s="177" t="str">
        <f>'Team 6'!G95</f>
        <v>Sharrock</v>
      </c>
      <c r="AS98" s="175" t="str">
        <f t="shared" si="25"/>
        <v>Alice  Sharrock</v>
      </c>
      <c r="AT98" s="175"/>
      <c r="AU98" s="1104"/>
      <c r="AV98" s="1105"/>
      <c r="AW98" s="177" t="str">
        <f>'Team 7'!F95</f>
        <v>Laura</v>
      </c>
      <c r="AX98" s="177" t="str">
        <f>'Team 7'!G95</f>
        <v>Hibberd</v>
      </c>
      <c r="AY98" s="175" t="str">
        <f t="shared" si="26"/>
        <v>Laura Hibberd</v>
      </c>
      <c r="AZ98" s="175"/>
      <c r="BA98" s="1104"/>
      <c r="BB98" s="1105"/>
      <c r="BC98" s="177">
        <f>'Team 8'!F95</f>
        <v>0</v>
      </c>
      <c r="BD98" s="177">
        <f>'Team 8'!G95</f>
        <v>0</v>
      </c>
      <c r="BE98" s="175" t="str">
        <f t="shared" si="27"/>
        <v>0 0</v>
      </c>
      <c r="BF98" s="175"/>
      <c r="BG98" s="1104"/>
      <c r="BH98" s="1105"/>
      <c r="BI98" s="177">
        <f>'Team 9'!F95</f>
        <v>0</v>
      </c>
      <c r="BJ98" s="177">
        <f>'Team 9'!G95</f>
        <v>0</v>
      </c>
      <c r="BK98" s="175" t="str">
        <f t="shared" si="28"/>
        <v>0 0</v>
      </c>
      <c r="BL98" s="175"/>
      <c r="BM98" s="1104"/>
      <c r="BN98" s="1105"/>
      <c r="BO98" s="177">
        <f>'Team 10'!F95</f>
        <v>0</v>
      </c>
      <c r="BP98" s="177">
        <f>'Team 10'!G95</f>
        <v>0</v>
      </c>
      <c r="BQ98" s="175" t="str">
        <f t="shared" si="29"/>
        <v>0 0</v>
      </c>
      <c r="BR98" s="175"/>
      <c r="BS98" s="204" t="str">
        <f>CONCATENATE('Team 1'!$F96, " ",'Team 1'!$G96)</f>
        <v>Charlotte Skinner</v>
      </c>
      <c r="BT98" s="205" t="str">
        <f>CONCATENATE('Team 1'!$F97, " ",'Team 1'!$G97)</f>
        <v>Maja Grzybek</v>
      </c>
    </row>
    <row r="99" spans="1:72" s="197" customFormat="1" ht="21" customHeight="1" x14ac:dyDescent="0.3">
      <c r="A99" s="192"/>
      <c r="B99" s="192"/>
      <c r="C99" s="192"/>
      <c r="D99" s="192"/>
      <c r="E99" s="192"/>
      <c r="F99" s="192"/>
      <c r="G99" s="192"/>
      <c r="H99" s="192"/>
      <c r="J99" s="203"/>
      <c r="K99" s="1104"/>
      <c r="L99" s="1105"/>
      <c r="M99" s="174" t="str">
        <f>'Team 1'!F96</f>
        <v>Charlotte</v>
      </c>
      <c r="N99" s="174" t="str">
        <f>'Team 1'!G96</f>
        <v>Skinner</v>
      </c>
      <c r="O99" s="175" t="str">
        <f t="shared" si="20"/>
        <v>Charlotte Skinner</v>
      </c>
      <c r="P99" s="176"/>
      <c r="Q99" s="1104"/>
      <c r="R99" s="1105"/>
      <c r="S99" s="174" t="str">
        <f>'Team 2'!F96</f>
        <v>Madeleine</v>
      </c>
      <c r="T99" s="174" t="str">
        <f>'Team 2'!G96</f>
        <v>Bailiss</v>
      </c>
      <c r="U99" s="175" t="str">
        <f t="shared" si="21"/>
        <v>Madeleine Bailiss</v>
      </c>
      <c r="V99" s="175"/>
      <c r="W99" s="1104"/>
      <c r="X99" s="1105"/>
      <c r="Y99" s="174" t="str">
        <f>'Team 3'!F96</f>
        <v>Charlotte</v>
      </c>
      <c r="Z99" s="174" t="str">
        <f>'Team 3'!G96</f>
        <v>Brakenbury</v>
      </c>
      <c r="AA99" s="175" t="str">
        <f t="shared" si="22"/>
        <v>Charlotte Brakenbury</v>
      </c>
      <c r="AB99" s="175"/>
      <c r="AC99" s="1104"/>
      <c r="AD99" s="1105"/>
      <c r="AE99" s="174" t="str">
        <f>'Team 4'!F96</f>
        <v>HANNAH</v>
      </c>
      <c r="AF99" s="174" t="str">
        <f>'Team 4'!G96</f>
        <v>BOLTON</v>
      </c>
      <c r="AG99" s="175" t="str">
        <f t="shared" si="23"/>
        <v>HANNAH BOLTON</v>
      </c>
      <c r="AH99" s="174"/>
      <c r="AI99" s="1104"/>
      <c r="AJ99" s="1105"/>
      <c r="AK99" s="174" t="str">
        <f>'Team 5'!F96</f>
        <v>Marcie</v>
      </c>
      <c r="AL99" s="174" t="str">
        <f>'Team 5'!G96</f>
        <v>Aley</v>
      </c>
      <c r="AM99" s="175" t="str">
        <f t="shared" si="24"/>
        <v>Marcie Aley</v>
      </c>
      <c r="AN99" s="175"/>
      <c r="AO99" s="1104"/>
      <c r="AP99" s="1105"/>
      <c r="AQ99" s="177" t="str">
        <f>'Team 6'!F96</f>
        <v>Hannah</v>
      </c>
      <c r="AR99" s="177" t="str">
        <f>'Team 6'!G96</f>
        <v>Barrios</v>
      </c>
      <c r="AS99" s="175" t="str">
        <f t="shared" si="25"/>
        <v>Hannah Barrios</v>
      </c>
      <c r="AT99" s="175"/>
      <c r="AU99" s="1104"/>
      <c r="AV99" s="1105"/>
      <c r="AW99" s="177" t="str">
        <f>'Team 7'!F96</f>
        <v>Kayla</v>
      </c>
      <c r="AX99" s="177" t="str">
        <f>'Team 7'!G96</f>
        <v>Van Zyl</v>
      </c>
      <c r="AY99" s="175" t="str">
        <f t="shared" si="26"/>
        <v>Kayla Van Zyl</v>
      </c>
      <c r="AZ99" s="175"/>
      <c r="BA99" s="1104"/>
      <c r="BB99" s="1105"/>
      <c r="BC99" s="177">
        <f>'Team 8'!F96</f>
        <v>0</v>
      </c>
      <c r="BD99" s="177">
        <f>'Team 8'!G96</f>
        <v>0</v>
      </c>
      <c r="BE99" s="175" t="str">
        <f t="shared" si="27"/>
        <v>0 0</v>
      </c>
      <c r="BF99" s="175"/>
      <c r="BG99" s="1104"/>
      <c r="BH99" s="1105"/>
      <c r="BI99" s="177">
        <f>'Team 9'!F96</f>
        <v>0</v>
      </c>
      <c r="BJ99" s="177">
        <f>'Team 9'!G96</f>
        <v>0</v>
      </c>
      <c r="BK99" s="175" t="str">
        <f t="shared" si="28"/>
        <v>0 0</v>
      </c>
      <c r="BL99" s="175"/>
      <c r="BM99" s="1104"/>
      <c r="BN99" s="1105"/>
      <c r="BO99" s="177">
        <f>'Team 10'!F96</f>
        <v>0</v>
      </c>
      <c r="BP99" s="177">
        <f>'Team 10'!G96</f>
        <v>0</v>
      </c>
      <c r="BQ99" s="175" t="str">
        <f t="shared" si="29"/>
        <v>0 0</v>
      </c>
      <c r="BR99" s="175"/>
      <c r="BS99" s="204"/>
      <c r="BT99" s="205"/>
    </row>
    <row r="100" spans="1:72" s="197" customFormat="1" ht="21" customHeight="1" x14ac:dyDescent="0.3">
      <c r="A100" s="192"/>
      <c r="B100" s="192"/>
      <c r="C100" s="192"/>
      <c r="D100" s="192"/>
      <c r="E100" s="192"/>
      <c r="F100" s="192"/>
      <c r="G100" s="192"/>
      <c r="H100" s="192"/>
      <c r="J100" s="203"/>
      <c r="K100" s="1104"/>
      <c r="L100" s="1105"/>
      <c r="M100" s="174" t="str">
        <f>'Team 1'!F97</f>
        <v>Maja</v>
      </c>
      <c r="N100" s="174" t="str">
        <f>'Team 1'!G97</f>
        <v>Grzybek</v>
      </c>
      <c r="O100" s="175" t="str">
        <f t="shared" si="20"/>
        <v>Maja Grzybek</v>
      </c>
      <c r="P100" s="176"/>
      <c r="Q100" s="1104"/>
      <c r="R100" s="1105"/>
      <c r="S100" s="174" t="str">
        <f>'Team 2'!F97</f>
        <v>Sophie</v>
      </c>
      <c r="T100" s="174" t="str">
        <f>'Team 2'!G97</f>
        <v>Lyon</v>
      </c>
      <c r="U100" s="175" t="str">
        <f t="shared" si="21"/>
        <v>Sophie Lyon</v>
      </c>
      <c r="V100" s="175"/>
      <c r="W100" s="1104"/>
      <c r="X100" s="1105"/>
      <c r="Y100" s="174" t="str">
        <f>'Team 3'!F97</f>
        <v>Isabel</v>
      </c>
      <c r="Z100" s="174" t="str">
        <f>'Team 3'!G97</f>
        <v>Mullings</v>
      </c>
      <c r="AA100" s="175" t="str">
        <f t="shared" si="22"/>
        <v>Isabel Mullings</v>
      </c>
      <c r="AB100" s="175"/>
      <c r="AC100" s="1104"/>
      <c r="AD100" s="1105"/>
      <c r="AE100" s="174" t="str">
        <f>'Team 4'!F97</f>
        <v>AMBER</v>
      </c>
      <c r="AF100" s="174" t="str">
        <f>'Team 4'!G97</f>
        <v>CURTIS</v>
      </c>
      <c r="AG100" s="175" t="str">
        <f t="shared" si="23"/>
        <v>AMBER CURTIS</v>
      </c>
      <c r="AH100" s="174"/>
      <c r="AI100" s="1104"/>
      <c r="AJ100" s="1105"/>
      <c r="AK100" s="174" t="str">
        <f>'Team 5'!F97</f>
        <v>Isabelle</v>
      </c>
      <c r="AL100" s="174" t="str">
        <f>'Team 5'!G97</f>
        <v>Talbot</v>
      </c>
      <c r="AM100" s="175" t="str">
        <f t="shared" si="24"/>
        <v>Isabelle Talbot</v>
      </c>
      <c r="AN100" s="175"/>
      <c r="AO100" s="1104"/>
      <c r="AP100" s="1105"/>
      <c r="AQ100" s="177" t="str">
        <f>'Team 6'!F97</f>
        <v>Laura</v>
      </c>
      <c r="AR100" s="177" t="str">
        <f>'Team 6'!G97</f>
        <v>Leksander</v>
      </c>
      <c r="AS100" s="175" t="str">
        <f t="shared" si="25"/>
        <v>Laura Leksander</v>
      </c>
      <c r="AT100" s="175"/>
      <c r="AU100" s="1104"/>
      <c r="AV100" s="1105"/>
      <c r="AW100" s="177" t="str">
        <f>'Team 7'!F97</f>
        <v>Jessica</v>
      </c>
      <c r="AX100" s="177" t="str">
        <f>'Team 7'!G97</f>
        <v>Sharp</v>
      </c>
      <c r="AY100" s="175" t="str">
        <f t="shared" si="26"/>
        <v>Jessica Sharp</v>
      </c>
      <c r="AZ100" s="175"/>
      <c r="BA100" s="1104"/>
      <c r="BB100" s="1105"/>
      <c r="BC100" s="177">
        <f>'Team 8'!F97</f>
        <v>0</v>
      </c>
      <c r="BD100" s="177">
        <f>'Team 8'!G97</f>
        <v>0</v>
      </c>
      <c r="BE100" s="175" t="str">
        <f t="shared" si="27"/>
        <v>0 0</v>
      </c>
      <c r="BF100" s="175"/>
      <c r="BG100" s="1104"/>
      <c r="BH100" s="1105"/>
      <c r="BI100" s="177">
        <f>'Team 9'!F97</f>
        <v>0</v>
      </c>
      <c r="BJ100" s="177">
        <f>'Team 9'!G97</f>
        <v>0</v>
      </c>
      <c r="BK100" s="175" t="str">
        <f t="shared" si="28"/>
        <v>0 0</v>
      </c>
      <c r="BL100" s="175"/>
      <c r="BM100" s="1104"/>
      <c r="BN100" s="1105"/>
      <c r="BO100" s="177">
        <f>'Team 10'!F97</f>
        <v>0</v>
      </c>
      <c r="BP100" s="177">
        <f>'Team 10'!G97</f>
        <v>0</v>
      </c>
      <c r="BQ100" s="175" t="str">
        <f t="shared" si="29"/>
        <v>0 0</v>
      </c>
      <c r="BR100" s="175"/>
      <c r="BS100" s="204"/>
      <c r="BT100" s="205"/>
    </row>
    <row r="101" spans="1:72" s="197" customFormat="1" ht="21" customHeight="1" x14ac:dyDescent="0.3">
      <c r="A101" s="192"/>
      <c r="B101" s="192"/>
      <c r="C101" s="192"/>
      <c r="D101" s="192"/>
      <c r="E101" s="192"/>
      <c r="F101" s="192"/>
      <c r="G101" s="192"/>
      <c r="H101" s="192"/>
      <c r="J101" s="203"/>
      <c r="K101" s="1106">
        <v>50</v>
      </c>
      <c r="L101" s="1107" t="s">
        <v>4378</v>
      </c>
      <c r="M101" s="174" t="str">
        <f>'Team 1'!F98</f>
        <v>Michael</v>
      </c>
      <c r="N101" s="174" t="str">
        <f>'Team 1'!G98</f>
        <v>Manassero</v>
      </c>
      <c r="O101" s="175" t="str">
        <f t="shared" si="20"/>
        <v>Michael Manassero</v>
      </c>
      <c r="P101" s="176"/>
      <c r="Q101" s="1106">
        <v>50</v>
      </c>
      <c r="R101" s="1107" t="s">
        <v>4378</v>
      </c>
      <c r="S101" s="174" t="str">
        <f>'Team 2'!F98</f>
        <v>Harry</v>
      </c>
      <c r="T101" s="174" t="str">
        <f>'Team 2'!G98</f>
        <v>Chapman</v>
      </c>
      <c r="U101" s="175" t="str">
        <f t="shared" si="21"/>
        <v>Harry Chapman</v>
      </c>
      <c r="V101" s="175"/>
      <c r="W101" s="1106">
        <v>50</v>
      </c>
      <c r="X101" s="1107" t="s">
        <v>4378</v>
      </c>
      <c r="Y101" s="174" t="str">
        <f>'Team 3'!F98</f>
        <v>Luke</v>
      </c>
      <c r="Z101" s="174" t="str">
        <f>'Team 3'!G98</f>
        <v>Morley</v>
      </c>
      <c r="AA101" s="175" t="str">
        <f t="shared" si="22"/>
        <v>Luke Morley</v>
      </c>
      <c r="AB101" s="175"/>
      <c r="AC101" s="1106">
        <v>50</v>
      </c>
      <c r="AD101" s="1107" t="s">
        <v>4378</v>
      </c>
      <c r="AE101" s="174" t="str">
        <f>'Team 4'!F98</f>
        <v>MATTHEW</v>
      </c>
      <c r="AF101" s="174" t="str">
        <f>'Team 4'!G98</f>
        <v>MASTERS</v>
      </c>
      <c r="AG101" s="175" t="str">
        <f t="shared" si="23"/>
        <v>MATTHEW MASTERS</v>
      </c>
      <c r="AH101" s="174"/>
      <c r="AI101" s="1106">
        <v>50</v>
      </c>
      <c r="AJ101" s="1107" t="s">
        <v>4378</v>
      </c>
      <c r="AK101" s="174" t="str">
        <f>'Team 5'!F98</f>
        <v>Matthew</v>
      </c>
      <c r="AL101" s="174" t="str">
        <f>'Team 5'!G98</f>
        <v>Pack</v>
      </c>
      <c r="AM101" s="175" t="str">
        <f t="shared" si="24"/>
        <v>Matthew Pack</v>
      </c>
      <c r="AN101" s="175"/>
      <c r="AO101" s="1106">
        <v>50</v>
      </c>
      <c r="AP101" s="1107" t="s">
        <v>4378</v>
      </c>
      <c r="AQ101" s="177" t="str">
        <f>'Team 6'!F98</f>
        <v>Razvan</v>
      </c>
      <c r="AR101" s="177" t="str">
        <f>'Team 6'!G98</f>
        <v>Lembac</v>
      </c>
      <c r="AS101" s="175" t="str">
        <f t="shared" si="25"/>
        <v>Razvan Lembac</v>
      </c>
      <c r="AT101" s="175"/>
      <c r="AU101" s="1106">
        <v>50</v>
      </c>
      <c r="AV101" s="1107" t="s">
        <v>4378</v>
      </c>
      <c r="AW101" s="177" t="str">
        <f>'Team 7'!F98</f>
        <v>Andrew</v>
      </c>
      <c r="AX101" s="177" t="str">
        <f>'Team 7'!G98</f>
        <v>May</v>
      </c>
      <c r="AY101" s="175" t="str">
        <f t="shared" si="26"/>
        <v>Andrew May</v>
      </c>
      <c r="AZ101" s="175"/>
      <c r="BA101" s="1106">
        <v>50</v>
      </c>
      <c r="BB101" s="1107" t="s">
        <v>4378</v>
      </c>
      <c r="BC101" s="177">
        <f>'Team 8'!F98</f>
        <v>0</v>
      </c>
      <c r="BD101" s="177">
        <f>'Team 8'!G98</f>
        <v>0</v>
      </c>
      <c r="BE101" s="175" t="str">
        <f t="shared" si="27"/>
        <v>0 0</v>
      </c>
      <c r="BF101" s="175"/>
      <c r="BG101" s="1106">
        <v>50</v>
      </c>
      <c r="BH101" s="1107" t="s">
        <v>4378</v>
      </c>
      <c r="BI101" s="177">
        <f>'Team 9'!F98</f>
        <v>0</v>
      </c>
      <c r="BJ101" s="177">
        <f>'Team 9'!G98</f>
        <v>0</v>
      </c>
      <c r="BK101" s="175" t="str">
        <f t="shared" si="28"/>
        <v>0 0</v>
      </c>
      <c r="BL101" s="175"/>
      <c r="BM101" s="1106">
        <v>50</v>
      </c>
      <c r="BN101" s="1107" t="s">
        <v>4378</v>
      </c>
      <c r="BO101" s="177">
        <f>'Team 10'!F98</f>
        <v>0</v>
      </c>
      <c r="BP101" s="177">
        <f>'Team 10'!G98</f>
        <v>0</v>
      </c>
      <c r="BQ101" s="175" t="str">
        <f t="shared" si="29"/>
        <v>0 0</v>
      </c>
      <c r="BR101" s="175"/>
      <c r="BS101" s="204"/>
      <c r="BT101" s="205"/>
    </row>
    <row r="102" spans="1:72" s="197" customFormat="1" ht="21" customHeight="1" x14ac:dyDescent="0.3">
      <c r="A102" s="192"/>
      <c r="B102" s="192"/>
      <c r="C102" s="192"/>
      <c r="D102" s="192"/>
      <c r="E102" s="192"/>
      <c r="F102" s="192"/>
      <c r="G102" s="192"/>
      <c r="H102" s="192"/>
      <c r="J102" s="203"/>
      <c r="K102" s="1106"/>
      <c r="L102" s="1107"/>
      <c r="M102" s="174" t="str">
        <f>'Team 1'!F99</f>
        <v>Yigit</v>
      </c>
      <c r="N102" s="174" t="str">
        <f>'Team 1'!G99</f>
        <v>Ilhan</v>
      </c>
      <c r="O102" s="175" t="str">
        <f t="shared" si="20"/>
        <v>Yigit Ilhan</v>
      </c>
      <c r="P102" s="176"/>
      <c r="Q102" s="1106"/>
      <c r="R102" s="1107"/>
      <c r="S102" s="174" t="str">
        <f>'Team 2'!F99</f>
        <v>Matthew</v>
      </c>
      <c r="T102" s="174" t="str">
        <f>'Team 2'!G99</f>
        <v>Costello</v>
      </c>
      <c r="U102" s="175" t="str">
        <f t="shared" si="21"/>
        <v>Matthew Costello</v>
      </c>
      <c r="V102" s="175"/>
      <c r="W102" s="1106"/>
      <c r="X102" s="1107"/>
      <c r="Y102" s="174" t="str">
        <f>'Team 3'!F99</f>
        <v>Ethan</v>
      </c>
      <c r="Z102" s="174" t="str">
        <f>'Team 3'!G99</f>
        <v>Saldanha</v>
      </c>
      <c r="AA102" s="175" t="str">
        <f t="shared" si="22"/>
        <v>Ethan Saldanha</v>
      </c>
      <c r="AB102" s="175"/>
      <c r="AC102" s="1106"/>
      <c r="AD102" s="1107"/>
      <c r="AE102" s="174" t="str">
        <f>'Team 4'!F99</f>
        <v>ELLIS</v>
      </c>
      <c r="AF102" s="174" t="str">
        <f>'Team 4'!G99</f>
        <v>BUNCE</v>
      </c>
      <c r="AG102" s="175" t="str">
        <f t="shared" si="23"/>
        <v>ELLIS BUNCE</v>
      </c>
      <c r="AH102" s="174"/>
      <c r="AI102" s="1106"/>
      <c r="AJ102" s="1107"/>
      <c r="AK102" s="174" t="str">
        <f>'Team 5'!F99</f>
        <v>Oliver</v>
      </c>
      <c r="AL102" s="174" t="str">
        <f>'Team 5'!G99</f>
        <v>Murray</v>
      </c>
      <c r="AM102" s="175" t="str">
        <f t="shared" si="24"/>
        <v>Oliver Murray</v>
      </c>
      <c r="AN102" s="175"/>
      <c r="AO102" s="1106"/>
      <c r="AP102" s="1107"/>
      <c r="AQ102" s="177" t="str">
        <f>'Team 6'!F99</f>
        <v>Dawid</v>
      </c>
      <c r="AR102" s="177" t="str">
        <f>'Team 6'!G99</f>
        <v>Otulak</v>
      </c>
      <c r="AS102" s="175" t="str">
        <f t="shared" si="25"/>
        <v>Dawid Otulak</v>
      </c>
      <c r="AT102" s="175"/>
      <c r="AU102" s="1106"/>
      <c r="AV102" s="1107"/>
      <c r="AW102" s="177" t="str">
        <f>'Team 7'!F99</f>
        <v>Adam</v>
      </c>
      <c r="AX102" s="177" t="str">
        <f>'Team 7'!G99</f>
        <v>Zoubiri</v>
      </c>
      <c r="AY102" s="175" t="str">
        <f t="shared" si="26"/>
        <v>Adam Zoubiri</v>
      </c>
      <c r="AZ102" s="175"/>
      <c r="BA102" s="1106"/>
      <c r="BB102" s="1107"/>
      <c r="BC102" s="177">
        <f>'Team 8'!F99</f>
        <v>0</v>
      </c>
      <c r="BD102" s="177">
        <f>'Team 8'!G99</f>
        <v>0</v>
      </c>
      <c r="BE102" s="175" t="str">
        <f t="shared" si="27"/>
        <v>0 0</v>
      </c>
      <c r="BF102" s="175"/>
      <c r="BG102" s="1106"/>
      <c r="BH102" s="1107"/>
      <c r="BI102" s="177">
        <f>'Team 9'!F99</f>
        <v>0</v>
      </c>
      <c r="BJ102" s="177">
        <f>'Team 9'!G99</f>
        <v>0</v>
      </c>
      <c r="BK102" s="175" t="str">
        <f t="shared" si="28"/>
        <v>0 0</v>
      </c>
      <c r="BL102" s="175"/>
      <c r="BM102" s="1106"/>
      <c r="BN102" s="1107"/>
      <c r="BO102" s="177">
        <f>'Team 10'!F99</f>
        <v>0</v>
      </c>
      <c r="BP102" s="177">
        <f>'Team 10'!G99</f>
        <v>0</v>
      </c>
      <c r="BQ102" s="175" t="str">
        <f t="shared" si="29"/>
        <v>0 0</v>
      </c>
      <c r="BR102" s="175"/>
      <c r="BS102" s="204" t="str">
        <f>CONCATENATE('Team 1'!$F98, " ",'Team 1'!$G98)</f>
        <v>Michael Manassero</v>
      </c>
      <c r="BT102" s="205" t="str">
        <f>CONCATENATE('Team 1'!$F99, " ",'Team 1'!$G99)</f>
        <v>Yigit Ilhan</v>
      </c>
    </row>
    <row r="103" spans="1:72" s="197" customFormat="1" ht="21" customHeight="1" x14ac:dyDescent="0.3">
      <c r="A103" s="192"/>
      <c r="B103" s="192"/>
      <c r="C103" s="192"/>
      <c r="D103" s="192"/>
      <c r="E103" s="192"/>
      <c r="F103" s="192"/>
      <c r="G103" s="192"/>
      <c r="H103" s="192"/>
      <c r="J103" s="203"/>
      <c r="K103" s="1106"/>
      <c r="L103" s="1107"/>
      <c r="M103" s="174" t="str">
        <f>'Team 1'!F100</f>
        <v>James</v>
      </c>
      <c r="N103" s="174" t="str">
        <f>'Team 1'!G100</f>
        <v>Smeaton</v>
      </c>
      <c r="O103" s="175" t="str">
        <f t="shared" ref="O103:O112" si="30">CONCATENATE(M103, " ",N103)</f>
        <v>James Smeaton</v>
      </c>
      <c r="P103" s="176"/>
      <c r="Q103" s="1106"/>
      <c r="R103" s="1107"/>
      <c r="S103" s="174" t="str">
        <f>'Team 2'!F100</f>
        <v>Samuel</v>
      </c>
      <c r="T103" s="174" t="str">
        <f>'Team 2'!G100</f>
        <v>Heraty</v>
      </c>
      <c r="U103" s="175" t="str">
        <f t="shared" ref="U103:U112" si="31">CONCATENATE(S103, " ",T103)</f>
        <v>Samuel Heraty</v>
      </c>
      <c r="V103" s="175"/>
      <c r="W103" s="1106"/>
      <c r="X103" s="1107"/>
      <c r="Y103" s="174" t="str">
        <f>'Team 3'!F100</f>
        <v>Charlie</v>
      </c>
      <c r="Z103" s="174" t="str">
        <f>'Team 3'!G100</f>
        <v>Cropley</v>
      </c>
      <c r="AA103" s="175" t="str">
        <f t="shared" ref="AA103:AA112" si="32">CONCATENATE(Y103, " ",Z103)</f>
        <v>Charlie Cropley</v>
      </c>
      <c r="AB103" s="175"/>
      <c r="AC103" s="1106"/>
      <c r="AD103" s="1107"/>
      <c r="AE103" s="174" t="str">
        <f>'Team 4'!F100</f>
        <v>CHARLIE</v>
      </c>
      <c r="AF103" s="174" t="str">
        <f>'Team 4'!G100</f>
        <v>STARSMORE</v>
      </c>
      <c r="AG103" s="175" t="str">
        <f t="shared" ref="AG103:AG112" si="33">CONCATENATE(AE103, " ",AF103)</f>
        <v>CHARLIE STARSMORE</v>
      </c>
      <c r="AH103" s="174"/>
      <c r="AI103" s="1106"/>
      <c r="AJ103" s="1107"/>
      <c r="AK103" s="174" t="str">
        <f>'Team 5'!F100</f>
        <v>Daniel</v>
      </c>
      <c r="AL103" s="174" t="str">
        <f>'Team 5'!G100</f>
        <v>Parker</v>
      </c>
      <c r="AM103" s="175" t="str">
        <f t="shared" ref="AM103:AM112" si="34">CONCATENATE(AK103, " ",AL103)</f>
        <v>Daniel Parker</v>
      </c>
      <c r="AN103" s="175"/>
      <c r="AO103" s="1106"/>
      <c r="AP103" s="1107"/>
      <c r="AQ103" s="177" t="str">
        <f>'Team 6'!F100</f>
        <v>Shanil</v>
      </c>
      <c r="AR103" s="177" t="str">
        <f>'Team 6'!G100</f>
        <v>Ramaiya</v>
      </c>
      <c r="AS103" s="175" t="str">
        <f t="shared" ref="AS103:AS112" si="35">CONCATENATE(AQ103, " ",AR103)</f>
        <v>Shanil Ramaiya</v>
      </c>
      <c r="AT103" s="175"/>
      <c r="AU103" s="1106"/>
      <c r="AV103" s="1107"/>
      <c r="AW103" s="177" t="str">
        <f>'Team 7'!F100</f>
        <v>Liam</v>
      </c>
      <c r="AX103" s="177" t="str">
        <f>'Team 7'!G100</f>
        <v>Treanor</v>
      </c>
      <c r="AY103" s="175" t="str">
        <f t="shared" ref="AY103:AY112" si="36">CONCATENATE(AW103, " ",AX103)</f>
        <v>Liam Treanor</v>
      </c>
      <c r="AZ103" s="175"/>
      <c r="BA103" s="1106"/>
      <c r="BB103" s="1107"/>
      <c r="BC103" s="177">
        <f>'Team 8'!F100</f>
        <v>0</v>
      </c>
      <c r="BD103" s="177">
        <f>'Team 8'!G100</f>
        <v>0</v>
      </c>
      <c r="BE103" s="175" t="str">
        <f t="shared" ref="BE103:BE112" si="37">CONCATENATE(BC103, " ",BD103)</f>
        <v>0 0</v>
      </c>
      <c r="BF103" s="175"/>
      <c r="BG103" s="1106"/>
      <c r="BH103" s="1107"/>
      <c r="BI103" s="177">
        <f>'Team 9'!F100</f>
        <v>0</v>
      </c>
      <c r="BJ103" s="177">
        <f>'Team 9'!G100</f>
        <v>0</v>
      </c>
      <c r="BK103" s="175" t="str">
        <f t="shared" ref="BK103:BK112" si="38">CONCATENATE(BI103, " ",BJ103)</f>
        <v>0 0</v>
      </c>
      <c r="BL103" s="175"/>
      <c r="BM103" s="1106"/>
      <c r="BN103" s="1107"/>
      <c r="BO103" s="177">
        <f>'Team 10'!F100</f>
        <v>0</v>
      </c>
      <c r="BP103" s="177">
        <f>'Team 10'!G100</f>
        <v>0</v>
      </c>
      <c r="BQ103" s="175" t="str">
        <f t="shared" ref="BQ103:BQ112" si="39">CONCATENATE(BO103, " ",BP103)</f>
        <v>0 0</v>
      </c>
      <c r="BR103" s="175"/>
      <c r="BS103" s="204" t="str">
        <f>CONCATENATE('Team 1'!$F100, " ",'Team 1'!$G100)</f>
        <v>James Smeaton</v>
      </c>
      <c r="BT103" s="205" t="str">
        <f>CONCATENATE('Team 1'!$F101, " ",'Team 1'!$G101)</f>
        <v>Gabriel Bhonsle</v>
      </c>
    </row>
    <row r="104" spans="1:72" s="197" customFormat="1" ht="21" customHeight="1" x14ac:dyDescent="0.3">
      <c r="A104" s="192"/>
      <c r="B104" s="192"/>
      <c r="C104" s="192"/>
      <c r="D104" s="192"/>
      <c r="E104" s="192"/>
      <c r="F104" s="192"/>
      <c r="G104" s="192"/>
      <c r="H104" s="192"/>
      <c r="J104" s="203"/>
      <c r="K104" s="1106"/>
      <c r="L104" s="1107"/>
      <c r="M104" s="174" t="str">
        <f>'Team 1'!F101</f>
        <v>Gabriel</v>
      </c>
      <c r="N104" s="174" t="str">
        <f>'Team 1'!G101</f>
        <v>Bhonsle</v>
      </c>
      <c r="O104" s="175" t="str">
        <f t="shared" si="30"/>
        <v>Gabriel Bhonsle</v>
      </c>
      <c r="P104" s="176"/>
      <c r="Q104" s="1106"/>
      <c r="R104" s="1107"/>
      <c r="S104" s="174" t="str">
        <f>'Team 2'!F101</f>
        <v>Daniel</v>
      </c>
      <c r="T104" s="174" t="str">
        <f>'Team 2'!G101</f>
        <v>Humphreys</v>
      </c>
      <c r="U104" s="175" t="str">
        <f t="shared" si="31"/>
        <v>Daniel Humphreys</v>
      </c>
      <c r="V104" s="175"/>
      <c r="W104" s="1106"/>
      <c r="X104" s="1107"/>
      <c r="Y104" s="174" t="str">
        <f>'Team 3'!F101</f>
        <v>George</v>
      </c>
      <c r="Z104" s="174" t="str">
        <f>'Team 3'!G101</f>
        <v>Lovelock</v>
      </c>
      <c r="AA104" s="175" t="str">
        <f t="shared" si="32"/>
        <v>George Lovelock</v>
      </c>
      <c r="AB104" s="175"/>
      <c r="AC104" s="1106"/>
      <c r="AD104" s="1107"/>
      <c r="AE104" s="174" t="str">
        <f>'Team 4'!F101</f>
        <v>MAX</v>
      </c>
      <c r="AF104" s="174" t="str">
        <f>'Team 4'!G101</f>
        <v>WALLER</v>
      </c>
      <c r="AG104" s="175" t="str">
        <f t="shared" si="33"/>
        <v>MAX WALLER</v>
      </c>
      <c r="AH104" s="174"/>
      <c r="AI104" s="1106"/>
      <c r="AJ104" s="1107"/>
      <c r="AK104" s="174" t="str">
        <f>'Team 5'!F101</f>
        <v>Jamie</v>
      </c>
      <c r="AL104" s="174" t="str">
        <f>'Team 5'!G101</f>
        <v>Hartnup</v>
      </c>
      <c r="AM104" s="175" t="str">
        <f t="shared" si="34"/>
        <v>Jamie Hartnup</v>
      </c>
      <c r="AN104" s="175"/>
      <c r="AO104" s="1106"/>
      <c r="AP104" s="1107"/>
      <c r="AQ104" s="177" t="str">
        <f>'Team 6'!F101</f>
        <v>Owen</v>
      </c>
      <c r="AR104" s="177" t="str">
        <f>'Team 6'!G101</f>
        <v>Roberts</v>
      </c>
      <c r="AS104" s="175" t="str">
        <f t="shared" si="35"/>
        <v>Owen Roberts</v>
      </c>
      <c r="AT104" s="175"/>
      <c r="AU104" s="1106"/>
      <c r="AV104" s="1107"/>
      <c r="AW104" s="177" t="str">
        <f>'Team 7'!F101</f>
        <v>Aaron</v>
      </c>
      <c r="AX104" s="177" t="str">
        <f>'Team 7'!G101</f>
        <v>Skinner</v>
      </c>
      <c r="AY104" s="175" t="str">
        <f t="shared" si="36"/>
        <v>Aaron Skinner</v>
      </c>
      <c r="AZ104" s="175"/>
      <c r="BA104" s="1106"/>
      <c r="BB104" s="1107"/>
      <c r="BC104" s="177">
        <f>'Team 8'!F101</f>
        <v>0</v>
      </c>
      <c r="BD104" s="177">
        <f>'Team 8'!G101</f>
        <v>0</v>
      </c>
      <c r="BE104" s="175" t="str">
        <f t="shared" si="37"/>
        <v>0 0</v>
      </c>
      <c r="BF104" s="175"/>
      <c r="BG104" s="1106"/>
      <c r="BH104" s="1107"/>
      <c r="BI104" s="177">
        <f>'Team 9'!F101</f>
        <v>0</v>
      </c>
      <c r="BJ104" s="177">
        <f>'Team 9'!G101</f>
        <v>0</v>
      </c>
      <c r="BK104" s="175" t="str">
        <f t="shared" si="38"/>
        <v>0 0</v>
      </c>
      <c r="BL104" s="175"/>
      <c r="BM104" s="1106"/>
      <c r="BN104" s="1107"/>
      <c r="BO104" s="177">
        <f>'Team 10'!F101</f>
        <v>0</v>
      </c>
      <c r="BP104" s="177">
        <f>'Team 10'!G101</f>
        <v>0</v>
      </c>
      <c r="BQ104" s="175" t="str">
        <f t="shared" si="39"/>
        <v>0 0</v>
      </c>
      <c r="BR104" s="175"/>
      <c r="BS104" s="204"/>
      <c r="BT104" s="205"/>
    </row>
    <row r="105" spans="1:72" s="197" customFormat="1" ht="21" customHeight="1" x14ac:dyDescent="0.3">
      <c r="A105" s="192"/>
      <c r="B105" s="192"/>
      <c r="C105" s="192"/>
      <c r="D105" s="192"/>
      <c r="E105" s="192"/>
      <c r="F105" s="192"/>
      <c r="G105" s="192"/>
      <c r="H105" s="192"/>
      <c r="J105" s="203"/>
      <c r="K105" s="1104">
        <v>51</v>
      </c>
      <c r="L105" s="1105" t="s">
        <v>4379</v>
      </c>
      <c r="M105" s="174" t="str">
        <f>'Team 1'!F102</f>
        <v>Claudia</v>
      </c>
      <c r="N105" s="174" t="str">
        <f>'Team 1'!G102</f>
        <v>Savov</v>
      </c>
      <c r="O105" s="175" t="str">
        <f t="shared" si="30"/>
        <v>Claudia Savov</v>
      </c>
      <c r="P105" s="176"/>
      <c r="Q105" s="1104">
        <v>51</v>
      </c>
      <c r="R105" s="1105" t="s">
        <v>4379</v>
      </c>
      <c r="S105" s="174" t="str">
        <f>'Team 2'!F102</f>
        <v>Harry</v>
      </c>
      <c r="T105" s="174" t="str">
        <f>'Team 2'!G102</f>
        <v>Chapman</v>
      </c>
      <c r="U105" s="175" t="str">
        <f t="shared" si="31"/>
        <v>Harry Chapman</v>
      </c>
      <c r="V105" s="175"/>
      <c r="W105" s="1104">
        <v>51</v>
      </c>
      <c r="X105" s="1105" t="s">
        <v>4379</v>
      </c>
      <c r="Y105" s="174" t="str">
        <f>'Team 3'!F102</f>
        <v>Luke</v>
      </c>
      <c r="Z105" s="174" t="str">
        <f>'Team 3'!G102</f>
        <v>Morley</v>
      </c>
      <c r="AA105" s="175" t="str">
        <f t="shared" si="32"/>
        <v>Luke Morley</v>
      </c>
      <c r="AB105" s="175"/>
      <c r="AC105" s="1104">
        <v>51</v>
      </c>
      <c r="AD105" s="1105" t="s">
        <v>4379</v>
      </c>
      <c r="AE105" s="174" t="str">
        <f>'Team 4'!F102</f>
        <v>CHARLES</v>
      </c>
      <c r="AF105" s="174" t="str">
        <f>'Team 4'!G102</f>
        <v>RAINES</v>
      </c>
      <c r="AG105" s="175" t="str">
        <f t="shared" si="33"/>
        <v>CHARLES RAINES</v>
      </c>
      <c r="AH105" s="174"/>
      <c r="AI105" s="1104">
        <v>51</v>
      </c>
      <c r="AJ105" s="1105" t="s">
        <v>4379</v>
      </c>
      <c r="AK105" s="174" t="str">
        <f>'Team 5'!F102</f>
        <v>Esmee</v>
      </c>
      <c r="AL105" s="174" t="str">
        <f>'Team 5'!G102</f>
        <v>Reeve</v>
      </c>
      <c r="AM105" s="175" t="str">
        <f t="shared" si="34"/>
        <v>Esmee Reeve</v>
      </c>
      <c r="AN105" s="175"/>
      <c r="AO105" s="1104">
        <v>51</v>
      </c>
      <c r="AP105" s="1105" t="s">
        <v>4379</v>
      </c>
      <c r="AQ105" s="177" t="str">
        <f>'Team 6'!F102</f>
        <v>Miraya</v>
      </c>
      <c r="AR105" s="177" t="str">
        <f>'Team 6'!G102</f>
        <v>Patel</v>
      </c>
      <c r="AS105" s="175" t="str">
        <f t="shared" si="35"/>
        <v>Miraya Patel</v>
      </c>
      <c r="AT105" s="175"/>
      <c r="AU105" s="1104">
        <v>51</v>
      </c>
      <c r="AV105" s="1105" t="s">
        <v>4379</v>
      </c>
      <c r="AW105" s="177" t="str">
        <f>'Team 7'!F102</f>
        <v>Aaran</v>
      </c>
      <c r="AX105" s="177" t="str">
        <f>'Team 7'!G102</f>
        <v>Parmar</v>
      </c>
      <c r="AY105" s="175" t="str">
        <f t="shared" si="36"/>
        <v>Aaran Parmar</v>
      </c>
      <c r="AZ105" s="175"/>
      <c r="BA105" s="1104">
        <v>51</v>
      </c>
      <c r="BB105" s="1105" t="s">
        <v>4379</v>
      </c>
      <c r="BC105" s="177">
        <f>'Team 8'!F102</f>
        <v>0</v>
      </c>
      <c r="BD105" s="177">
        <f>'Team 8'!G102</f>
        <v>0</v>
      </c>
      <c r="BE105" s="175" t="str">
        <f t="shared" si="37"/>
        <v>0 0</v>
      </c>
      <c r="BF105" s="175"/>
      <c r="BG105" s="1104">
        <v>51</v>
      </c>
      <c r="BH105" s="1105" t="s">
        <v>4379</v>
      </c>
      <c r="BI105" s="177">
        <f>'Team 9'!F102</f>
        <v>0</v>
      </c>
      <c r="BJ105" s="177">
        <f>'Team 9'!G102</f>
        <v>0</v>
      </c>
      <c r="BK105" s="175" t="str">
        <f t="shared" si="38"/>
        <v>0 0</v>
      </c>
      <c r="BL105" s="175"/>
      <c r="BM105" s="1104">
        <v>51</v>
      </c>
      <c r="BN105" s="1105" t="s">
        <v>4379</v>
      </c>
      <c r="BO105" s="177">
        <f>'Team 10'!F102</f>
        <v>0</v>
      </c>
      <c r="BP105" s="177">
        <f>'Team 10'!G102</f>
        <v>0</v>
      </c>
      <c r="BQ105" s="175" t="str">
        <f t="shared" si="39"/>
        <v>0 0</v>
      </c>
      <c r="BR105" s="175"/>
      <c r="BS105" s="204"/>
      <c r="BT105" s="205"/>
    </row>
    <row r="106" spans="1:72" s="197" customFormat="1" ht="21" customHeight="1" x14ac:dyDescent="0.3">
      <c r="A106" s="192"/>
      <c r="B106" s="192"/>
      <c r="C106" s="192"/>
      <c r="D106" s="192"/>
      <c r="E106" s="192"/>
      <c r="F106" s="192"/>
      <c r="G106" s="192"/>
      <c r="H106" s="192"/>
      <c r="J106" s="203"/>
      <c r="K106" s="1104"/>
      <c r="L106" s="1105"/>
      <c r="M106" s="174" t="str">
        <f>'Team 1'!F103</f>
        <v>Kornel</v>
      </c>
      <c r="N106" s="174" t="str">
        <f>'Team 1'!G103</f>
        <v>Kern-Konyar</v>
      </c>
      <c r="O106" s="175" t="str">
        <f t="shared" si="30"/>
        <v>Kornel Kern-Konyar</v>
      </c>
      <c r="P106" s="176"/>
      <c r="Q106" s="1104"/>
      <c r="R106" s="1105"/>
      <c r="S106" s="174" t="str">
        <f>'Team 2'!F103</f>
        <v>Lucy</v>
      </c>
      <c r="T106" s="174" t="str">
        <f>'Team 2'!G103</f>
        <v>Crocker</v>
      </c>
      <c r="U106" s="175" t="str">
        <f t="shared" si="31"/>
        <v>Lucy Crocker</v>
      </c>
      <c r="V106" s="175"/>
      <c r="W106" s="1104"/>
      <c r="X106" s="1105"/>
      <c r="Y106" s="174" t="str">
        <f>'Team 3'!F103</f>
        <v>Sophie</v>
      </c>
      <c r="Z106" s="174" t="str">
        <f>'Team 3'!G103</f>
        <v>Clark</v>
      </c>
      <c r="AA106" s="175" t="str">
        <f t="shared" si="32"/>
        <v>Sophie Clark</v>
      </c>
      <c r="AB106" s="175"/>
      <c r="AC106" s="1104"/>
      <c r="AD106" s="1105"/>
      <c r="AE106" s="174" t="str">
        <f>'Team 4'!F103</f>
        <v>ANNABELLA</v>
      </c>
      <c r="AF106" s="174" t="str">
        <f>'Team 4'!G103</f>
        <v>COJEEN</v>
      </c>
      <c r="AG106" s="175" t="str">
        <f t="shared" si="33"/>
        <v>ANNABELLA COJEEN</v>
      </c>
      <c r="AH106" s="174"/>
      <c r="AI106" s="1104"/>
      <c r="AJ106" s="1105"/>
      <c r="AK106" s="174" t="str">
        <f>'Team 5'!F103</f>
        <v>Megan</v>
      </c>
      <c r="AL106" s="174" t="str">
        <f>'Team 5'!G103</f>
        <v>Alexander</v>
      </c>
      <c r="AM106" s="175" t="str">
        <f t="shared" si="34"/>
        <v>Megan Alexander</v>
      </c>
      <c r="AN106" s="175"/>
      <c r="AO106" s="1104"/>
      <c r="AP106" s="1105"/>
      <c r="AQ106" s="177" t="str">
        <f>'Team 6'!F103</f>
        <v>Macsen</v>
      </c>
      <c r="AR106" s="177" t="str">
        <f>'Team 6'!G103</f>
        <v>Roberts</v>
      </c>
      <c r="AS106" s="175" t="str">
        <f t="shared" si="35"/>
        <v>Macsen Roberts</v>
      </c>
      <c r="AT106" s="175"/>
      <c r="AU106" s="1104"/>
      <c r="AV106" s="1105"/>
      <c r="AW106" s="177" t="str">
        <f>'Team 7'!F103</f>
        <v>Daniel</v>
      </c>
      <c r="AX106" s="177" t="str">
        <f>'Team 7'!G103</f>
        <v>Celi</v>
      </c>
      <c r="AY106" s="175" t="str">
        <f t="shared" si="36"/>
        <v>Daniel Celi</v>
      </c>
      <c r="AZ106" s="175"/>
      <c r="BA106" s="1104"/>
      <c r="BB106" s="1105"/>
      <c r="BC106" s="177">
        <f>'Team 8'!F103</f>
        <v>0</v>
      </c>
      <c r="BD106" s="177">
        <f>'Team 8'!G103</f>
        <v>0</v>
      </c>
      <c r="BE106" s="175" t="str">
        <f t="shared" si="37"/>
        <v>0 0</v>
      </c>
      <c r="BF106" s="175"/>
      <c r="BG106" s="1104"/>
      <c r="BH106" s="1105"/>
      <c r="BI106" s="177">
        <f>'Team 9'!F103</f>
        <v>0</v>
      </c>
      <c r="BJ106" s="177">
        <f>'Team 9'!G103</f>
        <v>0</v>
      </c>
      <c r="BK106" s="175" t="str">
        <f t="shared" si="38"/>
        <v>0 0</v>
      </c>
      <c r="BL106" s="175"/>
      <c r="BM106" s="1104"/>
      <c r="BN106" s="1105"/>
      <c r="BO106" s="177">
        <f>'Team 10'!F103</f>
        <v>0</v>
      </c>
      <c r="BP106" s="177">
        <f>'Team 10'!G103</f>
        <v>0</v>
      </c>
      <c r="BQ106" s="175" t="str">
        <f t="shared" si="39"/>
        <v>0 0</v>
      </c>
      <c r="BR106" s="175"/>
      <c r="BS106" s="204" t="str">
        <f>CONCATENATE('Team 1'!$F102, " ",'Team 1'!$G102)</f>
        <v>Claudia Savov</v>
      </c>
      <c r="BT106" s="205" t="str">
        <f>CONCATENATE('Team 1'!$F103, " ",'Team 1'!$G103)</f>
        <v>Kornel Kern-Konyar</v>
      </c>
    </row>
    <row r="107" spans="1:72" s="197" customFormat="1" ht="21" customHeight="1" x14ac:dyDescent="0.3">
      <c r="A107" s="192"/>
      <c r="B107" s="192"/>
      <c r="C107" s="192"/>
      <c r="D107" s="192"/>
      <c r="E107" s="192"/>
      <c r="F107" s="192"/>
      <c r="G107" s="192"/>
      <c r="H107" s="192"/>
      <c r="J107" s="203"/>
      <c r="K107" s="1104"/>
      <c r="L107" s="1105"/>
      <c r="M107" s="174" t="str">
        <f>'Team 1'!F104</f>
        <v>Amy</v>
      </c>
      <c r="N107" s="174" t="str">
        <f>'Team 1'!G104</f>
        <v>Hanson</v>
      </c>
      <c r="O107" s="175" t="str">
        <f t="shared" si="30"/>
        <v>Amy Hanson</v>
      </c>
      <c r="P107" s="176"/>
      <c r="Q107" s="1104"/>
      <c r="R107" s="1105"/>
      <c r="S107" s="174" t="str">
        <f>'Team 2'!F104</f>
        <v>Alexander</v>
      </c>
      <c r="T107" s="174" t="str">
        <f>'Team 2'!G104</f>
        <v>Gregory</v>
      </c>
      <c r="U107" s="175" t="str">
        <f t="shared" si="31"/>
        <v>Alexander Gregory</v>
      </c>
      <c r="V107" s="175"/>
      <c r="W107" s="1104"/>
      <c r="X107" s="1105"/>
      <c r="Y107" s="174" t="str">
        <f>'Team 3'!F104</f>
        <v xml:space="preserve">Liam </v>
      </c>
      <c r="Z107" s="174" t="str">
        <f>'Team 3'!G104</f>
        <v>Thompson</v>
      </c>
      <c r="AA107" s="175" t="str">
        <f t="shared" si="32"/>
        <v>Liam  Thompson</v>
      </c>
      <c r="AB107" s="175"/>
      <c r="AC107" s="1104"/>
      <c r="AD107" s="1105"/>
      <c r="AE107" s="174" t="str">
        <f>'Team 4'!F104</f>
        <v>JAMES</v>
      </c>
      <c r="AF107" s="174" t="str">
        <f>'Team 4'!G104</f>
        <v>MOHAMMED</v>
      </c>
      <c r="AG107" s="175" t="str">
        <f t="shared" si="33"/>
        <v>JAMES MOHAMMED</v>
      </c>
      <c r="AH107" s="174"/>
      <c r="AI107" s="1104"/>
      <c r="AJ107" s="1105"/>
      <c r="AK107" s="174" t="str">
        <f>'Team 5'!F104</f>
        <v>Poyraz</v>
      </c>
      <c r="AL107" s="174" t="str">
        <f>'Team 5'!G104</f>
        <v>Akbiyik</v>
      </c>
      <c r="AM107" s="175" t="str">
        <f t="shared" si="34"/>
        <v>Poyraz Akbiyik</v>
      </c>
      <c r="AN107" s="175"/>
      <c r="AO107" s="1104"/>
      <c r="AP107" s="1105"/>
      <c r="AQ107" s="177" t="str">
        <f>'Team 6'!F104</f>
        <v>Polina</v>
      </c>
      <c r="AR107" s="177" t="str">
        <f>'Team 6'!G104</f>
        <v>Fedorova</v>
      </c>
      <c r="AS107" s="175" t="str">
        <f t="shared" si="35"/>
        <v>Polina Fedorova</v>
      </c>
      <c r="AT107" s="175"/>
      <c r="AU107" s="1104"/>
      <c r="AV107" s="1105"/>
      <c r="AW107" s="177" t="str">
        <f>'Team 7'!F104</f>
        <v>Keira</v>
      </c>
      <c r="AX107" s="177" t="str">
        <f>'Team 7'!G104</f>
        <v>Brannigan</v>
      </c>
      <c r="AY107" s="175" t="str">
        <f t="shared" si="36"/>
        <v>Keira Brannigan</v>
      </c>
      <c r="AZ107" s="175"/>
      <c r="BA107" s="1104"/>
      <c r="BB107" s="1105"/>
      <c r="BC107" s="177">
        <f>'Team 8'!F104</f>
        <v>0</v>
      </c>
      <c r="BD107" s="177">
        <f>'Team 8'!G104</f>
        <v>0</v>
      </c>
      <c r="BE107" s="175" t="str">
        <f t="shared" si="37"/>
        <v>0 0</v>
      </c>
      <c r="BF107" s="175"/>
      <c r="BG107" s="1104"/>
      <c r="BH107" s="1105"/>
      <c r="BI107" s="177">
        <f>'Team 9'!F104</f>
        <v>0</v>
      </c>
      <c r="BJ107" s="177">
        <f>'Team 9'!G104</f>
        <v>0</v>
      </c>
      <c r="BK107" s="175" t="str">
        <f t="shared" si="38"/>
        <v>0 0</v>
      </c>
      <c r="BL107" s="175"/>
      <c r="BM107" s="1104"/>
      <c r="BN107" s="1105"/>
      <c r="BO107" s="177">
        <f>'Team 10'!F104</f>
        <v>0</v>
      </c>
      <c r="BP107" s="177">
        <f>'Team 10'!G104</f>
        <v>0</v>
      </c>
      <c r="BQ107" s="175" t="str">
        <f t="shared" si="39"/>
        <v>0 0</v>
      </c>
      <c r="BR107" s="175"/>
      <c r="BS107" s="206"/>
      <c r="BT107" s="207"/>
    </row>
    <row r="108" spans="1:72" s="197" customFormat="1" ht="21" customHeight="1" x14ac:dyDescent="0.3">
      <c r="A108" s="192"/>
      <c r="B108" s="192"/>
      <c r="C108" s="192"/>
      <c r="D108" s="192"/>
      <c r="E108" s="192"/>
      <c r="F108" s="192"/>
      <c r="G108" s="192"/>
      <c r="H108" s="192"/>
      <c r="J108" s="203"/>
      <c r="K108" s="1104"/>
      <c r="L108" s="1105"/>
      <c r="M108" s="174" t="str">
        <f>'Team 1'!F105</f>
        <v>Yigit</v>
      </c>
      <c r="N108" s="174" t="str">
        <f>'Team 1'!G105</f>
        <v>Ilhan</v>
      </c>
      <c r="O108" s="175" t="str">
        <f t="shared" si="30"/>
        <v>Yigit Ilhan</v>
      </c>
      <c r="P108" s="176"/>
      <c r="Q108" s="1104"/>
      <c r="R108" s="1105"/>
      <c r="S108" s="174" t="str">
        <f>'Team 2'!F105</f>
        <v>Sophie</v>
      </c>
      <c r="T108" s="174" t="str">
        <f>'Team 2'!G105</f>
        <v>Stelmach</v>
      </c>
      <c r="U108" s="175" t="str">
        <f t="shared" si="31"/>
        <v>Sophie Stelmach</v>
      </c>
      <c r="V108" s="175"/>
      <c r="W108" s="1104"/>
      <c r="X108" s="1105"/>
      <c r="Y108" s="174" t="str">
        <f>'Team 3'!F105</f>
        <v>Scarlett</v>
      </c>
      <c r="Z108" s="174" t="str">
        <f>'Team 3'!G105</f>
        <v>Omand</v>
      </c>
      <c r="AA108" s="175" t="str">
        <f t="shared" si="32"/>
        <v>Scarlett Omand</v>
      </c>
      <c r="AB108" s="175"/>
      <c r="AC108" s="1104"/>
      <c r="AD108" s="1105"/>
      <c r="AE108" s="174" t="str">
        <f>'Team 4'!F105</f>
        <v>RILEY</v>
      </c>
      <c r="AF108" s="174" t="str">
        <f>'Team 4'!G105</f>
        <v>BUNCE</v>
      </c>
      <c r="AG108" s="175" t="str">
        <f t="shared" si="33"/>
        <v>RILEY BUNCE</v>
      </c>
      <c r="AH108" s="174"/>
      <c r="AI108" s="1104"/>
      <c r="AJ108" s="1105"/>
      <c r="AK108" s="174" t="str">
        <f>'Team 5'!F105</f>
        <v>Braden</v>
      </c>
      <c r="AL108" s="174" t="str">
        <f>'Team 5'!G105</f>
        <v>Barnacle</v>
      </c>
      <c r="AM108" s="175" t="str">
        <f t="shared" si="34"/>
        <v>Braden Barnacle</v>
      </c>
      <c r="AN108" s="175"/>
      <c r="AO108" s="1104"/>
      <c r="AP108" s="1105"/>
      <c r="AQ108" s="177" t="str">
        <f>'Team 6'!F105</f>
        <v xml:space="preserve">Gert </v>
      </c>
      <c r="AR108" s="177" t="str">
        <f>'Team 6'!G105</f>
        <v>Zeqiri</v>
      </c>
      <c r="AS108" s="175" t="str">
        <f t="shared" si="35"/>
        <v>Gert  Zeqiri</v>
      </c>
      <c r="AT108" s="175"/>
      <c r="AU108" s="1104"/>
      <c r="AV108" s="1105"/>
      <c r="AW108" s="177" t="str">
        <f>'Team 7'!F105</f>
        <v>Arush</v>
      </c>
      <c r="AX108" s="177" t="str">
        <f>'Team 7'!G105</f>
        <v>Agarwal</v>
      </c>
      <c r="AY108" s="175" t="str">
        <f t="shared" si="36"/>
        <v>Arush Agarwal</v>
      </c>
      <c r="AZ108" s="175"/>
      <c r="BA108" s="1104"/>
      <c r="BB108" s="1105"/>
      <c r="BC108" s="177">
        <f>'Team 8'!F105</f>
        <v>0</v>
      </c>
      <c r="BD108" s="177">
        <f>'Team 8'!G105</f>
        <v>0</v>
      </c>
      <c r="BE108" s="175" t="str">
        <f t="shared" si="37"/>
        <v>0 0</v>
      </c>
      <c r="BF108" s="175"/>
      <c r="BG108" s="1104"/>
      <c r="BH108" s="1105"/>
      <c r="BI108" s="177">
        <f>'Team 9'!F105</f>
        <v>0</v>
      </c>
      <c r="BJ108" s="177">
        <f>'Team 9'!G105</f>
        <v>0</v>
      </c>
      <c r="BK108" s="175" t="str">
        <f t="shared" si="38"/>
        <v>0 0</v>
      </c>
      <c r="BL108" s="175"/>
      <c r="BM108" s="1104"/>
      <c r="BN108" s="1105"/>
      <c r="BO108" s="177">
        <f>'Team 10'!F105</f>
        <v>0</v>
      </c>
      <c r="BP108" s="177">
        <f>'Team 10'!G105</f>
        <v>0</v>
      </c>
      <c r="BQ108" s="175" t="str">
        <f t="shared" si="39"/>
        <v>0 0</v>
      </c>
      <c r="BR108" s="175"/>
      <c r="BS108" s="208" t="str">
        <f>CONCATENATE('Team 1'!$F104, " ",'Team 1'!$G104)</f>
        <v>Amy Hanson</v>
      </c>
      <c r="BT108" s="209" t="str">
        <f>CONCATENATE('Team 1'!$F105, " ",'Team 1'!$G105)</f>
        <v>Yigit Ilhan</v>
      </c>
    </row>
    <row r="109" spans="1:72" s="211" customFormat="1" ht="20.25" customHeight="1" x14ac:dyDescent="0.25">
      <c r="A109" s="210"/>
      <c r="B109" s="210"/>
      <c r="C109" s="210"/>
      <c r="D109" s="210"/>
      <c r="E109" s="210"/>
      <c r="F109" s="210"/>
      <c r="G109" s="210"/>
      <c r="H109" s="210"/>
      <c r="J109" s="210"/>
      <c r="K109" s="1104"/>
      <c r="L109" s="1105"/>
      <c r="M109" s="174" t="str">
        <f>'Team 1'!F106</f>
        <v>Zoe</v>
      </c>
      <c r="N109" s="174" t="str">
        <f>'Team 1'!G106</f>
        <v>Panayi</v>
      </c>
      <c r="O109" s="175" t="str">
        <f t="shared" si="30"/>
        <v>Zoe Panayi</v>
      </c>
      <c r="P109" s="212"/>
      <c r="Q109" s="1104"/>
      <c r="R109" s="1105"/>
      <c r="S109" s="174" t="str">
        <f>'Team 2'!F106</f>
        <v>Sophie</v>
      </c>
      <c r="T109" s="174" t="str">
        <f>'Team 2'!G106</f>
        <v>Heraty</v>
      </c>
      <c r="U109" s="175" t="str">
        <f t="shared" si="31"/>
        <v>Sophie Heraty</v>
      </c>
      <c r="V109" s="212"/>
      <c r="W109" s="1104"/>
      <c r="X109" s="1105"/>
      <c r="Y109" s="174" t="str">
        <f>'Team 3'!F106</f>
        <v>Luigi</v>
      </c>
      <c r="Z109" s="174" t="str">
        <f>'Team 3'!G106</f>
        <v>Giambrone</v>
      </c>
      <c r="AA109" s="175" t="str">
        <f t="shared" si="32"/>
        <v>Luigi Giambrone</v>
      </c>
      <c r="AB109" s="212"/>
      <c r="AC109" s="1104"/>
      <c r="AD109" s="1105"/>
      <c r="AE109" s="174" t="str">
        <f>'Team 4'!F106</f>
        <v>WILLOW</v>
      </c>
      <c r="AF109" s="174" t="str">
        <f>'Team 4'!G106</f>
        <v>BROWNBRIDGE</v>
      </c>
      <c r="AG109" s="175" t="str">
        <f t="shared" si="33"/>
        <v>WILLOW BROWNBRIDGE</v>
      </c>
      <c r="AH109" s="212"/>
      <c r="AI109" s="1104"/>
      <c r="AJ109" s="1105"/>
      <c r="AK109" s="174" t="str">
        <f>'Team 5'!F106</f>
        <v>Lily</v>
      </c>
      <c r="AL109" s="174" t="str">
        <f>'Team 5'!G106</f>
        <v>Threadgold</v>
      </c>
      <c r="AM109" s="175" t="str">
        <f t="shared" si="34"/>
        <v>Lily Threadgold</v>
      </c>
      <c r="AN109" s="212"/>
      <c r="AO109" s="1104"/>
      <c r="AP109" s="1105"/>
      <c r="AQ109" s="177" t="str">
        <f>'Team 6'!F106</f>
        <v xml:space="preserve">Alice </v>
      </c>
      <c r="AR109" s="177" t="str">
        <f>'Team 6'!G106</f>
        <v>Sharrock</v>
      </c>
      <c r="AS109" s="175" t="str">
        <f t="shared" si="35"/>
        <v>Alice  Sharrock</v>
      </c>
      <c r="AT109" s="212"/>
      <c r="AU109" s="1104"/>
      <c r="AV109" s="1105"/>
      <c r="AW109" s="177" t="str">
        <f>'Team 7'!F106</f>
        <v>Zara</v>
      </c>
      <c r="AX109" s="177" t="str">
        <f>'Team 7'!G106</f>
        <v>Jobanputra</v>
      </c>
      <c r="AY109" s="175" t="str">
        <f t="shared" si="36"/>
        <v>Zara Jobanputra</v>
      </c>
      <c r="AZ109" s="212"/>
      <c r="BA109" s="1104"/>
      <c r="BB109" s="1105"/>
      <c r="BC109" s="177">
        <f>'Team 8'!F106</f>
        <v>0</v>
      </c>
      <c r="BD109" s="177">
        <f>'Team 8'!G106</f>
        <v>0</v>
      </c>
      <c r="BE109" s="175" t="str">
        <f t="shared" si="37"/>
        <v>0 0</v>
      </c>
      <c r="BF109" s="212"/>
      <c r="BG109" s="1104"/>
      <c r="BH109" s="1105"/>
      <c r="BI109" s="177">
        <f>'Team 9'!F106</f>
        <v>0</v>
      </c>
      <c r="BJ109" s="177">
        <f>'Team 9'!G106</f>
        <v>0</v>
      </c>
      <c r="BK109" s="175" t="str">
        <f t="shared" si="38"/>
        <v>0 0</v>
      </c>
      <c r="BL109" s="212"/>
      <c r="BM109" s="1104"/>
      <c r="BN109" s="1105"/>
      <c r="BO109" s="177">
        <f>'Team 10'!F106</f>
        <v>0</v>
      </c>
      <c r="BP109" s="177">
        <f>'Team 10'!G106</f>
        <v>0</v>
      </c>
      <c r="BQ109" s="175" t="str">
        <f t="shared" si="39"/>
        <v>0 0</v>
      </c>
      <c r="BR109" s="212"/>
      <c r="BS109" s="212"/>
      <c r="BT109" s="212"/>
    </row>
    <row r="110" spans="1:72" s="211" customFormat="1" ht="20.25" customHeight="1" x14ac:dyDescent="0.25">
      <c r="A110" s="210"/>
      <c r="B110" s="210"/>
      <c r="C110" s="210"/>
      <c r="D110" s="210"/>
      <c r="E110" s="210"/>
      <c r="F110" s="210"/>
      <c r="G110" s="210"/>
      <c r="H110" s="210"/>
      <c r="J110" s="210"/>
      <c r="K110" s="1104"/>
      <c r="L110" s="1105"/>
      <c r="M110" s="174" t="str">
        <f>'Team 1'!F107</f>
        <v>Zalan</v>
      </c>
      <c r="N110" s="174" t="str">
        <f>'Team 1'!G107</f>
        <v>Tornay</v>
      </c>
      <c r="O110" s="175" t="str">
        <f t="shared" si="30"/>
        <v>Zalan Tornay</v>
      </c>
      <c r="Q110" s="1104"/>
      <c r="R110" s="1105"/>
      <c r="S110" s="174" t="str">
        <f>'Team 2'!F107</f>
        <v>Joseph</v>
      </c>
      <c r="T110" s="174" t="str">
        <f>'Team 2'!G107</f>
        <v>Bagshaw</v>
      </c>
      <c r="U110" s="175" t="str">
        <f t="shared" si="31"/>
        <v>Joseph Bagshaw</v>
      </c>
      <c r="W110" s="1104"/>
      <c r="X110" s="1105"/>
      <c r="Y110" s="174" t="str">
        <f>'Team 3'!F107</f>
        <v>Olivia</v>
      </c>
      <c r="Z110" s="174" t="str">
        <f>'Team 3'!G107</f>
        <v>Croft</v>
      </c>
      <c r="AA110" s="175" t="str">
        <f t="shared" si="32"/>
        <v>Olivia Croft</v>
      </c>
      <c r="AC110" s="1104"/>
      <c r="AD110" s="1105"/>
      <c r="AE110" s="174" t="str">
        <f>'Team 4'!F107</f>
        <v>ABIGAIL</v>
      </c>
      <c r="AF110" s="174" t="str">
        <f>'Team 4'!G107</f>
        <v>JOHNSON</v>
      </c>
      <c r="AG110" s="175" t="str">
        <f t="shared" si="33"/>
        <v>ABIGAIL JOHNSON</v>
      </c>
      <c r="AI110" s="1104"/>
      <c r="AJ110" s="1105"/>
      <c r="AK110" s="174" t="str">
        <f>'Team 5'!F107</f>
        <v>Kayla</v>
      </c>
      <c r="AL110" s="174" t="str">
        <f>'Team 5'!G107</f>
        <v>Paxton</v>
      </c>
      <c r="AM110" s="175" t="str">
        <f t="shared" si="34"/>
        <v>Kayla Paxton</v>
      </c>
      <c r="AO110" s="1104"/>
      <c r="AP110" s="1105"/>
      <c r="AQ110" s="177" t="str">
        <f>'Team 6'!F107</f>
        <v>Owen</v>
      </c>
      <c r="AR110" s="177" t="str">
        <f>'Team 6'!G107</f>
        <v>Roberts</v>
      </c>
      <c r="AS110" s="175" t="str">
        <f t="shared" si="35"/>
        <v>Owen Roberts</v>
      </c>
      <c r="AU110" s="1104"/>
      <c r="AV110" s="1105"/>
      <c r="AW110" s="177" t="str">
        <f>'Team 7'!F107</f>
        <v>Vaari</v>
      </c>
      <c r="AX110" s="177" t="str">
        <f>'Team 7'!G107</f>
        <v>Mepani</v>
      </c>
      <c r="AY110" s="175" t="str">
        <f t="shared" si="36"/>
        <v>Vaari Mepani</v>
      </c>
      <c r="BA110" s="1104"/>
      <c r="BB110" s="1105"/>
      <c r="BC110" s="177">
        <f>'Team 8'!F107</f>
        <v>0</v>
      </c>
      <c r="BD110" s="177">
        <f>'Team 8'!G107</f>
        <v>0</v>
      </c>
      <c r="BE110" s="175" t="str">
        <f t="shared" si="37"/>
        <v>0 0</v>
      </c>
      <c r="BG110" s="1104"/>
      <c r="BH110" s="1105"/>
      <c r="BI110" s="177">
        <f>'Team 9'!F107</f>
        <v>0</v>
      </c>
      <c r="BJ110" s="177">
        <f>'Team 9'!G107</f>
        <v>0</v>
      </c>
      <c r="BK110" s="175" t="str">
        <f t="shared" si="38"/>
        <v>0 0</v>
      </c>
      <c r="BM110" s="1104"/>
      <c r="BN110" s="1105"/>
      <c r="BO110" s="177">
        <f>'Team 10'!F107</f>
        <v>0</v>
      </c>
      <c r="BP110" s="177">
        <f>'Team 10'!G107</f>
        <v>0</v>
      </c>
      <c r="BQ110" s="175" t="str">
        <f t="shared" si="39"/>
        <v>0 0</v>
      </c>
    </row>
    <row r="111" spans="1:72" s="211" customFormat="1" ht="20.25" customHeight="1" x14ac:dyDescent="0.25">
      <c r="A111" s="210"/>
      <c r="B111" s="210"/>
      <c r="C111" s="210"/>
      <c r="D111" s="210"/>
      <c r="E111" s="210"/>
      <c r="F111" s="210"/>
      <c r="G111" s="210"/>
      <c r="H111" s="210"/>
      <c r="J111" s="210"/>
      <c r="K111" s="1104"/>
      <c r="L111" s="1105"/>
      <c r="M111" s="174" t="str">
        <f>'Team 1'!F108</f>
        <v>Maja</v>
      </c>
      <c r="N111" s="174" t="str">
        <f>'Team 1'!G108</f>
        <v>Grzybek</v>
      </c>
      <c r="O111" s="175" t="str">
        <f t="shared" si="30"/>
        <v>Maja Grzybek</v>
      </c>
      <c r="Q111" s="1104"/>
      <c r="R111" s="1105"/>
      <c r="S111" s="174" t="str">
        <f>'Team 2'!F108</f>
        <v>Maya</v>
      </c>
      <c r="T111" s="174" t="str">
        <f>'Team 2'!G108</f>
        <v>Wegner</v>
      </c>
      <c r="U111" s="175" t="str">
        <f t="shared" si="31"/>
        <v>Maya Wegner</v>
      </c>
      <c r="W111" s="1104"/>
      <c r="X111" s="1105"/>
      <c r="Y111" s="174" t="str">
        <f>'Team 3'!F108</f>
        <v>Alfie</v>
      </c>
      <c r="Z111" s="174" t="str">
        <f>'Team 3'!G108</f>
        <v>Bullock</v>
      </c>
      <c r="AA111" s="175" t="str">
        <f t="shared" si="32"/>
        <v>Alfie Bullock</v>
      </c>
      <c r="AC111" s="1104"/>
      <c r="AD111" s="1105"/>
      <c r="AE111" s="174" t="str">
        <f>'Team 4'!F108</f>
        <v>LUCY</v>
      </c>
      <c r="AF111" s="174" t="str">
        <f>'Team 4'!G108</f>
        <v>BURNHAM</v>
      </c>
      <c r="AG111" s="175" t="str">
        <f t="shared" si="33"/>
        <v>LUCY BURNHAM</v>
      </c>
      <c r="AI111" s="1104"/>
      <c r="AJ111" s="1105"/>
      <c r="AK111" s="174" t="str">
        <f>'Team 5'!F108</f>
        <v>Daniel</v>
      </c>
      <c r="AL111" s="174" t="str">
        <f>'Team 5'!G108</f>
        <v>Pirie</v>
      </c>
      <c r="AM111" s="175" t="str">
        <f t="shared" si="34"/>
        <v>Daniel Pirie</v>
      </c>
      <c r="AO111" s="1104"/>
      <c r="AP111" s="1105"/>
      <c r="AQ111" s="177" t="str">
        <f>'Team 6'!F108</f>
        <v>Esha</v>
      </c>
      <c r="AR111" s="177" t="str">
        <f>'Team 6'!G108</f>
        <v>Patel</v>
      </c>
      <c r="AS111" s="175" t="str">
        <f t="shared" si="35"/>
        <v>Esha Patel</v>
      </c>
      <c r="AU111" s="1104"/>
      <c r="AV111" s="1105"/>
      <c r="AW111" s="177" t="str">
        <f>'Team 7'!F108</f>
        <v>Aoife</v>
      </c>
      <c r="AX111" s="177" t="str">
        <f>'Team 7'!G108</f>
        <v>O'Leary</v>
      </c>
      <c r="AY111" s="175" t="str">
        <f t="shared" si="36"/>
        <v>Aoife O'Leary</v>
      </c>
      <c r="BA111" s="1104"/>
      <c r="BB111" s="1105"/>
      <c r="BC111" s="177">
        <f>'Team 8'!F108</f>
        <v>0</v>
      </c>
      <c r="BD111" s="177">
        <f>'Team 8'!G108</f>
        <v>0</v>
      </c>
      <c r="BE111" s="175" t="str">
        <f t="shared" si="37"/>
        <v>0 0</v>
      </c>
      <c r="BG111" s="1104"/>
      <c r="BH111" s="1105"/>
      <c r="BI111" s="177">
        <f>'Team 9'!F108</f>
        <v>0</v>
      </c>
      <c r="BJ111" s="177">
        <f>'Team 9'!G108</f>
        <v>0</v>
      </c>
      <c r="BK111" s="175" t="str">
        <f t="shared" si="38"/>
        <v>0 0</v>
      </c>
      <c r="BM111" s="1104"/>
      <c r="BN111" s="1105"/>
      <c r="BO111" s="177">
        <f>'Team 10'!F108</f>
        <v>0</v>
      </c>
      <c r="BP111" s="177">
        <f>'Team 10'!G108</f>
        <v>0</v>
      </c>
      <c r="BQ111" s="175" t="str">
        <f t="shared" si="39"/>
        <v>0 0</v>
      </c>
    </row>
    <row r="112" spans="1:72" s="211" customFormat="1" ht="20.25" customHeight="1" x14ac:dyDescent="0.25">
      <c r="A112" s="210"/>
      <c r="B112" s="210"/>
      <c r="C112" s="210"/>
      <c r="D112" s="210"/>
      <c r="E112" s="210"/>
      <c r="F112" s="210"/>
      <c r="G112" s="210"/>
      <c r="H112" s="210"/>
      <c r="J112" s="210"/>
      <c r="K112" s="1104"/>
      <c r="L112" s="1105"/>
      <c r="M112" s="174" t="str">
        <f>'Team 1'!F109</f>
        <v>James</v>
      </c>
      <c r="N112" s="174" t="str">
        <f>'Team 1'!G109</f>
        <v>Smeaton</v>
      </c>
      <c r="O112" s="175" t="str">
        <f t="shared" si="30"/>
        <v>James Smeaton</v>
      </c>
      <c r="Q112" s="1104"/>
      <c r="R112" s="1105"/>
      <c r="S112" s="174" t="str">
        <f>'Team 2'!F109</f>
        <v>Charlie</v>
      </c>
      <c r="T112" s="174" t="str">
        <f>'Team 2'!G109</f>
        <v>Pritchard</v>
      </c>
      <c r="U112" s="175" t="str">
        <f t="shared" si="31"/>
        <v>Charlie Pritchard</v>
      </c>
      <c r="W112" s="1104"/>
      <c r="X112" s="1105"/>
      <c r="Y112" s="174" t="str">
        <f>'Team 3'!F109</f>
        <v>Jessica</v>
      </c>
      <c r="Z112" s="174" t="str">
        <f>'Team 3'!G109</f>
        <v>MacKenzie</v>
      </c>
      <c r="AA112" s="175" t="str">
        <f t="shared" si="32"/>
        <v>Jessica MacKenzie</v>
      </c>
      <c r="AC112" s="1104"/>
      <c r="AD112" s="1105"/>
      <c r="AE112" s="174" t="str">
        <f>'Team 4'!F109</f>
        <v>MAX</v>
      </c>
      <c r="AF112" s="174" t="str">
        <f>'Team 4'!G109</f>
        <v>WALLER</v>
      </c>
      <c r="AG112" s="175" t="str">
        <f t="shared" si="33"/>
        <v>MAX WALLER</v>
      </c>
      <c r="AI112" s="1104"/>
      <c r="AJ112" s="1105"/>
      <c r="AK112" s="174" t="str">
        <f>'Team 5'!F109</f>
        <v>Robert</v>
      </c>
      <c r="AL112" s="174" t="str">
        <f>'Team 5'!G109</f>
        <v>Elliston</v>
      </c>
      <c r="AM112" s="175" t="str">
        <f t="shared" si="34"/>
        <v>Robert Elliston</v>
      </c>
      <c r="AO112" s="1104"/>
      <c r="AP112" s="1105"/>
      <c r="AQ112" s="177" t="str">
        <f>'Team 6'!F109</f>
        <v>Razvan</v>
      </c>
      <c r="AR112" s="177" t="str">
        <f>'Team 6'!G109</f>
        <v>Lembac</v>
      </c>
      <c r="AS112" s="175" t="str">
        <f t="shared" si="35"/>
        <v>Razvan Lembac</v>
      </c>
      <c r="AU112" s="1104"/>
      <c r="AV112" s="1105"/>
      <c r="AW112" s="177" t="str">
        <f>'Team 7'!F109</f>
        <v>Andrew</v>
      </c>
      <c r="AX112" s="177" t="str">
        <f>'Team 7'!G109</f>
        <v>May</v>
      </c>
      <c r="AY112" s="175" t="str">
        <f t="shared" si="36"/>
        <v>Andrew May</v>
      </c>
      <c r="BA112" s="1104"/>
      <c r="BB112" s="1105"/>
      <c r="BC112" s="177">
        <f>'Team 8'!F109</f>
        <v>0</v>
      </c>
      <c r="BD112" s="177">
        <f>'Team 8'!G109</f>
        <v>0</v>
      </c>
      <c r="BE112" s="175" t="str">
        <f t="shared" si="37"/>
        <v>0 0</v>
      </c>
      <c r="BG112" s="1104"/>
      <c r="BH112" s="1105"/>
      <c r="BI112" s="177">
        <f>'Team 9'!F109</f>
        <v>0</v>
      </c>
      <c r="BJ112" s="177">
        <f>'Team 9'!G109</f>
        <v>0</v>
      </c>
      <c r="BK112" s="175" t="str">
        <f t="shared" si="38"/>
        <v>0 0</v>
      </c>
      <c r="BM112" s="1104"/>
      <c r="BN112" s="1105"/>
      <c r="BO112" s="177">
        <f>'Team 10'!F109</f>
        <v>0</v>
      </c>
      <c r="BP112" s="177">
        <f>'Team 10'!G109</f>
        <v>0</v>
      </c>
      <c r="BQ112" s="175" t="str">
        <f t="shared" si="39"/>
        <v>0 0</v>
      </c>
    </row>
    <row r="113" spans="1:10" s="211" customFormat="1" ht="20.25" customHeight="1" x14ac:dyDescent="0.25">
      <c r="A113" s="210"/>
      <c r="B113" s="210"/>
      <c r="C113" s="210"/>
      <c r="D113" s="210"/>
      <c r="E113" s="210"/>
      <c r="F113" s="210"/>
      <c r="G113" s="210"/>
      <c r="H113" s="210"/>
      <c r="J113" s="210"/>
    </row>
    <row r="114" spans="1:10" s="211" customFormat="1" ht="20.25" customHeight="1" x14ac:dyDescent="0.25">
      <c r="A114" s="210"/>
      <c r="B114" s="210"/>
      <c r="C114" s="210"/>
      <c r="D114" s="210"/>
      <c r="E114" s="210"/>
      <c r="F114" s="210"/>
      <c r="G114" s="210"/>
      <c r="H114" s="210"/>
      <c r="J114" s="210"/>
    </row>
    <row r="115" spans="1:10" s="211" customFormat="1" ht="20.25" customHeight="1" x14ac:dyDescent="0.25">
      <c r="A115" s="210"/>
      <c r="B115" s="210"/>
      <c r="C115" s="210"/>
      <c r="D115" s="210"/>
      <c r="E115" s="210"/>
      <c r="F115" s="210"/>
      <c r="G115" s="210"/>
      <c r="H115" s="210"/>
      <c r="J115" s="210"/>
    </row>
    <row r="116" spans="1:10" s="211" customFormat="1" ht="20.25" customHeight="1" x14ac:dyDescent="0.25">
      <c r="A116" s="210"/>
      <c r="B116" s="210"/>
      <c r="C116" s="210"/>
      <c r="D116" s="210"/>
      <c r="E116" s="210"/>
      <c r="F116" s="210"/>
      <c r="G116" s="210"/>
      <c r="H116" s="210"/>
      <c r="J116" s="210"/>
    </row>
    <row r="117" spans="1:10" s="214" customFormat="1" ht="20.25" customHeight="1" x14ac:dyDescent="0.25">
      <c r="A117" s="213"/>
      <c r="B117" s="213"/>
      <c r="C117" s="213"/>
      <c r="D117" s="213"/>
      <c r="E117" s="213"/>
      <c r="F117" s="213"/>
      <c r="G117" s="213"/>
      <c r="H117" s="213"/>
      <c r="J117" s="213"/>
    </row>
    <row r="118" spans="1:10" s="214" customFormat="1" ht="20.25" customHeight="1" x14ac:dyDescent="0.25">
      <c r="A118" s="213"/>
      <c r="B118" s="213"/>
      <c r="C118" s="213"/>
      <c r="D118" s="213"/>
      <c r="E118" s="213"/>
      <c r="F118" s="213"/>
      <c r="G118" s="213"/>
      <c r="H118" s="213"/>
      <c r="J118" s="213"/>
    </row>
    <row r="119" spans="1:10" s="214" customFormat="1" ht="20.25" customHeight="1" x14ac:dyDescent="0.25">
      <c r="A119" s="213"/>
      <c r="B119" s="213"/>
      <c r="C119" s="213"/>
      <c r="D119" s="213"/>
      <c r="E119" s="213"/>
      <c r="F119" s="213"/>
      <c r="G119" s="213"/>
      <c r="H119" s="213"/>
      <c r="J119" s="213"/>
    </row>
    <row r="120" spans="1:10" s="214" customFormat="1" ht="20.25" customHeight="1" x14ac:dyDescent="0.25">
      <c r="A120" s="213"/>
      <c r="B120" s="213"/>
      <c r="C120" s="213"/>
      <c r="D120" s="213"/>
      <c r="E120" s="213"/>
      <c r="F120" s="213"/>
      <c r="G120" s="213"/>
      <c r="H120" s="213"/>
      <c r="J120" s="213"/>
    </row>
    <row r="121" spans="1:10" s="214" customFormat="1" ht="20.25" customHeight="1" x14ac:dyDescent="0.25">
      <c r="J121" s="213"/>
    </row>
    <row r="122" spans="1:10" s="214" customFormat="1" ht="20.25" customHeight="1" x14ac:dyDescent="0.25">
      <c r="J122" s="213"/>
    </row>
    <row r="123" spans="1:10" s="214" customFormat="1" ht="20.25" customHeight="1" x14ac:dyDescent="0.25">
      <c r="J123" s="213"/>
    </row>
    <row r="124" spans="1:10" s="214" customFormat="1" ht="20.25" customHeight="1" x14ac:dyDescent="0.25">
      <c r="J124" s="213"/>
    </row>
    <row r="125" spans="1:10" s="214" customFormat="1" ht="20.25" customHeight="1" x14ac:dyDescent="0.25">
      <c r="J125" s="213"/>
    </row>
    <row r="126" spans="1:10" s="214" customFormat="1" ht="20.25" customHeight="1" x14ac:dyDescent="0.25">
      <c r="J126" s="213"/>
    </row>
  </sheetData>
  <sheetProtection algorithmName="SHA-512" hashValue="GDbwhKQibus3FZfPp9YH1ATXBfbb9pyvrPPrQiu3da1eIQNB03xyWYFdEvs2o66V06AMG8yKCZ8R7hBHUv9LeQ==" saltValue="0AmhFlzhOa0g2b0my8P9jA==" spinCount="100000" sheet="1" objects="1" scenarios="1"/>
  <mergeCells count="383">
    <mergeCell ref="A2:H20"/>
    <mergeCell ref="K2:L2"/>
    <mergeCell ref="Q2:R2"/>
    <mergeCell ref="W2:X2"/>
    <mergeCell ref="AC2:AD2"/>
    <mergeCell ref="AI2:AJ2"/>
    <mergeCell ref="AO2:AP2"/>
    <mergeCell ref="AU2:AV2"/>
    <mergeCell ref="BA2:BB2"/>
    <mergeCell ref="K4:L6"/>
    <mergeCell ref="P4:P6"/>
    <mergeCell ref="Q4:R6"/>
    <mergeCell ref="V4:V6"/>
    <mergeCell ref="W4:X6"/>
    <mergeCell ref="AB4:AB6"/>
    <mergeCell ref="AC4:AD6"/>
    <mergeCell ref="AH4:AH6"/>
    <mergeCell ref="AI4:AJ6"/>
    <mergeCell ref="AN4:AN6"/>
    <mergeCell ref="AO4:AP6"/>
    <mergeCell ref="AT4:AT6"/>
    <mergeCell ref="AU4:AV6"/>
    <mergeCell ref="AZ4:AZ6"/>
    <mergeCell ref="BA4:BB6"/>
    <mergeCell ref="BG2:BH2"/>
    <mergeCell ref="BM2:BN2"/>
    <mergeCell ref="K3:P3"/>
    <mergeCell ref="Q3:V3"/>
    <mergeCell ref="W3:AB3"/>
    <mergeCell ref="AC3:AH3"/>
    <mergeCell ref="AI3:AN3"/>
    <mergeCell ref="AO3:AT3"/>
    <mergeCell ref="AU3:AZ3"/>
    <mergeCell ref="BA3:BF3"/>
    <mergeCell ref="BG3:BL3"/>
    <mergeCell ref="BM3:BR3"/>
    <mergeCell ref="BF4:BF6"/>
    <mergeCell ref="BG4:BH6"/>
    <mergeCell ref="BL4:BL6"/>
    <mergeCell ref="BM4:BN6"/>
    <mergeCell ref="BR4:BR6"/>
    <mergeCell ref="K9:K12"/>
    <mergeCell ref="L9:L12"/>
    <mergeCell ref="Q9:Q12"/>
    <mergeCell ref="R9:R12"/>
    <mergeCell ref="W9:W12"/>
    <mergeCell ref="X9:X12"/>
    <mergeCell ref="AC9:AC12"/>
    <mergeCell ref="AD9:AD12"/>
    <mergeCell ref="AI9:AI12"/>
    <mergeCell ref="AJ9:AJ12"/>
    <mergeCell ref="AO9:AO12"/>
    <mergeCell ref="AP9:AP12"/>
    <mergeCell ref="AU9:AU12"/>
    <mergeCell ref="AV9:AV12"/>
    <mergeCell ref="BA9:BA12"/>
    <mergeCell ref="BB9:BB12"/>
    <mergeCell ref="BG9:BG12"/>
    <mergeCell ref="BH9:BH12"/>
    <mergeCell ref="BM9:BM12"/>
    <mergeCell ref="BN9:BN12"/>
    <mergeCell ref="K13:K16"/>
    <mergeCell ref="L13:L16"/>
    <mergeCell ref="Q13:Q16"/>
    <mergeCell ref="R13:R16"/>
    <mergeCell ref="W13:W16"/>
    <mergeCell ref="X13:X16"/>
    <mergeCell ref="AC13:AC16"/>
    <mergeCell ref="AD13:AD16"/>
    <mergeCell ref="AI13:AI16"/>
    <mergeCell ref="AJ13:AJ16"/>
    <mergeCell ref="AO13:AO16"/>
    <mergeCell ref="AP13:AP16"/>
    <mergeCell ref="AU13:AU16"/>
    <mergeCell ref="AV13:AV16"/>
    <mergeCell ref="BA13:BA16"/>
    <mergeCell ref="BB13:BB16"/>
    <mergeCell ref="BG13:BG16"/>
    <mergeCell ref="BH13:BH16"/>
    <mergeCell ref="BM13:BM16"/>
    <mergeCell ref="BN13:BN16"/>
    <mergeCell ref="I14:I20"/>
    <mergeCell ref="K17:K20"/>
    <mergeCell ref="L17:L20"/>
    <mergeCell ref="Q17:Q20"/>
    <mergeCell ref="R17:R20"/>
    <mergeCell ref="W17:W20"/>
    <mergeCell ref="X17:X20"/>
    <mergeCell ref="AC17:AC20"/>
    <mergeCell ref="AD17:AD20"/>
    <mergeCell ref="AI17:AI20"/>
    <mergeCell ref="AJ17:AJ20"/>
    <mergeCell ref="AO17:AO20"/>
    <mergeCell ref="AP17:AP20"/>
    <mergeCell ref="AU17:AU20"/>
    <mergeCell ref="AV17:AV20"/>
    <mergeCell ref="BA17:BA20"/>
    <mergeCell ref="BB17:BB20"/>
    <mergeCell ref="BG17:BG20"/>
    <mergeCell ref="BH17:BH20"/>
    <mergeCell ref="BM17:BM20"/>
    <mergeCell ref="BN17:BN20"/>
    <mergeCell ref="C21:E21"/>
    <mergeCell ref="K21:K24"/>
    <mergeCell ref="L21:L24"/>
    <mergeCell ref="Q21:Q24"/>
    <mergeCell ref="R21:R24"/>
    <mergeCell ref="W21:W24"/>
    <mergeCell ref="X21:X24"/>
    <mergeCell ref="AC21:AC24"/>
    <mergeCell ref="AD21:AD24"/>
    <mergeCell ref="AI21:AI24"/>
    <mergeCell ref="AJ21:AJ24"/>
    <mergeCell ref="AO21:AO24"/>
    <mergeCell ref="AP21:AP24"/>
    <mergeCell ref="AU21:AU24"/>
    <mergeCell ref="AV21:AV24"/>
    <mergeCell ref="BA21:BA24"/>
    <mergeCell ref="BB21:BB24"/>
    <mergeCell ref="BG21:BG24"/>
    <mergeCell ref="BH21:BH24"/>
    <mergeCell ref="BM21:BM24"/>
    <mergeCell ref="BN21:BN24"/>
    <mergeCell ref="AP25:AP28"/>
    <mergeCell ref="AU25:AU28"/>
    <mergeCell ref="AV25:AV28"/>
    <mergeCell ref="BA25:BA28"/>
    <mergeCell ref="BB25:BB28"/>
    <mergeCell ref="BG25:BG28"/>
    <mergeCell ref="BH25:BH28"/>
    <mergeCell ref="K25:K28"/>
    <mergeCell ref="L25:L28"/>
    <mergeCell ref="Q25:Q28"/>
    <mergeCell ref="R25:R28"/>
    <mergeCell ref="W25:W28"/>
    <mergeCell ref="X25:X28"/>
    <mergeCell ref="AC25:AC28"/>
    <mergeCell ref="AD25:AD28"/>
    <mergeCell ref="AI25:AI28"/>
    <mergeCell ref="BM25:BM28"/>
    <mergeCell ref="BN25:BN28"/>
    <mergeCell ref="K29:K32"/>
    <mergeCell ref="L29:L32"/>
    <mergeCell ref="Q29:Q32"/>
    <mergeCell ref="R29:R32"/>
    <mergeCell ref="W29:W32"/>
    <mergeCell ref="X29:X32"/>
    <mergeCell ref="AC29:AC32"/>
    <mergeCell ref="AD29:AD32"/>
    <mergeCell ref="AI29:AI32"/>
    <mergeCell ref="AJ29:AJ32"/>
    <mergeCell ref="AO29:AO32"/>
    <mergeCell ref="AP29:AP32"/>
    <mergeCell ref="AU29:AU32"/>
    <mergeCell ref="AV29:AV32"/>
    <mergeCell ref="BA29:BA32"/>
    <mergeCell ref="BB29:BB32"/>
    <mergeCell ref="BG29:BG32"/>
    <mergeCell ref="BH29:BH32"/>
    <mergeCell ref="BM29:BM32"/>
    <mergeCell ref="BN29:BN32"/>
    <mergeCell ref="AJ25:AJ28"/>
    <mergeCell ref="AO25:AO28"/>
    <mergeCell ref="AP33:AP36"/>
    <mergeCell ref="AU33:AU36"/>
    <mergeCell ref="AV33:AV36"/>
    <mergeCell ref="BA33:BA36"/>
    <mergeCell ref="BB33:BB36"/>
    <mergeCell ref="BG33:BG36"/>
    <mergeCell ref="BH33:BH36"/>
    <mergeCell ref="K33:K36"/>
    <mergeCell ref="L33:L36"/>
    <mergeCell ref="Q33:Q36"/>
    <mergeCell ref="R33:R36"/>
    <mergeCell ref="W33:W36"/>
    <mergeCell ref="X33:X36"/>
    <mergeCell ref="AC33:AC36"/>
    <mergeCell ref="AD33:AD36"/>
    <mergeCell ref="AI33:AI36"/>
    <mergeCell ref="BM33:BM36"/>
    <mergeCell ref="BN33:BN36"/>
    <mergeCell ref="K37:K40"/>
    <mergeCell ref="L37:L40"/>
    <mergeCell ref="Q37:Q40"/>
    <mergeCell ref="R37:R40"/>
    <mergeCell ref="W37:W40"/>
    <mergeCell ref="X37:X40"/>
    <mergeCell ref="AC37:AC40"/>
    <mergeCell ref="AD37:AD40"/>
    <mergeCell ref="AI37:AI40"/>
    <mergeCell ref="AJ37:AJ40"/>
    <mergeCell ref="AO37:AO40"/>
    <mergeCell ref="AP37:AP40"/>
    <mergeCell ref="AU37:AU40"/>
    <mergeCell ref="AV37:AV40"/>
    <mergeCell ref="BA37:BA40"/>
    <mergeCell ref="BB37:BB40"/>
    <mergeCell ref="BG37:BG40"/>
    <mergeCell ref="BH37:BH40"/>
    <mergeCell ref="BM37:BM40"/>
    <mergeCell ref="BN37:BN40"/>
    <mergeCell ref="AJ33:AJ36"/>
    <mergeCell ref="AO33:AO36"/>
    <mergeCell ref="AP73:AP76"/>
    <mergeCell ref="AU73:AU76"/>
    <mergeCell ref="AV73:AV76"/>
    <mergeCell ref="BA73:BA76"/>
    <mergeCell ref="BB73:BB76"/>
    <mergeCell ref="BG73:BG76"/>
    <mergeCell ref="BH73:BH76"/>
    <mergeCell ref="K73:K76"/>
    <mergeCell ref="L73:L76"/>
    <mergeCell ref="Q73:Q76"/>
    <mergeCell ref="R73:R76"/>
    <mergeCell ref="W73:W76"/>
    <mergeCell ref="X73:X76"/>
    <mergeCell ref="AC73:AC76"/>
    <mergeCell ref="AD73:AD76"/>
    <mergeCell ref="AI73:AI76"/>
    <mergeCell ref="BM73:BM76"/>
    <mergeCell ref="BN73:BN76"/>
    <mergeCell ref="K77:K80"/>
    <mergeCell ref="L77:L80"/>
    <mergeCell ref="Q77:Q80"/>
    <mergeCell ref="R77:R80"/>
    <mergeCell ref="W77:W80"/>
    <mergeCell ref="X77:X80"/>
    <mergeCell ref="AC77:AC80"/>
    <mergeCell ref="AD77:AD80"/>
    <mergeCell ref="AI77:AI80"/>
    <mergeCell ref="AJ77:AJ80"/>
    <mergeCell ref="AO77:AO80"/>
    <mergeCell ref="AP77:AP80"/>
    <mergeCell ref="AU77:AU80"/>
    <mergeCell ref="AV77:AV80"/>
    <mergeCell ref="BA77:BA80"/>
    <mergeCell ref="BB77:BB80"/>
    <mergeCell ref="BG77:BG80"/>
    <mergeCell ref="BH77:BH80"/>
    <mergeCell ref="BM77:BM80"/>
    <mergeCell ref="BN77:BN80"/>
    <mergeCell ref="AJ73:AJ76"/>
    <mergeCell ref="AO73:AO76"/>
    <mergeCell ref="AP81:AP84"/>
    <mergeCell ref="AU81:AU84"/>
    <mergeCell ref="AV81:AV84"/>
    <mergeCell ref="BA81:BA84"/>
    <mergeCell ref="BB81:BB84"/>
    <mergeCell ref="BG81:BG84"/>
    <mergeCell ref="BH81:BH84"/>
    <mergeCell ref="K81:K84"/>
    <mergeCell ref="L81:L84"/>
    <mergeCell ref="Q81:Q84"/>
    <mergeCell ref="R81:R84"/>
    <mergeCell ref="W81:W84"/>
    <mergeCell ref="X81:X84"/>
    <mergeCell ref="AC81:AC84"/>
    <mergeCell ref="AD81:AD84"/>
    <mergeCell ref="AI81:AI84"/>
    <mergeCell ref="BM81:BM84"/>
    <mergeCell ref="BN81:BN84"/>
    <mergeCell ref="K85:K88"/>
    <mergeCell ref="L85:L88"/>
    <mergeCell ref="Q85:Q88"/>
    <mergeCell ref="R85:R88"/>
    <mergeCell ref="W85:W88"/>
    <mergeCell ref="X85:X88"/>
    <mergeCell ref="AC85:AC88"/>
    <mergeCell ref="AD85:AD88"/>
    <mergeCell ref="AI85:AI88"/>
    <mergeCell ref="AJ85:AJ88"/>
    <mergeCell ref="AO85:AO88"/>
    <mergeCell ref="AP85:AP88"/>
    <mergeCell ref="AU85:AU88"/>
    <mergeCell ref="AV85:AV88"/>
    <mergeCell ref="BA85:BA88"/>
    <mergeCell ref="BB85:BB88"/>
    <mergeCell ref="BG85:BG88"/>
    <mergeCell ref="BH85:BH88"/>
    <mergeCell ref="BM85:BM88"/>
    <mergeCell ref="BN85:BN88"/>
    <mergeCell ref="AJ81:AJ84"/>
    <mergeCell ref="AO81:AO84"/>
    <mergeCell ref="AP89:AP92"/>
    <mergeCell ref="AU89:AU92"/>
    <mergeCell ref="AV89:AV92"/>
    <mergeCell ref="BA89:BA92"/>
    <mergeCell ref="BB89:BB92"/>
    <mergeCell ref="BG89:BG92"/>
    <mergeCell ref="BH89:BH92"/>
    <mergeCell ref="K89:K92"/>
    <mergeCell ref="L89:L92"/>
    <mergeCell ref="Q89:Q92"/>
    <mergeCell ref="R89:R92"/>
    <mergeCell ref="W89:W92"/>
    <mergeCell ref="X89:X92"/>
    <mergeCell ref="AC89:AC92"/>
    <mergeCell ref="AD89:AD92"/>
    <mergeCell ref="AI89:AI92"/>
    <mergeCell ref="BM89:BM92"/>
    <mergeCell ref="BN89:BN92"/>
    <mergeCell ref="K93:K96"/>
    <mergeCell ref="L93:L96"/>
    <mergeCell ref="Q93:Q96"/>
    <mergeCell ref="R93:R96"/>
    <mergeCell ref="W93:W96"/>
    <mergeCell ref="X93:X96"/>
    <mergeCell ref="AC93:AC96"/>
    <mergeCell ref="AD93:AD96"/>
    <mergeCell ref="AI93:AI96"/>
    <mergeCell ref="AJ93:AJ96"/>
    <mergeCell ref="AO93:AO96"/>
    <mergeCell ref="AP93:AP96"/>
    <mergeCell ref="AU93:AU96"/>
    <mergeCell ref="AV93:AV96"/>
    <mergeCell ref="BA93:BA96"/>
    <mergeCell ref="BB93:BB96"/>
    <mergeCell ref="BG93:BG96"/>
    <mergeCell ref="BH93:BH96"/>
    <mergeCell ref="BM93:BM96"/>
    <mergeCell ref="BN93:BN96"/>
    <mergeCell ref="AJ89:AJ92"/>
    <mergeCell ref="AO89:AO92"/>
    <mergeCell ref="AP97:AP100"/>
    <mergeCell ref="AU97:AU100"/>
    <mergeCell ref="AV97:AV100"/>
    <mergeCell ref="BA97:BA100"/>
    <mergeCell ref="BB97:BB100"/>
    <mergeCell ref="BG97:BG100"/>
    <mergeCell ref="BH97:BH100"/>
    <mergeCell ref="K97:K100"/>
    <mergeCell ref="L97:L100"/>
    <mergeCell ref="Q97:Q100"/>
    <mergeCell ref="R97:R100"/>
    <mergeCell ref="W97:W100"/>
    <mergeCell ref="X97:X100"/>
    <mergeCell ref="AC97:AC100"/>
    <mergeCell ref="AD97:AD100"/>
    <mergeCell ref="AI97:AI100"/>
    <mergeCell ref="BM97:BM100"/>
    <mergeCell ref="BN97:BN100"/>
    <mergeCell ref="K101:K104"/>
    <mergeCell ref="L101:L104"/>
    <mergeCell ref="Q101:Q104"/>
    <mergeCell ref="R101:R104"/>
    <mergeCell ref="W101:W104"/>
    <mergeCell ref="X101:X104"/>
    <mergeCell ref="AC101:AC104"/>
    <mergeCell ref="AD101:AD104"/>
    <mergeCell ref="AI101:AI104"/>
    <mergeCell ref="AJ101:AJ104"/>
    <mergeCell ref="AO101:AO104"/>
    <mergeCell ref="AP101:AP104"/>
    <mergeCell ref="AU101:AU104"/>
    <mergeCell ref="AV101:AV104"/>
    <mergeCell ref="BA101:BA104"/>
    <mergeCell ref="BB101:BB104"/>
    <mergeCell ref="BG101:BG104"/>
    <mergeCell ref="BH101:BH104"/>
    <mergeCell ref="BM101:BM104"/>
    <mergeCell ref="BN101:BN104"/>
    <mergeCell ref="AJ97:AJ100"/>
    <mergeCell ref="AO97:AO100"/>
    <mergeCell ref="K105:K112"/>
    <mergeCell ref="L105:L112"/>
    <mergeCell ref="Q105:Q112"/>
    <mergeCell ref="R105:R112"/>
    <mergeCell ref="W105:W112"/>
    <mergeCell ref="X105:X112"/>
    <mergeCell ref="AC105:AC112"/>
    <mergeCell ref="AD105:AD112"/>
    <mergeCell ref="AI105:AI112"/>
    <mergeCell ref="BM105:BM112"/>
    <mergeCell ref="BN105:BN112"/>
    <mergeCell ref="AJ105:AJ112"/>
    <mergeCell ref="AO105:AO112"/>
    <mergeCell ref="AP105:AP112"/>
    <mergeCell ref="AU105:AU112"/>
    <mergeCell ref="AV105:AV112"/>
    <mergeCell ref="BA105:BA112"/>
    <mergeCell ref="BB105:BB112"/>
    <mergeCell ref="BG105:BG112"/>
    <mergeCell ref="BH105:BH112"/>
  </mergeCells>
  <conditionalFormatting sqref="BC7:BF96 BO7:BR97 AE7:AH99 S7:V100 Y7:AB100 AK7:AN100 AQ7:AT100 AW7:AZ100 BI7:BL100 M7:P101 BF97:BF108 BC97:BE112 BR98:BR108 BO98:BQ112 AH100:AH108 AE100:AG112 AA101:AB102 AM101:AN102 U101:V103 AT101:AT108 AZ101:AZ108 BL101:BL108 S101:T112 Y101:Z112 AK101:AL112 AQ101:AS112 AW101:AY112 BI101:BK112 P102:P108 M102:O112 AB103:AB108 AN103:AN108 AA103:AA112 AM103:AM112 V104:V108 U104:U112">
    <cfRule type="cellIs" dxfId="222" priority="2" operator="lessThan">
      <formula>"a"</formula>
    </cfRule>
  </conditionalFormatting>
  <hyperlinks>
    <hyperlink ref="D1" location="'Gala Setup'!H4" display="Gala Setup" xr:uid="{00000000-0004-0000-0200-000000000000}"/>
    <hyperlink ref="E1" location="Recording!D32" display="Gala Recording" xr:uid="{00000000-0004-0000-0200-000001000000}"/>
    <hyperlink ref="F1" location="'Quick Check'!F1" display="Check a Result" xr:uid="{00000000-0004-0000-0200-000002000000}"/>
    <hyperlink ref="G1" location="Eligibility!A1" display="Check a _x000a_Swimmer" xr:uid="{00000000-0004-0000-0200-000003000000}"/>
    <hyperlink ref="H1" location="'Final result'!C4" display="Final _x000a_Result" xr:uid="{00000000-0004-0000-0200-000004000000}"/>
    <hyperlink ref="I2" location="'Team 1'!A1" display="TEAM 1" xr:uid="{00000000-0004-0000-0200-000005000000}"/>
    <hyperlink ref="I3" location="'Team 2'!A1" display="TEAM 2" xr:uid="{00000000-0004-0000-0200-000006000000}"/>
    <hyperlink ref="I4" location="'Team 3'!A1" display="TEAM 3" xr:uid="{00000000-0004-0000-0200-000007000000}"/>
    <hyperlink ref="I5" location="'Team 4'!A1" display="TEAM 4" xr:uid="{00000000-0004-0000-0200-000008000000}"/>
    <hyperlink ref="I6" location="'Team 5'!A1" display="TEAM 5" xr:uid="{00000000-0004-0000-0200-000009000000}"/>
    <hyperlink ref="I7" location="'Team 6'!A1" display="TEAM 6" xr:uid="{00000000-0004-0000-0200-00000A000000}"/>
    <hyperlink ref="I8" location="'Team 7'!A1" display="TEAM 7" xr:uid="{00000000-0004-0000-0200-00000B000000}"/>
    <hyperlink ref="I9" location="'Team 8'!A1" display="TEAM 8" xr:uid="{00000000-0004-0000-0200-00000C000000}"/>
    <hyperlink ref="I12" location="'Team 9'!A1" display="TEAM 9" xr:uid="{00000000-0004-0000-0200-00000D000000}"/>
    <hyperlink ref="I13" location="'Team 10'!A1" display="TEAM 10" xr:uid="{00000000-0004-0000-0200-00000E000000}"/>
  </hyperlinks>
  <printOptions horizontalCentered="1" verticalCentered="1"/>
  <pageMargins left="0.70833333333333304" right="0.70833333333333304" top="0.74861111111111101" bottom="0.74791666666666701" header="0.31527777777777799" footer="0.31527777777777799"/>
  <pageSetup paperSize="9" scale="63" orientation="portrait" horizontalDpi="300" verticalDpi="300" r:id="rId1"/>
  <headerFooter>
    <oddHeader>&amp;C&amp;"Arial,Bold"&amp;20National Arena Swimming League
RELAY TEAMS DO NOT NEED TO SWIM IN THE WRITTEN ORDER</oddHeader>
    <oddFooter>&amp;C&amp;"Arial,Bold"&amp;20Lane Timekeeper Sheet</oddFooter>
  </headerFooter>
  <rowBreaks count="1" manualBreakCount="1">
    <brk id="58" max="16383" man="1"/>
  </rowBreaks>
  <colBreaks count="9" manualBreakCount="9">
    <brk id="16" max="1048575" man="1"/>
    <brk id="22" max="1048575" man="1"/>
    <brk id="28" max="1048575" man="1"/>
    <brk id="34" max="1048575" man="1"/>
    <brk id="40" max="1048575" man="1"/>
    <brk id="46" max="1048575" man="1"/>
    <brk id="52" max="1048575" man="1"/>
    <brk id="58" max="1048575" man="1"/>
    <brk id="6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J247"/>
  <sheetViews>
    <sheetView showGridLines="0" showRowColHeaders="0" tabSelected="1" zoomScale="78" zoomScaleNormal="78" workbookViewId="0">
      <pane xSplit="3" ySplit="30" topLeftCell="D208" activePane="bottomRight" state="frozen"/>
      <selection pane="topRight" activeCell="D1" sqref="D1"/>
      <selection pane="bottomLeft" activeCell="A31" sqref="A31"/>
      <selection pane="bottomRight" activeCell="N221" sqref="N221:R221"/>
    </sheetView>
  </sheetViews>
  <sheetFormatPr defaultColWidth="8.88671875" defaultRowHeight="13.2" x14ac:dyDescent="0.25"/>
  <cols>
    <col min="1" max="1" width="3.44140625" style="3" customWidth="1"/>
    <col min="2" max="2" width="17.88671875" style="3" customWidth="1"/>
    <col min="3" max="3" width="12.44140625" style="3" customWidth="1"/>
    <col min="4" max="13" width="17.6640625" style="3" customWidth="1"/>
    <col min="14" max="14" width="3.109375" style="3" customWidth="1"/>
    <col min="15" max="15" width="6.6640625" style="3" customWidth="1"/>
    <col min="16" max="16" width="29.33203125" style="3" customWidth="1"/>
    <col min="17" max="17" width="6.88671875" style="3" customWidth="1"/>
    <col min="18" max="18" width="11.33203125" style="3" customWidth="1"/>
    <col min="19" max="19" width="15" style="3" hidden="1" customWidth="1"/>
    <col min="20" max="26" width="8.88671875" style="3" hidden="1"/>
    <col min="27" max="27" width="25.6640625" style="3" hidden="1" customWidth="1"/>
    <col min="28" max="28" width="23.44140625" style="3" hidden="1" customWidth="1"/>
    <col min="29" max="29" width="0.109375" style="3" hidden="1" customWidth="1"/>
    <col min="30" max="30" width="3.33203125" style="215" customWidth="1"/>
    <col min="31" max="31" width="155.88671875" style="3" customWidth="1"/>
    <col min="32" max="36" width="7" style="3" hidden="1" customWidth="1"/>
    <col min="37" max="55" width="7" style="3" customWidth="1"/>
    <col min="56" max="61" width="8.88671875" style="3"/>
    <col min="62" max="62" width="97.44140625" style="3" customWidth="1"/>
    <col min="63" max="83" width="8.88671875" style="3"/>
    <col min="84" max="84" width="11.44140625" style="3" customWidth="1"/>
    <col min="85" max="86" width="8.88671875" style="3"/>
    <col min="87" max="87" width="19.109375" style="3" customWidth="1"/>
    <col min="88" max="88" width="7.33203125" style="3" customWidth="1"/>
    <col min="89" max="90" width="8.88671875" style="3"/>
    <col min="91" max="91" width="19.109375" style="3" customWidth="1"/>
    <col min="92" max="92" width="7.33203125" style="3" customWidth="1"/>
    <col min="93" max="94" width="8.88671875" style="3"/>
    <col min="95" max="95" width="7.33203125" style="3" customWidth="1"/>
    <col min="96" max="97" width="8.88671875" style="3"/>
    <col min="98" max="98" width="19.109375" style="3" customWidth="1"/>
    <col min="99" max="99" width="7.33203125" style="3" customWidth="1"/>
    <col min="100" max="101" width="8.88671875" style="3"/>
    <col min="102" max="102" width="19.109375" style="3" customWidth="1"/>
    <col min="103" max="103" width="7.33203125" style="3" customWidth="1"/>
    <col min="104" max="105" width="8.88671875" style="3"/>
    <col min="106" max="106" width="19.109375" style="3" customWidth="1"/>
    <col min="107" max="107" width="7.33203125" style="3" customWidth="1"/>
    <col min="108" max="109" width="8.88671875" style="3"/>
    <col min="110" max="110" width="19.109375" style="3" customWidth="1"/>
    <col min="111" max="111" width="7.33203125" style="3" customWidth="1"/>
    <col min="112" max="113" width="8.88671875" style="3"/>
    <col min="114" max="114" width="19.109375" style="3" customWidth="1"/>
    <col min="115" max="115" width="7.33203125" style="3" customWidth="1"/>
    <col min="116" max="117" width="8.88671875" style="3"/>
    <col min="118" max="118" width="19.109375" style="3" customWidth="1"/>
    <col min="119" max="119" width="7.33203125" style="3" customWidth="1"/>
    <col min="120" max="121" width="8.88671875" style="3"/>
    <col min="122" max="122" width="19.109375" style="3" customWidth="1"/>
    <col min="123" max="123" width="7.33203125" style="3" customWidth="1"/>
    <col min="124" max="125" width="8.88671875" style="3"/>
    <col min="126" max="126" width="19.109375" style="3" customWidth="1"/>
    <col min="127" max="127" width="7.33203125" style="3" customWidth="1"/>
    <col min="128" max="129" width="8.88671875" style="3"/>
    <col min="130" max="130" width="19.109375" style="3" customWidth="1"/>
    <col min="131" max="131" width="7.33203125" style="3" customWidth="1"/>
    <col min="132" max="133" width="8.88671875" style="3"/>
    <col min="134" max="134" width="19.109375" style="3" customWidth="1"/>
    <col min="135" max="135" width="7.33203125" style="3" customWidth="1"/>
    <col min="136" max="137" width="8.88671875" style="3"/>
    <col min="138" max="138" width="19.109375" style="3" customWidth="1"/>
    <col min="139" max="139" width="7.33203125" style="3" customWidth="1"/>
    <col min="140" max="141" width="8.88671875" style="3"/>
    <col min="142" max="142" width="19.109375" style="3" customWidth="1"/>
    <col min="143" max="143" width="7.33203125" style="3" customWidth="1"/>
    <col min="144" max="145" width="8.88671875" style="3"/>
    <col min="146" max="146" width="19.109375" style="3" customWidth="1"/>
    <col min="147" max="147" width="7.33203125" style="3" customWidth="1"/>
    <col min="148" max="149" width="8.88671875" style="3"/>
    <col min="150" max="150" width="19.109375" style="3" customWidth="1"/>
    <col min="151" max="151" width="7.33203125" style="3" customWidth="1"/>
    <col min="152" max="153" width="8.88671875" style="3"/>
    <col min="154" max="154" width="19.109375" style="3" customWidth="1"/>
    <col min="155" max="155" width="7.33203125" style="3" customWidth="1"/>
    <col min="156" max="157" width="8.88671875" style="3"/>
    <col min="158" max="158" width="19.109375" style="3" customWidth="1"/>
    <col min="159" max="159" width="7.33203125" style="3" customWidth="1"/>
    <col min="160" max="161" width="8.88671875" style="3"/>
    <col min="162" max="162" width="19.109375" style="3" customWidth="1"/>
    <col min="163" max="163" width="7.33203125" style="3" customWidth="1"/>
    <col min="164" max="165" width="8.88671875" style="3"/>
    <col min="166" max="166" width="19.109375" style="3" customWidth="1"/>
    <col min="167" max="167" width="7.33203125" style="3" customWidth="1"/>
    <col min="168" max="169" width="8.88671875" style="3"/>
    <col min="170" max="170" width="19.109375" style="3" customWidth="1"/>
    <col min="171" max="171" width="7.33203125" style="3" customWidth="1"/>
    <col min="172" max="173" width="8.88671875" style="3"/>
    <col min="174" max="174" width="19.109375" style="3" customWidth="1"/>
    <col min="175" max="175" width="7.33203125" style="3" customWidth="1"/>
    <col min="176" max="177" width="8.88671875" style="3"/>
    <col min="178" max="178" width="19.109375" style="3" customWidth="1"/>
    <col min="179" max="179" width="7.33203125" style="3" customWidth="1"/>
    <col min="180" max="181" width="8.88671875" style="3"/>
    <col min="182" max="182" width="19.109375" style="3" customWidth="1"/>
    <col min="183" max="183" width="7.33203125" style="3" customWidth="1"/>
    <col min="184" max="185" width="8.88671875" style="3"/>
    <col min="186" max="186" width="19.109375" style="3" customWidth="1"/>
    <col min="187" max="187" width="7.33203125" style="3" customWidth="1"/>
    <col min="188" max="189" width="8.88671875" style="3"/>
    <col min="190" max="190" width="19.109375" style="3" customWidth="1"/>
    <col min="191" max="191" width="7.33203125" style="3" customWidth="1"/>
    <col min="192" max="193" width="8.88671875" style="3"/>
    <col min="194" max="194" width="19.109375" style="3" customWidth="1"/>
    <col min="195" max="195" width="7.33203125" style="3" customWidth="1"/>
    <col min="196" max="197" width="8.88671875" style="3"/>
    <col min="198" max="198" width="19.109375" style="3" customWidth="1"/>
    <col min="199" max="199" width="7.33203125" style="3" customWidth="1"/>
    <col min="200" max="201" width="8.88671875" style="3"/>
    <col min="202" max="202" width="19.109375" style="3" customWidth="1"/>
    <col min="203" max="203" width="7.33203125" style="3" customWidth="1"/>
    <col min="204" max="205" width="8.88671875" style="3"/>
    <col min="206" max="206" width="19.109375" style="3" customWidth="1"/>
    <col min="207" max="207" width="7.33203125" style="3" customWidth="1"/>
    <col min="208" max="209" width="8.88671875" style="3"/>
    <col min="210" max="210" width="19.109375" style="3" customWidth="1"/>
    <col min="211" max="211" width="7.33203125" style="3" customWidth="1"/>
    <col min="212" max="213" width="8.88671875" style="3"/>
    <col min="214" max="214" width="19.109375" style="3" customWidth="1"/>
    <col min="215" max="215" width="7.33203125" style="3" customWidth="1"/>
    <col min="216" max="217" width="8.88671875" style="3"/>
    <col min="218" max="218" width="19.109375" style="3" customWidth="1"/>
    <col min="219" max="219" width="7.33203125" style="3" customWidth="1"/>
    <col min="220" max="221" width="8.88671875" style="3"/>
    <col min="222" max="222" width="19.109375" style="3" customWidth="1"/>
    <col min="223" max="223" width="7.33203125" style="3" customWidth="1"/>
    <col min="224" max="225" width="8.88671875" style="3"/>
    <col min="226" max="226" width="19.109375" style="3" customWidth="1"/>
    <col min="227" max="227" width="7.33203125" style="3" customWidth="1"/>
    <col min="228" max="229" width="8.88671875" style="3"/>
    <col min="230" max="230" width="19.109375" style="3" customWidth="1"/>
    <col min="231" max="231" width="7.33203125" style="3" customWidth="1"/>
    <col min="232" max="233" width="8.88671875" style="3"/>
    <col min="234" max="234" width="19.109375" style="3" customWidth="1"/>
    <col min="235" max="235" width="7.33203125" style="3" customWidth="1"/>
    <col min="236" max="237" width="8.88671875" style="3"/>
    <col min="238" max="238" width="19.109375" style="3" customWidth="1"/>
    <col min="239" max="239" width="7.33203125" style="3" customWidth="1"/>
    <col min="240" max="241" width="8.88671875" style="3"/>
    <col min="242" max="242" width="19.109375" style="3" customWidth="1"/>
    <col min="243" max="243" width="7.33203125" style="3" customWidth="1"/>
    <col min="244" max="244" width="9.109375" style="3" customWidth="1"/>
    <col min="245" max="246" width="8.88671875" style="3"/>
    <col min="247" max="247" width="19.109375" style="3" customWidth="1"/>
    <col min="248" max="248" width="7.33203125" style="3" customWidth="1"/>
    <col min="249" max="250" width="8.88671875" style="3"/>
    <col min="251" max="251" width="19.109375" style="3" customWidth="1"/>
    <col min="252" max="252" width="7.33203125" style="3" customWidth="1"/>
    <col min="253" max="254" width="8.88671875" style="3"/>
    <col min="255" max="255" width="19.109375" style="3" customWidth="1"/>
    <col min="256" max="256" width="7.33203125" style="3" customWidth="1"/>
    <col min="257" max="258" width="8.88671875" style="3"/>
    <col min="259" max="259" width="19.109375" style="3" customWidth="1"/>
    <col min="260" max="260" width="7.33203125" style="3" customWidth="1"/>
    <col min="261" max="262" width="8.88671875" style="3"/>
    <col min="263" max="263" width="19.109375" style="3" customWidth="1"/>
    <col min="264" max="264" width="7.33203125" style="3" customWidth="1"/>
    <col min="265" max="266" width="8.88671875" style="3"/>
    <col min="267" max="267" width="19.109375" style="3" customWidth="1"/>
    <col min="268" max="268" width="7.33203125" style="3" customWidth="1"/>
    <col min="269" max="270" width="8.88671875" style="3"/>
    <col min="271" max="271" width="19.109375" style="3" customWidth="1"/>
    <col min="272" max="272" width="7.33203125" style="3" customWidth="1"/>
    <col min="273" max="274" width="8.88671875" style="3"/>
    <col min="275" max="275" width="19.109375" style="3" customWidth="1"/>
    <col min="276" max="276" width="7.33203125" style="3" customWidth="1"/>
    <col min="277" max="278" width="8.88671875" style="3"/>
    <col min="279" max="279" width="19.109375" style="3" customWidth="1"/>
    <col min="280" max="280" width="7.33203125" style="3" customWidth="1"/>
    <col min="281" max="282" width="8.88671875" style="3"/>
    <col min="283" max="283" width="19.109375" style="3" customWidth="1"/>
    <col min="284" max="284" width="7.33203125" style="3" customWidth="1"/>
    <col min="285" max="286" width="8.88671875" style="3"/>
    <col min="287" max="287" width="19.109375" style="3" customWidth="1"/>
    <col min="288" max="288" width="7.33203125" style="3" customWidth="1"/>
    <col min="289" max="290" width="8.88671875" style="3"/>
    <col min="291" max="291" width="19.109375" style="3" customWidth="1"/>
    <col min="292" max="292" width="7.33203125" style="3" customWidth="1"/>
    <col min="293" max="294" width="8.88671875" style="3"/>
    <col min="295" max="295" width="19.109375" style="3" customWidth="1"/>
    <col min="296" max="296" width="7.33203125" style="3" customWidth="1"/>
    <col min="297" max="298" width="8.88671875" style="3"/>
    <col min="299" max="299" width="19.109375" style="3" customWidth="1"/>
    <col min="300" max="300" width="7.33203125" style="3" customWidth="1"/>
    <col min="301" max="302" width="8.88671875" style="3"/>
    <col min="303" max="303" width="19.109375" style="3" customWidth="1"/>
    <col min="304" max="304" width="7.33203125" style="3" customWidth="1"/>
    <col min="305" max="306" width="8.88671875" style="3"/>
    <col min="307" max="307" width="19.109375" style="3" customWidth="1"/>
    <col min="308" max="308" width="7.33203125" style="3" customWidth="1"/>
    <col min="309" max="16384" width="8.88671875" style="3"/>
  </cols>
  <sheetData>
    <row r="1" spans="1:62" ht="30.75" customHeight="1" x14ac:dyDescent="0.25">
      <c r="A1" s="216"/>
      <c r="B1" s="1150" t="s">
        <v>4380</v>
      </c>
      <c r="C1" s="1150"/>
      <c r="D1" s="217" t="s">
        <v>4381</v>
      </c>
      <c r="E1" s="1151" t="s">
        <v>4382</v>
      </c>
      <c r="F1" s="1151"/>
      <c r="G1" s="1151"/>
      <c r="H1" s="1151"/>
      <c r="I1" s="1151"/>
      <c r="J1" s="1151"/>
      <c r="K1" s="1151"/>
      <c r="L1" s="1152" t="str">
        <f>'Gala Setup'!S4</f>
        <v>NASL.2023 V6</v>
      </c>
      <c r="M1" s="1152"/>
      <c r="N1" s="218"/>
      <c r="O1" s="219"/>
      <c r="P1" s="220"/>
      <c r="Q1" s="221"/>
      <c r="R1" s="222"/>
      <c r="S1" s="223"/>
      <c r="T1" s="223"/>
      <c r="U1" s="223"/>
      <c r="V1" s="223"/>
      <c r="W1" s="223"/>
      <c r="X1" s="223"/>
      <c r="Y1" s="224"/>
      <c r="Z1" s="224"/>
      <c r="AA1" s="224"/>
      <c r="AB1" s="224"/>
      <c r="AC1" s="224"/>
      <c r="AD1" s="1153"/>
      <c r="AE1" s="66"/>
      <c r="BJ1" s="225" t="s">
        <v>4383</v>
      </c>
    </row>
    <row r="2" spans="1:62" ht="30.75" customHeight="1" x14ac:dyDescent="0.25">
      <c r="A2" s="216"/>
      <c r="B2" s="1154">
        <f ca="1">TODAY()</f>
        <v>45279</v>
      </c>
      <c r="C2" s="1154"/>
      <c r="D2" s="226" t="str">
        <f>'Gala Setup'!J7</f>
        <v>3ER231478</v>
      </c>
      <c r="E2" s="1151"/>
      <c r="F2" s="1151"/>
      <c r="G2" s="1151"/>
      <c r="H2" s="1151"/>
      <c r="I2" s="1151"/>
      <c r="J2" s="1151"/>
      <c r="K2" s="1151"/>
      <c r="L2" s="1152"/>
      <c r="M2" s="1152"/>
      <c r="N2" s="218"/>
      <c r="O2" s="219"/>
      <c r="P2" s="220"/>
      <c r="Q2" s="221"/>
      <c r="R2" s="227"/>
      <c r="S2" s="223"/>
      <c r="T2" s="223"/>
      <c r="U2" s="223"/>
      <c r="V2" s="223"/>
      <c r="W2" s="223"/>
      <c r="X2" s="223"/>
      <c r="Y2" s="224"/>
      <c r="Z2" s="224"/>
      <c r="AA2" s="224"/>
      <c r="AB2" s="224"/>
      <c r="AC2" s="224"/>
      <c r="AD2" s="1153"/>
      <c r="AE2" s="66"/>
    </row>
    <row r="3" spans="1:62" ht="26.25" customHeight="1" x14ac:dyDescent="0.25">
      <c r="A3" s="216"/>
      <c r="B3" s="1155" t="s">
        <v>4384</v>
      </c>
      <c r="C3" s="228" t="s">
        <v>4385</v>
      </c>
      <c r="D3" s="229" t="s">
        <v>4386</v>
      </c>
      <c r="E3" s="230" t="s">
        <v>4387</v>
      </c>
      <c r="F3" s="230" t="s">
        <v>4388</v>
      </c>
      <c r="G3" s="230" t="s">
        <v>4389</v>
      </c>
      <c r="H3" s="230" t="s">
        <v>4390</v>
      </c>
      <c r="I3" s="230" t="s">
        <v>4391</v>
      </c>
      <c r="J3" s="230" t="s">
        <v>4392</v>
      </c>
      <c r="K3" s="230" t="s">
        <v>4393</v>
      </c>
      <c r="L3" s="231" t="s">
        <v>4394</v>
      </c>
      <c r="M3" s="232" t="s">
        <v>4395</v>
      </c>
      <c r="N3" s="233"/>
      <c r="O3" s="234"/>
      <c r="P3" s="220"/>
      <c r="Q3" s="221"/>
      <c r="R3" s="235"/>
      <c r="S3" s="223"/>
      <c r="T3" s="223"/>
      <c r="U3" s="223"/>
      <c r="V3" s="223"/>
      <c r="W3" s="223"/>
      <c r="X3" s="223"/>
      <c r="Y3" s="224"/>
      <c r="Z3" s="224"/>
      <c r="AA3" s="224"/>
      <c r="AB3" s="224"/>
      <c r="AC3" s="224"/>
      <c r="AD3" s="1153"/>
      <c r="AE3" s="66"/>
    </row>
    <row r="4" spans="1:62" ht="26.25" customHeight="1" x14ac:dyDescent="0.25">
      <c r="A4" s="216"/>
      <c r="B4" s="1155"/>
      <c r="C4" s="236" t="s">
        <v>4385</v>
      </c>
      <c r="D4" s="237" t="s">
        <v>4396</v>
      </c>
      <c r="E4" s="238" t="s">
        <v>52</v>
      </c>
      <c r="F4" s="239" t="s">
        <v>4397</v>
      </c>
      <c r="G4" s="239" t="s">
        <v>4398</v>
      </c>
      <c r="H4" s="239" t="s">
        <v>4399</v>
      </c>
      <c r="I4" s="239" t="s">
        <v>4400</v>
      </c>
      <c r="J4" s="240" t="s">
        <v>4401</v>
      </c>
      <c r="K4" s="241" t="s">
        <v>4402</v>
      </c>
      <c r="L4" s="242" t="s">
        <v>4403</v>
      </c>
      <c r="M4" s="243" t="s">
        <v>4404</v>
      </c>
      <c r="N4" s="244"/>
      <c r="O4" s="245" t="s">
        <v>4405</v>
      </c>
      <c r="P4" s="1156" t="s">
        <v>4406</v>
      </c>
      <c r="Q4" s="1156"/>
      <c r="R4" s="246" t="s">
        <v>4407</v>
      </c>
      <c r="S4" s="247"/>
      <c r="T4" s="248"/>
      <c r="U4" s="248"/>
      <c r="V4" s="248"/>
      <c r="W4" s="247"/>
      <c r="X4" s="248"/>
      <c r="Y4" s="249"/>
      <c r="Z4" s="249"/>
      <c r="AA4" s="249"/>
      <c r="AB4" s="249"/>
      <c r="AC4" s="249"/>
      <c r="AD4" s="1153"/>
      <c r="AE4" s="66"/>
      <c r="AI4" s="1157" t="s">
        <v>4408</v>
      </c>
    </row>
    <row r="5" spans="1:62" ht="18" customHeight="1" x14ac:dyDescent="0.25">
      <c r="A5" s="216"/>
      <c r="B5" s="1158" t="s">
        <v>4409</v>
      </c>
      <c r="C5" s="1158"/>
      <c r="D5" s="1159" t="str">
        <f>'Gala Setup'!P4</f>
        <v>HARINGEY AQUATICS</v>
      </c>
      <c r="E5" s="1160" t="str">
        <f>'Gala Setup'!P5</f>
        <v>STEVENAGE</v>
      </c>
      <c r="F5" s="1161" t="str">
        <f>'Gala Setup'!P6</f>
        <v>BORO OF BROXBOURNE</v>
      </c>
      <c r="G5" s="1161" t="str">
        <f>'Gala Setup'!P7</f>
        <v>AYLESBURY</v>
      </c>
      <c r="H5" s="1161" t="str">
        <f>'Gala Setup'!P8</f>
        <v>BRAINTREE &amp; BOCKING</v>
      </c>
      <c r="I5" s="1161" t="str">
        <f>'Gala Setup'!P9</f>
        <v>Bo of Harrow</v>
      </c>
      <c r="J5" s="1160" t="str">
        <f>'Gala Setup'!P10</f>
        <v>Hillingdon 'B'</v>
      </c>
      <c r="K5" s="1162">
        <f>'Gala Setup'!P11</f>
        <v>0</v>
      </c>
      <c r="L5" s="1162">
        <f>'Gala Setup'!P12</f>
        <v>0</v>
      </c>
      <c r="M5" s="1163">
        <f>'Gala Setup'!P13</f>
        <v>0</v>
      </c>
      <c r="N5" s="250">
        <f>IF(D25&gt;0,1)</f>
        <v>1</v>
      </c>
      <c r="O5" s="251" t="str">
        <f>'Final result'!H17</f>
        <v>1st</v>
      </c>
      <c r="P5" s="1140" t="str">
        <f>IF(O5=0,0,'Final result'!G17)</f>
        <v>BRAINTREE &amp; BOCKING</v>
      </c>
      <c r="Q5" s="1140"/>
      <c r="R5" s="253">
        <f>'Final result'!M17</f>
        <v>252</v>
      </c>
      <c r="S5" s="254"/>
      <c r="T5" s="255"/>
      <c r="U5" s="256"/>
      <c r="V5" s="223"/>
      <c r="W5" s="223"/>
      <c r="X5" s="1164"/>
      <c r="Y5" s="1164"/>
      <c r="Z5" s="224"/>
      <c r="AA5" s="224"/>
      <c r="AB5" s="224"/>
      <c r="AC5" s="224"/>
      <c r="AD5" s="1153"/>
      <c r="AE5" s="66"/>
      <c r="AF5" s="257" t="str">
        <f>IF(AH5=0,0,"1st")</f>
        <v>1st</v>
      </c>
      <c r="AG5" s="258" t="str">
        <f>IF(D$26="1st",D$24,IF(E$26="1st",E$24,IF(F$26="1st",F$24,IF(G$26="1st",G$24,IF(H$26="1st",H$24,IF(I$26="1st",I$24,IF(J$26="1st",J$24,IF(K$26="1st",K$24,IF(L$26="1st",L$24,IF(M$26="1st",M$24))))))))))</f>
        <v>BRAINTREE &amp; BOCKING</v>
      </c>
      <c r="AH5" s="259">
        <f>IF(D$26="1st",D$25,IF(E$26="1st",E$25,IF(F$26="1st",F$25,IF(G$26="1st",G$25,IF(H$26="1st",H$25,IF(I$26="1st",I$25,IF(J$26="1st",J$25,IF(K$26="1st",K$25,IF(L$26="1st",L$25,IF(M$26="1st",M$25,))))))))))</f>
        <v>252</v>
      </c>
      <c r="AI5" s="1157"/>
    </row>
    <row r="6" spans="1:62" ht="27.75" hidden="1" customHeight="1" x14ac:dyDescent="0.25">
      <c r="A6" s="216"/>
      <c r="B6" s="1158"/>
      <c r="C6" s="1158"/>
      <c r="D6" s="1159"/>
      <c r="E6" s="1160"/>
      <c r="F6" s="1160"/>
      <c r="G6" s="1160"/>
      <c r="H6" s="1160"/>
      <c r="I6" s="1160"/>
      <c r="J6" s="1160"/>
      <c r="K6" s="1162"/>
      <c r="L6" s="1162"/>
      <c r="M6" s="1163"/>
      <c r="N6" s="260"/>
      <c r="O6" s="251"/>
      <c r="P6" s="252"/>
      <c r="Q6" s="252"/>
      <c r="R6" s="253"/>
      <c r="S6" s="254"/>
      <c r="T6" s="255"/>
      <c r="U6" s="256"/>
      <c r="V6" s="223"/>
      <c r="W6" s="223"/>
      <c r="X6" s="261"/>
      <c r="Y6" s="262"/>
      <c r="Z6" s="224"/>
      <c r="AA6" s="224"/>
      <c r="AB6" s="224"/>
      <c r="AC6" s="224"/>
      <c r="AD6" s="1153"/>
      <c r="AE6" s="66"/>
      <c r="AF6" s="263"/>
      <c r="AG6" s="264" t="b">
        <f t="shared" ref="AG6:AG17" si="0">IF(D$26=1,D$24,IF(E$26=1,E$24,IF(F$26=1,F$24,IF(G$26=1,G$24,IF(H$26=1,H$24,IF(I$26=1,I$24,IF(J$26=1,J$24,IF(K$26=1,K$24,IF(L$26=1,L$24,IF(M$26=1,M$24))))))))))</f>
        <v>0</v>
      </c>
      <c r="AH6" s="265"/>
      <c r="AI6" s="1157"/>
    </row>
    <row r="7" spans="1:62" ht="27.75" hidden="1" customHeight="1" x14ac:dyDescent="0.25">
      <c r="A7" s="216"/>
      <c r="B7" s="1158"/>
      <c r="C7" s="1158"/>
      <c r="D7" s="1159"/>
      <c r="E7" s="1160"/>
      <c r="F7" s="1160"/>
      <c r="G7" s="1160"/>
      <c r="H7" s="1160"/>
      <c r="I7" s="1160"/>
      <c r="J7" s="1160"/>
      <c r="K7" s="1162"/>
      <c r="L7" s="1162"/>
      <c r="M7" s="1163"/>
      <c r="N7" s="266"/>
      <c r="O7" s="251"/>
      <c r="P7" s="252"/>
      <c r="Q7" s="252"/>
      <c r="R7" s="253"/>
      <c r="S7" s="254"/>
      <c r="T7" s="255"/>
      <c r="U7" s="256"/>
      <c r="V7" s="223"/>
      <c r="W7" s="223"/>
      <c r="X7" s="261"/>
      <c r="Y7" s="262"/>
      <c r="Z7" s="224"/>
      <c r="AA7" s="224"/>
      <c r="AB7" s="224"/>
      <c r="AC7" s="224"/>
      <c r="AD7" s="1153"/>
      <c r="AE7" s="66"/>
      <c r="AF7" s="263"/>
      <c r="AG7" s="264" t="b">
        <f t="shared" si="0"/>
        <v>0</v>
      </c>
      <c r="AH7" s="265"/>
      <c r="AI7" s="1157"/>
    </row>
    <row r="8" spans="1:62" ht="27.75" hidden="1" customHeight="1" x14ac:dyDescent="0.25">
      <c r="A8" s="216"/>
      <c r="B8" s="1158"/>
      <c r="C8" s="1158"/>
      <c r="D8" s="1159"/>
      <c r="E8" s="1160"/>
      <c r="F8" s="1160"/>
      <c r="G8" s="1160"/>
      <c r="H8" s="1160"/>
      <c r="I8" s="1160"/>
      <c r="J8" s="1160"/>
      <c r="K8" s="1162"/>
      <c r="L8" s="1162"/>
      <c r="M8" s="1163"/>
      <c r="N8" s="266"/>
      <c r="O8" s="251"/>
      <c r="P8" s="252"/>
      <c r="Q8" s="252"/>
      <c r="R8" s="253"/>
      <c r="S8" s="254"/>
      <c r="T8" s="255"/>
      <c r="U8" s="256"/>
      <c r="V8" s="223"/>
      <c r="W8" s="223"/>
      <c r="X8" s="261"/>
      <c r="Y8" s="262"/>
      <c r="Z8" s="224"/>
      <c r="AA8" s="224"/>
      <c r="AB8" s="224"/>
      <c r="AC8" s="224"/>
      <c r="AD8" s="1153"/>
      <c r="AE8" s="66"/>
      <c r="AF8" s="263"/>
      <c r="AG8" s="264" t="b">
        <f t="shared" si="0"/>
        <v>0</v>
      </c>
      <c r="AH8" s="265"/>
      <c r="AI8" s="1157"/>
    </row>
    <row r="9" spans="1:62" ht="27.75" hidden="1" customHeight="1" x14ac:dyDescent="0.25">
      <c r="A9" s="216"/>
      <c r="B9" s="1158"/>
      <c r="C9" s="1158"/>
      <c r="D9" s="1159"/>
      <c r="E9" s="1160"/>
      <c r="F9" s="1160"/>
      <c r="G9" s="1160"/>
      <c r="H9" s="1160"/>
      <c r="I9" s="1160"/>
      <c r="J9" s="1160"/>
      <c r="K9" s="1162"/>
      <c r="L9" s="1162"/>
      <c r="M9" s="1163"/>
      <c r="N9" s="266"/>
      <c r="O9" s="251"/>
      <c r="P9" s="252"/>
      <c r="Q9" s="252"/>
      <c r="R9" s="253"/>
      <c r="S9" s="254"/>
      <c r="T9" s="255"/>
      <c r="U9" s="256"/>
      <c r="V9" s="223"/>
      <c r="W9" s="223"/>
      <c r="X9" s="261"/>
      <c r="Y9" s="262"/>
      <c r="Z9" s="224"/>
      <c r="AA9" s="224"/>
      <c r="AB9" s="224"/>
      <c r="AC9" s="224"/>
      <c r="AD9" s="1153"/>
      <c r="AE9" s="66"/>
      <c r="AF9" s="263"/>
      <c r="AG9" s="264" t="b">
        <f t="shared" si="0"/>
        <v>0</v>
      </c>
      <c r="AH9" s="265"/>
      <c r="AI9" s="1157"/>
    </row>
    <row r="10" spans="1:62" ht="27.75" hidden="1" customHeight="1" x14ac:dyDescent="0.25">
      <c r="A10" s="216"/>
      <c r="B10" s="1158"/>
      <c r="C10" s="1158"/>
      <c r="D10" s="1159"/>
      <c r="E10" s="1160"/>
      <c r="F10" s="1160"/>
      <c r="G10" s="1160"/>
      <c r="H10" s="1160"/>
      <c r="I10" s="1160"/>
      <c r="J10" s="1160"/>
      <c r="K10" s="1162"/>
      <c r="L10" s="1162"/>
      <c r="M10" s="1163"/>
      <c r="N10" s="266"/>
      <c r="O10" s="251"/>
      <c r="P10" s="252"/>
      <c r="Q10" s="252"/>
      <c r="R10" s="253"/>
      <c r="S10" s="254"/>
      <c r="T10" s="255"/>
      <c r="U10" s="256"/>
      <c r="V10" s="223"/>
      <c r="W10" s="223"/>
      <c r="X10" s="261"/>
      <c r="Y10" s="262"/>
      <c r="Z10" s="224"/>
      <c r="AA10" s="224"/>
      <c r="AB10" s="224"/>
      <c r="AC10" s="224"/>
      <c r="AD10" s="1153"/>
      <c r="AE10" s="66"/>
      <c r="AF10" s="263"/>
      <c r="AG10" s="264" t="b">
        <f t="shared" si="0"/>
        <v>0</v>
      </c>
      <c r="AH10" s="265"/>
      <c r="AI10" s="1157"/>
    </row>
    <row r="11" spans="1:62" ht="27.75" hidden="1" customHeight="1" x14ac:dyDescent="0.25">
      <c r="A11" s="216"/>
      <c r="B11" s="1158"/>
      <c r="C11" s="1158"/>
      <c r="D11" s="1159"/>
      <c r="E11" s="1160"/>
      <c r="F11" s="1160"/>
      <c r="G11" s="1160"/>
      <c r="H11" s="1160"/>
      <c r="I11" s="1160"/>
      <c r="J11" s="1160"/>
      <c r="K11" s="1162"/>
      <c r="L11" s="1162"/>
      <c r="M11" s="1163"/>
      <c r="N11" s="266"/>
      <c r="O11" s="251"/>
      <c r="P11" s="252"/>
      <c r="Q11" s="252"/>
      <c r="R11" s="253"/>
      <c r="S11" s="254"/>
      <c r="T11" s="255"/>
      <c r="U11" s="256"/>
      <c r="V11" s="223"/>
      <c r="W11" s="223"/>
      <c r="X11" s="261"/>
      <c r="Y11" s="262"/>
      <c r="Z11" s="224"/>
      <c r="AA11" s="224"/>
      <c r="AB11" s="224"/>
      <c r="AC11" s="224"/>
      <c r="AD11" s="1153"/>
      <c r="AE11" s="66"/>
      <c r="AF11" s="263"/>
      <c r="AG11" s="264" t="b">
        <f t="shared" si="0"/>
        <v>0</v>
      </c>
      <c r="AH11" s="265"/>
      <c r="AI11" s="1157"/>
    </row>
    <row r="12" spans="1:62" ht="27.75" hidden="1" customHeight="1" x14ac:dyDescent="0.25">
      <c r="A12" s="216"/>
      <c r="B12" s="1158"/>
      <c r="C12" s="1158"/>
      <c r="D12" s="1159"/>
      <c r="E12" s="1160"/>
      <c r="F12" s="1160"/>
      <c r="G12" s="1160"/>
      <c r="H12" s="1160"/>
      <c r="I12" s="1160"/>
      <c r="J12" s="1160"/>
      <c r="K12" s="1162"/>
      <c r="L12" s="1162"/>
      <c r="M12" s="1163"/>
      <c r="N12" s="266"/>
      <c r="O12" s="251"/>
      <c r="P12" s="252"/>
      <c r="Q12" s="252"/>
      <c r="R12" s="253"/>
      <c r="S12" s="254"/>
      <c r="T12" s="255"/>
      <c r="U12" s="256"/>
      <c r="V12" s="223"/>
      <c r="W12" s="223"/>
      <c r="X12" s="261"/>
      <c r="Y12" s="262"/>
      <c r="Z12" s="224"/>
      <c r="AA12" s="224"/>
      <c r="AB12" s="224"/>
      <c r="AC12" s="224"/>
      <c r="AD12" s="1153"/>
      <c r="AE12" s="66"/>
      <c r="AF12" s="263"/>
      <c r="AG12" s="264" t="b">
        <f t="shared" si="0"/>
        <v>0</v>
      </c>
      <c r="AH12" s="265"/>
      <c r="AI12" s="1157"/>
    </row>
    <row r="13" spans="1:62" ht="27.75" hidden="1" customHeight="1" x14ac:dyDescent="0.25">
      <c r="A13" s="216"/>
      <c r="B13" s="1158"/>
      <c r="C13" s="1158"/>
      <c r="D13" s="1159"/>
      <c r="E13" s="1160"/>
      <c r="F13" s="1160"/>
      <c r="G13" s="1160"/>
      <c r="H13" s="1160"/>
      <c r="I13" s="1160"/>
      <c r="J13" s="1160"/>
      <c r="K13" s="1162"/>
      <c r="L13" s="1162"/>
      <c r="M13" s="1163"/>
      <c r="N13" s="266"/>
      <c r="O13" s="251"/>
      <c r="P13" s="252"/>
      <c r="Q13" s="252"/>
      <c r="R13" s="253"/>
      <c r="S13" s="254"/>
      <c r="T13" s="255"/>
      <c r="U13" s="256"/>
      <c r="V13" s="223"/>
      <c r="W13" s="223"/>
      <c r="X13" s="261"/>
      <c r="Y13" s="262"/>
      <c r="Z13" s="224"/>
      <c r="AA13" s="224"/>
      <c r="AB13" s="224"/>
      <c r="AC13" s="224"/>
      <c r="AD13" s="1153"/>
      <c r="AE13" s="66"/>
      <c r="AF13" s="263"/>
      <c r="AG13" s="264" t="b">
        <f t="shared" si="0"/>
        <v>0</v>
      </c>
      <c r="AH13" s="265"/>
      <c r="AI13" s="1157"/>
    </row>
    <row r="14" spans="1:62" ht="27.75" hidden="1" customHeight="1" x14ac:dyDescent="0.25">
      <c r="A14" s="216"/>
      <c r="B14" s="1158"/>
      <c r="C14" s="1158"/>
      <c r="D14" s="1159"/>
      <c r="E14" s="1160"/>
      <c r="F14" s="1160"/>
      <c r="G14" s="1160"/>
      <c r="H14" s="1160"/>
      <c r="I14" s="1160"/>
      <c r="J14" s="1160"/>
      <c r="K14" s="1162"/>
      <c r="L14" s="1162"/>
      <c r="M14" s="1163"/>
      <c r="N14" s="266"/>
      <c r="O14" s="251"/>
      <c r="P14" s="252"/>
      <c r="Q14" s="252"/>
      <c r="R14" s="253"/>
      <c r="S14" s="254"/>
      <c r="T14" s="255"/>
      <c r="U14" s="256"/>
      <c r="V14" s="223"/>
      <c r="W14" s="223"/>
      <c r="X14" s="261"/>
      <c r="Y14" s="262"/>
      <c r="Z14" s="224"/>
      <c r="AA14" s="224"/>
      <c r="AB14" s="224"/>
      <c r="AC14" s="224"/>
      <c r="AD14" s="1153"/>
      <c r="AE14" s="66"/>
      <c r="AF14" s="263"/>
      <c r="AG14" s="264" t="b">
        <f t="shared" si="0"/>
        <v>0</v>
      </c>
      <c r="AH14" s="265"/>
      <c r="AI14" s="1157"/>
    </row>
    <row r="15" spans="1:62" ht="27.75" hidden="1" customHeight="1" x14ac:dyDescent="0.25">
      <c r="A15" s="216"/>
      <c r="B15" s="1158"/>
      <c r="C15" s="1158"/>
      <c r="D15" s="1159"/>
      <c r="E15" s="1160"/>
      <c r="F15" s="1160"/>
      <c r="G15" s="1160"/>
      <c r="H15" s="1160"/>
      <c r="I15" s="1160"/>
      <c r="J15" s="1160"/>
      <c r="K15" s="1162"/>
      <c r="L15" s="1162"/>
      <c r="M15" s="1163"/>
      <c r="N15" s="266"/>
      <c r="O15" s="251"/>
      <c r="P15" s="252"/>
      <c r="Q15" s="252"/>
      <c r="R15" s="253"/>
      <c r="S15" s="254"/>
      <c r="T15" s="255"/>
      <c r="U15" s="256"/>
      <c r="V15" s="223"/>
      <c r="W15" s="223"/>
      <c r="X15" s="261"/>
      <c r="Y15" s="262"/>
      <c r="Z15" s="224"/>
      <c r="AA15" s="224"/>
      <c r="AB15" s="224"/>
      <c r="AC15" s="224"/>
      <c r="AD15" s="1153"/>
      <c r="AE15" s="66"/>
      <c r="AF15" s="263"/>
      <c r="AG15" s="264" t="b">
        <f t="shared" si="0"/>
        <v>0</v>
      </c>
      <c r="AH15" s="265"/>
      <c r="AI15" s="1157"/>
    </row>
    <row r="16" spans="1:62" ht="27.75" hidden="1" customHeight="1" x14ac:dyDescent="0.25">
      <c r="A16" s="216"/>
      <c r="B16" s="1158"/>
      <c r="C16" s="1158"/>
      <c r="D16" s="1159"/>
      <c r="E16" s="1160"/>
      <c r="F16" s="1160"/>
      <c r="G16" s="1160"/>
      <c r="H16" s="1160"/>
      <c r="I16" s="1160"/>
      <c r="J16" s="1160"/>
      <c r="K16" s="1162"/>
      <c r="L16" s="1162"/>
      <c r="M16" s="1163"/>
      <c r="N16" s="266"/>
      <c r="O16" s="251"/>
      <c r="P16" s="252"/>
      <c r="Q16" s="252"/>
      <c r="R16" s="253"/>
      <c r="S16" s="254"/>
      <c r="T16" s="255"/>
      <c r="U16" s="256"/>
      <c r="V16" s="223"/>
      <c r="W16" s="223"/>
      <c r="X16" s="261"/>
      <c r="Y16" s="262"/>
      <c r="Z16" s="224"/>
      <c r="AA16" s="224"/>
      <c r="AB16" s="224"/>
      <c r="AC16" s="224"/>
      <c r="AD16" s="1153"/>
      <c r="AE16" s="66"/>
      <c r="AF16" s="263"/>
      <c r="AG16" s="264" t="b">
        <f t="shared" si="0"/>
        <v>0</v>
      </c>
      <c r="AH16" s="265"/>
      <c r="AI16" s="1157"/>
    </row>
    <row r="17" spans="1:35" ht="27.75" hidden="1" customHeight="1" x14ac:dyDescent="0.25">
      <c r="A17" s="216"/>
      <c r="B17" s="1158"/>
      <c r="C17" s="1158"/>
      <c r="D17" s="1159"/>
      <c r="E17" s="1160"/>
      <c r="F17" s="1160"/>
      <c r="G17" s="1160"/>
      <c r="H17" s="1160"/>
      <c r="I17" s="1160"/>
      <c r="J17" s="1160"/>
      <c r="K17" s="1162"/>
      <c r="L17" s="1162"/>
      <c r="M17" s="1163"/>
      <c r="N17" s="266"/>
      <c r="O17" s="251"/>
      <c r="P17" s="252"/>
      <c r="Q17" s="252"/>
      <c r="R17" s="253"/>
      <c r="S17" s="254"/>
      <c r="T17" s="255"/>
      <c r="U17" s="256"/>
      <c r="V17" s="223"/>
      <c r="W17" s="223"/>
      <c r="X17" s="261"/>
      <c r="Y17" s="262"/>
      <c r="Z17" s="224"/>
      <c r="AA17" s="224"/>
      <c r="AB17" s="224"/>
      <c r="AC17" s="224"/>
      <c r="AD17" s="1153"/>
      <c r="AE17" s="66"/>
      <c r="AF17" s="263"/>
      <c r="AG17" s="264" t="b">
        <f t="shared" si="0"/>
        <v>0</v>
      </c>
      <c r="AH17" s="265"/>
      <c r="AI17" s="1157"/>
    </row>
    <row r="18" spans="1:35" ht="18" customHeight="1" x14ac:dyDescent="0.25">
      <c r="A18" s="216"/>
      <c r="B18" s="1158"/>
      <c r="C18" s="1158"/>
      <c r="D18" s="1159"/>
      <c r="E18" s="1160"/>
      <c r="F18" s="1160"/>
      <c r="G18" s="1160"/>
      <c r="H18" s="1160"/>
      <c r="I18" s="1160"/>
      <c r="J18" s="1160"/>
      <c r="K18" s="1162"/>
      <c r="L18" s="1162"/>
      <c r="M18" s="1163"/>
      <c r="N18" s="266">
        <f>IF(E25&gt;0,1)</f>
        <v>1</v>
      </c>
      <c r="O18" s="251" t="str">
        <f>'Final result'!H18</f>
        <v>2nd</v>
      </c>
      <c r="P18" s="1140" t="str">
        <f>IF(O18=0,0,'Final result'!G18)</f>
        <v>AYLESBURY</v>
      </c>
      <c r="Q18" s="1140"/>
      <c r="R18" s="253">
        <f>'Final result'!M18</f>
        <v>241</v>
      </c>
      <c r="S18" s="254"/>
      <c r="T18" s="255">
        <v>3</v>
      </c>
      <c r="U18" s="267">
        <v>4</v>
      </c>
      <c r="V18" s="268">
        <v>5</v>
      </c>
      <c r="W18" s="268">
        <v>6</v>
      </c>
      <c r="X18" s="267">
        <v>7</v>
      </c>
      <c r="Y18" s="267">
        <v>8</v>
      </c>
      <c r="Z18" s="269">
        <v>9</v>
      </c>
      <c r="AA18" s="269">
        <v>10</v>
      </c>
      <c r="AB18" s="269">
        <v>11</v>
      </c>
      <c r="AC18" s="269">
        <v>12</v>
      </c>
      <c r="AD18" s="1153"/>
      <c r="AE18" s="66"/>
      <c r="AF18" s="257" t="str">
        <f>IF(N27&lt;2,0,IF(AF5=0,0,IF(AH18=AH5,"1st","2nd")))</f>
        <v>2nd</v>
      </c>
      <c r="AG18" s="258" t="str">
        <f>IF(N27&lt;2,0,IF(E5=0,0,IF(D$26="2nd",D$24,IF(E$26="2nd",E$24,IF(F$26="2nd",F$24,IF(G$26="2nd",G$24,IF(H$26="2nd",H$24,IF(I$26="2nd",I$24,IF(J$26="2nd",J$24,IF(K$26="2nd",K$24,IF(L$26="2nd",L$24,IF(M$26="2nd",M$24,IF(M$26="1st",M$24,IF(L$26="1st",L$24,IF(K$26="1st",K$24,IF(J$26="1st",J$24,IF(I$26="1st",I$24,IF(H$26="1st",H$24,IF(G$26="1st",G$24,IF(F$26="1st",F$24,IF(E$26="1st",E$24,IF(D$26="1st",D$24))))))))))))))))))))))</f>
        <v>AYLESBURY</v>
      </c>
      <c r="AH18" s="259">
        <f>IF(AG18=0,0,IF(D$26="2nd",D$25,IF(E$26="2nd",E$25,IF(F$26="2nd",F$25,IF(G$26="2nd",G$25,IF(H$26="2nd",H$25,IF(I$26="2nd",I$25,IF(J$26="2nd",J$25,IF(K$26="2nd",K$25,IF(L$26="2nd",L$25,IF(M$26="2nd",M$25,IF(M$26="1st",M$25,IF(L$26="1st",L$25,IF(K$26="1st",K$25,IF(J$26="1st",J$25,IF(I$26="1st",I$25,IF(H$26="1st",H$25,IF(G$26="1st",G$25,IF(F$26="1st",F$25,IF(E$26="1st",E$25,IF(D$26="1st",D$25)))))))))))))))))))))</f>
        <v>241</v>
      </c>
      <c r="AI18" s="1157"/>
    </row>
    <row r="19" spans="1:35" ht="20.25" customHeight="1" x14ac:dyDescent="0.3">
      <c r="A19" s="216"/>
      <c r="B19" s="1165" t="s">
        <v>4410</v>
      </c>
      <c r="C19" s="1165"/>
      <c r="D19" s="270">
        <f>IF(D61="","",'print 10 lane'!I167)</f>
        <v>26</v>
      </c>
      <c r="E19" s="270">
        <f>IF(E61="","",'print 10 lane'!L167)</f>
        <v>30</v>
      </c>
      <c r="F19" s="271">
        <f>IF(F61="","",'print 10 lane'!O167)</f>
        <v>29</v>
      </c>
      <c r="G19" s="271">
        <f>IF(G61="","",'print 10 lane'!R167)</f>
        <v>45</v>
      </c>
      <c r="H19" s="271">
        <f>IF(H61="","",'print 10 lane'!U167)</f>
        <v>45</v>
      </c>
      <c r="I19" s="272">
        <f>IF(I61="","",'print 10 lane'!X167)</f>
        <v>51</v>
      </c>
      <c r="J19" s="272">
        <f>IF(J61="","",'print 10 lane'!AA167)</f>
        <v>44</v>
      </c>
      <c r="K19" s="271" t="str">
        <f>IF(K61="","",'print 10 lane'!AD167)</f>
        <v/>
      </c>
      <c r="L19" s="271" t="str">
        <f>IF(L61="","",'print 10 lane'!AG167)</f>
        <v/>
      </c>
      <c r="M19" s="270" t="str">
        <f>IF(M61="","",'print 10 lane'!AJ167)</f>
        <v/>
      </c>
      <c r="N19" s="266">
        <f>IF(F25&gt;0,1)</f>
        <v>1</v>
      </c>
      <c r="O19" s="251" t="str">
        <f>'Final result'!H19</f>
        <v>3rd</v>
      </c>
      <c r="P19" s="1140" t="str">
        <f>IF(O19=0,0,'Final result'!G19)</f>
        <v>Bo of Harrow</v>
      </c>
      <c r="Q19" s="1140"/>
      <c r="R19" s="253">
        <f>'Final result'!M19</f>
        <v>212</v>
      </c>
      <c r="S19" s="268" t="str">
        <f t="shared" ref="S19:S27" ca="1" si="1">AC19</f>
        <v/>
      </c>
      <c r="T19" s="273">
        <f t="shared" ref="T19:AC27" ca="1" si="2">INDIRECT(ADDRESS(ROW(),T$18))</f>
        <v>0</v>
      </c>
      <c r="U19" s="273">
        <f t="shared" ca="1" si="2"/>
        <v>26</v>
      </c>
      <c r="V19" s="273">
        <f t="shared" ca="1" si="2"/>
        <v>30</v>
      </c>
      <c r="W19" s="273">
        <f t="shared" ca="1" si="2"/>
        <v>29</v>
      </c>
      <c r="X19" s="273">
        <f t="shared" ca="1" si="2"/>
        <v>45</v>
      </c>
      <c r="Y19" s="273">
        <f t="shared" ca="1" si="2"/>
        <v>45</v>
      </c>
      <c r="Z19" s="273">
        <f t="shared" ca="1" si="2"/>
        <v>51</v>
      </c>
      <c r="AA19" s="273">
        <f t="shared" ca="1" si="2"/>
        <v>44</v>
      </c>
      <c r="AB19" s="273" t="str">
        <f t="shared" ca="1" si="2"/>
        <v/>
      </c>
      <c r="AC19" s="273" t="str">
        <f t="shared" ca="1" si="2"/>
        <v/>
      </c>
      <c r="AD19" s="1153"/>
      <c r="AE19" s="66"/>
      <c r="AF19" s="257" t="str">
        <f>IF(N27&lt;3,0,IF(AF5=0,0,IF(AH19=AH18,AF18,"3rd")))</f>
        <v>3rd</v>
      </c>
      <c r="AG19" s="258" t="str">
        <f>IF(N27&lt;3,0,IF(F5=0,0,IF(D$26="3rd",D$24,IF(E$26="3rd",E$24,IF(F$26="3rd",F$24,IF(G$26="3rd",G$24,IF(H$26="3rd",H$24,IF(I$26="3rd",I$24,IF(J$26="3rd",J$24,IF(K$26="3rd",K$24,IF(L$26="3rd",L$24,IF(M$26="3rd",M$24,IF(M$26="2nd",M$24,IF(L$26="2nd",L$24,IF(K$26="2nd",K$24,IF(J$26="2nd",J$24,IF(I$26="2nd",I$24,IF(H$26="2nd",H$24,IF(G$26="2nd",G$24,IF(F$26="2nd",F$24,IF(E$26="2nd",E$24,IF(D$26="2nd",D$24,IF(D$26="1st",D$24,IF(E$26="1st",E$24,IF(F$26="1st",F$24,IF(G$26="1st",G$24,IF(H$26="1st",H$24,IF(I$26="1st",I$24,IF(J$26="1st",J$24,IF(K$26="1st",K$24,IF(L$26="1st",L$24,IF(M$26="1st",M$24))))))))))))))))))))))))))))))))</f>
        <v>Bo of Harrow</v>
      </c>
      <c r="AH19" s="259">
        <f>IF(AG19=0,0,IF(D$26="3rd",D$25,IF(E$26="3rd",E$25,IF(F$26="3rd",F$25,IF(G$26="3rd",G$25,IF(H$26="3rd",H$25,IF(I$26="3rd",I$25,IF(J$26="3rd",J$25,IF(K$26="3rd",K$25,IF(L$26="3rd",L$25,IF(M$26="3rd",M$25,IF(M$26="2nd",M$25,IF(L$26="2nd",L$25,IF(K$26="2nd",K$25,IF(J$26="2nd",J$25,IF(I$26="2nd",I$25,IF(H$26="2nd",H$25,IF(G$26="2nd",G$25,IF(F$26="2nd",F$25,IF(E$26="2nd",E$25,IF(D$26="2nd",D$25,IF(M$26="1st",M$25,IF(L$26="1st",L$25,IF(K$26="1st",K$25,IF(J$26="1st",J$25,IF(I$26="1st",I$25,IF(H$26="1st",H$25,IF(G$26="1st",G$25,IF(F$26="1st",F$25,IF(E$26="1st",E$25,IF(D$26="1st",D$25)))))))))))))))))))))))))))))))</f>
        <v>212</v>
      </c>
      <c r="AI19" s="1157"/>
    </row>
    <row r="20" spans="1:35" ht="20.25" customHeight="1" x14ac:dyDescent="0.3">
      <c r="A20" s="216"/>
      <c r="B20" s="1147" t="s">
        <v>4411</v>
      </c>
      <c r="C20" s="1147"/>
      <c r="D20" s="274">
        <f>IF(D92="","",'print 10 lane'!I171)</f>
        <v>49</v>
      </c>
      <c r="E20" s="274">
        <f>IF(E92="","",'print 10 lane'!L171)</f>
        <v>55</v>
      </c>
      <c r="F20" s="274">
        <f>IF(F92="","",'print 10 lane'!O171)</f>
        <v>53</v>
      </c>
      <c r="G20" s="275">
        <f>IF(G92="","",'print 10 lane'!R171)</f>
        <v>87</v>
      </c>
      <c r="H20" s="275">
        <f>IF(H92="","",'print 10 lane'!U171)</f>
        <v>89</v>
      </c>
      <c r="I20" s="275">
        <f>IF(I92="","",'print 10 lane'!X171)</f>
        <v>78</v>
      </c>
      <c r="J20" s="275">
        <f>IF(J92="","",'print 10 lane'!AA171)</f>
        <v>79</v>
      </c>
      <c r="K20" s="275" t="str">
        <f>IF(K92="","",'print 10 lane'!AD171)</f>
        <v/>
      </c>
      <c r="L20" s="275" t="str">
        <f>IF(L92="","",'print 10 lane'!AG171)</f>
        <v/>
      </c>
      <c r="M20" s="274" t="str">
        <f>IF(M92="","",'print 10 lane'!AJ171)</f>
        <v/>
      </c>
      <c r="N20" s="233">
        <f>IF(G25&gt;0,1)</f>
        <v>1</v>
      </c>
      <c r="O20" s="251" t="str">
        <f>'Final result'!H20</f>
        <v>4th</v>
      </c>
      <c r="P20" s="1140" t="str">
        <f>IF(O20=0,0,'Final result'!G20)</f>
        <v>Hillingdon 'B'</v>
      </c>
      <c r="Q20" s="1140"/>
      <c r="R20" s="253">
        <f>'Final result'!M20</f>
        <v>208</v>
      </c>
      <c r="S20" s="268" t="str">
        <f t="shared" ca="1" si="1"/>
        <v/>
      </c>
      <c r="T20" s="273">
        <f t="shared" ca="1" si="2"/>
        <v>0</v>
      </c>
      <c r="U20" s="273">
        <f t="shared" ca="1" si="2"/>
        <v>49</v>
      </c>
      <c r="V20" s="273">
        <f t="shared" ca="1" si="2"/>
        <v>55</v>
      </c>
      <c r="W20" s="273">
        <f t="shared" ca="1" si="2"/>
        <v>53</v>
      </c>
      <c r="X20" s="273">
        <f t="shared" ca="1" si="2"/>
        <v>87</v>
      </c>
      <c r="Y20" s="273">
        <f t="shared" ca="1" si="2"/>
        <v>89</v>
      </c>
      <c r="Z20" s="273">
        <f t="shared" ca="1" si="2"/>
        <v>78</v>
      </c>
      <c r="AA20" s="273">
        <f t="shared" ca="1" si="2"/>
        <v>79</v>
      </c>
      <c r="AB20" s="273" t="str">
        <f t="shared" ca="1" si="2"/>
        <v/>
      </c>
      <c r="AC20" s="273" t="str">
        <f t="shared" ca="1" si="2"/>
        <v/>
      </c>
      <c r="AD20" s="1153"/>
      <c r="AE20" s="66"/>
      <c r="AF20" s="257" t="str">
        <f>IF(N27&lt;4,0,IF(AF5=0,0,IF(AH20=AH19,AF19,"4th")))</f>
        <v>4th</v>
      </c>
      <c r="AG20" s="258" t="str">
        <f>IF(N27&lt;4,0,IF(G5=0,0,IF(D$26="4th",D$24,IF(E$26="4th",E$24,IF(F$26="4th",F$24,IF(G$26="4th",G$24,IF(H$26="4th",H$24,IF(I$26="4th",I$24,IF(J$26="4th",J$24,IF(K$26="4th",K$24,IF(L$26="4th",L$24,IF(M$26="4th",M$24,IF(M$26="3rd",M$24,IF(L$26="3rd",L$24,IF(K$26="3rd",K$24,IF(J$26="3rd",J$24,IF(I$26="3rd",I$24,IF(H$26="3rd",H$24,IF(G$26="3rd",G$24,IF(F$26="3rd",F$24,IF(E$26="3rd",E$24,IF(D$26="3rd",D$24,IF(M$26="2nd",M$24,IF(L$26="2nd",L$24,IF(K$26="2nd",K$24,IF(J$26="2nd",J$24,IF(I$26="2nd",I$24,IF(H$26="2nd",H$24,IF(G$26="2nd",G$24,IF(F$26="2nd",F$24,IF(E$26="2nd",E$24,IF(D$26="2nd",D$24))))))))))))))))))))))))))))))))</f>
        <v>Hillingdon 'B'</v>
      </c>
      <c r="AH20" s="259">
        <f>IF(AG20=0,0,IF(D$26="4th",D$25,IF(E$26="4th",E$25,IF(F$26="4th",F$25,IF(G$26="4th",G$25,IF(H$26="4th",H$25,IF(I$26="4th",I$25,IF(J$26="4th",J$25,IF(K$26="4th",K$25,IF(L$26="4th",L$25,IF(M$26="4th",M$25,IF(M$26="3rd",M$25,IF(L$26="3rd",L$25,IF(K$26="3rd",K$25,IF(J$26="3rd",J$25,IF(I$26="3rd",I$25,IF(H$26="3rd",H$25,IF(G$26="3rd",G$25,IF(F$26="3rd",F$25,IF(E$26="3rd",E$25,IF(D$26="3rd",D$25,IF(M$26="2nd",M$25,IF(L$26="2nd",L$25,IF(K$26="2nd",K$25,IF(J$26="2nd",J$25,IF(I$26="2nd",I$25,IF(H$26="2nd",H$25,IF(G$26="2nd",G$25,IF(F$26="2nd",F$25,IF(E$26="2nd",E$25,IF(D$26="2nd",D$25)))))))))))))))))))))))))))))))</f>
        <v>208</v>
      </c>
      <c r="AI20" s="1157"/>
    </row>
    <row r="21" spans="1:35" ht="20.25" customHeight="1" x14ac:dyDescent="0.3">
      <c r="A21" s="216"/>
      <c r="B21" s="1147" t="s">
        <v>4412</v>
      </c>
      <c r="C21" s="1147"/>
      <c r="D21" s="274">
        <f>IF(D124="","",'print 10 lane'!I175)</f>
        <v>70</v>
      </c>
      <c r="E21" s="274">
        <f>IF(E124="","",'print 10 lane'!L175)</f>
        <v>86</v>
      </c>
      <c r="F21" s="274">
        <f>IF(F124="","",'print 10 lane'!O175)</f>
        <v>85</v>
      </c>
      <c r="G21" s="275">
        <f>IF(G124="","",'print 10 lane'!R175)</f>
        <v>119</v>
      </c>
      <c r="H21" s="275">
        <f>IF(H124="","",'print 10 lane'!U175)</f>
        <v>128</v>
      </c>
      <c r="I21" s="275">
        <f>IF(I124="","",'print 10 lane'!X175)</f>
        <v>112</v>
      </c>
      <c r="J21" s="275">
        <f>IF(J124="","",'print 10 lane'!AA175)</f>
        <v>110</v>
      </c>
      <c r="K21" s="275" t="str">
        <f>IF(K124="","",'print 10 lane'!AD175)</f>
        <v/>
      </c>
      <c r="L21" s="275" t="str">
        <f>IF(L124="","",'print 10 lane'!AG175)</f>
        <v/>
      </c>
      <c r="M21" s="276" t="str">
        <f>IF(M124="","",'print 10 lane'!AJ175)</f>
        <v/>
      </c>
      <c r="N21" s="233">
        <f>IF(H25&gt;0,1)</f>
        <v>1</v>
      </c>
      <c r="O21" s="251" t="str">
        <f>'Final result'!H21</f>
        <v>5th</v>
      </c>
      <c r="P21" s="1140" t="str">
        <f>IF(O21=0,0,'Final result'!G21)</f>
        <v>BORO OF BROXBOURNE</v>
      </c>
      <c r="Q21" s="1140"/>
      <c r="R21" s="253">
        <f>'Final result'!M21</f>
        <v>171</v>
      </c>
      <c r="S21" s="268" t="str">
        <f t="shared" ca="1" si="1"/>
        <v/>
      </c>
      <c r="T21" s="273">
        <f t="shared" ca="1" si="2"/>
        <v>0</v>
      </c>
      <c r="U21" s="273">
        <f t="shared" ca="1" si="2"/>
        <v>70</v>
      </c>
      <c r="V21" s="273">
        <f t="shared" ca="1" si="2"/>
        <v>86</v>
      </c>
      <c r="W21" s="273">
        <f t="shared" ca="1" si="2"/>
        <v>85</v>
      </c>
      <c r="X21" s="273">
        <f t="shared" ca="1" si="2"/>
        <v>119</v>
      </c>
      <c r="Y21" s="273">
        <f t="shared" ca="1" si="2"/>
        <v>128</v>
      </c>
      <c r="Z21" s="273">
        <f t="shared" ca="1" si="2"/>
        <v>112</v>
      </c>
      <c r="AA21" s="273">
        <f t="shared" ca="1" si="2"/>
        <v>110</v>
      </c>
      <c r="AB21" s="273" t="str">
        <f t="shared" ca="1" si="2"/>
        <v/>
      </c>
      <c r="AC21" s="273" t="str">
        <f t="shared" ca="1" si="2"/>
        <v/>
      </c>
      <c r="AD21" s="1153"/>
      <c r="AE21" s="66"/>
      <c r="AF21" s="257" t="str">
        <f>IF(N27&lt;5,0,IF(AF5=0,0,IF(AH21=AH20,AF20,"5th")))</f>
        <v>5th</v>
      </c>
      <c r="AG21" s="258" t="str">
        <f>IF(N27&lt;5,0,IF(H5=0,0,IF(D$26="5th",D$24,IF(E$26="5th",E$24,IF(F$26="5th",F$24,IF(G$26="5th",G$24,IF(H$26="5th",H$24,IF(I$26="5th",I$24,IF(J$26="5th",J$24,IF(K$26="5th",K$24,IF(L$26="5th",L$24,IF(M$26="5th",M$24,IF(M$26="4th",M$24,IF(L$26="4th",L$24,IF(K$26="4th",K$24,IF(J$26="4th",J$24,IF(I$26="4th",I$24,IF(H$26="4th",H$24,IF(G$26="4th",G$24,IF(F$26="4th",F$24,IF(E$26="4th",E$24,IF(D$26="4th",D$24,IF(M$26="3rd",M$24,IF(L$26="3rd",L$24,IF(K$26="3rd",K$24,IF(J$26="3rd",J$24,IF(I$26="3rd",I$24,IF(H$26="3rd",H$24,IF(G$26="3rd",G$24,IF(F$26="3rd",F$24,IF(E$26="3rd",E$24,IF(D$26="3rd",D$24))))))))))))))))))))))))))))))))</f>
        <v>BORO OF BROXBOURNE</v>
      </c>
      <c r="AH21" s="259">
        <f>IF(AG21=0,0,IF(D$26="5th",D$25,IF(E$26="5th",E$25,IF(F$26="5th",F$25,IF(G$26="5th",G$25,IF(H$26="5th",H$25,IF(I$26="5th",I$25,IF(J$26="5th",J$25,IF(K$26="5th",K$25,IF(L$26="5th",L$25,IF(M$26="5th",M$25,IF(M$26="4th",M$25,IF(L$26="4th",L$25,IF(K$26="4th",K$25,IF(J$26="4th",J$25,IF(I$26="4th",I$25,IF(H$26="4th",H$25,IF(G$26="4th",G$25,IF(F$26="4th",F$25,IF(E$26="4th",E$25,IF(D$26="4th",D$25,IF(M$26="3rd",M$25,IF(L$26="3rd",L$25,IF(K$26="3rd",K$25,IF(J$26="3rd",J$25,IF(I$26="3rd",I$25,IF(H$26="3rd",H$25,IF(G$26="3rd",G$25,IF(F$26="3rd",F$25,IF(E$26="3rd",E$25,IF(D$26="3rd",D$25)))))))))))))))))))))))))))))))</f>
        <v>171</v>
      </c>
      <c r="AI21" s="1157"/>
    </row>
    <row r="22" spans="1:35" ht="20.25" customHeight="1" x14ac:dyDescent="0.3">
      <c r="A22" s="216"/>
      <c r="B22" s="1147" t="s">
        <v>4413</v>
      </c>
      <c r="C22" s="1147"/>
      <c r="D22" s="274">
        <f>IF(D156="","",'print 10 lane'!I179)</f>
        <v>93</v>
      </c>
      <c r="E22" s="274">
        <f>IF(E156="","",'print 10 lane'!L179)</f>
        <v>112</v>
      </c>
      <c r="F22" s="274">
        <f>IF(F156="","",'print 10 lane'!O179)</f>
        <v>115</v>
      </c>
      <c r="G22" s="275">
        <f>IF(G156="","",'print 10 lane'!R179)</f>
        <v>159</v>
      </c>
      <c r="H22" s="277">
        <f>IF(H156="","",'print 10 lane'!U179)</f>
        <v>169</v>
      </c>
      <c r="I22" s="275">
        <f>IF(I156="","",'print 10 lane'!X179)</f>
        <v>145</v>
      </c>
      <c r="J22" s="275">
        <f>IF(J156="","",'print 10 lane'!AA179)</f>
        <v>138</v>
      </c>
      <c r="K22" s="275" t="str">
        <f>IF(K156="","",'print 10 lane'!AD179)</f>
        <v/>
      </c>
      <c r="L22" s="276" t="str">
        <f>IF(L156="","",'print 10 lane'!AG179)</f>
        <v/>
      </c>
      <c r="M22" s="274" t="str">
        <f>IF(M156="","",'print 10 lane'!AJ179)</f>
        <v/>
      </c>
      <c r="N22" s="233">
        <f>IF(I25&gt;0,1)</f>
        <v>1</v>
      </c>
      <c r="O22" s="251" t="str">
        <f>'Final result'!H22</f>
        <v>6th</v>
      </c>
      <c r="P22" s="1140" t="str">
        <f>IF(O22=0,0,'Final result'!G22)</f>
        <v>STEVENAGE</v>
      </c>
      <c r="Q22" s="1140"/>
      <c r="R22" s="253">
        <f>'Final result'!M22</f>
        <v>158</v>
      </c>
      <c r="S22" s="268" t="str">
        <f t="shared" ca="1" si="1"/>
        <v/>
      </c>
      <c r="T22" s="273">
        <f t="shared" ca="1" si="2"/>
        <v>0</v>
      </c>
      <c r="U22" s="273">
        <f t="shared" ca="1" si="2"/>
        <v>93</v>
      </c>
      <c r="V22" s="273">
        <f t="shared" ca="1" si="2"/>
        <v>112</v>
      </c>
      <c r="W22" s="273">
        <f t="shared" ca="1" si="2"/>
        <v>115</v>
      </c>
      <c r="X22" s="273">
        <f t="shared" ca="1" si="2"/>
        <v>159</v>
      </c>
      <c r="Y22" s="273">
        <f t="shared" ca="1" si="2"/>
        <v>169</v>
      </c>
      <c r="Z22" s="273">
        <f t="shared" ca="1" si="2"/>
        <v>145</v>
      </c>
      <c r="AA22" s="273">
        <f t="shared" ca="1" si="2"/>
        <v>138</v>
      </c>
      <c r="AB22" s="273" t="str">
        <f t="shared" ca="1" si="2"/>
        <v/>
      </c>
      <c r="AC22" s="273" t="str">
        <f t="shared" ca="1" si="2"/>
        <v/>
      </c>
      <c r="AD22" s="1153"/>
      <c r="AE22" s="66"/>
      <c r="AF22" s="257" t="str">
        <f>IF(N27&lt;6,0,IF(AF5=0,0,IF(AH22=AH21,AF21,"6th")))</f>
        <v>6th</v>
      </c>
      <c r="AG22" s="258" t="str">
        <f>IF(N27&lt;6,0,IF(I5=0,0,IF(D$26="6th",D$24,IF(E$26="6th",E$24,IF(F$26="6th",F$24,IF(G$26="6th",G$24,IF(H$26="6th",H$24,IF(I$26="6th",I$24,IF(J$26="6th",J$24,IF(K$26="6th",K$24,IF(L$26="6th",L$24,IF(M$26="6th",M$24,IF(M$26="5th",M$24,IF(L$26="5th",L$24,IF(K$26="5th",K$24,IF(J$26="5th",J$24,IF(I$26="5th",I$24,IF(H$26="5th",H$24,IF(G$26="5th",G$24,IF(F$26="5th",F$24,IF(E$26="5th",E$24,IF(D$26="5th",D$24,IF(M$26="4th",M$24,IF(L$26="4th",L$24,IF(K$26="4th",K$24,IF(J$26="4th",J$24,IF(I$26="4th",I$24,IF(H$26="4th",H$24,IF(G$26="4th",G$24,IF(F$26="4th",F$24,IF(E$26="4th",E$24,IF(D$26="4th",D24))))))))))))))))))))))))))))))))</f>
        <v>STEVENAGE</v>
      </c>
      <c r="AH22" s="259">
        <f>IF(AG22=0,0,IF(D$26="6th",D$25,IF(E$26="6th",E$25,IF(F$26="6th",F$25,IF(G$26="6th",G$25,IF(H$26="6th",H$25,IF(I$26="6th",I$25,IF(J$26="6th",J$25,IF(K$26="6th",K$25,IF(L$26="6th",L$25,IF(M$26="6th",M$25,IF(M$26="5th",M$25,IF(L$26="5th",L$25,IF(K$26="5th",K$25,IF(J$26="5th",J$25,IF(I$26="5th",I$25,IF(H$26="5th",H$25,IF(G$26="5th",G$25,IF(F$26="5th",F$25,IF(E$26="5th",E$25,IF(D$26="5th",D$25,IF(M$26="4th",M$25,IF(L$26="4th",L$25,IF(K$26="4th",K$25,IF(J$26="4th",J$25,IF(I$26="4th",I$25,IF(H$26="4th",H$25,IF(G$26="4th",G$25,IF(F$26="4th",F$25,IF(E$26="4th",E$25,IF(D$26="4th",D$25)))))))))))))))))))))))))))))))</f>
        <v>158</v>
      </c>
      <c r="AI22" s="1157"/>
    </row>
    <row r="23" spans="1:35" ht="20.25" customHeight="1" x14ac:dyDescent="0.3">
      <c r="A23" s="216"/>
      <c r="B23" s="1148" t="s">
        <v>4414</v>
      </c>
      <c r="C23" s="1148"/>
      <c r="D23" s="278">
        <f>IF(D188="","",'print 10 lane'!I182)</f>
        <v>122</v>
      </c>
      <c r="E23" s="278">
        <f>IF(E188="","",'print 10 lane'!L182)</f>
        <v>128</v>
      </c>
      <c r="F23" s="278">
        <f>IF(F188="","",'print 10 lane'!O182)</f>
        <v>148</v>
      </c>
      <c r="G23" s="279">
        <f>IF(G188="","",'print 10 lane'!R182)</f>
        <v>199</v>
      </c>
      <c r="H23" s="279">
        <f>IF(H188="","",'print 10 lane'!U182)</f>
        <v>207</v>
      </c>
      <c r="I23" s="279">
        <f>IF(I188="","",'print 10 lane'!X182)</f>
        <v>180</v>
      </c>
      <c r="J23" s="279">
        <f>IF(J188="","",'print 10 lane'!AA182)</f>
        <v>171</v>
      </c>
      <c r="K23" s="279" t="str">
        <f>IF(K188="","",'print 10 lane'!AD182)</f>
        <v/>
      </c>
      <c r="L23" s="279" t="str">
        <f>IF(L188="","",'print 10 lane'!AG182)</f>
        <v/>
      </c>
      <c r="M23" s="278" t="str">
        <f>IF(M188="","",'print 10 lane'!AJ182)</f>
        <v/>
      </c>
      <c r="N23" s="233">
        <f>IF(J25&gt;0,1)</f>
        <v>1</v>
      </c>
      <c r="O23" s="251" t="str">
        <f>'Final result'!H23</f>
        <v>7th</v>
      </c>
      <c r="P23" s="1140" t="str">
        <f>IF(O23=0,0,'Final result'!G23)</f>
        <v>HARINGEY AQUATICS</v>
      </c>
      <c r="Q23" s="1140"/>
      <c r="R23" s="253">
        <f>'Final result'!M23</f>
        <v>152</v>
      </c>
      <c r="S23" s="268" t="str">
        <f t="shared" ca="1" si="1"/>
        <v/>
      </c>
      <c r="T23" s="273">
        <f t="shared" ca="1" si="2"/>
        <v>0</v>
      </c>
      <c r="U23" s="273">
        <f t="shared" ca="1" si="2"/>
        <v>122</v>
      </c>
      <c r="V23" s="273">
        <f t="shared" ca="1" si="2"/>
        <v>128</v>
      </c>
      <c r="W23" s="273">
        <f t="shared" ca="1" si="2"/>
        <v>148</v>
      </c>
      <c r="X23" s="273">
        <f t="shared" ca="1" si="2"/>
        <v>199</v>
      </c>
      <c r="Y23" s="273">
        <f t="shared" ca="1" si="2"/>
        <v>207</v>
      </c>
      <c r="Z23" s="273">
        <f t="shared" ca="1" si="2"/>
        <v>180</v>
      </c>
      <c r="AA23" s="273">
        <f t="shared" ca="1" si="2"/>
        <v>171</v>
      </c>
      <c r="AB23" s="273" t="str">
        <f t="shared" ca="1" si="2"/>
        <v/>
      </c>
      <c r="AC23" s="273" t="str">
        <f t="shared" ca="1" si="2"/>
        <v/>
      </c>
      <c r="AD23" s="1153"/>
      <c r="AE23" s="66"/>
      <c r="AF23" s="257" t="str">
        <f>IF(N27&lt;7,0,IF(AF5=0,0,IF(AH23=AH22,AF22,"7th")))</f>
        <v>7th</v>
      </c>
      <c r="AG23" s="258" t="str">
        <f>IF(N27&lt;7,0,IF(J5=0,0,IF(D$26="7th",D$24,IF(E$26="7th",E$24,IF(F$26="7th",F$24,IF(G$26="7th",G$24,IF(H$26="7th",H$24,IF(I$26="7th",I$24,IF(J$26="7th",J$24,IF(K$26="7th",K$24,IF(L$26="7th",L$24,IF(M$26="7th",M$24,IF(M$26="6th",M$24,IF(L$26="6th",L$24,IF(K$26="6th",K$24,IF(J$26="6th",J$24,IF(I$26="6th",I$24,IF(H$26="6th",H$24,IF(G$26="6th",G$24,IF(F$26="6th",F$24,IF(E$26="6th",E$24,IF(D$26="6th",D$24,IF(M$26="5th",M$24,IF(L$26="5th",L$24,IF(K$26="5th",K$24,IF(J$26="5th",J$24,IF(I$26="5th",I$24,IF(H$26="5th",H$24,IF(G$26="5th",G$24,IF(F$26="5th",F$24,IF(E$26="5th",E$24,IF(D$26="5th",D$24))))))))))))))))))))))))))))))))</f>
        <v>HARINGEY AQUATICS</v>
      </c>
      <c r="AH23" s="259">
        <f>IF(AG23=0,0,IF(D$26="7th",D$25,IF(E$26="7th",E$25,IF(F$26="7th",F$25,IF(G$26="7th",G$25,IF(H$26="7th",H$25,IF(I$26="7th",I$25,IF(J$26="7th",J$25,IF(K$26="7th",K$25,IF(L$26="7th",L$25,IF(M$26="7th",M$25,IF(M$26="6th",M$25,IF(L$26="6th",L$25,IF(K$26="6th",K$25,IF(J$26="6th",J$25,IF(I$26="6th",I$25,IF(H$26="6th",H$25,IF(G$26="6th",G$25,IF(F$26="6th",F$25,IF(M$26="6th",E$25,IF(D$26="6th",D$25,IF(M$26="5th",M$25,IF(L$26="5th",L$25,IF(K$26="5th",K$25,IF(J$26="5th",J$25,IF(I$26="5th",I$25,IF(H$26="5th",H$25,IF(G$26="5th",G$25,IF(F$26="5th",F$25,IF(E$26="5th",E$25,IF(D$26="5th",D$25)))))))))))))))))))))))))))))))</f>
        <v>152</v>
      </c>
      <c r="AI23" s="1157"/>
    </row>
    <row r="24" spans="1:35" ht="20.25" customHeight="1" x14ac:dyDescent="0.3">
      <c r="A24" s="216"/>
      <c r="B24" s="1149" t="s">
        <v>4409</v>
      </c>
      <c r="C24" s="1149"/>
      <c r="D24" s="280" t="str">
        <f t="shared" ref="D24:M24" si="3">D5</f>
        <v>HARINGEY AQUATICS</v>
      </c>
      <c r="E24" s="281" t="str">
        <f t="shared" si="3"/>
        <v>STEVENAGE</v>
      </c>
      <c r="F24" s="281" t="str">
        <f t="shared" si="3"/>
        <v>BORO OF BROXBOURNE</v>
      </c>
      <c r="G24" s="282" t="str">
        <f t="shared" si="3"/>
        <v>AYLESBURY</v>
      </c>
      <c r="H24" s="281" t="str">
        <f t="shared" si="3"/>
        <v>BRAINTREE &amp; BOCKING</v>
      </c>
      <c r="I24" s="281" t="str">
        <f t="shared" si="3"/>
        <v>Bo of Harrow</v>
      </c>
      <c r="J24" s="282" t="str">
        <f t="shared" si="3"/>
        <v>Hillingdon 'B'</v>
      </c>
      <c r="K24" s="281">
        <f t="shared" si="3"/>
        <v>0</v>
      </c>
      <c r="L24" s="281">
        <f t="shared" si="3"/>
        <v>0</v>
      </c>
      <c r="M24" s="280">
        <f t="shared" si="3"/>
        <v>0</v>
      </c>
      <c r="N24" s="233" t="b">
        <f>IF(K25&gt;0,1)</f>
        <v>0</v>
      </c>
      <c r="O24" s="251">
        <f>'Final result'!H24</f>
        <v>0</v>
      </c>
      <c r="P24" s="1140">
        <f>IF(O24=0,0,'Final result'!G24)</f>
        <v>0</v>
      </c>
      <c r="Q24" s="1140"/>
      <c r="R24" s="253" t="b">
        <f>'Final result'!M24</f>
        <v>0</v>
      </c>
      <c r="S24" s="268">
        <f t="shared" ca="1" si="1"/>
        <v>0</v>
      </c>
      <c r="T24" s="273">
        <f t="shared" ca="1" si="2"/>
        <v>0</v>
      </c>
      <c r="U24" s="273" t="str">
        <f t="shared" ca="1" si="2"/>
        <v>HARINGEY AQUATICS</v>
      </c>
      <c r="V24" s="273" t="str">
        <f t="shared" ca="1" si="2"/>
        <v>STEVENAGE</v>
      </c>
      <c r="W24" s="273" t="str">
        <f t="shared" ca="1" si="2"/>
        <v>BORO OF BROXBOURNE</v>
      </c>
      <c r="X24" s="273" t="str">
        <f t="shared" ca="1" si="2"/>
        <v>AYLESBURY</v>
      </c>
      <c r="Y24" s="273" t="str">
        <f t="shared" ca="1" si="2"/>
        <v>BRAINTREE &amp; BOCKING</v>
      </c>
      <c r="Z24" s="273" t="str">
        <f t="shared" ca="1" si="2"/>
        <v>Bo of Harrow</v>
      </c>
      <c r="AA24" s="273" t="str">
        <f t="shared" ca="1" si="2"/>
        <v>Hillingdon 'B'</v>
      </c>
      <c r="AB24" s="273">
        <f t="shared" ca="1" si="2"/>
        <v>0</v>
      </c>
      <c r="AC24" s="273">
        <f t="shared" ca="1" si="2"/>
        <v>0</v>
      </c>
      <c r="AD24" s="1153"/>
      <c r="AE24" s="66"/>
      <c r="AF24" s="257">
        <f>IF(N27&lt;8,0,IF(AF5=0,0,IF(AH24=AH23,AF23,"8th")))</f>
        <v>0</v>
      </c>
      <c r="AG24" s="258">
        <f>IF(N27&lt;8,0,IF(K5=0,0,IF(D$26="8th",D$24,IF(E$26="8th",E$24,IF(F$26="8th",F$24,IF(G$26="8th",G$24,IF(H$26="8th",H$24,IF(I$26="8th",I$24,IF(J$26="8th",J$24,IF(K$26="8th",K$24,IF(L$26="8th",L$24,IF(M$26="8th",M$24,IF(L$26="7th",L$24,IF(K$26="7th",K$24,IF(J$26="7th",J$24,IF(I$26="7th",I$24,IF(H$26="7th",H$24,IF(G$26="7th",G$24,IF(F$26="7th",F$24,IF(E$26="7th",E$24,IF(M$26="7th",D$24,IF(M$26="7th",M$24,IF(M$26="6th",M$24,IF(L$26="6th",L$24,IF(K$26="6th",K$24,IF(J$26="6th",J$24,IF(I$26="6th",I$24,IF(H$26="6th",H$24,IF(G$26="6th",G$24,IF(F$26="6th",F$24,IF(E$26="6th",E$24,IF(D$26="6th",D$24))))))))))))))))))))))))))))))))</f>
        <v>0</v>
      </c>
      <c r="AH24" s="283">
        <f>IF(AG24=0,0,IF(D$26="8th",D$25,IF(E$26="8th",E$25,IF(F$26="8th",F$25,IF(G$26="8th",G$25,IF(H$26="8th",H$25,IF(I$26="8th",I$25,IF(J$26="8th",J$25,IF(K$26="8th",K$25,IF(L$26="8th",L$25,IF(M$26="8th",M$25,IF(M$26="7th",M$25,IF(L$26="7th",L$25,IF(K$26="7th",K$25,IF(J$26="7th",J$25,IF(I$26="7th",I$25,IF(H$26="7th",H$25,IF(G$26="7th",G$25,IF(F$26="7th",F$25,IF(E$26="7th",E$25,IF(D$26="7th",D$25,IF(M$26="6th",M$25,IF(L$26="6th",L$25,IF(K$26="6th",K$25,IF(J$26="6th",J$25,IF(I$26="6th",I$25,IF(H$26="6th",H$25,IF(G$26="6th",G$25,IF(F$26="6th",F$25,IF(M$26="6th",E$25,IF(D$26="6th",D$25)))))))))))))))))))))))))))))))</f>
        <v>0</v>
      </c>
      <c r="AI24" s="1157"/>
    </row>
    <row r="25" spans="1:35" ht="20.25" customHeight="1" x14ac:dyDescent="0.3">
      <c r="A25" s="216"/>
      <c r="B25" s="1139" t="s">
        <v>4415</v>
      </c>
      <c r="C25" s="1139"/>
      <c r="D25" s="284">
        <f>'print 10 lane'!J9</f>
        <v>152</v>
      </c>
      <c r="E25" s="285">
        <f>'print 10 lane'!M9</f>
        <v>158</v>
      </c>
      <c r="F25" s="284">
        <f>'print 10 lane'!P9</f>
        <v>171</v>
      </c>
      <c r="G25" s="285">
        <f>'print 10 lane'!S9</f>
        <v>241</v>
      </c>
      <c r="H25" s="285">
        <f>'print 10 lane'!V9</f>
        <v>252</v>
      </c>
      <c r="I25" s="285">
        <f>'print 10 lane'!Y9</f>
        <v>212</v>
      </c>
      <c r="J25" s="285">
        <f>'print 10 lane'!AB9</f>
        <v>208</v>
      </c>
      <c r="K25" s="285">
        <f>'print 10 lane'!AE9</f>
        <v>0</v>
      </c>
      <c r="L25" s="285">
        <f>'print 10 lane'!AH9</f>
        <v>0</v>
      </c>
      <c r="M25" s="284">
        <f>'print 10 lane'!AK9</f>
        <v>0</v>
      </c>
      <c r="N25" s="218" t="b">
        <f>IF(L25&gt;0,1)</f>
        <v>0</v>
      </c>
      <c r="O25" s="251">
        <f>'Final result'!H25</f>
        <v>0</v>
      </c>
      <c r="P25" s="1140">
        <f>IF(O25=0,0,'Final result'!G25)</f>
        <v>0</v>
      </c>
      <c r="Q25" s="1140"/>
      <c r="R25" s="253" t="b">
        <f>'Final result'!M25</f>
        <v>0</v>
      </c>
      <c r="S25" s="268">
        <f t="shared" ca="1" si="1"/>
        <v>0</v>
      </c>
      <c r="T25" s="273">
        <f t="shared" ca="1" si="2"/>
        <v>0</v>
      </c>
      <c r="U25" s="273">
        <f t="shared" ca="1" si="2"/>
        <v>152</v>
      </c>
      <c r="V25" s="273">
        <f t="shared" ca="1" si="2"/>
        <v>158</v>
      </c>
      <c r="W25" s="273">
        <f t="shared" ca="1" si="2"/>
        <v>171</v>
      </c>
      <c r="X25" s="273">
        <f t="shared" ca="1" si="2"/>
        <v>241</v>
      </c>
      <c r="Y25" s="273">
        <f t="shared" ca="1" si="2"/>
        <v>252</v>
      </c>
      <c r="Z25" s="273">
        <f t="shared" ca="1" si="2"/>
        <v>212</v>
      </c>
      <c r="AA25" s="273">
        <f t="shared" ca="1" si="2"/>
        <v>208</v>
      </c>
      <c r="AB25" s="273">
        <f t="shared" ca="1" si="2"/>
        <v>0</v>
      </c>
      <c r="AC25" s="273">
        <f t="shared" ca="1" si="2"/>
        <v>0</v>
      </c>
      <c r="AD25" s="1153"/>
      <c r="AE25" s="66"/>
      <c r="AF25" s="257">
        <f>IF(N27&lt;9,0,IF(AF5=0,0,IF(AH25=AH24,AF24,"9th")))</f>
        <v>0</v>
      </c>
      <c r="AG25" s="258">
        <f>IF(N27&lt;9,0,IF(L5=0,0,IF(D$26="9th",D$24,IF(E$26="9th",E$24,IF(F$26="9th",F$24,IF(G$26="9th",G$24,IF(H$26="9th",H$24,IF(I$26="9th",I$24,IF(J$26="9th",J$24,IF(K$26="9th",K$24,IF(L$26="9th",L$24,IF(M$26="9th",M$24,IF(L$26="8th",L$24,IF(K$26="8th",K$24,IF(J$26="8th",J$24,IF(I$26="8th",I$24,IF(H$26="8th",H$24,IF(G$26="8th",G$24,IF(F$26="8th",F$24,IF(E$26="8th",E$24,IF(D$26="8th",D$24,IF(M$26="8th",M$24,IF(M$26="7th",M$24,IF(L$26="7th",L$24,IF(K$26="7th",K$24,IF(J$26="7th",J$24,IF(I$26="7th",I$24,IF(H$26="7th",H$24,IF(G$26="7th",G$24,IF(F$26="7th",F$24,IF(E$26="7th",E$24,IF(M$26="7th",D$24))))))))))))))))))))))))))))))))</f>
        <v>0</v>
      </c>
      <c r="AH25" s="259">
        <f>IF(AG25=0,0,IF(D$26="9th",D$25,IF(E$26="9th",E$25,IF(F$26="9th",F$25,IF(G$26="9th",G$25,IF(H$26="9th",H$25,IF(I$26="9th",I$25,IF(J$26="9th",J$25,IF(K$26="9th",K$25,IF(L$26="9th",L$25,IF(M$26="9th",M$25,IF(M$26="8th",M$25,IF(L$26="8th",L$25,IF(K$26="8th",K$25,IF(J$26="8th",J$25,IF(I$26="8th",I$25,IF(H$26="8th",H$25,IF(G$26="8th",G$25,IF(F$26="8th",F$25,IF(E$26="8th",E$25,IF(D$26="8th",D$25,IF(M$26="7th",M$25,IF(L$26="7th",L$25,IF(K$26="7th",K$25,IF(J$26="7th",J$25,IF(I$26="7th",I$25,IF(H$26="7th",H$25,IF(G$26="7th",G$25,IF(F$26="7th",F$25,IF(E$26="7th",E$25,IF(D$26="7th",D$25)))))))))))))))))))))))))))))))</f>
        <v>0</v>
      </c>
      <c r="AI25" s="1157"/>
    </row>
    <row r="26" spans="1:35" ht="21" customHeight="1" x14ac:dyDescent="0.3">
      <c r="A26" s="216"/>
      <c r="B26" s="1141" t="s">
        <v>4416</v>
      </c>
      <c r="C26" s="1141"/>
      <c r="D26" s="286" t="str">
        <f>IF('print 10 lane'!J7=1,"1st",IF('print 10 lane'!J7=2,"2nd",IF('print 10 lane'!J7=3,"3rd",IF('print 10 lane'!J7=4,"4th",IF('print 10 lane'!J7=5,"5th",IF('print 10 lane'!J7=6,"6th",IF('print 10 lane'!J7=7,"7th",IF('print 10 lane'!J7=8,"8th",IF('print 10 lane'!J7=9,"9th",IF('print 10 lane'!J7=10,"10th"))))))))))</f>
        <v>7th</v>
      </c>
      <c r="E26" s="286" t="str">
        <f>IF('print 10 lane'!M7=1,"1st",IF('print 10 lane'!M7=2,"2nd",IF('print 10 lane'!M7=3,"3rd",IF('print 10 lane'!M7=4,"4th",IF('print 10 lane'!M7=5,"5th",IF('print 10 lane'!M7=6,"6th",IF('print 10 lane'!M7=7,"7th",IF('print 10 lane'!M7=8,"8th",IF('print 10 lane'!M7=9,"9th",IF('print 10 lane'!M7=10,"10th"))))))))))</f>
        <v>6th</v>
      </c>
      <c r="F26" s="287" t="str">
        <f>IF('print 10 lane'!P7=1,"1st",IF('print 10 lane'!P7=2,"2nd",IF('print 10 lane'!P7=3,"3rd",IF('print 10 lane'!P7=4,"4th",IF('print 10 lane'!P7=5,"5th",IF('print 10 lane'!P7=6,"6th",IF('print 10 lane'!P7=7,"7th",IF('print 10 lane'!P7=8,"8th",IF('print 10 lane'!P7=9,"9th",IF('print 10 lane'!P7=10,"10th"))))))))))</f>
        <v>5th</v>
      </c>
      <c r="G26" s="286" t="str">
        <f>IF('print 10 lane'!S7=1,"1st",IF('print 10 lane'!S7=2,"2nd",IF('print 10 lane'!S7=3,"3rd",IF('print 10 lane'!S7=4,"4th",IF('print 10 lane'!S7=5,"5th",IF('print 10 lane'!S7=6,"6th",IF('print 10 lane'!S7=7,"7th",IF('print 10 lane'!S7=8,"8th",IF('print 10 lane'!S7=9,"9th",IF('print 10 lane'!S7=10,"10th"))))))))))</f>
        <v>2nd</v>
      </c>
      <c r="H26" s="286" t="str">
        <f>IF('print 10 lane'!V7=1,"1st",IF('print 10 lane'!V7=2,"2nd",IF('print 10 lane'!V7=3,"3rd",IF('print 10 lane'!V7=4,"4th",IF('print 10 lane'!V7=5,"5th",IF('print 10 lane'!V7=6,"6th",IF('print 10 lane'!V7=7,"7th",IF('print 10 lane'!V7=8,"8th",IF('print 10 lane'!V7=9,"9th",IF('print 10 lane'!V7=10,"10th"))))))))))</f>
        <v>1st</v>
      </c>
      <c r="I26" s="286" t="str">
        <f>IF('print 10 lane'!Y7=1,"1st",IF('print 10 lane'!Y7=2,"2nd",IF('print 10 lane'!Y7=3,"3rd",IF('print 10 lane'!Y7=4,"4th",IF('print 10 lane'!Y7=5,"5th",IF('print 10 lane'!Y7=6,"6th",IF('print 10 lane'!Y7=7,"7th",IF('print 10 lane'!Y7=8,"8th",IF('print 10 lane'!Y7=9,"9th",IF('print 10 lane'!Y7=10,"10th"))))))))))</f>
        <v>3rd</v>
      </c>
      <c r="J26" s="286" t="str">
        <f>IF('print 10 lane'!AB7=1,"1st",IF('print 10 lane'!AB7=2,"2nd",IF('print 10 lane'!AB7=3,"3rd",IF('print 10 lane'!AB7=4,"4th",IF('print 10 lane'!AB7=5,"5th",IF('print 10 lane'!AB7=6,"6th",IF('print 10 lane'!AB7=7,"7th",IF('print 10 lane'!AB7=8,"8th",IF('print 10 lane'!AB7=9,"9th",IF('print 10 lane'!AB7=10,"10th"))))))))))</f>
        <v>4th</v>
      </c>
      <c r="K26" s="286" t="b">
        <f>IF('print 10 lane'!AE7=1,"1st",IF('print 10 lane'!AE7=2,"2nd",IF('print 10 lane'!AE7=3,"3rd",IF('print 10 lane'!AE7=4,"4th",IF('print 10 lane'!AE7=5,"5th",IF('print 10 lane'!AE7=6,"6th",IF('print 10 lane'!AE7=7,"7th",IF('print 10 lane'!AE7=8,"8th",IF('print 10 lane'!AE7=9,"9th",IF('print 10 lane'!AE7=10,"10th"))))))))))</f>
        <v>0</v>
      </c>
      <c r="L26" s="286" t="b">
        <f>IF('print 10 lane'!AH7=1,"1st",IF('print 10 lane'!AH7=2,"2nd",IF('print 10 lane'!AH7=3,"3rd",IF('print 10 lane'!AH7=4,"4th",IF('print 10 lane'!AH7=5,"5th",IF('print 10 lane'!AH7=6,"6th",IF('print 10 lane'!AH7=7,"7th",IF('print 10 lane'!AH7=8,"8th",IF('print 10 lane'!AH7=9,"9th",IF('print 10 lane'!AH7=10,"10th"))))))))))</f>
        <v>0</v>
      </c>
      <c r="M26" s="287" t="b">
        <f>IF('print 10 lane'!AK7=1,"1st",IF('print 10 lane'!AK7=2,"2nd",IF('print 10 lane'!AK7=3,"3rd",IF('print 10 lane'!AK7=4,"4th",IF('print 10 lane'!AK7=5,"5th",IF('print 10 lane'!AK7=6,"6th",IF('print 10 lane'!AK7=7,"7th",IF('print 10 lane'!AK7=8,"8th",IF('print 10 lane'!AK7=9,"9th",IF('print 10 lane'!AK7=10,"10th"))))))))))</f>
        <v>0</v>
      </c>
      <c r="N26" s="233" t="b">
        <f>IF(M25&gt;0,1)</f>
        <v>0</v>
      </c>
      <c r="O26" s="251">
        <f>'Final result'!H26</f>
        <v>0</v>
      </c>
      <c r="P26" s="1140">
        <f>IF(O26=0,0,'Final result'!G26)</f>
        <v>0</v>
      </c>
      <c r="Q26" s="1140"/>
      <c r="R26" s="253" t="b">
        <f>'Final result'!M26</f>
        <v>0</v>
      </c>
      <c r="S26" s="288" t="b">
        <f t="shared" ca="1" si="1"/>
        <v>0</v>
      </c>
      <c r="T26" s="273">
        <f t="shared" ca="1" si="2"/>
        <v>0</v>
      </c>
      <c r="U26" s="289" t="str">
        <f t="shared" ca="1" si="2"/>
        <v>7th</v>
      </c>
      <c r="V26" s="289" t="str">
        <f t="shared" ca="1" si="2"/>
        <v>6th</v>
      </c>
      <c r="W26" s="289" t="str">
        <f t="shared" ca="1" si="2"/>
        <v>5th</v>
      </c>
      <c r="X26" s="289" t="str">
        <f t="shared" ca="1" si="2"/>
        <v>2nd</v>
      </c>
      <c r="Y26" s="289" t="str">
        <f t="shared" ca="1" si="2"/>
        <v>1st</v>
      </c>
      <c r="Z26" s="289" t="str">
        <f t="shared" ca="1" si="2"/>
        <v>3rd</v>
      </c>
      <c r="AA26" s="289" t="str">
        <f t="shared" ca="1" si="2"/>
        <v>4th</v>
      </c>
      <c r="AB26" s="289" t="b">
        <f t="shared" ca="1" si="2"/>
        <v>0</v>
      </c>
      <c r="AC26" s="289" t="b">
        <f t="shared" ca="1" si="2"/>
        <v>0</v>
      </c>
      <c r="AD26" s="1153"/>
      <c r="AE26" s="66"/>
      <c r="AF26" s="290">
        <f>IF(N27&lt;10,0,IF(AF5=0,0,IF(AH26=AH25,AF25,"10th")))</f>
        <v>0</v>
      </c>
      <c r="AG26" s="291">
        <f>IF(N27&lt;10,0,IF(M5=0,0,IF(D$26="10th",D$24,IF(E$26="10th",E$24,IF(F$26="10th",F$24,IF(G$26="10th",G$24,IF(H$26="10th",H$24,IF(I$26="10th",I$24,IF(J$26="10th",J$24,IF(K$26="10th",K$24,IF(L$26="10th",L$24,IF(M$26="10th",M$24,IF(M$26="9th",M$24,IF(L$26="9th",L$24,IF(K$26="9th",K$24,IF(J$26="9th",J$24,IF(I$26="9th",I$24,IF(H$26="9th",H$24,IF(G$26="9th",G$24,IF(F$26="9th",F$24,IF(E$26="9th",E$24,IF(D$26="9th",D$24,IF(D$26="8th",D$24,IF(M$26="8th",M$24,IF(L$26="8th",L$24,IF(K$26="8th",K$24,IF(J$26="8th",J$24,IF(I$26="8th",I$24,IF(H$26="8th",H$24,IF(G$26="8th",G$24,IF(F$26="8th",F$24,IF(E$26="8th",E$24))))))))))))))))))))))))))))))))</f>
        <v>0</v>
      </c>
      <c r="AH26" s="292">
        <f>IF(AG26=0,0,IF(D$26="10th",D$25,IF(E$26="10th",E$25,IF(F$26="10th",F$25,IF(G$26="10th",G$25,IF(H$26="10th",H$25,IF(I$26="10th",I$25,IF(J$26="10th",J$25,IF(K$26="10th",K$25,IF(L$26="10th",L$25,IF(M$26="10th",M$25,IF(M$26="9th",M$25,IF(L$26="9th",L$25,IF(K$26="9th",K$25,IF(J$26="9th",J$25,IF(I$26="9th",I$25,IF(H$26="9th",H$25,IF(G$26="9th",G$25,IF(F$26="9th",F$25,IF(E$26="9th",E$25,IF(D$26="9th",D$25,IF(M$26="8th",M$25,IF(L$26="8th",L$25,IF(K$26="8th",K$25,IF(J$26="8th",J$25,IF(I$26="8th",I$25,IF(H$26="8th",H$25,IF(G$26="8th",G$25,IF(F$26="8th",F$25,IF(E$26="8th",E$25,IF(D$26="8th",D$25)))))))))))))))))))))))))))))))</f>
        <v>0</v>
      </c>
      <c r="AI26" s="1157"/>
    </row>
    <row r="27" spans="1:35" ht="12" hidden="1" customHeight="1" x14ac:dyDescent="0.3">
      <c r="A27" s="216"/>
      <c r="B27" s="293"/>
      <c r="C27" s="293"/>
      <c r="D27" s="293"/>
      <c r="E27" s="293"/>
      <c r="F27" s="293"/>
      <c r="G27" s="293"/>
      <c r="H27" s="293"/>
      <c r="I27" s="293"/>
      <c r="J27" s="293"/>
      <c r="K27" s="293"/>
      <c r="L27" s="293"/>
      <c r="M27" s="293"/>
      <c r="N27" s="244">
        <f>SUM(N5:N26)</f>
        <v>7</v>
      </c>
      <c r="O27" s="294" t="str">
        <f>'Gala Setup'!S4</f>
        <v>NASL.2023 V6</v>
      </c>
      <c r="P27" s="294"/>
      <c r="Q27" s="294"/>
      <c r="R27" s="295"/>
      <c r="S27" s="268">
        <f t="shared" ca="1" si="1"/>
        <v>0</v>
      </c>
      <c r="T27" s="273">
        <f t="shared" ca="1" si="2"/>
        <v>0</v>
      </c>
      <c r="U27" s="273">
        <f t="shared" ca="1" si="2"/>
        <v>0</v>
      </c>
      <c r="V27" s="273">
        <f t="shared" ca="1" si="2"/>
        <v>0</v>
      </c>
      <c r="W27" s="273">
        <f t="shared" ca="1" si="2"/>
        <v>0</v>
      </c>
      <c r="X27" s="273">
        <f t="shared" ca="1" si="2"/>
        <v>0</v>
      </c>
      <c r="Y27" s="273">
        <f t="shared" ca="1" si="2"/>
        <v>0</v>
      </c>
      <c r="Z27" s="273">
        <f t="shared" ca="1" si="2"/>
        <v>0</v>
      </c>
      <c r="AA27" s="273">
        <f t="shared" ca="1" si="2"/>
        <v>0</v>
      </c>
      <c r="AB27" s="273">
        <f t="shared" ca="1" si="2"/>
        <v>0</v>
      </c>
      <c r="AC27" s="273">
        <f t="shared" ca="1" si="2"/>
        <v>0</v>
      </c>
      <c r="AD27" s="1153"/>
      <c r="AE27" s="66"/>
    </row>
    <row r="28" spans="1:35" ht="19.5" customHeight="1" x14ac:dyDescent="0.25">
      <c r="A28" s="216"/>
      <c r="B28" s="1142" t="s">
        <v>4417</v>
      </c>
      <c r="C28" s="1142"/>
      <c r="D28" s="296" t="s">
        <v>4327</v>
      </c>
      <c r="E28" s="297" t="s">
        <v>4327</v>
      </c>
      <c r="F28" s="298" t="s">
        <v>4327</v>
      </c>
      <c r="G28" s="298" t="s">
        <v>4327</v>
      </c>
      <c r="H28" s="298" t="s">
        <v>4327</v>
      </c>
      <c r="I28" s="299" t="s">
        <v>4327</v>
      </c>
      <c r="J28" s="298" t="s">
        <v>4327</v>
      </c>
      <c r="K28" s="298" t="s">
        <v>4327</v>
      </c>
      <c r="L28" s="298" t="s">
        <v>4327</v>
      </c>
      <c r="M28" s="296" t="s">
        <v>4327</v>
      </c>
      <c r="N28" s="300"/>
      <c r="O28" s="1143" t="s">
        <v>4418</v>
      </c>
      <c r="P28" s="1143"/>
      <c r="Q28" s="1143"/>
      <c r="R28" s="1143"/>
      <c r="S28" s="301"/>
      <c r="T28" s="301"/>
      <c r="U28" s="301"/>
      <c r="V28" s="301"/>
      <c r="W28" s="301"/>
      <c r="X28" s="301"/>
      <c r="Y28" s="301"/>
      <c r="Z28" s="301"/>
      <c r="AA28" s="301"/>
      <c r="AB28" s="301"/>
      <c r="AC28" s="301"/>
      <c r="AD28" s="1153"/>
      <c r="AE28" s="66"/>
    </row>
    <row r="29" spans="1:35" ht="27.75" customHeight="1" x14ac:dyDescent="0.25">
      <c r="A29" s="216"/>
      <c r="B29" s="1142"/>
      <c r="C29" s="1142"/>
      <c r="D29" s="302">
        <f>'Gala Setup'!N4</f>
        <v>1</v>
      </c>
      <c r="E29" s="303">
        <f>'Gala Setup'!N5</f>
        <v>2</v>
      </c>
      <c r="F29" s="302">
        <f>'Gala Setup'!N6</f>
        <v>3</v>
      </c>
      <c r="G29" s="304">
        <f>'Gala Setup'!N7</f>
        <v>4</v>
      </c>
      <c r="H29" s="302">
        <f>'Gala Setup'!N8</f>
        <v>5</v>
      </c>
      <c r="I29" s="302">
        <f>'Gala Setup'!N9</f>
        <v>6</v>
      </c>
      <c r="J29" s="302">
        <f>'Gala Setup'!N10</f>
        <v>7</v>
      </c>
      <c r="K29" s="302">
        <f>'Gala Setup'!N11</f>
        <v>0</v>
      </c>
      <c r="L29" s="302">
        <f>'Gala Setup'!N12</f>
        <v>0</v>
      </c>
      <c r="M29" s="303">
        <f>'Gala Setup'!N13</f>
        <v>0</v>
      </c>
      <c r="N29" s="305"/>
      <c r="O29" s="1143"/>
      <c r="P29" s="1143"/>
      <c r="Q29" s="1143"/>
      <c r="R29" s="1143"/>
      <c r="S29" s="301"/>
      <c r="T29" s="301"/>
      <c r="U29" s="301"/>
      <c r="V29" s="301"/>
      <c r="W29" s="301"/>
      <c r="X29" s="301"/>
      <c r="Y29" s="301"/>
      <c r="Z29" s="301"/>
      <c r="AA29" s="301"/>
      <c r="AB29" s="301"/>
      <c r="AC29" s="301"/>
      <c r="AD29" s="1153"/>
      <c r="AE29" s="66"/>
    </row>
    <row r="30" spans="1:35" ht="39" hidden="1" customHeight="1" x14ac:dyDescent="0.3">
      <c r="A30" s="216"/>
      <c r="B30" s="1144" t="s">
        <v>4419</v>
      </c>
      <c r="C30" s="1144"/>
      <c r="D30" s="1145" t="s">
        <v>4420</v>
      </c>
      <c r="E30" s="1145"/>
      <c r="F30" s="1145"/>
      <c r="G30" s="1145"/>
      <c r="H30" s="1145"/>
      <c r="I30" s="1145"/>
      <c r="J30" s="1145"/>
      <c r="K30" s="1145"/>
      <c r="L30" s="1145"/>
      <c r="M30" s="1145"/>
      <c r="N30" s="233"/>
      <c r="O30" s="1146" t="str">
        <f>'Gala Setup'!S4</f>
        <v>NASL.2023 V6</v>
      </c>
      <c r="P30" s="1146"/>
      <c r="Q30" s="1146"/>
      <c r="R30" s="1146"/>
      <c r="S30" s="268"/>
      <c r="T30" s="273"/>
      <c r="U30" s="273"/>
      <c r="V30" s="273"/>
      <c r="W30" s="273"/>
      <c r="X30" s="273"/>
      <c r="Y30" s="273"/>
      <c r="Z30" s="273"/>
      <c r="AA30" s="273"/>
      <c r="AB30" s="273"/>
      <c r="AC30" s="273"/>
      <c r="AD30" s="1153"/>
      <c r="AE30" s="66"/>
    </row>
    <row r="31" spans="1:35" ht="18" customHeight="1" x14ac:dyDescent="0.3">
      <c r="A31" s="216"/>
      <c r="B31" s="1136" t="s">
        <v>4421</v>
      </c>
      <c r="C31" s="306" t="s">
        <v>4422</v>
      </c>
      <c r="D31" s="307">
        <f>'print 10 lane'!J12</f>
        <v>2</v>
      </c>
      <c r="E31" s="307">
        <f>'print 10 lane'!M12</f>
        <v>5</v>
      </c>
      <c r="F31" s="307">
        <f>'print 10 lane'!P12</f>
        <v>3</v>
      </c>
      <c r="G31" s="307">
        <f>'print 10 lane'!S12</f>
        <v>1</v>
      </c>
      <c r="H31" s="307">
        <f>'print 10 lane'!V12</f>
        <v>7</v>
      </c>
      <c r="I31" s="307">
        <f>'print 10 lane'!Y12</f>
        <v>4</v>
      </c>
      <c r="J31" s="307">
        <f>'print 10 lane'!AB12</f>
        <v>6</v>
      </c>
      <c r="K31" s="307">
        <f>'print 10 lane'!AE12</f>
        <v>0</v>
      </c>
      <c r="L31" s="307">
        <f>'print 10 lane'!AH12</f>
        <v>0</v>
      </c>
      <c r="M31" s="308">
        <f>'print 10 lane'!AK12</f>
        <v>0</v>
      </c>
      <c r="N31" s="309"/>
      <c r="O31" s="1137" t="s">
        <v>4423</v>
      </c>
      <c r="P31" s="1137"/>
      <c r="Q31" s="1137"/>
      <c r="R31" s="1137"/>
      <c r="S31" s="268"/>
      <c r="T31" s="273"/>
      <c r="U31" s="273"/>
      <c r="V31" s="273"/>
      <c r="W31" s="273"/>
      <c r="X31" s="273"/>
      <c r="Y31" s="273"/>
      <c r="Z31" s="273"/>
      <c r="AA31" s="273"/>
      <c r="AB31" s="273"/>
      <c r="AC31" s="273"/>
      <c r="AD31" s="1153"/>
      <c r="AE31" s="66"/>
    </row>
    <row r="32" spans="1:35" ht="22.5" customHeight="1" x14ac:dyDescent="0.3">
      <c r="A32" s="216"/>
      <c r="B32" s="1136"/>
      <c r="C32" s="310" t="s">
        <v>4424</v>
      </c>
      <c r="D32" s="311">
        <v>23406</v>
      </c>
      <c r="E32" s="312">
        <v>23956</v>
      </c>
      <c r="F32" s="312">
        <v>23461</v>
      </c>
      <c r="G32" s="312">
        <v>23120</v>
      </c>
      <c r="H32" s="312">
        <v>24331</v>
      </c>
      <c r="I32" s="312">
        <v>23815</v>
      </c>
      <c r="J32" s="312">
        <v>24026</v>
      </c>
      <c r="K32" s="312"/>
      <c r="L32" s="312"/>
      <c r="M32" s="313"/>
      <c r="N32" s="233"/>
      <c r="O32" s="1137"/>
      <c r="P32" s="1137"/>
      <c r="Q32" s="1137"/>
      <c r="R32" s="1137"/>
      <c r="S32" s="268">
        <f ca="1">AC32</f>
        <v>0</v>
      </c>
      <c r="T32" s="273" t="str">
        <f t="shared" ref="T32:AC34" ca="1" si="4">INDIRECT(ADDRESS(ROW(),T$18))</f>
        <v>TIME</v>
      </c>
      <c r="U32" s="273">
        <f t="shared" ca="1" si="4"/>
        <v>23406</v>
      </c>
      <c r="V32" s="273">
        <f t="shared" ca="1" si="4"/>
        <v>23956</v>
      </c>
      <c r="W32" s="273">
        <f t="shared" ca="1" si="4"/>
        <v>23461</v>
      </c>
      <c r="X32" s="273">
        <f t="shared" ca="1" si="4"/>
        <v>23120</v>
      </c>
      <c r="Y32" s="273">
        <f t="shared" ca="1" si="4"/>
        <v>24331</v>
      </c>
      <c r="Z32" s="273">
        <f t="shared" ca="1" si="4"/>
        <v>23815</v>
      </c>
      <c r="AA32" s="273">
        <f t="shared" ca="1" si="4"/>
        <v>24026</v>
      </c>
      <c r="AB32" s="273">
        <f t="shared" ca="1" si="4"/>
        <v>0</v>
      </c>
      <c r="AC32" s="273">
        <f t="shared" ca="1" si="4"/>
        <v>0</v>
      </c>
      <c r="AD32" s="1153"/>
      <c r="AE32" s="66"/>
    </row>
    <row r="33" spans="1:31" ht="22.5" customHeight="1" x14ac:dyDescent="0.3">
      <c r="A33" s="216"/>
      <c r="B33" s="1120" t="str">
        <f>'Team 1'!B4</f>
        <v>FEMALE 16+  200M  IM</v>
      </c>
      <c r="C33" s="310" t="s">
        <v>4425</v>
      </c>
      <c r="D33" s="314" t="str">
        <f>'print 10 lane'!I13</f>
        <v>Bianca Gomez-Velasco</v>
      </c>
      <c r="E33" s="315" t="str">
        <f>'print 10 lane'!L13</f>
        <v>Sophie Stelmach</v>
      </c>
      <c r="F33" s="315" t="str">
        <f>'print 10 lane'!O13</f>
        <v>Hannah Lovelock</v>
      </c>
      <c r="G33" s="315" t="str">
        <f>'print 10 lane'!R13</f>
        <v>Libby Blissett</v>
      </c>
      <c r="H33" s="315" t="str">
        <f>'print 10 lane'!U13</f>
        <v>Isabelle Talbot</v>
      </c>
      <c r="I33" s="315" t="str">
        <f>'print 10 lane'!X13</f>
        <v>Alice  Sharrock</v>
      </c>
      <c r="J33" s="315" t="str">
        <f>'print 10 lane'!AA13</f>
        <v>Laura Hibberd</v>
      </c>
      <c r="K33" s="316" t="str">
        <f>'print 10 lane'!AD13</f>
        <v xml:space="preserve"> </v>
      </c>
      <c r="L33" s="317" t="str">
        <f>'print 10 lane'!AG13</f>
        <v xml:space="preserve"> </v>
      </c>
      <c r="M33" s="318" t="str">
        <f>'print 10 lane'!AJ13</f>
        <v xml:space="preserve"> </v>
      </c>
      <c r="N33" s="319"/>
      <c r="O33" s="1137"/>
      <c r="P33" s="1137"/>
      <c r="Q33" s="1137"/>
      <c r="R33" s="1137"/>
      <c r="S33" s="268" t="str">
        <f ca="1">AC33</f>
        <v xml:space="preserve"> </v>
      </c>
      <c r="T33" s="273" t="str">
        <f t="shared" ca="1" si="4"/>
        <v>SWIMMER</v>
      </c>
      <c r="U33" s="273" t="str">
        <f t="shared" ca="1" si="4"/>
        <v>Bianca Gomez-Velasco</v>
      </c>
      <c r="V33" s="273" t="str">
        <f t="shared" ca="1" si="4"/>
        <v>Sophie Stelmach</v>
      </c>
      <c r="W33" s="273" t="str">
        <f t="shared" ca="1" si="4"/>
        <v>Hannah Lovelock</v>
      </c>
      <c r="X33" s="273" t="str">
        <f t="shared" ca="1" si="4"/>
        <v>Libby Blissett</v>
      </c>
      <c r="Y33" s="273" t="str">
        <f t="shared" ca="1" si="4"/>
        <v>Isabelle Talbot</v>
      </c>
      <c r="Z33" s="273" t="str">
        <f t="shared" ca="1" si="4"/>
        <v>Alice  Sharrock</v>
      </c>
      <c r="AA33" s="273" t="str">
        <f t="shared" ca="1" si="4"/>
        <v>Laura Hibberd</v>
      </c>
      <c r="AB33" s="273" t="str">
        <f t="shared" ca="1" si="4"/>
        <v xml:space="preserve"> </v>
      </c>
      <c r="AC33" s="273" t="str">
        <f t="shared" ca="1" si="4"/>
        <v xml:space="preserve"> </v>
      </c>
      <c r="AD33" s="1153"/>
      <c r="AE33" s="66"/>
    </row>
    <row r="34" spans="1:31" ht="30" customHeight="1" x14ac:dyDescent="0.3">
      <c r="A34" s="216"/>
      <c r="B34" s="1120"/>
      <c r="C34" s="320" t="s">
        <v>4426</v>
      </c>
      <c r="D34" s="321"/>
      <c r="E34" s="322"/>
      <c r="F34" s="322"/>
      <c r="G34" s="322"/>
      <c r="H34" s="322"/>
      <c r="I34" s="322"/>
      <c r="J34" s="322"/>
      <c r="K34" s="322"/>
      <c r="L34" s="322"/>
      <c r="M34" s="323"/>
      <c r="N34" s="324"/>
      <c r="O34" s="1137"/>
      <c r="P34" s="1137"/>
      <c r="Q34" s="1137"/>
      <c r="R34" s="1137"/>
      <c r="S34" s="268">
        <f ca="1">AC34</f>
        <v>0</v>
      </c>
      <c r="T34" s="273" t="str">
        <f t="shared" ca="1" si="4"/>
        <v>DQ REASON</v>
      </c>
      <c r="U34" s="273">
        <f t="shared" ca="1" si="4"/>
        <v>0</v>
      </c>
      <c r="V34" s="273">
        <f t="shared" ca="1" si="4"/>
        <v>0</v>
      </c>
      <c r="W34" s="273">
        <f t="shared" ca="1" si="4"/>
        <v>0</v>
      </c>
      <c r="X34" s="273">
        <f t="shared" ca="1" si="4"/>
        <v>0</v>
      </c>
      <c r="Y34" s="273">
        <f t="shared" ca="1" si="4"/>
        <v>0</v>
      </c>
      <c r="Z34" s="273">
        <f t="shared" ca="1" si="4"/>
        <v>0</v>
      </c>
      <c r="AA34" s="273">
        <f t="shared" ca="1" si="4"/>
        <v>0</v>
      </c>
      <c r="AB34" s="273">
        <f t="shared" ca="1" si="4"/>
        <v>0</v>
      </c>
      <c r="AC34" s="273">
        <f t="shared" ca="1" si="4"/>
        <v>0</v>
      </c>
      <c r="AD34" s="1153"/>
      <c r="AE34" s="66"/>
    </row>
    <row r="35" spans="1:31" ht="18" customHeight="1" x14ac:dyDescent="0.3">
      <c r="A35" s="216"/>
      <c r="B35" s="1138" t="s">
        <v>4427</v>
      </c>
      <c r="C35" s="325" t="s">
        <v>4422</v>
      </c>
      <c r="D35" s="326">
        <f>'print 10 lane'!J15</f>
        <v>0</v>
      </c>
      <c r="E35" s="327">
        <f>'print 10 lane'!M15</f>
        <v>6</v>
      </c>
      <c r="F35" s="327">
        <f>'print 10 lane'!P15</f>
        <v>5</v>
      </c>
      <c r="G35" s="327">
        <f>'print 10 lane'!S15</f>
        <v>3</v>
      </c>
      <c r="H35" s="327">
        <f>'print 10 lane'!V15</f>
        <v>2</v>
      </c>
      <c r="I35" s="327">
        <f>'print 10 lane'!Y15</f>
        <v>1</v>
      </c>
      <c r="J35" s="327">
        <f>'print 10 lane'!AB15</f>
        <v>4</v>
      </c>
      <c r="K35" s="327">
        <f>'print 10 lane'!AE15</f>
        <v>0</v>
      </c>
      <c r="L35" s="327">
        <f>'print 10 lane'!AH15</f>
        <v>0</v>
      </c>
      <c r="M35" s="328">
        <f>'print 10 lane'!AK15</f>
        <v>0</v>
      </c>
      <c r="N35" s="329"/>
      <c r="O35" s="1137"/>
      <c r="P35" s="1137"/>
      <c r="Q35" s="1137"/>
      <c r="R35" s="1137"/>
      <c r="S35" s="268"/>
      <c r="T35" s="273"/>
      <c r="U35" s="273"/>
      <c r="V35" s="273"/>
      <c r="W35" s="273"/>
      <c r="X35" s="273"/>
      <c r="Y35" s="273"/>
      <c r="Z35" s="273"/>
      <c r="AA35" s="273"/>
      <c r="AB35" s="273"/>
      <c r="AC35" s="273"/>
      <c r="AD35" s="1153"/>
      <c r="AE35" s="66"/>
    </row>
    <row r="36" spans="1:31" ht="22.5" customHeight="1" x14ac:dyDescent="0.3">
      <c r="A36" s="216"/>
      <c r="B36" s="1138"/>
      <c r="C36" s="330" t="s">
        <v>4424</v>
      </c>
      <c r="D36" s="331">
        <v>0</v>
      </c>
      <c r="E36" s="331">
        <v>24067</v>
      </c>
      <c r="F36" s="331">
        <v>22788</v>
      </c>
      <c r="G36" s="331">
        <v>22375</v>
      </c>
      <c r="H36" s="331">
        <v>22274</v>
      </c>
      <c r="I36" s="331">
        <v>21941</v>
      </c>
      <c r="J36" s="331">
        <v>22554</v>
      </c>
      <c r="K36" s="331"/>
      <c r="L36" s="331"/>
      <c r="M36" s="332"/>
      <c r="N36" s="233"/>
      <c r="O36" s="1137"/>
      <c r="P36" s="1137"/>
      <c r="Q36" s="1137"/>
      <c r="R36" s="1137"/>
      <c r="S36" s="268">
        <f ca="1">AC36</f>
        <v>0</v>
      </c>
      <c r="T36" s="273" t="str">
        <f t="shared" ref="T36:AC38" ca="1" si="5">INDIRECT(ADDRESS(ROW(),T$18))</f>
        <v>TIME</v>
      </c>
      <c r="U36" s="273">
        <f t="shared" ca="1" si="5"/>
        <v>0</v>
      </c>
      <c r="V36" s="273">
        <f t="shared" ca="1" si="5"/>
        <v>24067</v>
      </c>
      <c r="W36" s="273">
        <f t="shared" ca="1" si="5"/>
        <v>22788</v>
      </c>
      <c r="X36" s="273">
        <f t="shared" ca="1" si="5"/>
        <v>22375</v>
      </c>
      <c r="Y36" s="273">
        <f t="shared" ca="1" si="5"/>
        <v>22274</v>
      </c>
      <c r="Z36" s="273">
        <f t="shared" ca="1" si="5"/>
        <v>21941</v>
      </c>
      <c r="AA36" s="273">
        <f t="shared" ca="1" si="5"/>
        <v>22554</v>
      </c>
      <c r="AB36" s="273">
        <f t="shared" ca="1" si="5"/>
        <v>0</v>
      </c>
      <c r="AC36" s="273">
        <f t="shared" ca="1" si="5"/>
        <v>0</v>
      </c>
      <c r="AD36" s="1153"/>
      <c r="AE36" s="66"/>
    </row>
    <row r="37" spans="1:31" ht="22.5" customHeight="1" x14ac:dyDescent="0.3">
      <c r="A37" s="216"/>
      <c r="B37" s="1118" t="str">
        <f>'Team 1'!B5</f>
        <v>OPEN/MALE 16+ 200M  IM</v>
      </c>
      <c r="C37" s="330" t="s">
        <v>4425</v>
      </c>
      <c r="D37" s="333" t="str">
        <f>'print 10 lane'!I16</f>
        <v>Zente Buzsik</v>
      </c>
      <c r="E37" s="333" t="str">
        <f>'print 10 lane'!L16</f>
        <v>Harry Chapman</v>
      </c>
      <c r="F37" s="333" t="str">
        <f>'print 10 lane'!O16</f>
        <v>George Lovelock</v>
      </c>
      <c r="G37" s="333" t="str">
        <f>'print 10 lane'!R16</f>
        <v>Ellis Bunce</v>
      </c>
      <c r="H37" s="333" t="str">
        <f>'print 10 lane'!U16</f>
        <v>Albert Orley</v>
      </c>
      <c r="I37" s="333" t="str">
        <f>'print 10 lane'!X16</f>
        <v>Razvan Lembac</v>
      </c>
      <c r="J37" s="333" t="str">
        <f>'print 10 lane'!AA16</f>
        <v>Liam Treanor</v>
      </c>
      <c r="K37" s="333" t="str">
        <f>'print 10 lane'!AD16</f>
        <v xml:space="preserve"> </v>
      </c>
      <c r="L37" s="333" t="str">
        <f>'print 10 lane'!AG16</f>
        <v xml:space="preserve"> </v>
      </c>
      <c r="M37" s="334" t="str">
        <f>'print 10 lane'!AJ16</f>
        <v xml:space="preserve"> </v>
      </c>
      <c r="N37" s="335"/>
      <c r="O37" s="1137"/>
      <c r="P37" s="1137"/>
      <c r="Q37" s="1137"/>
      <c r="R37" s="1137"/>
      <c r="S37" s="268" t="str">
        <f ca="1">AC37</f>
        <v xml:space="preserve"> </v>
      </c>
      <c r="T37" s="273" t="str">
        <f t="shared" ca="1" si="5"/>
        <v>SWIMMER</v>
      </c>
      <c r="U37" s="273" t="str">
        <f t="shared" ca="1" si="5"/>
        <v>Zente Buzsik</v>
      </c>
      <c r="V37" s="273" t="str">
        <f t="shared" ca="1" si="5"/>
        <v>Harry Chapman</v>
      </c>
      <c r="W37" s="273" t="str">
        <f t="shared" ca="1" si="5"/>
        <v>George Lovelock</v>
      </c>
      <c r="X37" s="273" t="str">
        <f t="shared" ca="1" si="5"/>
        <v>Ellis Bunce</v>
      </c>
      <c r="Y37" s="273" t="str">
        <f t="shared" ca="1" si="5"/>
        <v>Albert Orley</v>
      </c>
      <c r="Z37" s="273" t="str">
        <f t="shared" ca="1" si="5"/>
        <v>Razvan Lembac</v>
      </c>
      <c r="AA37" s="273" t="str">
        <f t="shared" ca="1" si="5"/>
        <v>Liam Treanor</v>
      </c>
      <c r="AB37" s="273" t="str">
        <f t="shared" ca="1" si="5"/>
        <v xml:space="preserve"> </v>
      </c>
      <c r="AC37" s="273" t="str">
        <f t="shared" ca="1" si="5"/>
        <v xml:space="preserve"> </v>
      </c>
      <c r="AD37" s="1153"/>
      <c r="AE37" s="66"/>
    </row>
    <row r="38" spans="1:31" ht="30" customHeight="1" x14ac:dyDescent="0.3">
      <c r="A38" s="216"/>
      <c r="B38" s="1118"/>
      <c r="C38" s="336" t="s">
        <v>4426</v>
      </c>
      <c r="D38" s="337" t="s">
        <v>4428</v>
      </c>
      <c r="E38" s="338"/>
      <c r="F38" s="338"/>
      <c r="G38" s="338"/>
      <c r="H38" s="338"/>
      <c r="I38" s="338"/>
      <c r="J38" s="338"/>
      <c r="K38" s="338"/>
      <c r="L38" s="338"/>
      <c r="M38" s="339"/>
      <c r="N38" s="324"/>
      <c r="O38" s="1137"/>
      <c r="P38" s="1137"/>
      <c r="Q38" s="1137"/>
      <c r="R38" s="1137"/>
      <c r="S38" s="268">
        <f ca="1">AC38</f>
        <v>0</v>
      </c>
      <c r="T38" s="273" t="str">
        <f t="shared" ca="1" si="5"/>
        <v>DQ REASON</v>
      </c>
      <c r="U38" s="273" t="str">
        <f t="shared" ca="1" si="5"/>
        <v>6.4 did not initiate the turn straight away when turned onto breast</v>
      </c>
      <c r="V38" s="273">
        <f t="shared" ca="1" si="5"/>
        <v>0</v>
      </c>
      <c r="W38" s="273">
        <f t="shared" ca="1" si="5"/>
        <v>0</v>
      </c>
      <c r="X38" s="273">
        <f t="shared" ca="1" si="5"/>
        <v>0</v>
      </c>
      <c r="Y38" s="273">
        <f t="shared" ca="1" si="5"/>
        <v>0</v>
      </c>
      <c r="Z38" s="273">
        <f t="shared" ca="1" si="5"/>
        <v>0</v>
      </c>
      <c r="AA38" s="273">
        <f t="shared" ca="1" si="5"/>
        <v>0</v>
      </c>
      <c r="AB38" s="273">
        <f t="shared" ca="1" si="5"/>
        <v>0</v>
      </c>
      <c r="AC38" s="273">
        <f t="shared" ca="1" si="5"/>
        <v>0</v>
      </c>
      <c r="AD38" s="1153"/>
      <c r="AE38" s="66"/>
    </row>
    <row r="39" spans="1:31" ht="18" customHeight="1" x14ac:dyDescent="0.3">
      <c r="A39" s="216"/>
      <c r="B39" s="340" t="s">
        <v>4429</v>
      </c>
      <c r="C39" s="341" t="s">
        <v>4422</v>
      </c>
      <c r="D39" s="342">
        <f>'print 10 lane'!J18</f>
        <v>1</v>
      </c>
      <c r="E39" s="343">
        <f>'print 10 lane'!M18</f>
        <v>0</v>
      </c>
      <c r="F39" s="343">
        <f>'print 10 lane'!P18</f>
        <v>0</v>
      </c>
      <c r="G39" s="343">
        <f>'print 10 lane'!S18</f>
        <v>4</v>
      </c>
      <c r="H39" s="343">
        <f>'print 10 lane'!V18</f>
        <v>3</v>
      </c>
      <c r="I39" s="343">
        <f>'print 10 lane'!Y18</f>
        <v>5</v>
      </c>
      <c r="J39" s="343">
        <f>'print 10 lane'!AB18</f>
        <v>2</v>
      </c>
      <c r="K39" s="343">
        <f>'print 10 lane'!AE18</f>
        <v>0</v>
      </c>
      <c r="L39" s="343">
        <f>'print 10 lane'!AH18</f>
        <v>0</v>
      </c>
      <c r="M39" s="344">
        <f>'print 10 lane'!AK18</f>
        <v>0</v>
      </c>
      <c r="N39" s="324"/>
      <c r="O39" s="1137"/>
      <c r="P39" s="1137"/>
      <c r="Q39" s="1137"/>
      <c r="R39" s="1137"/>
      <c r="S39" s="268"/>
      <c r="T39" s="273"/>
      <c r="U39" s="273"/>
      <c r="V39" s="273"/>
      <c r="W39" s="273"/>
      <c r="X39" s="273"/>
      <c r="Y39" s="273"/>
      <c r="Z39" s="273"/>
      <c r="AA39" s="273"/>
      <c r="AB39" s="273"/>
      <c r="AC39" s="273"/>
      <c r="AD39" s="1153"/>
      <c r="AE39" s="66"/>
    </row>
    <row r="40" spans="1:31" ht="22.5" customHeight="1" x14ac:dyDescent="0.3">
      <c r="A40" s="216"/>
      <c r="B40" s="1134" t="str">
        <f>'Team 1'!B6</f>
        <v>FEMALE 9/11 4 X 50M
FREESTYLE RELAY</v>
      </c>
      <c r="C40" s="310" t="s">
        <v>4424</v>
      </c>
      <c r="D40" s="311">
        <v>23002</v>
      </c>
      <c r="E40" s="312">
        <v>0</v>
      </c>
      <c r="F40" s="312">
        <v>0</v>
      </c>
      <c r="G40" s="312">
        <v>23871</v>
      </c>
      <c r="H40" s="312">
        <v>23688</v>
      </c>
      <c r="I40" s="312">
        <v>24575</v>
      </c>
      <c r="J40" s="312">
        <v>23678</v>
      </c>
      <c r="K40" s="312"/>
      <c r="L40" s="312"/>
      <c r="M40" s="313"/>
      <c r="N40" s="233"/>
      <c r="O40" s="1133" t="s">
        <v>4430</v>
      </c>
      <c r="P40" s="1133"/>
      <c r="Q40" s="1133"/>
      <c r="R40" s="1133"/>
      <c r="S40" s="268">
        <f ca="1">AC40</f>
        <v>0</v>
      </c>
      <c r="T40" s="273" t="str">
        <f t="shared" ref="T40:AC41" ca="1" si="6">INDIRECT(ADDRESS(ROW(),T$18))</f>
        <v>TIME</v>
      </c>
      <c r="U40" s="273">
        <f t="shared" ca="1" si="6"/>
        <v>23002</v>
      </c>
      <c r="V40" s="273">
        <f t="shared" ca="1" si="6"/>
        <v>0</v>
      </c>
      <c r="W40" s="273">
        <f t="shared" ca="1" si="6"/>
        <v>0</v>
      </c>
      <c r="X40" s="273">
        <f t="shared" ca="1" si="6"/>
        <v>23871</v>
      </c>
      <c r="Y40" s="273">
        <f t="shared" ca="1" si="6"/>
        <v>23688</v>
      </c>
      <c r="Z40" s="273">
        <f t="shared" ca="1" si="6"/>
        <v>24575</v>
      </c>
      <c r="AA40" s="273">
        <f t="shared" ca="1" si="6"/>
        <v>23678</v>
      </c>
      <c r="AB40" s="273">
        <f t="shared" ca="1" si="6"/>
        <v>0</v>
      </c>
      <c r="AC40" s="273">
        <f t="shared" ca="1" si="6"/>
        <v>0</v>
      </c>
      <c r="AD40" s="1153"/>
      <c r="AE40" s="66"/>
    </row>
    <row r="41" spans="1:31" ht="30" customHeight="1" x14ac:dyDescent="0.3">
      <c r="A41" s="216"/>
      <c r="B41" s="1134"/>
      <c r="C41" s="320" t="s">
        <v>4426</v>
      </c>
      <c r="D41" s="322"/>
      <c r="E41" s="322" t="s">
        <v>4431</v>
      </c>
      <c r="F41" s="322"/>
      <c r="G41" s="322"/>
      <c r="H41" s="322"/>
      <c r="I41" s="322"/>
      <c r="J41" s="322"/>
      <c r="K41" s="322"/>
      <c r="L41" s="322"/>
      <c r="M41" s="323"/>
      <c r="N41" s="324"/>
      <c r="O41" s="1133"/>
      <c r="P41" s="1133"/>
      <c r="Q41" s="1133"/>
      <c r="R41" s="1133"/>
      <c r="S41" s="268">
        <f ca="1">AC41</f>
        <v>0</v>
      </c>
      <c r="T41" s="273" t="str">
        <f t="shared" ca="1" si="6"/>
        <v>DQ REASON</v>
      </c>
      <c r="U41" s="273">
        <f t="shared" ca="1" si="6"/>
        <v>0</v>
      </c>
      <c r="V41" s="273" t="str">
        <f t="shared" ca="1" si="6"/>
        <v>OA swimmer</v>
      </c>
      <c r="W41" s="273">
        <f t="shared" ca="1" si="6"/>
        <v>0</v>
      </c>
      <c r="X41" s="273">
        <f t="shared" ca="1" si="6"/>
        <v>0</v>
      </c>
      <c r="Y41" s="273">
        <f t="shared" ca="1" si="6"/>
        <v>0</v>
      </c>
      <c r="Z41" s="273">
        <f t="shared" ca="1" si="6"/>
        <v>0</v>
      </c>
      <c r="AA41" s="273">
        <f t="shared" ca="1" si="6"/>
        <v>0</v>
      </c>
      <c r="AB41" s="273">
        <f t="shared" ca="1" si="6"/>
        <v>0</v>
      </c>
      <c r="AC41" s="273">
        <f t="shared" ca="1" si="6"/>
        <v>0</v>
      </c>
      <c r="AD41" s="1153"/>
      <c r="AE41" s="66"/>
    </row>
    <row r="42" spans="1:31" ht="18" customHeight="1" x14ac:dyDescent="0.3">
      <c r="A42" s="216"/>
      <c r="B42" s="345" t="s">
        <v>4432</v>
      </c>
      <c r="C42" s="346" t="s">
        <v>4422</v>
      </c>
      <c r="D42" s="326">
        <f>'print 10 lane'!J20</f>
        <v>0</v>
      </c>
      <c r="E42" s="327">
        <f>'print 10 lane'!M20</f>
        <v>1</v>
      </c>
      <c r="F42" s="327">
        <f>'print 10 lane'!P20</f>
        <v>0</v>
      </c>
      <c r="G42" s="327">
        <f>'print 10 lane'!S20</f>
        <v>5</v>
      </c>
      <c r="H42" s="327">
        <f>'print 10 lane'!V20</f>
        <v>2</v>
      </c>
      <c r="I42" s="327">
        <f>'print 10 lane'!Y20</f>
        <v>3</v>
      </c>
      <c r="J42" s="327">
        <f>'print 10 lane'!AB20</f>
        <v>4</v>
      </c>
      <c r="K42" s="327">
        <f>'print 10 lane'!AE20</f>
        <v>0</v>
      </c>
      <c r="L42" s="327">
        <f>'print 10 lane'!AH20</f>
        <v>0</v>
      </c>
      <c r="M42" s="328">
        <f>'print 10 lane'!AK20</f>
        <v>0</v>
      </c>
      <c r="N42" s="324"/>
      <c r="O42" s="1133"/>
      <c r="P42" s="1133"/>
      <c r="Q42" s="1133"/>
      <c r="R42" s="1133"/>
      <c r="S42" s="268"/>
      <c r="T42" s="273"/>
      <c r="U42" s="273"/>
      <c r="V42" s="273"/>
      <c r="W42" s="273"/>
      <c r="X42" s="273"/>
      <c r="Y42" s="273"/>
      <c r="Z42" s="273"/>
      <c r="AA42" s="273"/>
      <c r="AB42" s="273"/>
      <c r="AC42" s="273"/>
      <c r="AD42" s="1153"/>
      <c r="AE42" s="66"/>
    </row>
    <row r="43" spans="1:31" ht="22.5" customHeight="1" x14ac:dyDescent="0.3">
      <c r="A43" s="216"/>
      <c r="B43" s="1118" t="str">
        <f>'Team 1'!B10</f>
        <v>OPEN/MALE 9/11 4 X50M
FREESTYLE RELAY</v>
      </c>
      <c r="C43" s="330" t="s">
        <v>4424</v>
      </c>
      <c r="D43" s="331">
        <v>0</v>
      </c>
      <c r="E43" s="331">
        <v>22169</v>
      </c>
      <c r="F43" s="331">
        <v>0</v>
      </c>
      <c r="G43" s="331">
        <v>25311</v>
      </c>
      <c r="H43" s="331">
        <v>22975</v>
      </c>
      <c r="I43" s="331">
        <v>23530</v>
      </c>
      <c r="J43" s="331">
        <v>25238</v>
      </c>
      <c r="K43" s="331"/>
      <c r="L43" s="331"/>
      <c r="M43" s="332"/>
      <c r="N43" s="233"/>
      <c r="O43" s="1133"/>
      <c r="P43" s="1133"/>
      <c r="Q43" s="1133"/>
      <c r="R43" s="1133"/>
      <c r="S43" s="268">
        <f ca="1">AC43</f>
        <v>0</v>
      </c>
      <c r="T43" s="273" t="str">
        <f t="shared" ref="T43:AC44" ca="1" si="7">INDIRECT(ADDRESS(ROW(),T$18))</f>
        <v>TIME</v>
      </c>
      <c r="U43" s="273">
        <f t="shared" ca="1" si="7"/>
        <v>0</v>
      </c>
      <c r="V43" s="273">
        <f t="shared" ca="1" si="7"/>
        <v>22169</v>
      </c>
      <c r="W43" s="273">
        <f t="shared" ca="1" si="7"/>
        <v>0</v>
      </c>
      <c r="X43" s="273">
        <f t="shared" ca="1" si="7"/>
        <v>25311</v>
      </c>
      <c r="Y43" s="273">
        <f t="shared" ca="1" si="7"/>
        <v>22975</v>
      </c>
      <c r="Z43" s="273">
        <f t="shared" ca="1" si="7"/>
        <v>23530</v>
      </c>
      <c r="AA43" s="273">
        <f t="shared" ca="1" si="7"/>
        <v>25238</v>
      </c>
      <c r="AB43" s="273">
        <f t="shared" ca="1" si="7"/>
        <v>0</v>
      </c>
      <c r="AC43" s="273">
        <f t="shared" ca="1" si="7"/>
        <v>0</v>
      </c>
      <c r="AD43" s="1153"/>
      <c r="AE43" s="66"/>
    </row>
    <row r="44" spans="1:31" ht="30" customHeight="1" x14ac:dyDescent="0.3">
      <c r="A44" s="216"/>
      <c r="B44" s="1118"/>
      <c r="C44" s="347" t="s">
        <v>4426</v>
      </c>
      <c r="D44" s="348" t="s">
        <v>4433</v>
      </c>
      <c r="E44" s="348"/>
      <c r="F44" s="348" t="s">
        <v>4434</v>
      </c>
      <c r="G44" s="348"/>
      <c r="H44" s="348"/>
      <c r="I44" s="348"/>
      <c r="J44" s="348"/>
      <c r="K44" s="348"/>
      <c r="L44" s="348"/>
      <c r="M44" s="349"/>
      <c r="N44" s="324"/>
      <c r="O44" s="1133"/>
      <c r="P44" s="1133"/>
      <c r="Q44" s="1133"/>
      <c r="R44" s="1133"/>
      <c r="S44" s="268">
        <f ca="1">AC44</f>
        <v>0</v>
      </c>
      <c r="T44" s="273" t="str">
        <f t="shared" ca="1" si="7"/>
        <v>DQ REASON</v>
      </c>
      <c r="U44" s="273" t="str">
        <f t="shared" ca="1" si="7"/>
        <v>DNS</v>
      </c>
      <c r="V44" s="273">
        <f t="shared" ca="1" si="7"/>
        <v>0</v>
      </c>
      <c r="W44" s="273" t="str">
        <f t="shared" ca="1" si="7"/>
        <v>4.4 initiated the start before signal</v>
      </c>
      <c r="X44" s="273">
        <f t="shared" ca="1" si="7"/>
        <v>0</v>
      </c>
      <c r="Y44" s="273">
        <f t="shared" ca="1" si="7"/>
        <v>0</v>
      </c>
      <c r="Z44" s="273">
        <f t="shared" ca="1" si="7"/>
        <v>0</v>
      </c>
      <c r="AA44" s="273">
        <f t="shared" ca="1" si="7"/>
        <v>0</v>
      </c>
      <c r="AB44" s="273">
        <f t="shared" ca="1" si="7"/>
        <v>0</v>
      </c>
      <c r="AC44" s="273">
        <f t="shared" ca="1" si="7"/>
        <v>0</v>
      </c>
      <c r="AD44" s="1153"/>
      <c r="AE44" s="66"/>
    </row>
    <row r="45" spans="1:31" ht="18" customHeight="1" x14ac:dyDescent="0.3">
      <c r="A45" s="216"/>
      <c r="B45" s="350" t="s">
        <v>4435</v>
      </c>
      <c r="C45" s="351" t="s">
        <v>4422</v>
      </c>
      <c r="D45" s="352">
        <f>'print 10 lane'!J22</f>
        <v>2</v>
      </c>
      <c r="E45" s="353">
        <f>'print 10 lane'!M22</f>
        <v>4</v>
      </c>
      <c r="F45" s="353">
        <f>'print 10 lane'!P22</f>
        <v>1</v>
      </c>
      <c r="G45" s="353">
        <f>'print 10 lane'!S22</f>
        <v>3</v>
      </c>
      <c r="H45" s="353">
        <f>'print 10 lane'!V22</f>
        <v>5</v>
      </c>
      <c r="I45" s="353">
        <f>'print 10 lane'!Y22</f>
        <v>6</v>
      </c>
      <c r="J45" s="353">
        <f>'print 10 lane'!AB22</f>
        <v>0</v>
      </c>
      <c r="K45" s="353">
        <f>'print 10 lane'!AE22</f>
        <v>0</v>
      </c>
      <c r="L45" s="353">
        <f>'print 10 lane'!AH22</f>
        <v>0</v>
      </c>
      <c r="M45" s="354">
        <f>'print 10 lane'!AK22</f>
        <v>0</v>
      </c>
      <c r="N45" s="324"/>
      <c r="S45" s="268"/>
      <c r="T45" s="273"/>
      <c r="U45" s="273"/>
      <c r="V45" s="273"/>
      <c r="W45" s="273"/>
      <c r="X45" s="273"/>
      <c r="Y45" s="273"/>
      <c r="Z45" s="273"/>
      <c r="AA45" s="273"/>
      <c r="AB45" s="273"/>
      <c r="AC45" s="273"/>
      <c r="AD45" s="1153"/>
      <c r="AE45" s="66"/>
    </row>
    <row r="46" spans="1:31" ht="22.5" customHeight="1" x14ac:dyDescent="0.3">
      <c r="A46" s="216"/>
      <c r="B46" s="1120" t="str">
        <f>'Team 1'!B14</f>
        <v>FEMALE 13/U 4 X 50M
MEDLEY RELAY</v>
      </c>
      <c r="C46" s="310" t="s">
        <v>4424</v>
      </c>
      <c r="D46" s="311">
        <v>22221</v>
      </c>
      <c r="E46" s="312">
        <v>23054</v>
      </c>
      <c r="F46" s="312">
        <v>22072</v>
      </c>
      <c r="G46" s="312">
        <v>22286</v>
      </c>
      <c r="H46" s="312">
        <v>23066</v>
      </c>
      <c r="I46" s="312">
        <v>25048</v>
      </c>
      <c r="J46" s="312">
        <v>0</v>
      </c>
      <c r="K46" s="312"/>
      <c r="L46" s="312"/>
      <c r="M46" s="313"/>
      <c r="N46" s="233"/>
      <c r="S46" s="268">
        <f ca="1">AC46</f>
        <v>0</v>
      </c>
      <c r="T46" s="273" t="str">
        <f t="shared" ref="T46:AC47" ca="1" si="8">INDIRECT(ADDRESS(ROW(),T$18))</f>
        <v>TIME</v>
      </c>
      <c r="U46" s="273">
        <f t="shared" ca="1" si="8"/>
        <v>22221</v>
      </c>
      <c r="V46" s="273">
        <f t="shared" ca="1" si="8"/>
        <v>23054</v>
      </c>
      <c r="W46" s="273">
        <f t="shared" ca="1" si="8"/>
        <v>22072</v>
      </c>
      <c r="X46" s="273">
        <f t="shared" ca="1" si="8"/>
        <v>22286</v>
      </c>
      <c r="Y46" s="273">
        <f t="shared" ca="1" si="8"/>
        <v>23066</v>
      </c>
      <c r="Z46" s="273">
        <f t="shared" ca="1" si="8"/>
        <v>25048</v>
      </c>
      <c r="AA46" s="273">
        <f t="shared" ca="1" si="8"/>
        <v>0</v>
      </c>
      <c r="AB46" s="273">
        <f t="shared" ca="1" si="8"/>
        <v>0</v>
      </c>
      <c r="AC46" s="273">
        <f t="shared" ca="1" si="8"/>
        <v>0</v>
      </c>
      <c r="AD46" s="1153"/>
      <c r="AE46" s="66"/>
    </row>
    <row r="47" spans="1:31" ht="30" customHeight="1" x14ac:dyDescent="0.3">
      <c r="A47" s="216"/>
      <c r="B47" s="1120"/>
      <c r="C47" s="355" t="s">
        <v>4426</v>
      </c>
      <c r="D47" s="356"/>
      <c r="E47" s="356"/>
      <c r="F47" s="356"/>
      <c r="G47" s="356"/>
      <c r="H47" s="356"/>
      <c r="I47" s="356"/>
      <c r="J47" s="356" t="s">
        <v>4436</v>
      </c>
      <c r="K47" s="356"/>
      <c r="L47" s="356"/>
      <c r="M47" s="357"/>
      <c r="N47" s="324"/>
      <c r="S47" s="268">
        <f ca="1">AC47</f>
        <v>0</v>
      </c>
      <c r="T47" s="273" t="str">
        <f t="shared" ca="1" si="8"/>
        <v>DQ REASON</v>
      </c>
      <c r="U47" s="273">
        <f t="shared" ca="1" si="8"/>
        <v>0</v>
      </c>
      <c r="V47" s="273">
        <f t="shared" ca="1" si="8"/>
        <v>0</v>
      </c>
      <c r="W47" s="273">
        <f t="shared" ca="1" si="8"/>
        <v>0</v>
      </c>
      <c r="X47" s="273">
        <f t="shared" ca="1" si="8"/>
        <v>0</v>
      </c>
      <c r="Y47" s="273">
        <f t="shared" ca="1" si="8"/>
        <v>0</v>
      </c>
      <c r="Z47" s="273">
        <f t="shared" ca="1" si="8"/>
        <v>0</v>
      </c>
      <c r="AA47" s="273" t="str">
        <f t="shared" ca="1" si="8"/>
        <v>7.6 did not touch at the turn end with both hands simultaneously</v>
      </c>
      <c r="AB47" s="273">
        <f t="shared" ca="1" si="8"/>
        <v>0</v>
      </c>
      <c r="AC47" s="273">
        <f t="shared" ca="1" si="8"/>
        <v>0</v>
      </c>
      <c r="AD47" s="1153"/>
      <c r="AE47" s="66"/>
    </row>
    <row r="48" spans="1:31" ht="18" customHeight="1" x14ac:dyDescent="0.3">
      <c r="A48" s="216"/>
      <c r="B48" s="1132" t="s">
        <v>4437</v>
      </c>
      <c r="C48" s="359" t="s">
        <v>4422</v>
      </c>
      <c r="D48" s="326">
        <f>'print 10 lane'!J24</f>
        <v>5</v>
      </c>
      <c r="E48" s="327">
        <f>'print 10 lane'!M24</f>
        <v>4</v>
      </c>
      <c r="F48" s="327">
        <f>'print 10 lane'!P24</f>
        <v>3</v>
      </c>
      <c r="G48" s="327">
        <f>'print 10 lane'!S24</f>
        <v>7</v>
      </c>
      <c r="H48" s="327">
        <f>'print 10 lane'!V24</f>
        <v>6</v>
      </c>
      <c r="I48" s="327">
        <f>'print 10 lane'!Y24</f>
        <v>2</v>
      </c>
      <c r="J48" s="327">
        <f>'print 10 lane'!AB24</f>
        <v>1</v>
      </c>
      <c r="K48" s="327">
        <f>'print 10 lane'!AE24</f>
        <v>0</v>
      </c>
      <c r="L48" s="327">
        <f>'print 10 lane'!AH24</f>
        <v>0</v>
      </c>
      <c r="M48" s="328">
        <f>'print 10 lane'!AK24</f>
        <v>0</v>
      </c>
      <c r="N48" s="324"/>
      <c r="S48" s="268"/>
      <c r="T48" s="273"/>
      <c r="U48" s="273"/>
      <c r="V48" s="273"/>
      <c r="W48" s="273"/>
      <c r="X48" s="273"/>
      <c r="Y48" s="273"/>
      <c r="Z48" s="273"/>
      <c r="AA48" s="273"/>
      <c r="AB48" s="273"/>
      <c r="AC48" s="273"/>
      <c r="AD48" s="1153"/>
      <c r="AE48" s="66"/>
    </row>
    <row r="49" spans="1:31" ht="22.5" customHeight="1" x14ac:dyDescent="0.3">
      <c r="A49" s="216"/>
      <c r="B49" s="1132"/>
      <c r="C49" s="330" t="s">
        <v>4424</v>
      </c>
      <c r="D49" s="331">
        <v>23385</v>
      </c>
      <c r="E49" s="331">
        <v>22841</v>
      </c>
      <c r="F49" s="331">
        <v>22423</v>
      </c>
      <c r="G49" s="331">
        <v>24017</v>
      </c>
      <c r="H49" s="331">
        <v>23633</v>
      </c>
      <c r="I49" s="331">
        <v>21673</v>
      </c>
      <c r="J49" s="331">
        <v>21422</v>
      </c>
      <c r="K49" s="331"/>
      <c r="L49" s="331"/>
      <c r="M49" s="332"/>
      <c r="N49" s="233"/>
      <c r="O49" s="1131" t="s">
        <v>4423</v>
      </c>
      <c r="P49" s="1131"/>
      <c r="Q49" s="1131"/>
      <c r="R49" s="1131"/>
      <c r="S49" s="268">
        <f ca="1">AC49</f>
        <v>0</v>
      </c>
      <c r="T49" s="273" t="str">
        <f t="shared" ref="T49:AC50" ca="1" si="9">INDIRECT(ADDRESS(ROW(),T$18))</f>
        <v>TIME</v>
      </c>
      <c r="U49" s="273">
        <f t="shared" ca="1" si="9"/>
        <v>23385</v>
      </c>
      <c r="V49" s="273">
        <f t="shared" ca="1" si="9"/>
        <v>22841</v>
      </c>
      <c r="W49" s="273">
        <f t="shared" ca="1" si="9"/>
        <v>22423</v>
      </c>
      <c r="X49" s="273">
        <f t="shared" ca="1" si="9"/>
        <v>24017</v>
      </c>
      <c r="Y49" s="273">
        <f t="shared" ca="1" si="9"/>
        <v>23633</v>
      </c>
      <c r="Z49" s="273">
        <f t="shared" ca="1" si="9"/>
        <v>21673</v>
      </c>
      <c r="AA49" s="273">
        <f t="shared" ca="1" si="9"/>
        <v>21422</v>
      </c>
      <c r="AB49" s="273">
        <f t="shared" ca="1" si="9"/>
        <v>0</v>
      </c>
      <c r="AC49" s="273">
        <f t="shared" ca="1" si="9"/>
        <v>0</v>
      </c>
      <c r="AD49" s="1153"/>
      <c r="AE49" s="66"/>
    </row>
    <row r="50" spans="1:31" ht="30" customHeight="1" x14ac:dyDescent="0.3">
      <c r="A50" s="216"/>
      <c r="B50" s="360" t="str">
        <f>'Team 1'!B18</f>
        <v>OPEN/MALE 13/U 4 X 50M
MEDLEY RELAY</v>
      </c>
      <c r="C50" s="347" t="s">
        <v>4426</v>
      </c>
      <c r="D50" s="348"/>
      <c r="E50" s="348"/>
      <c r="F50" s="348"/>
      <c r="G50" s="348"/>
      <c r="H50" s="348"/>
      <c r="I50" s="348"/>
      <c r="J50" s="348"/>
      <c r="K50" s="348"/>
      <c r="L50" s="348"/>
      <c r="M50" s="349"/>
      <c r="N50" s="324"/>
      <c r="O50" s="1131"/>
      <c r="P50" s="1131"/>
      <c r="Q50" s="1131"/>
      <c r="R50" s="1131"/>
      <c r="S50" s="268">
        <f ca="1">AC50</f>
        <v>0</v>
      </c>
      <c r="T50" s="273" t="str">
        <f t="shared" ca="1" si="9"/>
        <v>DQ REASON</v>
      </c>
      <c r="U50" s="273">
        <f t="shared" ca="1" si="9"/>
        <v>0</v>
      </c>
      <c r="V50" s="273">
        <f t="shared" ca="1" si="9"/>
        <v>0</v>
      </c>
      <c r="W50" s="273">
        <f t="shared" ca="1" si="9"/>
        <v>0</v>
      </c>
      <c r="X50" s="273">
        <f t="shared" ca="1" si="9"/>
        <v>0</v>
      </c>
      <c r="Y50" s="273">
        <f t="shared" ca="1" si="9"/>
        <v>0</v>
      </c>
      <c r="Z50" s="273">
        <f t="shared" ca="1" si="9"/>
        <v>0</v>
      </c>
      <c r="AA50" s="273">
        <f t="shared" ca="1" si="9"/>
        <v>0</v>
      </c>
      <c r="AB50" s="273">
        <f t="shared" ca="1" si="9"/>
        <v>0</v>
      </c>
      <c r="AC50" s="273">
        <f t="shared" ca="1" si="9"/>
        <v>0</v>
      </c>
      <c r="AD50" s="1153"/>
      <c r="AE50" s="66"/>
    </row>
    <row r="51" spans="1:31" ht="18" customHeight="1" x14ac:dyDescent="0.3">
      <c r="A51" s="216"/>
      <c r="B51" s="350" t="s">
        <v>4438</v>
      </c>
      <c r="C51" s="351" t="s">
        <v>4422</v>
      </c>
      <c r="D51" s="352">
        <f>'print 10 lane'!J26</f>
        <v>7</v>
      </c>
      <c r="E51" s="353">
        <f>'print 10 lane'!M26</f>
        <v>6</v>
      </c>
      <c r="F51" s="353">
        <f>'print 10 lane'!P26</f>
        <v>4</v>
      </c>
      <c r="G51" s="353">
        <f>'print 10 lane'!S26</f>
        <v>5</v>
      </c>
      <c r="H51" s="353">
        <f>'print 10 lane'!V26</f>
        <v>1</v>
      </c>
      <c r="I51" s="353">
        <f>'print 10 lane'!Y26</f>
        <v>2</v>
      </c>
      <c r="J51" s="353">
        <f>'print 10 lane'!AB26</f>
        <v>3</v>
      </c>
      <c r="K51" s="353">
        <f>'print 10 lane'!AE26</f>
        <v>0</v>
      </c>
      <c r="L51" s="353">
        <f>'print 10 lane'!AH26</f>
        <v>0</v>
      </c>
      <c r="M51" s="354">
        <f>'print 10 lane'!AK26</f>
        <v>0</v>
      </c>
      <c r="N51" s="324"/>
      <c r="O51" s="1131"/>
      <c r="P51" s="1131"/>
      <c r="Q51" s="1131"/>
      <c r="R51" s="1131"/>
      <c r="S51" s="268"/>
      <c r="T51" s="273"/>
      <c r="U51" s="273"/>
      <c r="V51" s="273"/>
      <c r="W51" s="273"/>
      <c r="X51" s="273"/>
      <c r="Y51" s="273"/>
      <c r="Z51" s="273"/>
      <c r="AA51" s="273"/>
      <c r="AB51" s="273"/>
      <c r="AC51" s="273"/>
      <c r="AD51" s="1153"/>
      <c r="AE51" s="66"/>
    </row>
    <row r="52" spans="1:31" ht="22.5" customHeight="1" x14ac:dyDescent="0.3">
      <c r="A52" s="216"/>
      <c r="B52" s="1120" t="str">
        <f>'Team 1'!B22</f>
        <v>FEMALE 15/U 4 X 50M
FREESTYLE RELAY</v>
      </c>
      <c r="C52" s="310" t="s">
        <v>4424</v>
      </c>
      <c r="D52" s="311">
        <v>20743</v>
      </c>
      <c r="E52" s="312">
        <v>20615</v>
      </c>
      <c r="F52" s="312">
        <v>20347</v>
      </c>
      <c r="G52" s="312">
        <v>20398</v>
      </c>
      <c r="H52" s="312">
        <v>20001</v>
      </c>
      <c r="I52" s="312">
        <v>20022</v>
      </c>
      <c r="J52" s="312">
        <v>20318</v>
      </c>
      <c r="K52" s="312"/>
      <c r="L52" s="312"/>
      <c r="M52" s="313"/>
      <c r="N52" s="233"/>
      <c r="O52" s="1131"/>
      <c r="P52" s="1131"/>
      <c r="Q52" s="1131"/>
      <c r="R52" s="1131"/>
      <c r="S52" s="268">
        <f ca="1">AC52</f>
        <v>0</v>
      </c>
      <c r="T52" s="273" t="str">
        <f t="shared" ref="T52:AC53" ca="1" si="10">INDIRECT(ADDRESS(ROW(),T$18))</f>
        <v>TIME</v>
      </c>
      <c r="U52" s="273">
        <f t="shared" ca="1" si="10"/>
        <v>20743</v>
      </c>
      <c r="V52" s="273">
        <f t="shared" ca="1" si="10"/>
        <v>20615</v>
      </c>
      <c r="W52" s="273">
        <f t="shared" ca="1" si="10"/>
        <v>20347</v>
      </c>
      <c r="X52" s="273">
        <f t="shared" ca="1" si="10"/>
        <v>20398</v>
      </c>
      <c r="Y52" s="273">
        <f t="shared" ca="1" si="10"/>
        <v>20001</v>
      </c>
      <c r="Z52" s="273">
        <f t="shared" ca="1" si="10"/>
        <v>20022</v>
      </c>
      <c r="AA52" s="273">
        <f t="shared" ca="1" si="10"/>
        <v>20318</v>
      </c>
      <c r="AB52" s="273">
        <f t="shared" ca="1" si="10"/>
        <v>0</v>
      </c>
      <c r="AC52" s="273">
        <f t="shared" ca="1" si="10"/>
        <v>0</v>
      </c>
      <c r="AD52" s="1153"/>
      <c r="AE52" s="66"/>
    </row>
    <row r="53" spans="1:31" ht="30" customHeight="1" x14ac:dyDescent="0.3">
      <c r="A53" s="216"/>
      <c r="B53" s="1120"/>
      <c r="C53" s="355" t="s">
        <v>4426</v>
      </c>
      <c r="D53" s="356"/>
      <c r="E53" s="356"/>
      <c r="F53" s="356"/>
      <c r="G53" s="356"/>
      <c r="H53" s="356"/>
      <c r="I53" s="356"/>
      <c r="J53" s="356"/>
      <c r="K53" s="356"/>
      <c r="L53" s="356"/>
      <c r="M53" s="357"/>
      <c r="N53" s="324"/>
      <c r="O53" s="1131"/>
      <c r="P53" s="1131"/>
      <c r="Q53" s="1131"/>
      <c r="R53" s="1131"/>
      <c r="S53" s="268">
        <f ca="1">AC53</f>
        <v>0</v>
      </c>
      <c r="T53" s="273" t="str">
        <f t="shared" ca="1" si="10"/>
        <v>DQ REASON</v>
      </c>
      <c r="U53" s="273">
        <f t="shared" ca="1" si="10"/>
        <v>0</v>
      </c>
      <c r="V53" s="273">
        <f t="shared" ca="1" si="10"/>
        <v>0</v>
      </c>
      <c r="W53" s="273">
        <f t="shared" ca="1" si="10"/>
        <v>0</v>
      </c>
      <c r="X53" s="273">
        <f t="shared" ca="1" si="10"/>
        <v>0</v>
      </c>
      <c r="Y53" s="273">
        <f t="shared" ca="1" si="10"/>
        <v>0</v>
      </c>
      <c r="Z53" s="273">
        <f t="shared" ca="1" si="10"/>
        <v>0</v>
      </c>
      <c r="AA53" s="273">
        <f t="shared" ca="1" si="10"/>
        <v>0</v>
      </c>
      <c r="AB53" s="273">
        <f t="shared" ca="1" si="10"/>
        <v>0</v>
      </c>
      <c r="AC53" s="273">
        <f t="shared" ca="1" si="10"/>
        <v>0</v>
      </c>
      <c r="AD53" s="1153"/>
      <c r="AE53" s="66"/>
    </row>
    <row r="54" spans="1:31" ht="18" customHeight="1" x14ac:dyDescent="0.3">
      <c r="A54" s="216"/>
      <c r="B54" s="358" t="s">
        <v>4439</v>
      </c>
      <c r="C54" s="359" t="s">
        <v>4422</v>
      </c>
      <c r="D54" s="326">
        <f>'print 10 lane'!J28</f>
        <v>7</v>
      </c>
      <c r="E54" s="327">
        <f>'print 10 lane'!M28</f>
        <v>5</v>
      </c>
      <c r="F54" s="327">
        <f>'print 10 lane'!P28</f>
        <v>6</v>
      </c>
      <c r="G54" s="327">
        <f>'print 10 lane'!S28</f>
        <v>4</v>
      </c>
      <c r="H54" s="327">
        <f>'print 10 lane'!V28</f>
        <v>2</v>
      </c>
      <c r="I54" s="327">
        <f>'print 10 lane'!Y28</f>
        <v>1</v>
      </c>
      <c r="J54" s="327">
        <f>'print 10 lane'!AB28</f>
        <v>3</v>
      </c>
      <c r="K54" s="327">
        <f>'print 10 lane'!AE28</f>
        <v>0</v>
      </c>
      <c r="L54" s="327">
        <f>'print 10 lane'!AH28</f>
        <v>0</v>
      </c>
      <c r="M54" s="328">
        <f>'print 10 lane'!AK28</f>
        <v>0</v>
      </c>
      <c r="N54" s="324"/>
      <c r="O54" s="1131"/>
      <c r="P54" s="1131"/>
      <c r="Q54" s="1131"/>
      <c r="R54" s="1131"/>
      <c r="S54" s="268"/>
      <c r="T54" s="273"/>
      <c r="U54" s="273"/>
      <c r="V54" s="273"/>
      <c r="W54" s="273"/>
      <c r="X54" s="273"/>
      <c r="Y54" s="273"/>
      <c r="Z54" s="273"/>
      <c r="AA54" s="273"/>
      <c r="AB54" s="273"/>
      <c r="AC54" s="273"/>
      <c r="AD54" s="1153"/>
      <c r="AE54" s="66"/>
    </row>
    <row r="55" spans="1:31" ht="22.5" customHeight="1" x14ac:dyDescent="0.3">
      <c r="A55" s="216"/>
      <c r="B55" s="1118" t="str">
        <f>'Team 1'!B26</f>
        <v>OPEN/MALE 15/U 4 X 50M
FREESTYLE RELAY</v>
      </c>
      <c r="C55" s="330" t="s">
        <v>4424</v>
      </c>
      <c r="D55" s="331">
        <v>20615</v>
      </c>
      <c r="E55" s="331">
        <v>15705</v>
      </c>
      <c r="F55" s="331">
        <v>20397</v>
      </c>
      <c r="G55" s="331">
        <v>15457</v>
      </c>
      <c r="H55" s="331">
        <v>14954</v>
      </c>
      <c r="I55" s="331">
        <v>14904</v>
      </c>
      <c r="J55" s="331">
        <v>15388</v>
      </c>
      <c r="K55" s="331"/>
      <c r="L55" s="331"/>
      <c r="M55" s="332"/>
      <c r="N55" s="233"/>
      <c r="O55" s="1131"/>
      <c r="P55" s="1131"/>
      <c r="Q55" s="1131"/>
      <c r="R55" s="1131"/>
      <c r="S55" s="268">
        <f ca="1">AC55</f>
        <v>0</v>
      </c>
      <c r="T55" s="273" t="str">
        <f t="shared" ref="T55:AC56" ca="1" si="11">INDIRECT(ADDRESS(ROW(),T$18))</f>
        <v>TIME</v>
      </c>
      <c r="U55" s="273">
        <f t="shared" ca="1" si="11"/>
        <v>20615</v>
      </c>
      <c r="V55" s="273">
        <f t="shared" ca="1" si="11"/>
        <v>15705</v>
      </c>
      <c r="W55" s="273">
        <f t="shared" ca="1" si="11"/>
        <v>20397</v>
      </c>
      <c r="X55" s="273">
        <f t="shared" ca="1" si="11"/>
        <v>15457</v>
      </c>
      <c r="Y55" s="273">
        <f t="shared" ca="1" si="11"/>
        <v>14954</v>
      </c>
      <c r="Z55" s="273">
        <f t="shared" ca="1" si="11"/>
        <v>14904</v>
      </c>
      <c r="AA55" s="273">
        <f t="shared" ca="1" si="11"/>
        <v>15388</v>
      </c>
      <c r="AB55" s="273">
        <f t="shared" ca="1" si="11"/>
        <v>0</v>
      </c>
      <c r="AC55" s="273">
        <f t="shared" ca="1" si="11"/>
        <v>0</v>
      </c>
      <c r="AD55" s="1153"/>
      <c r="AE55" s="66"/>
    </row>
    <row r="56" spans="1:31" ht="30" customHeight="1" x14ac:dyDescent="0.3">
      <c r="A56" s="216"/>
      <c r="B56" s="1118"/>
      <c r="C56" s="347" t="s">
        <v>4426</v>
      </c>
      <c r="D56" s="348"/>
      <c r="E56" s="348"/>
      <c r="F56" s="348"/>
      <c r="G56" s="348"/>
      <c r="H56" s="348"/>
      <c r="I56" s="348"/>
      <c r="J56" s="348"/>
      <c r="K56" s="348"/>
      <c r="L56" s="348"/>
      <c r="M56" s="349"/>
      <c r="N56" s="324"/>
      <c r="O56" s="1131"/>
      <c r="P56" s="1131"/>
      <c r="Q56" s="1131"/>
      <c r="R56" s="1131"/>
      <c r="S56" s="268">
        <f ca="1">AC56</f>
        <v>0</v>
      </c>
      <c r="T56" s="273" t="str">
        <f t="shared" ca="1" si="11"/>
        <v>DQ REASON</v>
      </c>
      <c r="U56" s="273">
        <f t="shared" ca="1" si="11"/>
        <v>0</v>
      </c>
      <c r="V56" s="273">
        <f t="shared" ca="1" si="11"/>
        <v>0</v>
      </c>
      <c r="W56" s="273">
        <f t="shared" ca="1" si="11"/>
        <v>0</v>
      </c>
      <c r="X56" s="273">
        <f t="shared" ca="1" si="11"/>
        <v>0</v>
      </c>
      <c r="Y56" s="273">
        <f t="shared" ca="1" si="11"/>
        <v>0</v>
      </c>
      <c r="Z56" s="273">
        <f t="shared" ca="1" si="11"/>
        <v>0</v>
      </c>
      <c r="AA56" s="273">
        <f t="shared" ca="1" si="11"/>
        <v>0</v>
      </c>
      <c r="AB56" s="273">
        <f t="shared" ca="1" si="11"/>
        <v>0</v>
      </c>
      <c r="AC56" s="273">
        <f t="shared" ca="1" si="11"/>
        <v>0</v>
      </c>
      <c r="AD56" s="1153"/>
      <c r="AE56" s="66"/>
    </row>
    <row r="57" spans="1:31" ht="18" customHeight="1" x14ac:dyDescent="0.3">
      <c r="A57" s="216"/>
      <c r="B57" s="350" t="s">
        <v>4440</v>
      </c>
      <c r="C57" s="361" t="s">
        <v>4422</v>
      </c>
      <c r="D57" s="352">
        <f>'print 10 lane'!J30</f>
        <v>0</v>
      </c>
      <c r="E57" s="353">
        <f>'print 10 lane'!M30</f>
        <v>6</v>
      </c>
      <c r="F57" s="353">
        <f>'print 10 lane'!P30</f>
        <v>5</v>
      </c>
      <c r="G57" s="353">
        <f>'print 10 lane'!S30</f>
        <v>1</v>
      </c>
      <c r="H57" s="353">
        <f>'print 10 lane'!V30</f>
        <v>3</v>
      </c>
      <c r="I57" s="353">
        <f>'print 10 lane'!Y30</f>
        <v>4</v>
      </c>
      <c r="J57" s="353">
        <f>'print 10 lane'!AB30</f>
        <v>2</v>
      </c>
      <c r="K57" s="353">
        <f>'print 10 lane'!AE30</f>
        <v>0</v>
      </c>
      <c r="L57" s="353">
        <f>'print 10 lane'!AH30</f>
        <v>0</v>
      </c>
      <c r="M57" s="354">
        <f>'print 10 lane'!AK30</f>
        <v>0</v>
      </c>
      <c r="N57" s="324"/>
      <c r="O57" s="1131"/>
      <c r="P57" s="1131"/>
      <c r="Q57" s="1131"/>
      <c r="R57" s="1131"/>
      <c r="S57" s="268"/>
      <c r="T57" s="273"/>
      <c r="U57" s="273"/>
      <c r="V57" s="273"/>
      <c r="W57" s="273"/>
      <c r="X57" s="273"/>
      <c r="Y57" s="273"/>
      <c r="Z57" s="273"/>
      <c r="AA57" s="273"/>
      <c r="AB57" s="273"/>
      <c r="AC57" s="273"/>
      <c r="AD57" s="1153"/>
      <c r="AE57" s="66"/>
    </row>
    <row r="58" spans="1:31" ht="22.5" customHeight="1" x14ac:dyDescent="0.3">
      <c r="A58" s="216"/>
      <c r="B58" s="1120" t="str">
        <f>'Team 1'!B30</f>
        <v>FEMALE 16+ 4 X 50M
MEDLEY RELAY</v>
      </c>
      <c r="C58" s="310" t="s">
        <v>4424</v>
      </c>
      <c r="D58" s="311">
        <v>0</v>
      </c>
      <c r="E58" s="312">
        <v>21986</v>
      </c>
      <c r="F58" s="312">
        <v>21945</v>
      </c>
      <c r="G58" s="312">
        <v>21111</v>
      </c>
      <c r="H58" s="312">
        <v>21657</v>
      </c>
      <c r="I58" s="312">
        <v>21848</v>
      </c>
      <c r="J58" s="312">
        <v>21219</v>
      </c>
      <c r="K58" s="312"/>
      <c r="L58" s="312"/>
      <c r="M58" s="313"/>
      <c r="N58" s="233"/>
      <c r="O58" s="1131"/>
      <c r="P58" s="1131"/>
      <c r="Q58" s="1131"/>
      <c r="R58" s="1131"/>
      <c r="S58" s="268">
        <f ca="1">AC58</f>
        <v>0</v>
      </c>
      <c r="T58" s="273" t="str">
        <f t="shared" ref="T58:AC59" ca="1" si="12">INDIRECT(ADDRESS(ROW(),T$18))</f>
        <v>TIME</v>
      </c>
      <c r="U58" s="273">
        <f t="shared" ca="1" si="12"/>
        <v>0</v>
      </c>
      <c r="V58" s="273">
        <f t="shared" ca="1" si="12"/>
        <v>21986</v>
      </c>
      <c r="W58" s="273">
        <f t="shared" ca="1" si="12"/>
        <v>21945</v>
      </c>
      <c r="X58" s="273">
        <f t="shared" ca="1" si="12"/>
        <v>21111</v>
      </c>
      <c r="Y58" s="273">
        <f t="shared" ca="1" si="12"/>
        <v>21657</v>
      </c>
      <c r="Z58" s="273">
        <f t="shared" ca="1" si="12"/>
        <v>21848</v>
      </c>
      <c r="AA58" s="273">
        <f t="shared" ca="1" si="12"/>
        <v>21219</v>
      </c>
      <c r="AB58" s="273">
        <f t="shared" ca="1" si="12"/>
        <v>0</v>
      </c>
      <c r="AC58" s="273">
        <f t="shared" ca="1" si="12"/>
        <v>0</v>
      </c>
      <c r="AD58" s="1153"/>
      <c r="AE58" s="66"/>
    </row>
    <row r="59" spans="1:31" ht="30" customHeight="1" x14ac:dyDescent="0.3">
      <c r="A59" s="216"/>
      <c r="B59" s="1120"/>
      <c r="C59" s="355" t="s">
        <v>4426</v>
      </c>
      <c r="D59" s="356" t="s">
        <v>4441</v>
      </c>
      <c r="E59" s="356"/>
      <c r="F59" s="356"/>
      <c r="G59" s="356"/>
      <c r="H59" s="356"/>
      <c r="I59" s="356"/>
      <c r="J59" s="356"/>
      <c r="K59" s="356"/>
      <c r="L59" s="356"/>
      <c r="M59" s="357"/>
      <c r="N59" s="324"/>
      <c r="O59" s="1133" t="s">
        <v>4430</v>
      </c>
      <c r="P59" s="1133"/>
      <c r="Q59" s="1133"/>
      <c r="R59" s="1133"/>
      <c r="S59" s="268">
        <f ca="1">AC59</f>
        <v>0</v>
      </c>
      <c r="T59" s="273" t="str">
        <f t="shared" ca="1" si="12"/>
        <v>DQ REASON</v>
      </c>
      <c r="U59" s="273" t="str">
        <f t="shared" ca="1" si="12"/>
        <v>10.12 Jump before incoming swimmer touched the wall</v>
      </c>
      <c r="V59" s="273">
        <f t="shared" ca="1" si="12"/>
        <v>0</v>
      </c>
      <c r="W59" s="273">
        <f t="shared" ca="1" si="12"/>
        <v>0</v>
      </c>
      <c r="X59" s="273">
        <f t="shared" ca="1" si="12"/>
        <v>0</v>
      </c>
      <c r="Y59" s="273">
        <f t="shared" ca="1" si="12"/>
        <v>0</v>
      </c>
      <c r="Z59" s="273">
        <f t="shared" ca="1" si="12"/>
        <v>0</v>
      </c>
      <c r="AA59" s="273">
        <f t="shared" ca="1" si="12"/>
        <v>0</v>
      </c>
      <c r="AB59" s="273">
        <f t="shared" ca="1" si="12"/>
        <v>0</v>
      </c>
      <c r="AC59" s="273">
        <f t="shared" ca="1" si="12"/>
        <v>0</v>
      </c>
      <c r="AD59" s="1153"/>
      <c r="AE59" s="66"/>
    </row>
    <row r="60" spans="1:31" ht="17.25" customHeight="1" x14ac:dyDescent="0.3">
      <c r="A60" s="216"/>
      <c r="B60" s="1135" t="s">
        <v>4442</v>
      </c>
      <c r="C60" s="359" t="s">
        <v>4422</v>
      </c>
      <c r="D60" s="326">
        <f>'print 10 lane'!J32</f>
        <v>6</v>
      </c>
      <c r="E60" s="327">
        <f>'print 10 lane'!M32</f>
        <v>5</v>
      </c>
      <c r="F60" s="327">
        <f>'print 10 lane'!P32</f>
        <v>0</v>
      </c>
      <c r="G60" s="327">
        <f>'print 10 lane'!S32</f>
        <v>2</v>
      </c>
      <c r="H60" s="327">
        <f>'print 10 lane'!V32</f>
        <v>4</v>
      </c>
      <c r="I60" s="327">
        <f>'print 10 lane'!Y32</f>
        <v>1</v>
      </c>
      <c r="J60" s="327">
        <f>'print 10 lane'!AB32</f>
        <v>3</v>
      </c>
      <c r="K60" s="327">
        <f>'print 10 lane'!AE32</f>
        <v>0</v>
      </c>
      <c r="L60" s="327">
        <f>'print 10 lane'!AH32</f>
        <v>0</v>
      </c>
      <c r="M60" s="328">
        <f>'print 10 lane'!AK32</f>
        <v>0</v>
      </c>
      <c r="N60" s="324"/>
      <c r="O60" s="1133"/>
      <c r="P60" s="1133"/>
      <c r="Q60" s="1133"/>
      <c r="R60" s="1133"/>
      <c r="S60" s="268"/>
      <c r="T60" s="273"/>
      <c r="U60" s="273"/>
      <c r="V60" s="273"/>
      <c r="W60" s="273"/>
      <c r="X60" s="273"/>
      <c r="Y60" s="273"/>
      <c r="Z60" s="273"/>
      <c r="AA60" s="273"/>
      <c r="AB60" s="273"/>
      <c r="AC60" s="273"/>
      <c r="AD60" s="1153"/>
      <c r="AE60" s="66"/>
    </row>
    <row r="61" spans="1:31" ht="22.5" customHeight="1" x14ac:dyDescent="0.3">
      <c r="A61" s="216"/>
      <c r="B61" s="1135"/>
      <c r="C61" s="330" t="s">
        <v>4424</v>
      </c>
      <c r="D61" s="331">
        <v>21752</v>
      </c>
      <c r="E61" s="331">
        <v>21002</v>
      </c>
      <c r="F61" s="331">
        <v>0</v>
      </c>
      <c r="G61" s="331">
        <v>15935</v>
      </c>
      <c r="H61" s="331">
        <v>20271</v>
      </c>
      <c r="I61" s="331">
        <v>15701</v>
      </c>
      <c r="J61" s="331">
        <v>20270</v>
      </c>
      <c r="K61" s="331"/>
      <c r="L61" s="331"/>
      <c r="M61" s="332"/>
      <c r="N61" s="233"/>
      <c r="O61" s="1133"/>
      <c r="P61" s="1133"/>
      <c r="Q61" s="1133"/>
      <c r="R61" s="1133"/>
      <c r="S61" s="268">
        <f ca="1">AC61</f>
        <v>0</v>
      </c>
      <c r="T61" s="273" t="str">
        <f t="shared" ref="T61:AC62" ca="1" si="13">INDIRECT(ADDRESS(ROW(),T$18))</f>
        <v>TIME</v>
      </c>
      <c r="U61" s="273">
        <f t="shared" ca="1" si="13"/>
        <v>21752</v>
      </c>
      <c r="V61" s="273">
        <f t="shared" ca="1" si="13"/>
        <v>21002</v>
      </c>
      <c r="W61" s="273">
        <f t="shared" ca="1" si="13"/>
        <v>0</v>
      </c>
      <c r="X61" s="273">
        <f t="shared" ca="1" si="13"/>
        <v>15935</v>
      </c>
      <c r="Y61" s="273">
        <f t="shared" ca="1" si="13"/>
        <v>20271</v>
      </c>
      <c r="Z61" s="273">
        <f t="shared" ca="1" si="13"/>
        <v>15701</v>
      </c>
      <c r="AA61" s="273">
        <f t="shared" ca="1" si="13"/>
        <v>20270</v>
      </c>
      <c r="AB61" s="273">
        <f t="shared" ca="1" si="13"/>
        <v>0</v>
      </c>
      <c r="AC61" s="273">
        <f t="shared" ca="1" si="13"/>
        <v>0</v>
      </c>
      <c r="AD61" s="1153"/>
      <c r="AE61" s="66"/>
    </row>
    <row r="62" spans="1:31" ht="30" customHeight="1" x14ac:dyDescent="0.3">
      <c r="A62" s="216"/>
      <c r="B62" s="360" t="str">
        <f>'Team 1'!B34</f>
        <v>OPEN/MALE 16+ 4 X 50M
MEDLEY RELAY</v>
      </c>
      <c r="C62" s="347" t="s">
        <v>4426</v>
      </c>
      <c r="D62" s="348"/>
      <c r="E62" s="348"/>
      <c r="F62" s="348" t="s">
        <v>4443</v>
      </c>
      <c r="G62" s="348"/>
      <c r="H62" s="348"/>
      <c r="I62" s="348"/>
      <c r="J62" s="348"/>
      <c r="K62" s="348"/>
      <c r="L62" s="348"/>
      <c r="M62" s="349"/>
      <c r="N62" s="324"/>
      <c r="O62" s="1133"/>
      <c r="P62" s="1133"/>
      <c r="Q62" s="1133"/>
      <c r="R62" s="1133"/>
      <c r="S62" s="268">
        <f ca="1">AC62</f>
        <v>0</v>
      </c>
      <c r="T62" s="273" t="str">
        <f t="shared" ca="1" si="13"/>
        <v>DQ REASON</v>
      </c>
      <c r="U62" s="273">
        <f t="shared" ca="1" si="13"/>
        <v>0</v>
      </c>
      <c r="V62" s="273">
        <f t="shared" ca="1" si="13"/>
        <v>0</v>
      </c>
      <c r="W62" s="273" t="str">
        <f t="shared" ca="1" si="13"/>
        <v>10.12 swimmer left the block before incoming swimmer touched the wall</v>
      </c>
      <c r="X62" s="273">
        <f t="shared" ca="1" si="13"/>
        <v>0</v>
      </c>
      <c r="Y62" s="273">
        <f t="shared" ca="1" si="13"/>
        <v>0</v>
      </c>
      <c r="Z62" s="273">
        <f t="shared" ca="1" si="13"/>
        <v>0</v>
      </c>
      <c r="AA62" s="273">
        <f t="shared" ca="1" si="13"/>
        <v>0</v>
      </c>
      <c r="AB62" s="273">
        <f t="shared" ca="1" si="13"/>
        <v>0</v>
      </c>
      <c r="AC62" s="273">
        <f t="shared" ca="1" si="13"/>
        <v>0</v>
      </c>
      <c r="AD62" s="1153"/>
      <c r="AE62" s="66"/>
    </row>
    <row r="63" spans="1:31" ht="18" customHeight="1" x14ac:dyDescent="0.3">
      <c r="A63" s="216"/>
      <c r="B63" s="1130" t="s">
        <v>4444</v>
      </c>
      <c r="C63" s="351" t="s">
        <v>4422</v>
      </c>
      <c r="D63" s="352">
        <f>'print 10 lane'!J34</f>
        <v>4</v>
      </c>
      <c r="E63" s="353">
        <f>'print 10 lane'!M34</f>
        <v>5</v>
      </c>
      <c r="F63" s="353">
        <f>'print 10 lane'!P34</f>
        <v>0</v>
      </c>
      <c r="G63" s="353">
        <f>'print 10 lane'!S34</f>
        <v>2</v>
      </c>
      <c r="H63" s="353">
        <f>'print 10 lane'!V34</f>
        <v>1</v>
      </c>
      <c r="I63" s="353">
        <f>'print 10 lane'!Y34</f>
        <v>6</v>
      </c>
      <c r="J63" s="353">
        <f>'print 10 lane'!AB34</f>
        <v>3</v>
      </c>
      <c r="K63" s="353">
        <f>'print 10 lane'!AE34</f>
        <v>0</v>
      </c>
      <c r="L63" s="353">
        <f>'print 10 lane'!AH34</f>
        <v>0</v>
      </c>
      <c r="M63" s="354">
        <f>'print 10 lane'!AK34</f>
        <v>0</v>
      </c>
      <c r="N63" s="324"/>
      <c r="O63" s="1133"/>
      <c r="P63" s="1133"/>
      <c r="Q63" s="1133"/>
      <c r="R63" s="1133"/>
      <c r="S63" s="268"/>
      <c r="T63" s="273"/>
      <c r="U63" s="273"/>
      <c r="V63" s="273"/>
      <c r="W63" s="273"/>
      <c r="X63" s="273"/>
      <c r="Y63" s="273"/>
      <c r="Z63" s="273"/>
      <c r="AA63" s="273"/>
      <c r="AB63" s="273"/>
      <c r="AC63" s="273"/>
      <c r="AD63" s="1153"/>
      <c r="AE63" s="66"/>
    </row>
    <row r="64" spans="1:31" ht="22.5" customHeight="1" x14ac:dyDescent="0.3">
      <c r="A64" s="216"/>
      <c r="B64" s="1130"/>
      <c r="C64" s="310" t="s">
        <v>4424</v>
      </c>
      <c r="D64" s="311">
        <v>4449</v>
      </c>
      <c r="E64" s="312">
        <v>4492</v>
      </c>
      <c r="F64" s="312">
        <v>0</v>
      </c>
      <c r="G64" s="312">
        <v>4030</v>
      </c>
      <c r="H64" s="312">
        <v>4019</v>
      </c>
      <c r="I64" s="312">
        <v>4619</v>
      </c>
      <c r="J64" s="312">
        <v>4281</v>
      </c>
      <c r="K64" s="312"/>
      <c r="L64" s="312"/>
      <c r="M64" s="313"/>
      <c r="N64" s="233"/>
      <c r="O64" s="362"/>
      <c r="P64" s="362"/>
      <c r="Q64" s="362"/>
      <c r="R64" s="362"/>
      <c r="S64" s="268">
        <f ca="1">AC64</f>
        <v>0</v>
      </c>
      <c r="T64" s="273" t="str">
        <f t="shared" ref="T64:AC66" ca="1" si="14">INDIRECT(ADDRESS(ROW(),T$18))</f>
        <v>TIME</v>
      </c>
      <c r="U64" s="273">
        <f t="shared" ca="1" si="14"/>
        <v>4449</v>
      </c>
      <c r="V64" s="273">
        <f t="shared" ca="1" si="14"/>
        <v>4492</v>
      </c>
      <c r="W64" s="273">
        <f t="shared" ca="1" si="14"/>
        <v>0</v>
      </c>
      <c r="X64" s="273">
        <f t="shared" ca="1" si="14"/>
        <v>4030</v>
      </c>
      <c r="Y64" s="273">
        <f t="shared" ca="1" si="14"/>
        <v>4019</v>
      </c>
      <c r="Z64" s="273">
        <f t="shared" ca="1" si="14"/>
        <v>4619</v>
      </c>
      <c r="AA64" s="273">
        <f t="shared" ca="1" si="14"/>
        <v>4281</v>
      </c>
      <c r="AB64" s="273">
        <f t="shared" ca="1" si="14"/>
        <v>0</v>
      </c>
      <c r="AC64" s="273">
        <f t="shared" ca="1" si="14"/>
        <v>0</v>
      </c>
      <c r="AD64" s="1153"/>
      <c r="AE64" s="66"/>
    </row>
    <row r="65" spans="1:31" ht="22.5" customHeight="1" x14ac:dyDescent="0.3">
      <c r="A65" s="216"/>
      <c r="B65" s="1127" t="str">
        <f>'Team 1'!B38</f>
        <v>Female 10/11 50m Backstroke</v>
      </c>
      <c r="C65" s="310" t="s">
        <v>4425</v>
      </c>
      <c r="D65" s="317" t="str">
        <f>'print 10 lane'!I35</f>
        <v>Eleanor Skinner</v>
      </c>
      <c r="E65" s="317" t="str">
        <f>'print 10 lane'!L35</f>
        <v>Esmae Green</v>
      </c>
      <c r="F65" s="317" t="str">
        <f>'print 10 lane'!O35</f>
        <v>Hannah Jounor</v>
      </c>
      <c r="G65" s="317" t="str">
        <f>'print 10 lane'!R35</f>
        <v>Chelsea Dare</v>
      </c>
      <c r="H65" s="317" t="str">
        <f>'print 10 lane'!U35</f>
        <v>Maisie Cooper</v>
      </c>
      <c r="I65" s="317" t="str">
        <f>'print 10 lane'!X35</f>
        <v>Mahika Chandrashekar</v>
      </c>
      <c r="J65" s="317" t="str">
        <f>'print 10 lane'!AA35</f>
        <v>Zara Jobanputra</v>
      </c>
      <c r="K65" s="317" t="str">
        <f>'print 10 lane'!AD35</f>
        <v xml:space="preserve"> </v>
      </c>
      <c r="L65" s="317" t="str">
        <f>'print 10 lane'!AG35</f>
        <v xml:space="preserve"> </v>
      </c>
      <c r="M65" s="316" t="str">
        <f>'print 10 lane'!AJ35</f>
        <v xml:space="preserve"> </v>
      </c>
      <c r="N65" s="335"/>
      <c r="O65" s="363"/>
      <c r="P65" s="363"/>
      <c r="Q65" s="363"/>
      <c r="R65" s="363"/>
      <c r="S65" s="268" t="str">
        <f ca="1">AC65</f>
        <v xml:space="preserve"> </v>
      </c>
      <c r="T65" s="273" t="str">
        <f t="shared" ca="1" si="14"/>
        <v>SWIMMER</v>
      </c>
      <c r="U65" s="273" t="str">
        <f t="shared" ca="1" si="14"/>
        <v>Eleanor Skinner</v>
      </c>
      <c r="V65" s="273" t="str">
        <f t="shared" ca="1" si="14"/>
        <v>Esmae Green</v>
      </c>
      <c r="W65" s="273" t="str">
        <f t="shared" ca="1" si="14"/>
        <v>Hannah Jounor</v>
      </c>
      <c r="X65" s="273" t="str">
        <f t="shared" ca="1" si="14"/>
        <v>Chelsea Dare</v>
      </c>
      <c r="Y65" s="273" t="str">
        <f t="shared" ca="1" si="14"/>
        <v>Maisie Cooper</v>
      </c>
      <c r="Z65" s="273" t="str">
        <f t="shared" ca="1" si="14"/>
        <v>Mahika Chandrashekar</v>
      </c>
      <c r="AA65" s="273" t="str">
        <f t="shared" ca="1" si="14"/>
        <v>Zara Jobanputra</v>
      </c>
      <c r="AB65" s="273" t="str">
        <f t="shared" ca="1" si="14"/>
        <v xml:space="preserve"> </v>
      </c>
      <c r="AC65" s="273" t="str">
        <f t="shared" ca="1" si="14"/>
        <v xml:space="preserve"> </v>
      </c>
      <c r="AD65" s="1153"/>
      <c r="AE65" s="66"/>
    </row>
    <row r="66" spans="1:31" ht="30" customHeight="1" x14ac:dyDescent="0.3">
      <c r="A66" s="216"/>
      <c r="B66" s="1127"/>
      <c r="C66" s="355" t="s">
        <v>4426</v>
      </c>
      <c r="D66" s="356"/>
      <c r="E66" s="356"/>
      <c r="F66" s="356"/>
      <c r="G66" s="356"/>
      <c r="H66" s="356"/>
      <c r="I66" s="356"/>
      <c r="J66" s="356"/>
      <c r="K66" s="356"/>
      <c r="L66" s="356"/>
      <c r="M66" s="357"/>
      <c r="N66" s="324"/>
      <c r="O66" s="363"/>
      <c r="P66" s="363"/>
      <c r="Q66" s="363"/>
      <c r="R66" s="363"/>
      <c r="S66" s="268">
        <f ca="1">AC66</f>
        <v>0</v>
      </c>
      <c r="T66" s="273" t="str">
        <f t="shared" ca="1" si="14"/>
        <v>DQ REASON</v>
      </c>
      <c r="U66" s="273">
        <f t="shared" ca="1" si="14"/>
        <v>0</v>
      </c>
      <c r="V66" s="273">
        <f t="shared" ca="1" si="14"/>
        <v>0</v>
      </c>
      <c r="W66" s="273">
        <f t="shared" ca="1" si="14"/>
        <v>0</v>
      </c>
      <c r="X66" s="273">
        <f t="shared" ca="1" si="14"/>
        <v>0</v>
      </c>
      <c r="Y66" s="273">
        <f t="shared" ca="1" si="14"/>
        <v>0</v>
      </c>
      <c r="Z66" s="273">
        <f t="shared" ca="1" si="14"/>
        <v>0</v>
      </c>
      <c r="AA66" s="273">
        <f t="shared" ca="1" si="14"/>
        <v>0</v>
      </c>
      <c r="AB66" s="273">
        <f t="shared" ca="1" si="14"/>
        <v>0</v>
      </c>
      <c r="AC66" s="273">
        <f t="shared" ca="1" si="14"/>
        <v>0</v>
      </c>
      <c r="AD66" s="1153"/>
      <c r="AE66" s="66"/>
    </row>
    <row r="67" spans="1:31" ht="18" customHeight="1" x14ac:dyDescent="0.3">
      <c r="A67" s="216"/>
      <c r="B67" s="1132" t="s">
        <v>4445</v>
      </c>
      <c r="C67" s="359" t="s">
        <v>4422</v>
      </c>
      <c r="D67" s="326">
        <f>'print 10 lane'!J37</f>
        <v>0</v>
      </c>
      <c r="E67" s="327">
        <f>'print 10 lane'!M37</f>
        <v>1</v>
      </c>
      <c r="F67" s="327">
        <f>'print 10 lane'!P37</f>
        <v>6</v>
      </c>
      <c r="G67" s="327">
        <f>'print 10 lane'!S37</f>
        <v>5</v>
      </c>
      <c r="H67" s="327">
        <f>'print 10 lane'!V37</f>
        <v>2</v>
      </c>
      <c r="I67" s="327">
        <f>'print 10 lane'!Y37</f>
        <v>3</v>
      </c>
      <c r="J67" s="327">
        <f>'print 10 lane'!AB37</f>
        <v>4</v>
      </c>
      <c r="K67" s="327">
        <f>'print 10 lane'!AE37</f>
        <v>0</v>
      </c>
      <c r="L67" s="327">
        <f>'print 10 lane'!AH37</f>
        <v>0</v>
      </c>
      <c r="M67" s="328">
        <f>'print 10 lane'!AK37</f>
        <v>0</v>
      </c>
      <c r="N67" s="324"/>
      <c r="O67" s="363"/>
      <c r="P67" s="363"/>
      <c r="Q67" s="363"/>
      <c r="R67" s="363"/>
      <c r="S67" s="268"/>
      <c r="T67" s="273"/>
      <c r="U67" s="273"/>
      <c r="V67" s="273"/>
      <c r="W67" s="273"/>
      <c r="X67" s="273"/>
      <c r="Y67" s="273"/>
      <c r="Z67" s="273"/>
      <c r="AA67" s="273"/>
      <c r="AB67" s="273"/>
      <c r="AC67" s="273"/>
      <c r="AD67" s="1153"/>
      <c r="AE67" s="66"/>
    </row>
    <row r="68" spans="1:31" ht="22.5" customHeight="1" x14ac:dyDescent="0.3">
      <c r="A68" s="216"/>
      <c r="B68" s="1132"/>
      <c r="C68" s="330" t="s">
        <v>4424</v>
      </c>
      <c r="D68" s="331">
        <v>0</v>
      </c>
      <c r="E68" s="331">
        <v>4027</v>
      </c>
      <c r="F68" s="331">
        <v>4695</v>
      </c>
      <c r="G68" s="331">
        <v>4637</v>
      </c>
      <c r="H68" s="331">
        <v>4136</v>
      </c>
      <c r="I68" s="331">
        <v>4499</v>
      </c>
      <c r="J68" s="331">
        <v>4607</v>
      </c>
      <c r="K68" s="331"/>
      <c r="L68" s="331"/>
      <c r="M68" s="332"/>
      <c r="N68" s="233"/>
      <c r="O68" s="1131"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68" s="1131"/>
      <c r="Q68" s="1131"/>
      <c r="R68" s="1131"/>
      <c r="S68" s="268">
        <f ca="1">AC68</f>
        <v>0</v>
      </c>
      <c r="T68" s="273" t="str">
        <f t="shared" ref="T68:AC70" ca="1" si="15">INDIRECT(ADDRESS(ROW(),T$18))</f>
        <v>TIME</v>
      </c>
      <c r="U68" s="273">
        <f t="shared" ca="1" si="15"/>
        <v>0</v>
      </c>
      <c r="V68" s="273">
        <f t="shared" ca="1" si="15"/>
        <v>4027</v>
      </c>
      <c r="W68" s="273">
        <f t="shared" ca="1" si="15"/>
        <v>4695</v>
      </c>
      <c r="X68" s="273">
        <f t="shared" ca="1" si="15"/>
        <v>4637</v>
      </c>
      <c r="Y68" s="273">
        <f t="shared" ca="1" si="15"/>
        <v>4136</v>
      </c>
      <c r="Z68" s="273">
        <f t="shared" ca="1" si="15"/>
        <v>4499</v>
      </c>
      <c r="AA68" s="273">
        <f t="shared" ca="1" si="15"/>
        <v>4607</v>
      </c>
      <c r="AB68" s="273">
        <f t="shared" ca="1" si="15"/>
        <v>0</v>
      </c>
      <c r="AC68" s="273">
        <f t="shared" ca="1" si="15"/>
        <v>0</v>
      </c>
      <c r="AD68" s="1153"/>
      <c r="AE68" s="66"/>
    </row>
    <row r="69" spans="1:31" ht="22.5" customHeight="1" x14ac:dyDescent="0.3">
      <c r="A69" s="216"/>
      <c r="B69" s="1129" t="str">
        <f>'Team 1'!B39</f>
        <v>Open/Male 10/11 50m Backstroke</v>
      </c>
      <c r="C69" s="330" t="s">
        <v>4425</v>
      </c>
      <c r="D69" s="333" t="str">
        <f>'print 10 lane'!I38</f>
        <v>Leonardo Goad</v>
      </c>
      <c r="E69" s="333" t="str">
        <f>'print 10 lane'!L38</f>
        <v>James Winter</v>
      </c>
      <c r="F69" s="333" t="str">
        <f>'print 10 lane'!O38</f>
        <v>Liam  Thompson</v>
      </c>
      <c r="G69" s="333" t="str">
        <f>'print 10 lane'!R38</f>
        <v>Simon Rosa</v>
      </c>
      <c r="H69" s="333" t="str">
        <f>'print 10 lane'!U38</f>
        <v>Myron Young</v>
      </c>
      <c r="I69" s="333" t="str">
        <f>'print 10 lane'!X38</f>
        <v>Macsen Roberts</v>
      </c>
      <c r="J69" s="333" t="str">
        <f>'print 10 lane'!AA38</f>
        <v>Christopher Li Mow Ching</v>
      </c>
      <c r="K69" s="333" t="str">
        <f>'print 10 lane'!AD38</f>
        <v xml:space="preserve"> </v>
      </c>
      <c r="L69" s="333" t="str">
        <f>'print 10 lane'!AG38</f>
        <v xml:space="preserve"> </v>
      </c>
      <c r="M69" s="334" t="str">
        <f>'print 10 lane'!AJ38</f>
        <v xml:space="preserve"> </v>
      </c>
      <c r="N69" s="335"/>
      <c r="O69" s="1131"/>
      <c r="P69" s="1131"/>
      <c r="Q69" s="1131"/>
      <c r="R69" s="1131"/>
      <c r="S69" s="268" t="str">
        <f ca="1">AC69</f>
        <v xml:space="preserve"> </v>
      </c>
      <c r="T69" s="273" t="str">
        <f t="shared" ca="1" si="15"/>
        <v>SWIMMER</v>
      </c>
      <c r="U69" s="273" t="str">
        <f t="shared" ca="1" si="15"/>
        <v>Leonardo Goad</v>
      </c>
      <c r="V69" s="273" t="str">
        <f t="shared" ca="1" si="15"/>
        <v>James Winter</v>
      </c>
      <c r="W69" s="273" t="str">
        <f t="shared" ca="1" si="15"/>
        <v>Liam  Thompson</v>
      </c>
      <c r="X69" s="273" t="str">
        <f t="shared" ca="1" si="15"/>
        <v>Simon Rosa</v>
      </c>
      <c r="Y69" s="273" t="str">
        <f t="shared" ca="1" si="15"/>
        <v>Myron Young</v>
      </c>
      <c r="Z69" s="273" t="str">
        <f t="shared" ca="1" si="15"/>
        <v>Macsen Roberts</v>
      </c>
      <c r="AA69" s="273" t="str">
        <f t="shared" ca="1" si="15"/>
        <v>Christopher Li Mow Ching</v>
      </c>
      <c r="AB69" s="273" t="str">
        <f t="shared" ca="1" si="15"/>
        <v xml:space="preserve"> </v>
      </c>
      <c r="AC69" s="273" t="str">
        <f t="shared" ca="1" si="15"/>
        <v xml:space="preserve"> </v>
      </c>
      <c r="AD69" s="1153"/>
      <c r="AE69" s="66"/>
    </row>
    <row r="70" spans="1:31" ht="30" customHeight="1" x14ac:dyDescent="0.3">
      <c r="A70" s="216"/>
      <c r="B70" s="1129"/>
      <c r="C70" s="364" t="s">
        <v>4426</v>
      </c>
      <c r="D70" s="365" t="s">
        <v>4446</v>
      </c>
      <c r="E70" s="365"/>
      <c r="F70" s="365"/>
      <c r="G70" s="365"/>
      <c r="H70" s="365"/>
      <c r="I70" s="365"/>
      <c r="J70" s="365"/>
      <c r="K70" s="365"/>
      <c r="L70" s="365"/>
      <c r="M70" s="366"/>
      <c r="N70" s="233"/>
      <c r="O70" s="1131"/>
      <c r="P70" s="1131"/>
      <c r="Q70" s="1131"/>
      <c r="R70" s="1131"/>
      <c r="S70" s="268">
        <f ca="1">AC70</f>
        <v>0</v>
      </c>
      <c r="T70" s="273" t="str">
        <f t="shared" ca="1" si="15"/>
        <v>DQ REASON</v>
      </c>
      <c r="U70" s="273" t="str">
        <f t="shared" ca="1" si="15"/>
        <v>6.2 left position on back except when executing the turn</v>
      </c>
      <c r="V70" s="273">
        <f t="shared" ca="1" si="15"/>
        <v>0</v>
      </c>
      <c r="W70" s="273">
        <f t="shared" ca="1" si="15"/>
        <v>0</v>
      </c>
      <c r="X70" s="273">
        <f t="shared" ca="1" si="15"/>
        <v>0</v>
      </c>
      <c r="Y70" s="273">
        <f t="shared" ca="1" si="15"/>
        <v>0</v>
      </c>
      <c r="Z70" s="273">
        <f t="shared" ca="1" si="15"/>
        <v>0</v>
      </c>
      <c r="AA70" s="273">
        <f t="shared" ca="1" si="15"/>
        <v>0</v>
      </c>
      <c r="AB70" s="273">
        <f t="shared" ca="1" si="15"/>
        <v>0</v>
      </c>
      <c r="AC70" s="273">
        <f t="shared" ca="1" si="15"/>
        <v>0</v>
      </c>
      <c r="AD70" s="1153"/>
      <c r="AE70" s="66"/>
    </row>
    <row r="71" spans="1:31" ht="18" customHeight="1" x14ac:dyDescent="0.3">
      <c r="A71" s="216"/>
      <c r="B71" s="1130" t="s">
        <v>4447</v>
      </c>
      <c r="C71" s="367" t="s">
        <v>4422</v>
      </c>
      <c r="D71" s="352">
        <f>'print 10 lane'!J40</f>
        <v>1</v>
      </c>
      <c r="E71" s="353">
        <f>'print 10 lane'!M40</f>
        <v>5</v>
      </c>
      <c r="F71" s="353">
        <f>'print 10 lane'!P40</f>
        <v>2</v>
      </c>
      <c r="G71" s="353">
        <f>'print 10 lane'!S40</f>
        <v>3</v>
      </c>
      <c r="H71" s="353">
        <f>'print 10 lane'!V40</f>
        <v>6</v>
      </c>
      <c r="I71" s="353">
        <f>'print 10 lane'!Y40</f>
        <v>7</v>
      </c>
      <c r="J71" s="353">
        <f>'print 10 lane'!AB40</f>
        <v>4</v>
      </c>
      <c r="K71" s="353">
        <f>'print 10 lane'!AE40</f>
        <v>0</v>
      </c>
      <c r="L71" s="353">
        <f>'print 10 lane'!AH40</f>
        <v>0</v>
      </c>
      <c r="M71" s="354">
        <f>'print 10 lane'!AK40</f>
        <v>0</v>
      </c>
      <c r="N71" s="233"/>
      <c r="O71" s="1131"/>
      <c r="P71" s="1131"/>
      <c r="Q71" s="1131"/>
      <c r="R71" s="1131"/>
      <c r="S71" s="268"/>
      <c r="T71" s="273"/>
      <c r="U71" s="273"/>
      <c r="V71" s="273"/>
      <c r="W71" s="273"/>
      <c r="X71" s="273"/>
      <c r="Y71" s="273"/>
      <c r="Z71" s="273"/>
      <c r="AA71" s="273"/>
      <c r="AB71" s="273"/>
      <c r="AC71" s="273"/>
      <c r="AD71" s="1153"/>
      <c r="AE71" s="66"/>
    </row>
    <row r="72" spans="1:31" ht="22.5" customHeight="1" x14ac:dyDescent="0.3">
      <c r="A72" s="216"/>
      <c r="B72" s="1130"/>
      <c r="C72" s="310" t="s">
        <v>4424</v>
      </c>
      <c r="D72" s="311">
        <v>12127</v>
      </c>
      <c r="E72" s="312">
        <v>13739</v>
      </c>
      <c r="F72" s="312">
        <v>12220</v>
      </c>
      <c r="G72" s="312">
        <v>13083</v>
      </c>
      <c r="H72" s="312">
        <v>13808</v>
      </c>
      <c r="I72" s="312">
        <v>14372</v>
      </c>
      <c r="J72" s="312">
        <v>13364</v>
      </c>
      <c r="K72" s="312"/>
      <c r="L72" s="312"/>
      <c r="M72" s="313"/>
      <c r="N72" s="233"/>
      <c r="O72" s="1131"/>
      <c r="P72" s="1131"/>
      <c r="Q72" s="1131"/>
      <c r="R72" s="1131"/>
      <c r="S72" s="268">
        <f ca="1">AC72</f>
        <v>0</v>
      </c>
      <c r="T72" s="273" t="str">
        <f t="shared" ref="T72:AC74" ca="1" si="16">INDIRECT(ADDRESS(ROW(),T$18))</f>
        <v>TIME</v>
      </c>
      <c r="U72" s="273">
        <f t="shared" ca="1" si="16"/>
        <v>12127</v>
      </c>
      <c r="V72" s="273">
        <f t="shared" ca="1" si="16"/>
        <v>13739</v>
      </c>
      <c r="W72" s="273">
        <f t="shared" ca="1" si="16"/>
        <v>12220</v>
      </c>
      <c r="X72" s="273">
        <f t="shared" ca="1" si="16"/>
        <v>13083</v>
      </c>
      <c r="Y72" s="273">
        <f t="shared" ca="1" si="16"/>
        <v>13808</v>
      </c>
      <c r="Z72" s="273">
        <f t="shared" ca="1" si="16"/>
        <v>14372</v>
      </c>
      <c r="AA72" s="273">
        <f t="shared" ca="1" si="16"/>
        <v>13364</v>
      </c>
      <c r="AB72" s="273">
        <f t="shared" ca="1" si="16"/>
        <v>0</v>
      </c>
      <c r="AC72" s="273">
        <f t="shared" ca="1" si="16"/>
        <v>0</v>
      </c>
      <c r="AD72" s="1153"/>
      <c r="AE72" s="66"/>
    </row>
    <row r="73" spans="1:31" ht="22.5" customHeight="1" x14ac:dyDescent="0.3">
      <c r="A73" s="216"/>
      <c r="B73" s="1127" t="str">
        <f>'Team 1'!B40</f>
        <v>Female 13/U 100m Breaststroke</v>
      </c>
      <c r="C73" s="310" t="s">
        <v>4425</v>
      </c>
      <c r="D73" s="317" t="str">
        <f>'print 10 lane'!I41</f>
        <v>Amy Hanson</v>
      </c>
      <c r="E73" s="317" t="str">
        <f>'print 10 lane'!L41</f>
        <v>Ruby Whitby</v>
      </c>
      <c r="F73" s="317" t="str">
        <f>'print 10 lane'!O41</f>
        <v>Mia Nelson</v>
      </c>
      <c r="G73" s="317" t="str">
        <f>'print 10 lane'!R41</f>
        <v>Frances Starsmore</v>
      </c>
      <c r="H73" s="317" t="str">
        <f>'print 10 lane'!U41</f>
        <v>Isabelle Reeve</v>
      </c>
      <c r="I73" s="317" t="str">
        <f>'print 10 lane'!X41</f>
        <v>Emma Sum</v>
      </c>
      <c r="J73" s="317" t="str">
        <f>'print 10 lane'!AA41</f>
        <v>Mia Curle</v>
      </c>
      <c r="K73" s="317" t="str">
        <f>'print 10 lane'!AD41</f>
        <v xml:space="preserve"> </v>
      </c>
      <c r="L73" s="317" t="str">
        <f>'print 10 lane'!AG41</f>
        <v xml:space="preserve"> </v>
      </c>
      <c r="M73" s="316" t="str">
        <f>'print 10 lane'!AJ41</f>
        <v xml:space="preserve"> </v>
      </c>
      <c r="N73" s="335"/>
      <c r="O73" s="1131"/>
      <c r="P73" s="1131"/>
      <c r="Q73" s="1131"/>
      <c r="R73" s="1131"/>
      <c r="S73" s="268" t="str">
        <f ca="1">AC73</f>
        <v xml:space="preserve"> </v>
      </c>
      <c r="T73" s="273" t="str">
        <f t="shared" ca="1" si="16"/>
        <v>SWIMMER</v>
      </c>
      <c r="U73" s="273" t="str">
        <f t="shared" ca="1" si="16"/>
        <v>Amy Hanson</v>
      </c>
      <c r="V73" s="273" t="str">
        <f t="shared" ca="1" si="16"/>
        <v>Ruby Whitby</v>
      </c>
      <c r="W73" s="273" t="str">
        <f t="shared" ca="1" si="16"/>
        <v>Mia Nelson</v>
      </c>
      <c r="X73" s="273" t="str">
        <f t="shared" ca="1" si="16"/>
        <v>Frances Starsmore</v>
      </c>
      <c r="Y73" s="273" t="str">
        <f t="shared" ca="1" si="16"/>
        <v>Isabelle Reeve</v>
      </c>
      <c r="Z73" s="273" t="str">
        <f t="shared" ca="1" si="16"/>
        <v>Emma Sum</v>
      </c>
      <c r="AA73" s="273" t="str">
        <f t="shared" ca="1" si="16"/>
        <v>Mia Curle</v>
      </c>
      <c r="AB73" s="273" t="str">
        <f t="shared" ca="1" si="16"/>
        <v xml:space="preserve"> </v>
      </c>
      <c r="AC73" s="273" t="str">
        <f t="shared" ca="1" si="16"/>
        <v xml:space="preserve"> </v>
      </c>
      <c r="AD73" s="1153"/>
      <c r="AE73" s="66"/>
    </row>
    <row r="74" spans="1:31" ht="30" customHeight="1" x14ac:dyDescent="0.3">
      <c r="A74" s="216"/>
      <c r="B74" s="1127"/>
      <c r="C74" s="368" t="s">
        <v>4426</v>
      </c>
      <c r="D74" s="356"/>
      <c r="E74" s="356"/>
      <c r="F74" s="356"/>
      <c r="G74" s="356"/>
      <c r="H74" s="356"/>
      <c r="I74" s="356"/>
      <c r="J74" s="356"/>
      <c r="K74" s="356"/>
      <c r="L74" s="356"/>
      <c r="M74" s="357"/>
      <c r="N74" s="233"/>
      <c r="O74" s="1131"/>
      <c r="P74" s="1131"/>
      <c r="Q74" s="1131"/>
      <c r="R74" s="1131"/>
      <c r="S74" s="268">
        <f ca="1">AC74</f>
        <v>0</v>
      </c>
      <c r="T74" s="273" t="str">
        <f t="shared" ca="1" si="16"/>
        <v>DQ REASON</v>
      </c>
      <c r="U74" s="273">
        <f t="shared" ca="1" si="16"/>
        <v>0</v>
      </c>
      <c r="V74" s="273">
        <f t="shared" ca="1" si="16"/>
        <v>0</v>
      </c>
      <c r="W74" s="273">
        <f t="shared" ca="1" si="16"/>
        <v>0</v>
      </c>
      <c r="X74" s="273">
        <f t="shared" ca="1" si="16"/>
        <v>0</v>
      </c>
      <c r="Y74" s="273">
        <f t="shared" ca="1" si="16"/>
        <v>0</v>
      </c>
      <c r="Z74" s="273">
        <f t="shared" ca="1" si="16"/>
        <v>0</v>
      </c>
      <c r="AA74" s="273">
        <f t="shared" ca="1" si="16"/>
        <v>0</v>
      </c>
      <c r="AB74" s="273">
        <f t="shared" ca="1" si="16"/>
        <v>0</v>
      </c>
      <c r="AC74" s="273">
        <f t="shared" ca="1" si="16"/>
        <v>0</v>
      </c>
      <c r="AD74" s="1153"/>
      <c r="AE74" s="66"/>
    </row>
    <row r="75" spans="1:31" ht="18" customHeight="1" x14ac:dyDescent="0.3">
      <c r="A75" s="216"/>
      <c r="B75" s="1132" t="s">
        <v>4448</v>
      </c>
      <c r="C75" s="369" t="s">
        <v>4422</v>
      </c>
      <c r="D75" s="326">
        <f>'print 10 lane'!J43</f>
        <v>7</v>
      </c>
      <c r="E75" s="327">
        <f>'print 10 lane'!M43</f>
        <v>5</v>
      </c>
      <c r="F75" s="327">
        <f>'print 10 lane'!P43</f>
        <v>3</v>
      </c>
      <c r="G75" s="327">
        <f>'print 10 lane'!S43</f>
        <v>6</v>
      </c>
      <c r="H75" s="327">
        <f>'print 10 lane'!V43</f>
        <v>2</v>
      </c>
      <c r="I75" s="327">
        <f>'print 10 lane'!Y43</f>
        <v>4</v>
      </c>
      <c r="J75" s="327">
        <f>'print 10 lane'!AB43</f>
        <v>1</v>
      </c>
      <c r="K75" s="327">
        <f>'print 10 lane'!AE43</f>
        <v>0</v>
      </c>
      <c r="L75" s="327">
        <f>'print 10 lane'!AH43</f>
        <v>0</v>
      </c>
      <c r="M75" s="328">
        <f>'print 10 lane'!AK43</f>
        <v>0</v>
      </c>
      <c r="N75" s="233"/>
      <c r="O75" s="1131"/>
      <c r="P75" s="1131"/>
      <c r="Q75" s="1131"/>
      <c r="R75" s="1131"/>
      <c r="S75" s="268"/>
      <c r="T75" s="273"/>
      <c r="U75" s="273"/>
      <c r="V75" s="273"/>
      <c r="W75" s="273"/>
      <c r="X75" s="273"/>
      <c r="Y75" s="273"/>
      <c r="Z75" s="273"/>
      <c r="AA75" s="273"/>
      <c r="AB75" s="273"/>
      <c r="AC75" s="273"/>
      <c r="AD75" s="1153"/>
      <c r="AE75" s="66"/>
    </row>
    <row r="76" spans="1:31" ht="22.5" customHeight="1" x14ac:dyDescent="0.3">
      <c r="A76" s="216"/>
      <c r="B76" s="1132"/>
      <c r="C76" s="330" t="s">
        <v>4424</v>
      </c>
      <c r="D76" s="331">
        <v>14245</v>
      </c>
      <c r="E76" s="331">
        <v>13501</v>
      </c>
      <c r="F76" s="331">
        <v>13073</v>
      </c>
      <c r="G76" s="331">
        <v>14030</v>
      </c>
      <c r="H76" s="331">
        <v>13029</v>
      </c>
      <c r="I76" s="331">
        <v>13122</v>
      </c>
      <c r="J76" s="331">
        <v>11753</v>
      </c>
      <c r="K76" s="331"/>
      <c r="L76" s="331"/>
      <c r="M76" s="332"/>
      <c r="N76" s="233"/>
      <c r="O76" s="1131"/>
      <c r="P76" s="1131"/>
      <c r="Q76" s="1131"/>
      <c r="R76" s="1131"/>
      <c r="S76" s="268">
        <f ca="1">AC76</f>
        <v>0</v>
      </c>
      <c r="T76" s="273" t="str">
        <f t="shared" ref="T76:AC78" ca="1" si="17">INDIRECT(ADDRESS(ROW(),T$18))</f>
        <v>TIME</v>
      </c>
      <c r="U76" s="273">
        <f t="shared" ca="1" si="17"/>
        <v>14245</v>
      </c>
      <c r="V76" s="273">
        <f t="shared" ca="1" si="17"/>
        <v>13501</v>
      </c>
      <c r="W76" s="273">
        <f t="shared" ca="1" si="17"/>
        <v>13073</v>
      </c>
      <c r="X76" s="273">
        <f t="shared" ca="1" si="17"/>
        <v>14030</v>
      </c>
      <c r="Y76" s="273">
        <f t="shared" ca="1" si="17"/>
        <v>13029</v>
      </c>
      <c r="Z76" s="273">
        <f t="shared" ca="1" si="17"/>
        <v>13122</v>
      </c>
      <c r="AA76" s="273">
        <f t="shared" ca="1" si="17"/>
        <v>11753</v>
      </c>
      <c r="AB76" s="273">
        <f t="shared" ca="1" si="17"/>
        <v>0</v>
      </c>
      <c r="AC76" s="273">
        <f t="shared" ca="1" si="17"/>
        <v>0</v>
      </c>
      <c r="AD76" s="1153"/>
      <c r="AE76" s="66"/>
    </row>
    <row r="77" spans="1:31" ht="22.5" customHeight="1" x14ac:dyDescent="0.3">
      <c r="A77" s="216"/>
      <c r="B77" s="1129" t="str">
        <f>'Team 1'!B41</f>
        <v>Open/Male 13/U 100m Breaststroke</v>
      </c>
      <c r="C77" s="330" t="s">
        <v>4425</v>
      </c>
      <c r="D77" s="333" t="str">
        <f>'print 10 lane'!I44</f>
        <v>Albert Nezha</v>
      </c>
      <c r="E77" s="333" t="str">
        <f>'print 10 lane'!L44</f>
        <v>Kai Jun Wai Cheung</v>
      </c>
      <c r="F77" s="333" t="str">
        <f>'print 10 lane'!O44</f>
        <v>Ryan Wimpenny</v>
      </c>
      <c r="G77" s="333" t="str">
        <f>'print 10 lane'!R44</f>
        <v>Samuel Rosa</v>
      </c>
      <c r="H77" s="333" t="str">
        <f>'print 10 lane'!U44</f>
        <v>Bradley Rawlinson</v>
      </c>
      <c r="I77" s="333" t="str">
        <f>'print 10 lane'!X44</f>
        <v>Dylan Roberts</v>
      </c>
      <c r="J77" s="333" t="str">
        <f>'print 10 lane'!AA44</f>
        <v>Advay Bhatia</v>
      </c>
      <c r="K77" s="333" t="str">
        <f>'print 10 lane'!AD44</f>
        <v xml:space="preserve"> </v>
      </c>
      <c r="L77" s="333" t="str">
        <f>'print 10 lane'!AG44</f>
        <v xml:space="preserve"> </v>
      </c>
      <c r="M77" s="334" t="str">
        <f>'print 10 lane'!AJ44</f>
        <v xml:space="preserve"> </v>
      </c>
      <c r="N77" s="335"/>
      <c r="O77" s="1131"/>
      <c r="P77" s="1131"/>
      <c r="Q77" s="1131"/>
      <c r="R77" s="1131"/>
      <c r="S77" s="268" t="str">
        <f ca="1">AC77</f>
        <v xml:space="preserve"> </v>
      </c>
      <c r="T77" s="273" t="str">
        <f t="shared" ca="1" si="17"/>
        <v>SWIMMER</v>
      </c>
      <c r="U77" s="273" t="str">
        <f t="shared" ca="1" si="17"/>
        <v>Albert Nezha</v>
      </c>
      <c r="V77" s="273" t="str">
        <f t="shared" ca="1" si="17"/>
        <v>Kai Jun Wai Cheung</v>
      </c>
      <c r="W77" s="273" t="str">
        <f t="shared" ca="1" si="17"/>
        <v>Ryan Wimpenny</v>
      </c>
      <c r="X77" s="273" t="str">
        <f t="shared" ca="1" si="17"/>
        <v>Samuel Rosa</v>
      </c>
      <c r="Y77" s="273" t="str">
        <f t="shared" ca="1" si="17"/>
        <v>Bradley Rawlinson</v>
      </c>
      <c r="Z77" s="273" t="str">
        <f t="shared" ca="1" si="17"/>
        <v>Dylan Roberts</v>
      </c>
      <c r="AA77" s="273" t="str">
        <f t="shared" ca="1" si="17"/>
        <v>Advay Bhatia</v>
      </c>
      <c r="AB77" s="273" t="str">
        <f t="shared" ca="1" si="17"/>
        <v xml:space="preserve"> </v>
      </c>
      <c r="AC77" s="273" t="str">
        <f t="shared" ca="1" si="17"/>
        <v xml:space="preserve"> </v>
      </c>
      <c r="AD77" s="1153"/>
      <c r="AE77" s="66"/>
    </row>
    <row r="78" spans="1:31" ht="30" customHeight="1" x14ac:dyDescent="0.3">
      <c r="A78" s="216"/>
      <c r="B78" s="1129"/>
      <c r="C78" s="364" t="s">
        <v>4426</v>
      </c>
      <c r="D78" s="348"/>
      <c r="E78" s="348"/>
      <c r="F78" s="348"/>
      <c r="G78" s="348"/>
      <c r="H78" s="348"/>
      <c r="I78" s="348"/>
      <c r="J78" s="348"/>
      <c r="K78" s="348"/>
      <c r="L78" s="348"/>
      <c r="M78" s="349"/>
      <c r="N78" s="233"/>
      <c r="O78" s="1131"/>
      <c r="P78" s="1131"/>
      <c r="Q78" s="1131"/>
      <c r="R78" s="1131"/>
      <c r="S78" s="268">
        <f ca="1">AC78</f>
        <v>0</v>
      </c>
      <c r="T78" s="273" t="str">
        <f t="shared" ca="1" si="17"/>
        <v>DQ REASON</v>
      </c>
      <c r="U78" s="273">
        <f t="shared" ca="1" si="17"/>
        <v>0</v>
      </c>
      <c r="V78" s="273">
        <f t="shared" ca="1" si="17"/>
        <v>0</v>
      </c>
      <c r="W78" s="273">
        <f t="shared" ca="1" si="17"/>
        <v>0</v>
      </c>
      <c r="X78" s="273">
        <f t="shared" ca="1" si="17"/>
        <v>0</v>
      </c>
      <c r="Y78" s="273">
        <f t="shared" ca="1" si="17"/>
        <v>0</v>
      </c>
      <c r="Z78" s="273">
        <f t="shared" ca="1" si="17"/>
        <v>0</v>
      </c>
      <c r="AA78" s="273">
        <f t="shared" ca="1" si="17"/>
        <v>0</v>
      </c>
      <c r="AB78" s="273">
        <f t="shared" ca="1" si="17"/>
        <v>0</v>
      </c>
      <c r="AC78" s="273">
        <f t="shared" ca="1" si="17"/>
        <v>0</v>
      </c>
      <c r="AD78" s="1153"/>
      <c r="AE78" s="66"/>
    </row>
    <row r="79" spans="1:31" ht="18" customHeight="1" x14ac:dyDescent="0.3">
      <c r="A79" s="216"/>
      <c r="B79" s="1130" t="s">
        <v>4449</v>
      </c>
      <c r="C79" s="367" t="s">
        <v>4422</v>
      </c>
      <c r="D79" s="352">
        <f>'print 10 lane'!J46</f>
        <v>5</v>
      </c>
      <c r="E79" s="353">
        <f>'print 10 lane'!M46</f>
        <v>6</v>
      </c>
      <c r="F79" s="353">
        <f>'print 10 lane'!P46</f>
        <v>4</v>
      </c>
      <c r="G79" s="353">
        <f>'print 10 lane'!S46</f>
        <v>1</v>
      </c>
      <c r="H79" s="353">
        <f>'print 10 lane'!V46</f>
        <v>2</v>
      </c>
      <c r="I79" s="353">
        <f>'print 10 lane'!Y46</f>
        <v>3</v>
      </c>
      <c r="J79" s="353">
        <f>'print 10 lane'!AB46</f>
        <v>7</v>
      </c>
      <c r="K79" s="353">
        <f>'print 10 lane'!AE46</f>
        <v>0</v>
      </c>
      <c r="L79" s="353">
        <f>'print 10 lane'!AH46</f>
        <v>0</v>
      </c>
      <c r="M79" s="354">
        <f>'print 10 lane'!AK46</f>
        <v>0</v>
      </c>
      <c r="N79" s="233"/>
      <c r="O79" s="1133" t="s">
        <v>4430</v>
      </c>
      <c r="P79" s="1133"/>
      <c r="Q79" s="1133"/>
      <c r="R79" s="1133"/>
      <c r="S79" s="268"/>
      <c r="T79" s="273"/>
      <c r="U79" s="273"/>
      <c r="V79" s="273"/>
      <c r="W79" s="273"/>
      <c r="X79" s="273"/>
      <c r="Y79" s="273"/>
      <c r="Z79" s="273"/>
      <c r="AA79" s="273"/>
      <c r="AB79" s="273"/>
      <c r="AC79" s="273"/>
      <c r="AD79" s="1153"/>
      <c r="AE79" s="66"/>
    </row>
    <row r="80" spans="1:31" ht="22.5" customHeight="1" x14ac:dyDescent="0.3">
      <c r="A80" s="216"/>
      <c r="B80" s="1130"/>
      <c r="C80" s="310" t="s">
        <v>4424</v>
      </c>
      <c r="D80" s="311">
        <v>11722</v>
      </c>
      <c r="E80" s="312">
        <v>11958</v>
      </c>
      <c r="F80" s="312">
        <v>11499</v>
      </c>
      <c r="G80" s="312">
        <v>10696</v>
      </c>
      <c r="H80" s="312">
        <v>11205</v>
      </c>
      <c r="I80" s="312">
        <v>11303</v>
      </c>
      <c r="J80" s="312">
        <v>12084</v>
      </c>
      <c r="K80" s="312"/>
      <c r="L80" s="312"/>
      <c r="M80" s="313"/>
      <c r="N80" s="233"/>
      <c r="O80" s="1133"/>
      <c r="P80" s="1133"/>
      <c r="Q80" s="1133"/>
      <c r="R80" s="1133"/>
      <c r="S80" s="268">
        <f ca="1">AC80</f>
        <v>0</v>
      </c>
      <c r="T80" s="273" t="str">
        <f t="shared" ref="T80:AC82" ca="1" si="18">INDIRECT(ADDRESS(ROW(),T$18))</f>
        <v>TIME</v>
      </c>
      <c r="U80" s="273">
        <f t="shared" ca="1" si="18"/>
        <v>11722</v>
      </c>
      <c r="V80" s="273">
        <f t="shared" ca="1" si="18"/>
        <v>11958</v>
      </c>
      <c r="W80" s="273">
        <f t="shared" ca="1" si="18"/>
        <v>11499</v>
      </c>
      <c r="X80" s="273">
        <f t="shared" ca="1" si="18"/>
        <v>10696</v>
      </c>
      <c r="Y80" s="273">
        <f t="shared" ca="1" si="18"/>
        <v>11205</v>
      </c>
      <c r="Z80" s="273">
        <f t="shared" ca="1" si="18"/>
        <v>11303</v>
      </c>
      <c r="AA80" s="273">
        <f t="shared" ca="1" si="18"/>
        <v>12084</v>
      </c>
      <c r="AB80" s="273">
        <f t="shared" ca="1" si="18"/>
        <v>0</v>
      </c>
      <c r="AC80" s="273">
        <f t="shared" ca="1" si="18"/>
        <v>0</v>
      </c>
      <c r="AD80" s="1153"/>
      <c r="AE80" s="66"/>
    </row>
    <row r="81" spans="1:31" ht="22.5" customHeight="1" x14ac:dyDescent="0.3">
      <c r="A81" s="216"/>
      <c r="B81" s="1127" t="str">
        <f>'Team 1'!B42</f>
        <v>Female 15/U 100m Backstroke</v>
      </c>
      <c r="C81" s="310" t="s">
        <v>4425</v>
      </c>
      <c r="D81" s="317" t="str">
        <f>'print 10 lane'!I47</f>
        <v>Shreya Bavishi</v>
      </c>
      <c r="E81" s="317" t="str">
        <f>'print 10 lane'!L47</f>
        <v>Daisy Harradine</v>
      </c>
      <c r="F81" s="317" t="str">
        <f>'print 10 lane'!O47</f>
        <v>Hannah Lovelock</v>
      </c>
      <c r="G81" s="317" t="str">
        <f>'print 10 lane'!R47</f>
        <v>Megan Johnson</v>
      </c>
      <c r="H81" s="317" t="str">
        <f>'print 10 lane'!U47</f>
        <v>Hollie Heighes</v>
      </c>
      <c r="I81" s="317" t="str">
        <f>'print 10 lane'!X47</f>
        <v>Alice  Sharrock</v>
      </c>
      <c r="J81" s="317" t="str">
        <f>'print 10 lane'!AA47</f>
        <v>Keanna Roets</v>
      </c>
      <c r="K81" s="317" t="str">
        <f>'print 10 lane'!AD47</f>
        <v xml:space="preserve"> </v>
      </c>
      <c r="L81" s="317" t="str">
        <f>'print 10 lane'!AG47</f>
        <v xml:space="preserve"> </v>
      </c>
      <c r="M81" s="316" t="str">
        <f>'print 10 lane'!AJ47</f>
        <v xml:space="preserve"> </v>
      </c>
      <c r="N81" s="335"/>
      <c r="O81" s="1133"/>
      <c r="P81" s="1133"/>
      <c r="Q81" s="1133"/>
      <c r="R81" s="1133"/>
      <c r="S81" s="268" t="str">
        <f ca="1">AC81</f>
        <v xml:space="preserve"> </v>
      </c>
      <c r="T81" s="273" t="str">
        <f t="shared" ca="1" si="18"/>
        <v>SWIMMER</v>
      </c>
      <c r="U81" s="273" t="str">
        <f t="shared" ca="1" si="18"/>
        <v>Shreya Bavishi</v>
      </c>
      <c r="V81" s="273" t="str">
        <f t="shared" ca="1" si="18"/>
        <v>Daisy Harradine</v>
      </c>
      <c r="W81" s="273" t="str">
        <f t="shared" ca="1" si="18"/>
        <v>Hannah Lovelock</v>
      </c>
      <c r="X81" s="273" t="str">
        <f t="shared" ca="1" si="18"/>
        <v>Megan Johnson</v>
      </c>
      <c r="Y81" s="273" t="str">
        <f t="shared" ca="1" si="18"/>
        <v>Hollie Heighes</v>
      </c>
      <c r="Z81" s="273" t="str">
        <f t="shared" ca="1" si="18"/>
        <v>Alice  Sharrock</v>
      </c>
      <c r="AA81" s="273" t="str">
        <f t="shared" ca="1" si="18"/>
        <v>Keanna Roets</v>
      </c>
      <c r="AB81" s="273" t="str">
        <f t="shared" ca="1" si="18"/>
        <v xml:space="preserve"> </v>
      </c>
      <c r="AC81" s="273" t="str">
        <f t="shared" ca="1" si="18"/>
        <v xml:space="preserve"> </v>
      </c>
      <c r="AD81" s="1153"/>
      <c r="AE81" s="66"/>
    </row>
    <row r="82" spans="1:31" ht="30" customHeight="1" x14ac:dyDescent="0.3">
      <c r="A82" s="216"/>
      <c r="B82" s="1127"/>
      <c r="C82" s="368" t="s">
        <v>4426</v>
      </c>
      <c r="D82" s="356"/>
      <c r="E82" s="356"/>
      <c r="F82" s="356"/>
      <c r="G82" s="356"/>
      <c r="H82" s="356"/>
      <c r="I82" s="356"/>
      <c r="J82" s="356"/>
      <c r="K82" s="356"/>
      <c r="L82" s="356"/>
      <c r="M82" s="357"/>
      <c r="N82" s="233"/>
      <c r="O82" s="1133"/>
      <c r="P82" s="1133"/>
      <c r="Q82" s="1133"/>
      <c r="R82" s="1133"/>
      <c r="S82" s="268">
        <f ca="1">AC82</f>
        <v>0</v>
      </c>
      <c r="T82" s="273" t="str">
        <f t="shared" ca="1" si="18"/>
        <v>DQ REASON</v>
      </c>
      <c r="U82" s="273">
        <f t="shared" ca="1" si="18"/>
        <v>0</v>
      </c>
      <c r="V82" s="273">
        <f t="shared" ca="1" si="18"/>
        <v>0</v>
      </c>
      <c r="W82" s="273">
        <f t="shared" ca="1" si="18"/>
        <v>0</v>
      </c>
      <c r="X82" s="273">
        <f t="shared" ca="1" si="18"/>
        <v>0</v>
      </c>
      <c r="Y82" s="273">
        <f t="shared" ca="1" si="18"/>
        <v>0</v>
      </c>
      <c r="Z82" s="273">
        <f t="shared" ca="1" si="18"/>
        <v>0</v>
      </c>
      <c r="AA82" s="273">
        <f t="shared" ca="1" si="18"/>
        <v>0</v>
      </c>
      <c r="AB82" s="273">
        <f t="shared" ca="1" si="18"/>
        <v>0</v>
      </c>
      <c r="AC82" s="273">
        <f t="shared" ca="1" si="18"/>
        <v>0</v>
      </c>
      <c r="AD82" s="1153"/>
      <c r="AE82" s="66"/>
    </row>
    <row r="83" spans="1:31" ht="18" customHeight="1" x14ac:dyDescent="0.3">
      <c r="A83" s="216"/>
      <c r="B83" s="1132" t="s">
        <v>4450</v>
      </c>
      <c r="C83" s="369" t="s">
        <v>4422</v>
      </c>
      <c r="D83" s="326">
        <f>'print 10 lane'!J49</f>
        <v>5</v>
      </c>
      <c r="E83" s="327">
        <f>'print 10 lane'!M49</f>
        <v>4</v>
      </c>
      <c r="F83" s="327">
        <f>'print 10 lane'!P49</f>
        <v>6</v>
      </c>
      <c r="G83" s="327">
        <f>'print 10 lane'!S49</f>
        <v>2</v>
      </c>
      <c r="H83" s="327">
        <f>'print 10 lane'!V49</f>
        <v>1</v>
      </c>
      <c r="I83" s="327">
        <f>'print 10 lane'!Y49</f>
        <v>0</v>
      </c>
      <c r="J83" s="327">
        <f>'print 10 lane'!AB49</f>
        <v>3</v>
      </c>
      <c r="K83" s="327">
        <f>'print 10 lane'!AE49</f>
        <v>0</v>
      </c>
      <c r="L83" s="327">
        <f>'print 10 lane'!AH49</f>
        <v>0</v>
      </c>
      <c r="M83" s="328">
        <f>'print 10 lane'!AK49</f>
        <v>0</v>
      </c>
      <c r="N83" s="233"/>
      <c r="O83" s="1133"/>
      <c r="P83" s="1133"/>
      <c r="Q83" s="1133"/>
      <c r="R83" s="1133"/>
      <c r="S83" s="268"/>
      <c r="T83" s="273"/>
      <c r="U83" s="273"/>
      <c r="V83" s="273"/>
      <c r="W83" s="273"/>
      <c r="X83" s="273"/>
      <c r="Y83" s="273"/>
      <c r="Z83" s="273"/>
      <c r="AA83" s="273"/>
      <c r="AB83" s="273"/>
      <c r="AC83" s="273"/>
      <c r="AD83" s="1153"/>
      <c r="AE83" s="66"/>
    </row>
    <row r="84" spans="1:31" ht="22.5" customHeight="1" x14ac:dyDescent="0.3">
      <c r="A84" s="216"/>
      <c r="B84" s="1132"/>
      <c r="C84" s="330" t="s">
        <v>4424</v>
      </c>
      <c r="D84" s="331">
        <v>11965</v>
      </c>
      <c r="E84" s="331">
        <v>11082</v>
      </c>
      <c r="F84" s="331">
        <v>12483</v>
      </c>
      <c r="G84" s="331">
        <v>10710</v>
      </c>
      <c r="H84" s="331">
        <v>10460</v>
      </c>
      <c r="I84" s="331">
        <v>0</v>
      </c>
      <c r="J84" s="331">
        <v>11057</v>
      </c>
      <c r="K84" s="331"/>
      <c r="L84" s="331"/>
      <c r="M84" s="332"/>
      <c r="N84" s="233"/>
      <c r="O84" s="363"/>
      <c r="P84" s="363"/>
      <c r="Q84" s="363"/>
      <c r="R84" s="363"/>
      <c r="S84" s="268">
        <f ca="1">AC84</f>
        <v>0</v>
      </c>
      <c r="T84" s="273" t="str">
        <f t="shared" ref="T84:AC86" ca="1" si="19">INDIRECT(ADDRESS(ROW(),T$18))</f>
        <v>TIME</v>
      </c>
      <c r="U84" s="273">
        <f t="shared" ca="1" si="19"/>
        <v>11965</v>
      </c>
      <c r="V84" s="273">
        <f t="shared" ca="1" si="19"/>
        <v>11082</v>
      </c>
      <c r="W84" s="273">
        <f t="shared" ca="1" si="19"/>
        <v>12483</v>
      </c>
      <c r="X84" s="273">
        <f t="shared" ca="1" si="19"/>
        <v>10710</v>
      </c>
      <c r="Y84" s="273">
        <f t="shared" ca="1" si="19"/>
        <v>10460</v>
      </c>
      <c r="Z84" s="273">
        <f t="shared" ca="1" si="19"/>
        <v>0</v>
      </c>
      <c r="AA84" s="273">
        <f t="shared" ca="1" si="19"/>
        <v>11057</v>
      </c>
      <c r="AB84" s="273">
        <f t="shared" ca="1" si="19"/>
        <v>0</v>
      </c>
      <c r="AC84" s="273">
        <f t="shared" ca="1" si="19"/>
        <v>0</v>
      </c>
      <c r="AD84" s="1153"/>
      <c r="AE84" s="66"/>
    </row>
    <row r="85" spans="1:31" ht="22.5" customHeight="1" x14ac:dyDescent="0.3">
      <c r="A85" s="216"/>
      <c r="B85" s="1129" t="str">
        <f>'Team 1'!B43</f>
        <v>Open/Male 15/U 100m Backstroke</v>
      </c>
      <c r="C85" s="330" t="s">
        <v>4425</v>
      </c>
      <c r="D85" s="333" t="str">
        <f>'print 10 lane'!I50</f>
        <v>Zalan Tornay</v>
      </c>
      <c r="E85" s="333" t="str">
        <f>'print 10 lane'!L50</f>
        <v>Alexander Gregory</v>
      </c>
      <c r="F85" s="333" t="str">
        <f>'print 10 lane'!O50</f>
        <v>Alfie Bullock</v>
      </c>
      <c r="G85" s="333" t="str">
        <f>'print 10 lane'!R50</f>
        <v>Charles Raines</v>
      </c>
      <c r="H85" s="333" t="str">
        <f>'print 10 lane'!U50</f>
        <v>Albert Orley</v>
      </c>
      <c r="I85" s="333" t="str">
        <f>'print 10 lane'!X50</f>
        <v>Louis Waissman</v>
      </c>
      <c r="J85" s="333" t="str">
        <f>'print 10 lane'!AA50</f>
        <v>Tsz Kwai Chan</v>
      </c>
      <c r="K85" s="333" t="str">
        <f>'print 10 lane'!AD50</f>
        <v xml:space="preserve"> </v>
      </c>
      <c r="L85" s="333" t="str">
        <f>'print 10 lane'!AG50</f>
        <v xml:space="preserve"> </v>
      </c>
      <c r="M85" s="334" t="str">
        <f>'print 10 lane'!AJ50</f>
        <v xml:space="preserve"> </v>
      </c>
      <c r="N85" s="335"/>
      <c r="O85" s="362"/>
      <c r="P85" s="362"/>
      <c r="Q85" s="362"/>
      <c r="R85" s="362"/>
      <c r="S85" s="268" t="str">
        <f ca="1">AC85</f>
        <v xml:space="preserve"> </v>
      </c>
      <c r="T85" s="273" t="str">
        <f t="shared" ca="1" si="19"/>
        <v>SWIMMER</v>
      </c>
      <c r="U85" s="273" t="str">
        <f t="shared" ca="1" si="19"/>
        <v>Zalan Tornay</v>
      </c>
      <c r="V85" s="273" t="str">
        <f t="shared" ca="1" si="19"/>
        <v>Alexander Gregory</v>
      </c>
      <c r="W85" s="273" t="str">
        <f t="shared" ca="1" si="19"/>
        <v>Alfie Bullock</v>
      </c>
      <c r="X85" s="273" t="str">
        <f t="shared" ca="1" si="19"/>
        <v>Charles Raines</v>
      </c>
      <c r="Y85" s="273" t="str">
        <f t="shared" ca="1" si="19"/>
        <v>Albert Orley</v>
      </c>
      <c r="Z85" s="273" t="str">
        <f t="shared" ca="1" si="19"/>
        <v>Louis Waissman</v>
      </c>
      <c r="AA85" s="273" t="str">
        <f t="shared" ca="1" si="19"/>
        <v>Tsz Kwai Chan</v>
      </c>
      <c r="AB85" s="273" t="str">
        <f t="shared" ca="1" si="19"/>
        <v xml:space="preserve"> </v>
      </c>
      <c r="AC85" s="273" t="str">
        <f t="shared" ca="1" si="19"/>
        <v xml:space="preserve"> </v>
      </c>
      <c r="AD85" s="1153"/>
      <c r="AE85" s="66"/>
    </row>
    <row r="86" spans="1:31" ht="30" customHeight="1" x14ac:dyDescent="0.3">
      <c r="A86" s="216"/>
      <c r="B86" s="1129"/>
      <c r="C86" s="364" t="s">
        <v>4426</v>
      </c>
      <c r="D86" s="348"/>
      <c r="E86" s="348"/>
      <c r="F86" s="348"/>
      <c r="G86" s="348"/>
      <c r="H86" s="348"/>
      <c r="I86" s="348" t="s">
        <v>4451</v>
      </c>
      <c r="J86" s="348"/>
      <c r="K86" s="348"/>
      <c r="L86" s="348"/>
      <c r="M86" s="349"/>
      <c r="N86" s="233"/>
      <c r="O86" s="363"/>
      <c r="P86" s="363"/>
      <c r="Q86" s="363"/>
      <c r="R86" s="363"/>
      <c r="S86" s="268">
        <f ca="1">AC86</f>
        <v>0</v>
      </c>
      <c r="T86" s="273" t="str">
        <f t="shared" ca="1" si="19"/>
        <v>DQ REASON</v>
      </c>
      <c r="U86" s="273">
        <f t="shared" ca="1" si="19"/>
        <v>0</v>
      </c>
      <c r="V86" s="273">
        <f t="shared" ca="1" si="19"/>
        <v>0</v>
      </c>
      <c r="W86" s="273">
        <f t="shared" ca="1" si="19"/>
        <v>0</v>
      </c>
      <c r="X86" s="273">
        <f t="shared" ca="1" si="19"/>
        <v>0</v>
      </c>
      <c r="Y86" s="273">
        <f t="shared" ca="1" si="19"/>
        <v>0</v>
      </c>
      <c r="Z86" s="273" t="str">
        <f t="shared" ca="1" si="19"/>
        <v>6.4 turn not initiated straight away once turned over</v>
      </c>
      <c r="AA86" s="273">
        <f t="shared" ca="1" si="19"/>
        <v>0</v>
      </c>
      <c r="AB86" s="273">
        <f t="shared" ca="1" si="19"/>
        <v>0</v>
      </c>
      <c r="AC86" s="273">
        <f t="shared" ca="1" si="19"/>
        <v>0</v>
      </c>
      <c r="AD86" s="1153"/>
      <c r="AE86" s="66"/>
    </row>
    <row r="87" spans="1:31" ht="18" customHeight="1" x14ac:dyDescent="0.3">
      <c r="A87" s="216"/>
      <c r="B87" s="1130" t="s">
        <v>4452</v>
      </c>
      <c r="C87" s="367" t="s">
        <v>4422</v>
      </c>
      <c r="D87" s="352">
        <f>'print 10 lane'!J52</f>
        <v>3</v>
      </c>
      <c r="E87" s="353">
        <f>'print 10 lane'!M52</f>
        <v>7</v>
      </c>
      <c r="F87" s="353">
        <f>'print 10 lane'!P52</f>
        <v>6</v>
      </c>
      <c r="G87" s="353">
        <f>'print 10 lane'!S52</f>
        <v>1</v>
      </c>
      <c r="H87" s="353">
        <f>'print 10 lane'!V52</f>
        <v>2</v>
      </c>
      <c r="I87" s="353">
        <f>'print 10 lane'!Y52</f>
        <v>5</v>
      </c>
      <c r="J87" s="353">
        <f>'print 10 lane'!AB52</f>
        <v>4</v>
      </c>
      <c r="K87" s="353">
        <f>'print 10 lane'!AE52</f>
        <v>0</v>
      </c>
      <c r="L87" s="353">
        <f>'print 10 lane'!AH52</f>
        <v>0</v>
      </c>
      <c r="M87" s="354">
        <f>'print 10 lane'!AK52</f>
        <v>0</v>
      </c>
      <c r="N87" s="233"/>
      <c r="O87" s="363"/>
      <c r="P87" s="363"/>
      <c r="Q87" s="363"/>
      <c r="R87" s="363"/>
      <c r="S87" s="268"/>
      <c r="T87" s="273"/>
      <c r="U87" s="273"/>
      <c r="V87" s="273"/>
      <c r="W87" s="273"/>
      <c r="X87" s="273"/>
      <c r="Y87" s="273"/>
      <c r="Z87" s="273"/>
      <c r="AA87" s="273"/>
      <c r="AB87" s="273"/>
      <c r="AC87" s="273"/>
      <c r="AD87" s="1153"/>
      <c r="AE87" s="66"/>
    </row>
    <row r="88" spans="1:31" ht="22.5" customHeight="1" x14ac:dyDescent="0.3">
      <c r="A88" s="216"/>
      <c r="B88" s="1130"/>
      <c r="C88" s="310" t="s">
        <v>4424</v>
      </c>
      <c r="D88" s="311">
        <v>11611</v>
      </c>
      <c r="E88" s="312">
        <v>11959</v>
      </c>
      <c r="F88" s="312">
        <v>11834</v>
      </c>
      <c r="G88" s="312">
        <v>10870</v>
      </c>
      <c r="H88" s="312">
        <v>11449</v>
      </c>
      <c r="I88" s="312">
        <v>11828</v>
      </c>
      <c r="J88" s="312">
        <v>11701</v>
      </c>
      <c r="K88" s="312"/>
      <c r="L88" s="312"/>
      <c r="M88" s="313"/>
      <c r="N88" s="233"/>
      <c r="O88" s="1131"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88" s="1131"/>
      <c r="Q88" s="1131"/>
      <c r="R88" s="1131"/>
      <c r="S88" s="268">
        <f ca="1">AC88</f>
        <v>0</v>
      </c>
      <c r="T88" s="273" t="str">
        <f t="shared" ref="T88:AC90" ca="1" si="20">INDIRECT(ADDRESS(ROW(),T$18))</f>
        <v>TIME</v>
      </c>
      <c r="U88" s="273">
        <f t="shared" ca="1" si="20"/>
        <v>11611</v>
      </c>
      <c r="V88" s="273">
        <f t="shared" ca="1" si="20"/>
        <v>11959</v>
      </c>
      <c r="W88" s="273">
        <f t="shared" ca="1" si="20"/>
        <v>11834</v>
      </c>
      <c r="X88" s="273">
        <f t="shared" ca="1" si="20"/>
        <v>10870</v>
      </c>
      <c r="Y88" s="273">
        <f t="shared" ca="1" si="20"/>
        <v>11449</v>
      </c>
      <c r="Z88" s="273">
        <f t="shared" ca="1" si="20"/>
        <v>11828</v>
      </c>
      <c r="AA88" s="273">
        <f t="shared" ca="1" si="20"/>
        <v>11701</v>
      </c>
      <c r="AB88" s="273">
        <f t="shared" ca="1" si="20"/>
        <v>0</v>
      </c>
      <c r="AC88" s="273">
        <f t="shared" ca="1" si="20"/>
        <v>0</v>
      </c>
      <c r="AD88" s="1153"/>
      <c r="AE88" s="66"/>
    </row>
    <row r="89" spans="1:31" ht="22.5" customHeight="1" x14ac:dyDescent="0.3">
      <c r="A89" s="216"/>
      <c r="B89" s="1127" t="str">
        <f>'Team 1'!B44</f>
        <v>Female 16+ 100m Butterfly</v>
      </c>
      <c r="C89" s="310" t="s">
        <v>4425</v>
      </c>
      <c r="D89" s="317" t="str">
        <f>'print 10 lane'!I53</f>
        <v>Maja Grzybek</v>
      </c>
      <c r="E89" s="317" t="str">
        <f>'print 10 lane'!L53</f>
        <v>Madeleine Bailiss</v>
      </c>
      <c r="F89" s="317" t="str">
        <f>'print 10 lane'!O53</f>
        <v>Sophie Clark</v>
      </c>
      <c r="G89" s="317" t="str">
        <f>'print 10 lane'!R53</f>
        <v>Libby Blissett</v>
      </c>
      <c r="H89" s="317" t="str">
        <f>'print 10 lane'!U53</f>
        <v>Kathryn Edwards</v>
      </c>
      <c r="I89" s="317" t="str">
        <f>'print 10 lane'!X53</f>
        <v>Laura Leksander</v>
      </c>
      <c r="J89" s="317" t="str">
        <f>'print 10 lane'!AA53</f>
        <v>Keira Brannigan</v>
      </c>
      <c r="K89" s="317" t="str">
        <f>'print 10 lane'!AD53</f>
        <v xml:space="preserve"> </v>
      </c>
      <c r="L89" s="317" t="str">
        <f>'print 10 lane'!AG53</f>
        <v xml:space="preserve"> </v>
      </c>
      <c r="M89" s="316" t="str">
        <f>'print 10 lane'!AJ53</f>
        <v xml:space="preserve"> </v>
      </c>
      <c r="N89" s="335"/>
      <c r="O89" s="1131"/>
      <c r="P89" s="1131"/>
      <c r="Q89" s="1131"/>
      <c r="R89" s="1131"/>
      <c r="S89" s="268" t="str">
        <f ca="1">AC89</f>
        <v xml:space="preserve"> </v>
      </c>
      <c r="T89" s="273" t="str">
        <f t="shared" ca="1" si="20"/>
        <v>SWIMMER</v>
      </c>
      <c r="U89" s="273" t="str">
        <f t="shared" ca="1" si="20"/>
        <v>Maja Grzybek</v>
      </c>
      <c r="V89" s="273" t="str">
        <f t="shared" ca="1" si="20"/>
        <v>Madeleine Bailiss</v>
      </c>
      <c r="W89" s="273" t="str">
        <f t="shared" ca="1" si="20"/>
        <v>Sophie Clark</v>
      </c>
      <c r="X89" s="273" t="str">
        <f t="shared" ca="1" si="20"/>
        <v>Libby Blissett</v>
      </c>
      <c r="Y89" s="273" t="str">
        <f t="shared" ca="1" si="20"/>
        <v>Kathryn Edwards</v>
      </c>
      <c r="Z89" s="273" t="str">
        <f t="shared" ca="1" si="20"/>
        <v>Laura Leksander</v>
      </c>
      <c r="AA89" s="273" t="str">
        <f t="shared" ca="1" si="20"/>
        <v>Keira Brannigan</v>
      </c>
      <c r="AB89" s="273" t="str">
        <f t="shared" ca="1" si="20"/>
        <v xml:space="preserve"> </v>
      </c>
      <c r="AC89" s="273" t="str">
        <f t="shared" ca="1" si="20"/>
        <v xml:space="preserve"> </v>
      </c>
      <c r="AD89" s="1153"/>
      <c r="AE89" s="66"/>
    </row>
    <row r="90" spans="1:31" ht="30" customHeight="1" x14ac:dyDescent="0.3">
      <c r="A90" s="216"/>
      <c r="B90" s="1127"/>
      <c r="C90" s="368" t="s">
        <v>4426</v>
      </c>
      <c r="D90" s="356"/>
      <c r="E90" s="356"/>
      <c r="F90" s="356"/>
      <c r="G90" s="356"/>
      <c r="H90" s="356"/>
      <c r="I90" s="356"/>
      <c r="J90" s="356"/>
      <c r="K90" s="356"/>
      <c r="L90" s="356"/>
      <c r="M90" s="357"/>
      <c r="N90" s="233"/>
      <c r="O90" s="1131"/>
      <c r="P90" s="1131"/>
      <c r="Q90" s="1131"/>
      <c r="R90" s="1131"/>
      <c r="S90" s="268">
        <f ca="1">AC90</f>
        <v>0</v>
      </c>
      <c r="T90" s="273" t="str">
        <f t="shared" ca="1" si="20"/>
        <v>DQ REASON</v>
      </c>
      <c r="U90" s="273">
        <f t="shared" ca="1" si="20"/>
        <v>0</v>
      </c>
      <c r="V90" s="273">
        <f t="shared" ca="1" si="20"/>
        <v>0</v>
      </c>
      <c r="W90" s="273">
        <f t="shared" ca="1" si="20"/>
        <v>0</v>
      </c>
      <c r="X90" s="273">
        <f t="shared" ca="1" si="20"/>
        <v>0</v>
      </c>
      <c r="Y90" s="273">
        <f t="shared" ca="1" si="20"/>
        <v>0</v>
      </c>
      <c r="Z90" s="273">
        <f t="shared" ca="1" si="20"/>
        <v>0</v>
      </c>
      <c r="AA90" s="273">
        <f t="shared" ca="1" si="20"/>
        <v>0</v>
      </c>
      <c r="AB90" s="273">
        <f t="shared" ca="1" si="20"/>
        <v>0</v>
      </c>
      <c r="AC90" s="273">
        <f t="shared" ca="1" si="20"/>
        <v>0</v>
      </c>
      <c r="AD90" s="1153"/>
      <c r="AE90" s="66"/>
    </row>
    <row r="91" spans="1:31" ht="18" customHeight="1" x14ac:dyDescent="0.3">
      <c r="A91" s="216"/>
      <c r="B91" s="1135" t="s">
        <v>4453</v>
      </c>
      <c r="C91" s="369" t="s">
        <v>4422</v>
      </c>
      <c r="D91" s="326">
        <f>'print 10 lane'!J55</f>
        <v>0</v>
      </c>
      <c r="E91" s="327">
        <f>'print 10 lane'!M55</f>
        <v>6</v>
      </c>
      <c r="F91" s="327">
        <f>'print 10 lane'!P55</f>
        <v>5</v>
      </c>
      <c r="G91" s="327">
        <f>'print 10 lane'!S55</f>
        <v>2</v>
      </c>
      <c r="H91" s="327">
        <f>'print 10 lane'!V55</f>
        <v>4</v>
      </c>
      <c r="I91" s="327">
        <f>'print 10 lane'!Y55</f>
        <v>1</v>
      </c>
      <c r="J91" s="327">
        <f>'print 10 lane'!AB55</f>
        <v>3</v>
      </c>
      <c r="K91" s="327">
        <f>'print 10 lane'!AE55</f>
        <v>0</v>
      </c>
      <c r="L91" s="327">
        <f>'print 10 lane'!AH55</f>
        <v>0</v>
      </c>
      <c r="M91" s="328">
        <f>'print 10 lane'!AK55</f>
        <v>0</v>
      </c>
      <c r="N91" s="233"/>
      <c r="O91" s="1131"/>
      <c r="P91" s="1131"/>
      <c r="Q91" s="1131"/>
      <c r="R91" s="1131"/>
      <c r="S91" s="268"/>
      <c r="T91" s="273"/>
      <c r="U91" s="273"/>
      <c r="V91" s="273"/>
      <c r="W91" s="273"/>
      <c r="X91" s="273"/>
      <c r="Y91" s="273"/>
      <c r="Z91" s="273"/>
      <c r="AA91" s="273"/>
      <c r="AB91" s="273"/>
      <c r="AC91" s="273"/>
      <c r="AD91" s="1153"/>
      <c r="AE91" s="66"/>
    </row>
    <row r="92" spans="1:31" ht="22.5" customHeight="1" x14ac:dyDescent="0.3">
      <c r="A92" s="216"/>
      <c r="B92" s="1135"/>
      <c r="C92" s="330" t="s">
        <v>4424</v>
      </c>
      <c r="D92" s="331">
        <v>0</v>
      </c>
      <c r="E92" s="331">
        <v>13034</v>
      </c>
      <c r="F92" s="331">
        <v>10926</v>
      </c>
      <c r="G92" s="331">
        <v>10408</v>
      </c>
      <c r="H92" s="331">
        <v>10562</v>
      </c>
      <c r="I92" s="331">
        <v>10168</v>
      </c>
      <c r="J92" s="331">
        <v>10507</v>
      </c>
      <c r="K92" s="331"/>
      <c r="L92" s="331"/>
      <c r="M92" s="332"/>
      <c r="N92" s="233"/>
      <c r="O92" s="1131"/>
      <c r="P92" s="1131"/>
      <c r="Q92" s="1131"/>
      <c r="R92" s="1131"/>
      <c r="S92" s="268">
        <f ca="1">AC92</f>
        <v>0</v>
      </c>
      <c r="T92" s="273" t="str">
        <f t="shared" ref="T92:AC94" ca="1" si="21">INDIRECT(ADDRESS(ROW(),T$18))</f>
        <v>TIME</v>
      </c>
      <c r="U92" s="273">
        <f t="shared" ca="1" si="21"/>
        <v>0</v>
      </c>
      <c r="V92" s="273">
        <f t="shared" ca="1" si="21"/>
        <v>13034</v>
      </c>
      <c r="W92" s="273">
        <f t="shared" ca="1" si="21"/>
        <v>10926</v>
      </c>
      <c r="X92" s="273">
        <f t="shared" ca="1" si="21"/>
        <v>10408</v>
      </c>
      <c r="Y92" s="273">
        <f t="shared" ca="1" si="21"/>
        <v>10562</v>
      </c>
      <c r="Z92" s="273">
        <f t="shared" ca="1" si="21"/>
        <v>10168</v>
      </c>
      <c r="AA92" s="273">
        <f t="shared" ca="1" si="21"/>
        <v>10507</v>
      </c>
      <c r="AB92" s="273">
        <f t="shared" ca="1" si="21"/>
        <v>0</v>
      </c>
      <c r="AC92" s="273">
        <f t="shared" ca="1" si="21"/>
        <v>0</v>
      </c>
      <c r="AD92" s="1153"/>
      <c r="AE92" s="66"/>
    </row>
    <row r="93" spans="1:31" ht="22.5" customHeight="1" x14ac:dyDescent="0.3">
      <c r="A93" s="216"/>
      <c r="B93" s="1129" t="str">
        <f>'Team 1'!B45</f>
        <v>Open/Male 16+ 100m Butterfly</v>
      </c>
      <c r="C93" s="330" t="s">
        <v>4425</v>
      </c>
      <c r="D93" s="333" t="str">
        <f>'print 10 lane'!I56</f>
        <v xml:space="preserve"> </v>
      </c>
      <c r="E93" s="333" t="str">
        <f>'print 10 lane'!L56</f>
        <v>Samuel Heraty</v>
      </c>
      <c r="F93" s="333" t="str">
        <f>'print 10 lane'!O56</f>
        <v>Luke Morley</v>
      </c>
      <c r="G93" s="333" t="str">
        <f>'print 10 lane'!R56</f>
        <v>Ellis Bunce</v>
      </c>
      <c r="H93" s="333" t="str">
        <f>'print 10 lane'!U56</f>
        <v>Daniel Parker</v>
      </c>
      <c r="I93" s="333" t="str">
        <f>'print 10 lane'!X56</f>
        <v>Shanil Ramaiya</v>
      </c>
      <c r="J93" s="333" t="str">
        <f>'print 10 lane'!AA56</f>
        <v>Liam Treanor</v>
      </c>
      <c r="K93" s="333" t="str">
        <f>'print 10 lane'!AD56</f>
        <v xml:space="preserve"> </v>
      </c>
      <c r="L93" s="333" t="str">
        <f>'print 10 lane'!AG56</f>
        <v xml:space="preserve"> </v>
      </c>
      <c r="M93" s="334" t="str">
        <f>'print 10 lane'!AJ56</f>
        <v xml:space="preserve"> </v>
      </c>
      <c r="N93" s="335"/>
      <c r="O93" s="1131"/>
      <c r="P93" s="1131"/>
      <c r="Q93" s="1131"/>
      <c r="R93" s="1131"/>
      <c r="S93" s="268" t="str">
        <f ca="1">AC93</f>
        <v xml:space="preserve"> </v>
      </c>
      <c r="T93" s="273" t="str">
        <f t="shared" ca="1" si="21"/>
        <v>SWIMMER</v>
      </c>
      <c r="U93" s="273" t="str">
        <f t="shared" ca="1" si="21"/>
        <v xml:space="preserve"> </v>
      </c>
      <c r="V93" s="273" t="str">
        <f t="shared" ca="1" si="21"/>
        <v>Samuel Heraty</v>
      </c>
      <c r="W93" s="273" t="str">
        <f t="shared" ca="1" si="21"/>
        <v>Luke Morley</v>
      </c>
      <c r="X93" s="273" t="str">
        <f t="shared" ca="1" si="21"/>
        <v>Ellis Bunce</v>
      </c>
      <c r="Y93" s="273" t="str">
        <f t="shared" ca="1" si="21"/>
        <v>Daniel Parker</v>
      </c>
      <c r="Z93" s="273" t="str">
        <f t="shared" ca="1" si="21"/>
        <v>Shanil Ramaiya</v>
      </c>
      <c r="AA93" s="273" t="str">
        <f t="shared" ca="1" si="21"/>
        <v>Liam Treanor</v>
      </c>
      <c r="AB93" s="273" t="str">
        <f t="shared" ca="1" si="21"/>
        <v xml:space="preserve"> </v>
      </c>
      <c r="AC93" s="273" t="str">
        <f t="shared" ca="1" si="21"/>
        <v xml:space="preserve"> </v>
      </c>
      <c r="AD93" s="1153"/>
      <c r="AE93" s="66"/>
    </row>
    <row r="94" spans="1:31" ht="30" customHeight="1" x14ac:dyDescent="0.3">
      <c r="A94" s="216"/>
      <c r="B94" s="1129"/>
      <c r="C94" s="364" t="s">
        <v>4426</v>
      </c>
      <c r="D94" s="348" t="s">
        <v>4433</v>
      </c>
      <c r="E94" s="348"/>
      <c r="F94" s="348"/>
      <c r="G94" s="348"/>
      <c r="H94" s="348"/>
      <c r="I94" s="348"/>
      <c r="J94" s="348"/>
      <c r="K94" s="348"/>
      <c r="L94" s="348"/>
      <c r="M94" s="349"/>
      <c r="N94" s="233"/>
      <c r="O94" s="1131"/>
      <c r="P94" s="1131"/>
      <c r="Q94" s="1131"/>
      <c r="R94" s="1131"/>
      <c r="S94" s="268">
        <f ca="1">AC94</f>
        <v>0</v>
      </c>
      <c r="T94" s="273" t="str">
        <f t="shared" ca="1" si="21"/>
        <v>DQ REASON</v>
      </c>
      <c r="U94" s="273" t="str">
        <f t="shared" ca="1" si="21"/>
        <v>DNS</v>
      </c>
      <c r="V94" s="273">
        <f t="shared" ca="1" si="21"/>
        <v>0</v>
      </c>
      <c r="W94" s="273">
        <f t="shared" ca="1" si="21"/>
        <v>0</v>
      </c>
      <c r="X94" s="273">
        <f t="shared" ca="1" si="21"/>
        <v>0</v>
      </c>
      <c r="Y94" s="273">
        <f t="shared" ca="1" si="21"/>
        <v>0</v>
      </c>
      <c r="Z94" s="273">
        <f t="shared" ca="1" si="21"/>
        <v>0</v>
      </c>
      <c r="AA94" s="273">
        <f t="shared" ca="1" si="21"/>
        <v>0</v>
      </c>
      <c r="AB94" s="273">
        <f t="shared" ca="1" si="21"/>
        <v>0</v>
      </c>
      <c r="AC94" s="273">
        <f t="shared" ca="1" si="21"/>
        <v>0</v>
      </c>
      <c r="AD94" s="1153"/>
      <c r="AE94" s="66"/>
    </row>
    <row r="95" spans="1:31" ht="18" customHeight="1" x14ac:dyDescent="0.3">
      <c r="A95" s="216"/>
      <c r="B95" s="1130" t="s">
        <v>4454</v>
      </c>
      <c r="C95" s="367" t="s">
        <v>4422</v>
      </c>
      <c r="D95" s="352">
        <f>'print 10 lane'!J58</f>
        <v>1</v>
      </c>
      <c r="E95" s="353">
        <f>'print 10 lane'!M58</f>
        <v>3</v>
      </c>
      <c r="F95" s="353">
        <f>'print 10 lane'!P58</f>
        <v>2</v>
      </c>
      <c r="G95" s="353">
        <f>'print 10 lane'!S58</f>
        <v>5</v>
      </c>
      <c r="H95" s="353">
        <f>'print 10 lane'!V58</f>
        <v>7</v>
      </c>
      <c r="I95" s="353">
        <f>'print 10 lane'!Y58</f>
        <v>6</v>
      </c>
      <c r="J95" s="353">
        <f>'print 10 lane'!AB58</f>
        <v>4</v>
      </c>
      <c r="K95" s="353">
        <f>'print 10 lane'!AE58</f>
        <v>0</v>
      </c>
      <c r="L95" s="353">
        <f>'print 10 lane'!AH58</f>
        <v>0</v>
      </c>
      <c r="M95" s="354">
        <f>'print 10 lane'!AK58</f>
        <v>0</v>
      </c>
      <c r="N95" s="233"/>
      <c r="O95" s="1131"/>
      <c r="P95" s="1131"/>
      <c r="Q95" s="1131"/>
      <c r="R95" s="1131"/>
      <c r="S95" s="268"/>
      <c r="T95" s="273"/>
      <c r="U95" s="273"/>
      <c r="V95" s="273"/>
      <c r="W95" s="273"/>
      <c r="X95" s="273"/>
      <c r="Y95" s="273"/>
      <c r="Z95" s="273"/>
      <c r="AA95" s="273"/>
      <c r="AB95" s="273"/>
      <c r="AC95" s="273"/>
      <c r="AD95" s="1153"/>
      <c r="AE95" s="66"/>
    </row>
    <row r="96" spans="1:31" ht="22.5" customHeight="1" x14ac:dyDescent="0.3">
      <c r="A96" s="216"/>
      <c r="B96" s="1130"/>
      <c r="C96" s="310" t="s">
        <v>4424</v>
      </c>
      <c r="D96" s="311">
        <v>3866</v>
      </c>
      <c r="E96" s="312">
        <v>4357</v>
      </c>
      <c r="F96" s="312">
        <v>4257</v>
      </c>
      <c r="G96" s="312">
        <v>4559</v>
      </c>
      <c r="H96" s="312">
        <v>4733</v>
      </c>
      <c r="I96" s="312">
        <v>4664</v>
      </c>
      <c r="J96" s="312">
        <v>4367</v>
      </c>
      <c r="K96" s="312"/>
      <c r="L96" s="312"/>
      <c r="M96" s="313"/>
      <c r="N96" s="233"/>
      <c r="O96" s="1131"/>
      <c r="P96" s="1131"/>
      <c r="Q96" s="1131"/>
      <c r="R96" s="1131"/>
      <c r="S96" s="268">
        <f ca="1">AC96</f>
        <v>0</v>
      </c>
      <c r="T96" s="273" t="str">
        <f t="shared" ref="T96:AC98" ca="1" si="22">INDIRECT(ADDRESS(ROW(),T$18))</f>
        <v>TIME</v>
      </c>
      <c r="U96" s="273">
        <f t="shared" ca="1" si="22"/>
        <v>3866</v>
      </c>
      <c r="V96" s="273">
        <f t="shared" ca="1" si="22"/>
        <v>4357</v>
      </c>
      <c r="W96" s="273">
        <f t="shared" ca="1" si="22"/>
        <v>4257</v>
      </c>
      <c r="X96" s="273">
        <f t="shared" ca="1" si="22"/>
        <v>4559</v>
      </c>
      <c r="Y96" s="273">
        <f t="shared" ca="1" si="22"/>
        <v>4733</v>
      </c>
      <c r="Z96" s="273">
        <f t="shared" ca="1" si="22"/>
        <v>4664</v>
      </c>
      <c r="AA96" s="273">
        <f t="shared" ca="1" si="22"/>
        <v>4367</v>
      </c>
      <c r="AB96" s="273">
        <f t="shared" ca="1" si="22"/>
        <v>0</v>
      </c>
      <c r="AC96" s="273">
        <f t="shared" ca="1" si="22"/>
        <v>0</v>
      </c>
      <c r="AD96" s="1153"/>
      <c r="AE96" s="66"/>
    </row>
    <row r="97" spans="1:31" ht="22.5" customHeight="1" x14ac:dyDescent="0.3">
      <c r="A97" s="216"/>
      <c r="B97" s="1127" t="str">
        <f>'Team 1'!B46</f>
        <v>Female 10/11 50m Butterfly</v>
      </c>
      <c r="C97" s="310" t="s">
        <v>4425</v>
      </c>
      <c r="D97" s="317" t="str">
        <f>'print 10 lane'!I59</f>
        <v>Claudia Savov</v>
      </c>
      <c r="E97" s="317" t="str">
        <f>'print 10 lane'!L59</f>
        <v>Maya Wegner</v>
      </c>
      <c r="F97" s="317" t="str">
        <f>'print 10 lane'!O59</f>
        <v>Scarlett Omand</v>
      </c>
      <c r="G97" s="317" t="str">
        <f>'print 10 lane'!R59</f>
        <v>Willow Brownbridge</v>
      </c>
      <c r="H97" s="317" t="str">
        <f>'print 10 lane'!U59</f>
        <v>Caoife Long</v>
      </c>
      <c r="I97" s="317" t="str">
        <f>'print 10 lane'!X59</f>
        <v>Miraya  Patel</v>
      </c>
      <c r="J97" s="317" t="str">
        <f>'print 10 lane'!AA59</f>
        <v>Zara Jobanputra</v>
      </c>
      <c r="K97" s="317" t="str">
        <f>'print 10 lane'!AD59</f>
        <v xml:space="preserve"> </v>
      </c>
      <c r="L97" s="317" t="str">
        <f>'print 10 lane'!AG59</f>
        <v xml:space="preserve"> </v>
      </c>
      <c r="M97" s="316" t="str">
        <f>'print 10 lane'!AJ59</f>
        <v xml:space="preserve"> </v>
      </c>
      <c r="N97" s="335"/>
      <c r="O97" s="1131"/>
      <c r="P97" s="1131"/>
      <c r="Q97" s="1131"/>
      <c r="R97" s="1131"/>
      <c r="S97" s="268" t="str">
        <f ca="1">AC97</f>
        <v xml:space="preserve"> </v>
      </c>
      <c r="T97" s="273" t="str">
        <f t="shared" ca="1" si="22"/>
        <v>SWIMMER</v>
      </c>
      <c r="U97" s="273" t="str">
        <f t="shared" ca="1" si="22"/>
        <v>Claudia Savov</v>
      </c>
      <c r="V97" s="273" t="str">
        <f t="shared" ca="1" si="22"/>
        <v>Maya Wegner</v>
      </c>
      <c r="W97" s="273" t="str">
        <f t="shared" ca="1" si="22"/>
        <v>Scarlett Omand</v>
      </c>
      <c r="X97" s="273" t="str">
        <f t="shared" ca="1" si="22"/>
        <v>Willow Brownbridge</v>
      </c>
      <c r="Y97" s="273" t="str">
        <f t="shared" ca="1" si="22"/>
        <v>Caoife Long</v>
      </c>
      <c r="Z97" s="273" t="str">
        <f t="shared" ca="1" si="22"/>
        <v>Miraya  Patel</v>
      </c>
      <c r="AA97" s="273" t="str">
        <f t="shared" ca="1" si="22"/>
        <v>Zara Jobanputra</v>
      </c>
      <c r="AB97" s="273" t="str">
        <f t="shared" ca="1" si="22"/>
        <v xml:space="preserve"> </v>
      </c>
      <c r="AC97" s="273" t="str">
        <f t="shared" ca="1" si="22"/>
        <v xml:space="preserve"> </v>
      </c>
      <c r="AD97" s="1153"/>
      <c r="AE97" s="66"/>
    </row>
    <row r="98" spans="1:31" ht="30" customHeight="1" x14ac:dyDescent="0.3">
      <c r="A98" s="216"/>
      <c r="B98" s="1127"/>
      <c r="C98" s="368" t="s">
        <v>4426</v>
      </c>
      <c r="D98" s="356"/>
      <c r="E98" s="356"/>
      <c r="F98" s="356"/>
      <c r="G98" s="356"/>
      <c r="H98" s="356"/>
      <c r="I98" s="356"/>
      <c r="J98" s="356"/>
      <c r="K98" s="356"/>
      <c r="L98" s="356"/>
      <c r="M98" s="357"/>
      <c r="N98" s="233"/>
      <c r="O98" s="1131"/>
      <c r="P98" s="1131"/>
      <c r="Q98" s="1131"/>
      <c r="R98" s="1131"/>
      <c r="S98" s="268">
        <f ca="1">AC98</f>
        <v>0</v>
      </c>
      <c r="T98" s="273" t="str">
        <f t="shared" ca="1" si="22"/>
        <v>DQ REASON</v>
      </c>
      <c r="U98" s="273">
        <f t="shared" ca="1" si="22"/>
        <v>0</v>
      </c>
      <c r="V98" s="273">
        <f t="shared" ca="1" si="22"/>
        <v>0</v>
      </c>
      <c r="W98" s="273">
        <f t="shared" ca="1" si="22"/>
        <v>0</v>
      </c>
      <c r="X98" s="273">
        <f t="shared" ca="1" si="22"/>
        <v>0</v>
      </c>
      <c r="Y98" s="273">
        <f t="shared" ca="1" si="22"/>
        <v>0</v>
      </c>
      <c r="Z98" s="273">
        <f t="shared" ca="1" si="22"/>
        <v>0</v>
      </c>
      <c r="AA98" s="273">
        <f t="shared" ca="1" si="22"/>
        <v>0</v>
      </c>
      <c r="AB98" s="273">
        <f t="shared" ca="1" si="22"/>
        <v>0</v>
      </c>
      <c r="AC98" s="273">
        <f t="shared" ca="1" si="22"/>
        <v>0</v>
      </c>
      <c r="AD98" s="1153"/>
      <c r="AE98" s="66"/>
    </row>
    <row r="99" spans="1:31" ht="18" customHeight="1" x14ac:dyDescent="0.3">
      <c r="A99" s="216"/>
      <c r="B99" s="1132" t="s">
        <v>4455</v>
      </c>
      <c r="C99" s="369" t="s">
        <v>4422</v>
      </c>
      <c r="D99" s="326">
        <f>'print 10 lane'!J61</f>
        <v>6</v>
      </c>
      <c r="E99" s="327">
        <f>'print 10 lane'!M61</f>
        <v>1</v>
      </c>
      <c r="F99" s="327">
        <f>'print 10 lane'!P61</f>
        <v>3</v>
      </c>
      <c r="G99" s="327">
        <f>'print 10 lane'!S61</f>
        <v>0</v>
      </c>
      <c r="H99" s="327">
        <f>'print 10 lane'!V61</f>
        <v>4</v>
      </c>
      <c r="I99" s="327">
        <f>'print 10 lane'!Y61</f>
        <v>2</v>
      </c>
      <c r="J99" s="327">
        <f>'print 10 lane'!AB61</f>
        <v>5</v>
      </c>
      <c r="K99" s="327">
        <f>'print 10 lane'!AE61</f>
        <v>0</v>
      </c>
      <c r="L99" s="327">
        <f>'print 10 lane'!AH61</f>
        <v>0</v>
      </c>
      <c r="M99" s="328">
        <f>'print 10 lane'!AK61</f>
        <v>0</v>
      </c>
      <c r="N99" s="233"/>
      <c r="O99" s="1133" t="s">
        <v>4430</v>
      </c>
      <c r="P99" s="1133"/>
      <c r="Q99" s="1133"/>
      <c r="R99" s="1133"/>
      <c r="S99" s="268"/>
      <c r="T99" s="273"/>
      <c r="U99" s="273"/>
      <c r="V99" s="273"/>
      <c r="W99" s="273"/>
      <c r="X99" s="273"/>
      <c r="Y99" s="273"/>
      <c r="Z99" s="273"/>
      <c r="AA99" s="273"/>
      <c r="AB99" s="273"/>
      <c r="AC99" s="273"/>
      <c r="AD99" s="1153"/>
      <c r="AE99" s="66"/>
    </row>
    <row r="100" spans="1:31" ht="22.5" customHeight="1" x14ac:dyDescent="0.3">
      <c r="A100" s="216"/>
      <c r="B100" s="1132"/>
      <c r="C100" s="330" t="s">
        <v>4424</v>
      </c>
      <c r="D100" s="331">
        <v>5734</v>
      </c>
      <c r="E100" s="331">
        <v>3943</v>
      </c>
      <c r="F100" s="331">
        <v>4779</v>
      </c>
      <c r="G100" s="331">
        <v>0</v>
      </c>
      <c r="H100" s="331">
        <v>5018</v>
      </c>
      <c r="I100" s="331">
        <v>4120</v>
      </c>
      <c r="J100" s="331">
        <v>5022</v>
      </c>
      <c r="K100" s="331"/>
      <c r="L100" s="331"/>
      <c r="M100" s="332"/>
      <c r="N100" s="233"/>
      <c r="O100" s="1133"/>
      <c r="P100" s="1133"/>
      <c r="Q100" s="1133"/>
      <c r="R100" s="1133"/>
      <c r="S100" s="268">
        <f ca="1">AC100</f>
        <v>0</v>
      </c>
      <c r="T100" s="273" t="str">
        <f t="shared" ref="T100:AC102" ca="1" si="23">INDIRECT(ADDRESS(ROW(),T$18))</f>
        <v>TIME</v>
      </c>
      <c r="U100" s="273">
        <f t="shared" ca="1" si="23"/>
        <v>5734</v>
      </c>
      <c r="V100" s="273">
        <f t="shared" ca="1" si="23"/>
        <v>3943</v>
      </c>
      <c r="W100" s="273">
        <f t="shared" ca="1" si="23"/>
        <v>4779</v>
      </c>
      <c r="X100" s="273">
        <f t="shared" ca="1" si="23"/>
        <v>0</v>
      </c>
      <c r="Y100" s="273">
        <f t="shared" ca="1" si="23"/>
        <v>5018</v>
      </c>
      <c r="Z100" s="273">
        <f t="shared" ca="1" si="23"/>
        <v>4120</v>
      </c>
      <c r="AA100" s="273">
        <f t="shared" ca="1" si="23"/>
        <v>5022</v>
      </c>
      <c r="AB100" s="273">
        <f t="shared" ca="1" si="23"/>
        <v>0</v>
      </c>
      <c r="AC100" s="273">
        <f t="shared" ca="1" si="23"/>
        <v>0</v>
      </c>
      <c r="AD100" s="1153"/>
      <c r="AE100" s="66"/>
    </row>
    <row r="101" spans="1:31" ht="22.5" customHeight="1" x14ac:dyDescent="0.3">
      <c r="A101" s="216"/>
      <c r="B101" s="1129" t="str">
        <f>'Team 1'!B47</f>
        <v>Open/Male 10/11 50m Butterfly</v>
      </c>
      <c r="C101" s="330" t="s">
        <v>4425</v>
      </c>
      <c r="D101" s="333" t="str">
        <f>'print 10 lane'!I62</f>
        <v>Kornel Kern-Konyar</v>
      </c>
      <c r="E101" s="333" t="str">
        <f>'print 10 lane'!L62</f>
        <v>James Winter</v>
      </c>
      <c r="F101" s="333" t="str">
        <f>'print 10 lane'!O62</f>
        <v>Maxwell Croft</v>
      </c>
      <c r="G101" s="333" t="str">
        <f>'print 10 lane'!R62</f>
        <v>Simon Rosa</v>
      </c>
      <c r="H101" s="333" t="str">
        <f>'print 10 lane'!U62</f>
        <v>Myron Young</v>
      </c>
      <c r="I101" s="333" t="str">
        <f>'print 10 lane'!X62</f>
        <v>Mikhail Fedorov</v>
      </c>
      <c r="J101" s="333" t="str">
        <f>'print 10 lane'!AA62</f>
        <v>Jai Bhuwania</v>
      </c>
      <c r="K101" s="333" t="str">
        <f>'print 10 lane'!AD62</f>
        <v xml:space="preserve"> </v>
      </c>
      <c r="L101" s="333" t="str">
        <f>'print 10 lane'!AG62</f>
        <v xml:space="preserve"> </v>
      </c>
      <c r="M101" s="334" t="str">
        <f>'print 10 lane'!AJ62</f>
        <v xml:space="preserve"> </v>
      </c>
      <c r="N101" s="335"/>
      <c r="O101" s="1133"/>
      <c r="P101" s="1133"/>
      <c r="Q101" s="1133"/>
      <c r="R101" s="1133"/>
      <c r="S101" s="268" t="str">
        <f ca="1">AC101</f>
        <v xml:space="preserve"> </v>
      </c>
      <c r="T101" s="273" t="str">
        <f t="shared" ca="1" si="23"/>
        <v>SWIMMER</v>
      </c>
      <c r="U101" s="273" t="str">
        <f t="shared" ca="1" si="23"/>
        <v>Kornel Kern-Konyar</v>
      </c>
      <c r="V101" s="273" t="str">
        <f t="shared" ca="1" si="23"/>
        <v>James Winter</v>
      </c>
      <c r="W101" s="273" t="str">
        <f t="shared" ca="1" si="23"/>
        <v>Maxwell Croft</v>
      </c>
      <c r="X101" s="273" t="str">
        <f t="shared" ca="1" si="23"/>
        <v>Simon Rosa</v>
      </c>
      <c r="Y101" s="273" t="str">
        <f t="shared" ca="1" si="23"/>
        <v>Myron Young</v>
      </c>
      <c r="Z101" s="273" t="str">
        <f t="shared" ca="1" si="23"/>
        <v>Mikhail Fedorov</v>
      </c>
      <c r="AA101" s="273" t="str">
        <f t="shared" ca="1" si="23"/>
        <v>Jai Bhuwania</v>
      </c>
      <c r="AB101" s="273" t="str">
        <f t="shared" ca="1" si="23"/>
        <v xml:space="preserve"> </v>
      </c>
      <c r="AC101" s="273" t="str">
        <f t="shared" ca="1" si="23"/>
        <v xml:space="preserve"> </v>
      </c>
      <c r="AD101" s="1153"/>
      <c r="AE101" s="66"/>
    </row>
    <row r="102" spans="1:31" ht="30" customHeight="1" x14ac:dyDescent="0.3">
      <c r="A102" s="216"/>
      <c r="B102" s="1129"/>
      <c r="C102" s="364" t="s">
        <v>4426</v>
      </c>
      <c r="D102" s="348"/>
      <c r="E102" s="348"/>
      <c r="F102" s="348"/>
      <c r="G102" s="348" t="s">
        <v>4456</v>
      </c>
      <c r="H102" s="348"/>
      <c r="I102" s="348"/>
      <c r="J102" s="348"/>
      <c r="K102" s="348"/>
      <c r="L102" s="348"/>
      <c r="M102" s="349"/>
      <c r="N102" s="233"/>
      <c r="O102" s="1133"/>
      <c r="P102" s="1133"/>
      <c r="Q102" s="1133"/>
      <c r="R102" s="1133"/>
      <c r="S102" s="268">
        <f ca="1">AC102</f>
        <v>0</v>
      </c>
      <c r="T102" s="273" t="str">
        <f t="shared" ca="1" si="23"/>
        <v>DQ REASON</v>
      </c>
      <c r="U102" s="273">
        <f t="shared" ca="1" si="23"/>
        <v>0</v>
      </c>
      <c r="V102" s="273">
        <f t="shared" ca="1" si="23"/>
        <v>0</v>
      </c>
      <c r="W102" s="273">
        <f t="shared" ca="1" si="23"/>
        <v>0</v>
      </c>
      <c r="X102" s="273" t="str">
        <f t="shared" ca="1" si="23"/>
        <v>8.2 non simultaneous arms</v>
      </c>
      <c r="Y102" s="273">
        <f t="shared" ca="1" si="23"/>
        <v>0</v>
      </c>
      <c r="Z102" s="273">
        <f t="shared" ca="1" si="23"/>
        <v>0</v>
      </c>
      <c r="AA102" s="273">
        <f t="shared" ca="1" si="23"/>
        <v>0</v>
      </c>
      <c r="AB102" s="273">
        <f t="shared" ca="1" si="23"/>
        <v>0</v>
      </c>
      <c r="AC102" s="273">
        <f t="shared" ca="1" si="23"/>
        <v>0</v>
      </c>
      <c r="AD102" s="1153"/>
      <c r="AE102" s="66"/>
    </row>
    <row r="103" spans="1:31" ht="18" customHeight="1" x14ac:dyDescent="0.3">
      <c r="A103" s="216"/>
      <c r="B103" s="1130" t="s">
        <v>4457</v>
      </c>
      <c r="C103" s="367" t="s">
        <v>4422</v>
      </c>
      <c r="D103" s="352">
        <f>'print 10 lane'!J64</f>
        <v>6</v>
      </c>
      <c r="E103" s="353">
        <f>'print 10 lane'!M64</f>
        <v>4</v>
      </c>
      <c r="F103" s="353">
        <f>'print 10 lane'!P64</f>
        <v>2</v>
      </c>
      <c r="G103" s="353">
        <f>'print 10 lane'!S64</f>
        <v>1</v>
      </c>
      <c r="H103" s="353">
        <f>'print 10 lane'!V64</f>
        <v>5</v>
      </c>
      <c r="I103" s="353">
        <f>'print 10 lane'!Y64</f>
        <v>3</v>
      </c>
      <c r="J103" s="353">
        <f>'print 10 lane'!AB64</f>
        <v>0</v>
      </c>
      <c r="K103" s="353">
        <f>'print 10 lane'!AE64</f>
        <v>0</v>
      </c>
      <c r="L103" s="353">
        <f>'print 10 lane'!AH64</f>
        <v>0</v>
      </c>
      <c r="M103" s="354">
        <f>'print 10 lane'!AK64</f>
        <v>0</v>
      </c>
      <c r="N103" s="233"/>
      <c r="O103" s="1133"/>
      <c r="P103" s="1133"/>
      <c r="Q103" s="1133"/>
      <c r="R103" s="1133"/>
      <c r="S103" s="268"/>
      <c r="T103" s="273"/>
      <c r="U103" s="273"/>
      <c r="V103" s="273"/>
      <c r="W103" s="273"/>
      <c r="X103" s="273"/>
      <c r="Y103" s="273"/>
      <c r="Z103" s="273"/>
      <c r="AA103" s="273"/>
      <c r="AB103" s="273"/>
      <c r="AC103" s="273"/>
      <c r="AD103" s="1153"/>
      <c r="AE103" s="66"/>
    </row>
    <row r="104" spans="1:31" ht="22.5" customHeight="1" x14ac:dyDescent="0.3">
      <c r="A104" s="216"/>
      <c r="B104" s="1130"/>
      <c r="C104" s="310" t="s">
        <v>4424</v>
      </c>
      <c r="D104" s="311">
        <v>12810</v>
      </c>
      <c r="E104" s="312">
        <v>12034</v>
      </c>
      <c r="F104" s="312">
        <v>11792</v>
      </c>
      <c r="G104" s="312">
        <v>11654</v>
      </c>
      <c r="H104" s="312">
        <v>12122</v>
      </c>
      <c r="I104" s="312">
        <v>11999</v>
      </c>
      <c r="J104" s="312">
        <v>0</v>
      </c>
      <c r="K104" s="312"/>
      <c r="L104" s="312"/>
      <c r="M104" s="313"/>
      <c r="N104" s="233"/>
      <c r="O104" s="363"/>
      <c r="P104" s="363"/>
      <c r="Q104" s="363"/>
      <c r="R104" s="363"/>
      <c r="S104" s="268">
        <f ca="1">AC104</f>
        <v>0</v>
      </c>
      <c r="T104" s="273" t="str">
        <f t="shared" ref="T104:AC106" ca="1" si="24">INDIRECT(ADDRESS(ROW(),T$18))</f>
        <v>TIME</v>
      </c>
      <c r="U104" s="273">
        <f t="shared" ca="1" si="24"/>
        <v>12810</v>
      </c>
      <c r="V104" s="273">
        <f t="shared" ca="1" si="24"/>
        <v>12034</v>
      </c>
      <c r="W104" s="273">
        <f t="shared" ca="1" si="24"/>
        <v>11792</v>
      </c>
      <c r="X104" s="273">
        <f t="shared" ca="1" si="24"/>
        <v>11654</v>
      </c>
      <c r="Y104" s="273">
        <f t="shared" ca="1" si="24"/>
        <v>12122</v>
      </c>
      <c r="Z104" s="273">
        <f t="shared" ca="1" si="24"/>
        <v>11999</v>
      </c>
      <c r="AA104" s="273">
        <f t="shared" ca="1" si="24"/>
        <v>0</v>
      </c>
      <c r="AB104" s="273">
        <f t="shared" ca="1" si="24"/>
        <v>0</v>
      </c>
      <c r="AC104" s="273">
        <f t="shared" ca="1" si="24"/>
        <v>0</v>
      </c>
      <c r="AD104" s="1153"/>
      <c r="AE104" s="66"/>
    </row>
    <row r="105" spans="1:31" ht="22.5" customHeight="1" x14ac:dyDescent="0.3">
      <c r="A105" s="216"/>
      <c r="B105" s="1127" t="str">
        <f>'Team 1'!B48</f>
        <v>Female 13/U 100m Backstroke</v>
      </c>
      <c r="C105" s="310" t="s">
        <v>4425</v>
      </c>
      <c r="D105" s="317" t="str">
        <f>'print 10 lane'!I65</f>
        <v>Ane Pedraza-Eguia</v>
      </c>
      <c r="E105" s="317" t="str">
        <f>'print 10 lane'!L65</f>
        <v>Sophie Heraty</v>
      </c>
      <c r="F105" s="317" t="str">
        <f>'print 10 lane'!O65</f>
        <v>Maya Robu</v>
      </c>
      <c r="G105" s="317" t="str">
        <f>'print 10 lane'!R65</f>
        <v>Frances Starsmore</v>
      </c>
      <c r="H105" s="317" t="str">
        <f>'print 10 lane'!U65</f>
        <v>Orlagh Northgrave</v>
      </c>
      <c r="I105" s="317" t="str">
        <f>'print 10 lane'!X65</f>
        <v>Polina  Fedorova</v>
      </c>
      <c r="J105" s="317" t="str">
        <f>'print 10 lane'!AA65</f>
        <v>Jessica Riach</v>
      </c>
      <c r="K105" s="317" t="str">
        <f>'print 10 lane'!AD65</f>
        <v xml:space="preserve"> </v>
      </c>
      <c r="L105" s="317" t="str">
        <f>'print 10 lane'!AG65</f>
        <v xml:space="preserve"> </v>
      </c>
      <c r="M105" s="316" t="str">
        <f>'print 10 lane'!AJ65</f>
        <v xml:space="preserve"> </v>
      </c>
      <c r="N105" s="335"/>
      <c r="O105" s="363"/>
      <c r="P105" s="363"/>
      <c r="Q105" s="363"/>
      <c r="R105" s="363"/>
      <c r="S105" s="268" t="str">
        <f ca="1">AC105</f>
        <v xml:space="preserve"> </v>
      </c>
      <c r="T105" s="273" t="str">
        <f t="shared" ca="1" si="24"/>
        <v>SWIMMER</v>
      </c>
      <c r="U105" s="273" t="str">
        <f t="shared" ca="1" si="24"/>
        <v>Ane Pedraza-Eguia</v>
      </c>
      <c r="V105" s="273" t="str">
        <f t="shared" ca="1" si="24"/>
        <v>Sophie Heraty</v>
      </c>
      <c r="W105" s="273" t="str">
        <f t="shared" ca="1" si="24"/>
        <v>Maya Robu</v>
      </c>
      <c r="X105" s="273" t="str">
        <f t="shared" ca="1" si="24"/>
        <v>Frances Starsmore</v>
      </c>
      <c r="Y105" s="273" t="str">
        <f t="shared" ca="1" si="24"/>
        <v>Orlagh Northgrave</v>
      </c>
      <c r="Z105" s="273" t="str">
        <f t="shared" ca="1" si="24"/>
        <v>Polina  Fedorova</v>
      </c>
      <c r="AA105" s="273" t="str">
        <f t="shared" ca="1" si="24"/>
        <v>Jessica Riach</v>
      </c>
      <c r="AB105" s="273" t="str">
        <f t="shared" ca="1" si="24"/>
        <v xml:space="preserve"> </v>
      </c>
      <c r="AC105" s="273" t="str">
        <f t="shared" ca="1" si="24"/>
        <v xml:space="preserve"> </v>
      </c>
      <c r="AD105" s="1153"/>
      <c r="AE105" s="66"/>
    </row>
    <row r="106" spans="1:31" ht="30" customHeight="1" x14ac:dyDescent="0.3">
      <c r="A106" s="216"/>
      <c r="B106" s="1127"/>
      <c r="C106" s="368" t="s">
        <v>4426</v>
      </c>
      <c r="D106" s="356"/>
      <c r="E106" s="356"/>
      <c r="F106" s="356"/>
      <c r="G106" s="356"/>
      <c r="H106" s="356"/>
      <c r="I106" s="356"/>
      <c r="J106" s="356" t="s">
        <v>4458</v>
      </c>
      <c r="K106" s="356"/>
      <c r="L106" s="356"/>
      <c r="M106" s="357"/>
      <c r="N106" s="233"/>
      <c r="O106" s="370"/>
      <c r="P106" s="224"/>
      <c r="Q106" s="269"/>
      <c r="R106" s="370"/>
      <c r="S106" s="268">
        <f ca="1">AC106</f>
        <v>0</v>
      </c>
      <c r="T106" s="273" t="str">
        <f t="shared" ca="1" si="24"/>
        <v>DQ REASON</v>
      </c>
      <c r="U106" s="273">
        <f t="shared" ca="1" si="24"/>
        <v>0</v>
      </c>
      <c r="V106" s="273">
        <f t="shared" ca="1" si="24"/>
        <v>0</v>
      </c>
      <c r="W106" s="273">
        <f t="shared" ca="1" si="24"/>
        <v>0</v>
      </c>
      <c r="X106" s="273">
        <f t="shared" ca="1" si="24"/>
        <v>0</v>
      </c>
      <c r="Y106" s="273">
        <f t="shared" ca="1" si="24"/>
        <v>0</v>
      </c>
      <c r="Z106" s="273">
        <f t="shared" ca="1" si="24"/>
        <v>0</v>
      </c>
      <c r="AA106" s="273" t="str">
        <f t="shared" ca="1" si="24"/>
        <v>6.4 didn't initiate turn straight away when turned onto front at turn</v>
      </c>
      <c r="AB106" s="273">
        <f t="shared" ca="1" si="24"/>
        <v>0</v>
      </c>
      <c r="AC106" s="273">
        <f t="shared" ca="1" si="24"/>
        <v>0</v>
      </c>
      <c r="AD106" s="1153"/>
      <c r="AE106" s="66"/>
    </row>
    <row r="107" spans="1:31" ht="18" customHeight="1" x14ac:dyDescent="0.3">
      <c r="A107" s="216"/>
      <c r="B107" s="1132" t="s">
        <v>4459</v>
      </c>
      <c r="C107" s="369"/>
      <c r="D107" s="326">
        <f>'print 10 lane'!J67</f>
        <v>5</v>
      </c>
      <c r="E107" s="327">
        <f>'print 10 lane'!M67</f>
        <v>6</v>
      </c>
      <c r="F107" s="327">
        <f>'print 10 lane'!P67</f>
        <v>4</v>
      </c>
      <c r="G107" s="327">
        <f>'print 10 lane'!S67</f>
        <v>7</v>
      </c>
      <c r="H107" s="327">
        <f>'print 10 lane'!V67</f>
        <v>3</v>
      </c>
      <c r="I107" s="327">
        <f>'print 10 lane'!Y67</f>
        <v>1</v>
      </c>
      <c r="J107" s="327">
        <f>'print 10 lane'!AB67</f>
        <v>2</v>
      </c>
      <c r="K107" s="327">
        <f>'print 10 lane'!AE67</f>
        <v>0</v>
      </c>
      <c r="L107" s="327">
        <f>'print 10 lane'!AH67</f>
        <v>0</v>
      </c>
      <c r="M107" s="328">
        <f>'print 10 lane'!AK67</f>
        <v>0</v>
      </c>
      <c r="N107" s="233"/>
      <c r="O107" s="370"/>
      <c r="P107" s="224"/>
      <c r="Q107" s="269"/>
      <c r="R107" s="370"/>
      <c r="S107" s="268"/>
      <c r="T107" s="273"/>
      <c r="U107" s="273"/>
      <c r="V107" s="273"/>
      <c r="W107" s="273"/>
      <c r="X107" s="273"/>
      <c r="Y107" s="273"/>
      <c r="Z107" s="273"/>
      <c r="AA107" s="273"/>
      <c r="AB107" s="273"/>
      <c r="AC107" s="273"/>
      <c r="AD107" s="1153"/>
      <c r="AE107" s="66"/>
    </row>
    <row r="108" spans="1:31" ht="22.5" customHeight="1" x14ac:dyDescent="0.3">
      <c r="A108" s="216"/>
      <c r="B108" s="1132"/>
      <c r="C108" s="330" t="s">
        <v>4424</v>
      </c>
      <c r="D108" s="331">
        <v>12115</v>
      </c>
      <c r="E108" s="331">
        <v>12745</v>
      </c>
      <c r="F108" s="331">
        <v>12097</v>
      </c>
      <c r="G108" s="331">
        <v>12751</v>
      </c>
      <c r="H108" s="331">
        <v>11804</v>
      </c>
      <c r="I108" s="331">
        <v>10843</v>
      </c>
      <c r="J108" s="331">
        <v>10911</v>
      </c>
      <c r="K108" s="331"/>
      <c r="L108" s="331"/>
      <c r="M108" s="332"/>
      <c r="N108" s="233"/>
      <c r="O108" s="1131"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08" s="1131"/>
      <c r="Q108" s="1131"/>
      <c r="R108" s="1131"/>
      <c r="S108" s="268">
        <f ca="1">AC108</f>
        <v>0</v>
      </c>
      <c r="T108" s="273" t="str">
        <f t="shared" ref="T108:AC110" ca="1" si="25">INDIRECT(ADDRESS(ROW(),T$18))</f>
        <v>TIME</v>
      </c>
      <c r="U108" s="273">
        <f t="shared" ca="1" si="25"/>
        <v>12115</v>
      </c>
      <c r="V108" s="273">
        <f t="shared" ca="1" si="25"/>
        <v>12745</v>
      </c>
      <c r="W108" s="273">
        <f t="shared" ca="1" si="25"/>
        <v>12097</v>
      </c>
      <c r="X108" s="273">
        <f t="shared" ca="1" si="25"/>
        <v>12751</v>
      </c>
      <c r="Y108" s="273">
        <f t="shared" ca="1" si="25"/>
        <v>11804</v>
      </c>
      <c r="Z108" s="273">
        <f t="shared" ca="1" si="25"/>
        <v>10843</v>
      </c>
      <c r="AA108" s="273">
        <f t="shared" ca="1" si="25"/>
        <v>10911</v>
      </c>
      <c r="AB108" s="273">
        <f t="shared" ca="1" si="25"/>
        <v>0</v>
      </c>
      <c r="AC108" s="273">
        <f t="shared" ca="1" si="25"/>
        <v>0</v>
      </c>
      <c r="AD108" s="1153"/>
      <c r="AE108" s="66"/>
    </row>
    <row r="109" spans="1:31" ht="22.5" customHeight="1" x14ac:dyDescent="0.3">
      <c r="A109" s="216"/>
      <c r="B109" s="1129" t="str">
        <f>'Team 1'!B49</f>
        <v>Open/Male 13/U 100m Backstroke</v>
      </c>
      <c r="C109" s="330" t="s">
        <v>4425</v>
      </c>
      <c r="D109" s="333" t="str">
        <f>'print 10 lane'!I68</f>
        <v>Yigit Ilhan</v>
      </c>
      <c r="E109" s="333" t="str">
        <f>'print 10 lane'!L68</f>
        <v>James Winter</v>
      </c>
      <c r="F109" s="333" t="str">
        <f>'print 10 lane'!O68</f>
        <v>Ryan Wimpenny</v>
      </c>
      <c r="G109" s="333" t="str">
        <f>'print 10 lane'!R68</f>
        <v>Samuel Rosa</v>
      </c>
      <c r="H109" s="333" t="str">
        <f>'print 10 lane'!U68</f>
        <v>Liam Hurst</v>
      </c>
      <c r="I109" s="333" t="str">
        <f>'print 10 lane'!X68</f>
        <v>Gert Zeqiri</v>
      </c>
      <c r="J109" s="333" t="str">
        <f>'print 10 lane'!AA68</f>
        <v>Advay Bhatia</v>
      </c>
      <c r="K109" s="333" t="str">
        <f>'print 10 lane'!AD68</f>
        <v xml:space="preserve"> </v>
      </c>
      <c r="L109" s="333" t="str">
        <f>'print 10 lane'!AG68</f>
        <v xml:space="preserve"> </v>
      </c>
      <c r="M109" s="334" t="str">
        <f>'print 10 lane'!AJ68</f>
        <v xml:space="preserve"> </v>
      </c>
      <c r="N109" s="335"/>
      <c r="O109" s="1131"/>
      <c r="P109" s="1131"/>
      <c r="Q109" s="1131"/>
      <c r="R109" s="1131"/>
      <c r="S109" s="268" t="str">
        <f ca="1">AC109</f>
        <v xml:space="preserve"> </v>
      </c>
      <c r="T109" s="273" t="str">
        <f t="shared" ca="1" si="25"/>
        <v>SWIMMER</v>
      </c>
      <c r="U109" s="273" t="str">
        <f t="shared" ca="1" si="25"/>
        <v>Yigit Ilhan</v>
      </c>
      <c r="V109" s="273" t="str">
        <f t="shared" ca="1" si="25"/>
        <v>James Winter</v>
      </c>
      <c r="W109" s="273" t="str">
        <f t="shared" ca="1" si="25"/>
        <v>Ryan Wimpenny</v>
      </c>
      <c r="X109" s="273" t="str">
        <f t="shared" ca="1" si="25"/>
        <v>Samuel Rosa</v>
      </c>
      <c r="Y109" s="273" t="str">
        <f t="shared" ca="1" si="25"/>
        <v>Liam Hurst</v>
      </c>
      <c r="Z109" s="273" t="str">
        <f t="shared" ca="1" si="25"/>
        <v>Gert Zeqiri</v>
      </c>
      <c r="AA109" s="273" t="str">
        <f t="shared" ca="1" si="25"/>
        <v>Advay Bhatia</v>
      </c>
      <c r="AB109" s="273" t="str">
        <f t="shared" ca="1" si="25"/>
        <v xml:space="preserve"> </v>
      </c>
      <c r="AC109" s="273" t="str">
        <f t="shared" ca="1" si="25"/>
        <v xml:space="preserve"> </v>
      </c>
      <c r="AD109" s="1153"/>
      <c r="AE109" s="66"/>
    </row>
    <row r="110" spans="1:31" ht="30" customHeight="1" x14ac:dyDescent="0.3">
      <c r="A110" s="216"/>
      <c r="B110" s="1129"/>
      <c r="C110" s="364" t="s">
        <v>4426</v>
      </c>
      <c r="D110" s="348"/>
      <c r="E110" s="348"/>
      <c r="F110" s="348"/>
      <c r="G110" s="348"/>
      <c r="H110" s="348"/>
      <c r="I110" s="348"/>
      <c r="J110" s="348"/>
      <c r="K110" s="348"/>
      <c r="L110" s="348"/>
      <c r="M110" s="349"/>
      <c r="N110" s="233"/>
      <c r="O110" s="1131"/>
      <c r="P110" s="1131"/>
      <c r="Q110" s="1131"/>
      <c r="R110" s="1131"/>
      <c r="S110" s="268">
        <f ca="1">AC110</f>
        <v>0</v>
      </c>
      <c r="T110" s="273" t="str">
        <f t="shared" ca="1" si="25"/>
        <v>DQ REASON</v>
      </c>
      <c r="U110" s="273">
        <f t="shared" ca="1" si="25"/>
        <v>0</v>
      </c>
      <c r="V110" s="273">
        <f t="shared" ca="1" si="25"/>
        <v>0</v>
      </c>
      <c r="W110" s="273">
        <f t="shared" ca="1" si="25"/>
        <v>0</v>
      </c>
      <c r="X110" s="273">
        <f t="shared" ca="1" si="25"/>
        <v>0</v>
      </c>
      <c r="Y110" s="273">
        <f t="shared" ca="1" si="25"/>
        <v>0</v>
      </c>
      <c r="Z110" s="273">
        <f t="shared" ca="1" si="25"/>
        <v>0</v>
      </c>
      <c r="AA110" s="273">
        <f t="shared" ca="1" si="25"/>
        <v>0</v>
      </c>
      <c r="AB110" s="273">
        <f t="shared" ca="1" si="25"/>
        <v>0</v>
      </c>
      <c r="AC110" s="273">
        <f t="shared" ca="1" si="25"/>
        <v>0</v>
      </c>
      <c r="AD110" s="1153"/>
      <c r="AE110" s="66"/>
    </row>
    <row r="111" spans="1:31" ht="18" customHeight="1" x14ac:dyDescent="0.3">
      <c r="A111" s="216"/>
      <c r="B111" s="1130" t="s">
        <v>4460</v>
      </c>
      <c r="C111" s="367" t="s">
        <v>4422</v>
      </c>
      <c r="D111" s="352">
        <f>'print 10 lane'!J70</f>
        <v>4</v>
      </c>
      <c r="E111" s="353">
        <f>'print 10 lane'!M70</f>
        <v>5</v>
      </c>
      <c r="F111" s="353">
        <f>'print 10 lane'!P70</f>
        <v>3</v>
      </c>
      <c r="G111" s="353">
        <f>'print 10 lane'!S70</f>
        <v>6</v>
      </c>
      <c r="H111" s="353">
        <f>'print 10 lane'!V70</f>
        <v>1</v>
      </c>
      <c r="I111" s="353">
        <f>'print 10 lane'!Y70</f>
        <v>7</v>
      </c>
      <c r="J111" s="353">
        <f>'print 10 lane'!AB70</f>
        <v>2</v>
      </c>
      <c r="K111" s="353">
        <f>'print 10 lane'!AE70</f>
        <v>0</v>
      </c>
      <c r="L111" s="353">
        <f>'print 10 lane'!AH70</f>
        <v>0</v>
      </c>
      <c r="M111" s="354">
        <f>'print 10 lane'!AK70</f>
        <v>0</v>
      </c>
      <c r="N111" s="233"/>
      <c r="O111" s="1131"/>
      <c r="P111" s="1131"/>
      <c r="Q111" s="1131"/>
      <c r="R111" s="1131"/>
      <c r="S111" s="268"/>
      <c r="T111" s="273"/>
      <c r="U111" s="273"/>
      <c r="V111" s="273"/>
      <c r="W111" s="273"/>
      <c r="X111" s="273"/>
      <c r="Y111" s="273"/>
      <c r="Z111" s="273"/>
      <c r="AA111" s="273"/>
      <c r="AB111" s="273"/>
      <c r="AC111" s="273"/>
      <c r="AD111" s="1153"/>
      <c r="AE111" s="66"/>
    </row>
    <row r="112" spans="1:31" ht="22.5" customHeight="1" x14ac:dyDescent="0.3">
      <c r="A112" s="216"/>
      <c r="B112" s="1130"/>
      <c r="C112" s="310" t="s">
        <v>4424</v>
      </c>
      <c r="D112" s="311">
        <v>11613</v>
      </c>
      <c r="E112" s="312">
        <v>11823</v>
      </c>
      <c r="F112" s="312">
        <v>11588</v>
      </c>
      <c r="G112" s="312">
        <v>11909</v>
      </c>
      <c r="H112" s="312">
        <v>11046</v>
      </c>
      <c r="I112" s="312">
        <v>12060</v>
      </c>
      <c r="J112" s="312">
        <v>11346</v>
      </c>
      <c r="K112" s="312"/>
      <c r="L112" s="312"/>
      <c r="M112" s="313"/>
      <c r="N112" s="233"/>
      <c r="O112" s="1131"/>
      <c r="P112" s="1131"/>
      <c r="Q112" s="1131"/>
      <c r="R112" s="1131"/>
      <c r="S112" s="268">
        <f ca="1">AC112</f>
        <v>0</v>
      </c>
      <c r="T112" s="273" t="str">
        <f t="shared" ref="T112:AC114" ca="1" si="26">INDIRECT(ADDRESS(ROW(),T$18))</f>
        <v>TIME</v>
      </c>
      <c r="U112" s="273">
        <f t="shared" ca="1" si="26"/>
        <v>11613</v>
      </c>
      <c r="V112" s="273">
        <f t="shared" ca="1" si="26"/>
        <v>11823</v>
      </c>
      <c r="W112" s="273">
        <f t="shared" ca="1" si="26"/>
        <v>11588</v>
      </c>
      <c r="X112" s="273">
        <f t="shared" ca="1" si="26"/>
        <v>11909</v>
      </c>
      <c r="Y112" s="273">
        <f t="shared" ca="1" si="26"/>
        <v>11046</v>
      </c>
      <c r="Z112" s="273">
        <f t="shared" ca="1" si="26"/>
        <v>12060</v>
      </c>
      <c r="AA112" s="273">
        <f t="shared" ca="1" si="26"/>
        <v>11346</v>
      </c>
      <c r="AB112" s="273">
        <f t="shared" ca="1" si="26"/>
        <v>0</v>
      </c>
      <c r="AC112" s="273">
        <f t="shared" ca="1" si="26"/>
        <v>0</v>
      </c>
      <c r="AD112" s="1153"/>
      <c r="AE112" s="66"/>
    </row>
    <row r="113" spans="1:31" ht="22.5" customHeight="1" x14ac:dyDescent="0.3">
      <c r="A113" s="216"/>
      <c r="B113" s="1127" t="str">
        <f>'Team 1'!B50</f>
        <v>Female 15/U 100m Butterfly</v>
      </c>
      <c r="C113" s="310" t="s">
        <v>4425</v>
      </c>
      <c r="D113" s="317" t="str">
        <f>'print 10 lane'!I71</f>
        <v>Zoe Panayi</v>
      </c>
      <c r="E113" s="317" t="str">
        <f>'print 10 lane'!L71</f>
        <v>Charlotte Lyon</v>
      </c>
      <c r="F113" s="317" t="str">
        <f>'print 10 lane'!O71</f>
        <v>Hannah Lovelock</v>
      </c>
      <c r="G113" s="317" t="str">
        <f>'print 10 lane'!R71</f>
        <v>Annabella Cojeen</v>
      </c>
      <c r="H113" s="317" t="str">
        <f>'print 10 lane'!U71</f>
        <v>Mia Macklin</v>
      </c>
      <c r="I113" s="317" t="str">
        <f>'print 10 lane'!X71</f>
        <v>Crina Stefania  Bostan</v>
      </c>
      <c r="J113" s="317" t="str">
        <f>'print 10 lane'!AA71</f>
        <v>Keira Brannigan</v>
      </c>
      <c r="K113" s="317" t="str">
        <f>'print 10 lane'!AD71</f>
        <v xml:space="preserve"> </v>
      </c>
      <c r="L113" s="317" t="str">
        <f>'print 10 lane'!AG71</f>
        <v xml:space="preserve"> </v>
      </c>
      <c r="M113" s="316" t="str">
        <f>'print 10 lane'!AJ71</f>
        <v xml:space="preserve"> </v>
      </c>
      <c r="N113" s="335"/>
      <c r="O113" s="1131"/>
      <c r="P113" s="1131"/>
      <c r="Q113" s="1131"/>
      <c r="R113" s="1131"/>
      <c r="S113" s="268" t="str">
        <f ca="1">AC113</f>
        <v xml:space="preserve"> </v>
      </c>
      <c r="T113" s="273" t="str">
        <f t="shared" ca="1" si="26"/>
        <v>SWIMMER</v>
      </c>
      <c r="U113" s="273" t="str">
        <f t="shared" ca="1" si="26"/>
        <v>Zoe Panayi</v>
      </c>
      <c r="V113" s="273" t="str">
        <f t="shared" ca="1" si="26"/>
        <v>Charlotte Lyon</v>
      </c>
      <c r="W113" s="273" t="str">
        <f t="shared" ca="1" si="26"/>
        <v>Hannah Lovelock</v>
      </c>
      <c r="X113" s="273" t="str">
        <f t="shared" ca="1" si="26"/>
        <v>Annabella Cojeen</v>
      </c>
      <c r="Y113" s="273" t="str">
        <f t="shared" ca="1" si="26"/>
        <v>Mia Macklin</v>
      </c>
      <c r="Z113" s="273" t="str">
        <f t="shared" ca="1" si="26"/>
        <v>Crina Stefania  Bostan</v>
      </c>
      <c r="AA113" s="273" t="str">
        <f t="shared" ca="1" si="26"/>
        <v>Keira Brannigan</v>
      </c>
      <c r="AB113" s="273" t="str">
        <f t="shared" ca="1" si="26"/>
        <v xml:space="preserve"> </v>
      </c>
      <c r="AC113" s="273" t="str">
        <f t="shared" ca="1" si="26"/>
        <v xml:space="preserve"> </v>
      </c>
      <c r="AD113" s="1153"/>
      <c r="AE113" s="66"/>
    </row>
    <row r="114" spans="1:31" ht="30" customHeight="1" x14ac:dyDescent="0.3">
      <c r="A114" s="216"/>
      <c r="B114" s="1127"/>
      <c r="C114" s="368" t="s">
        <v>4426</v>
      </c>
      <c r="D114" s="356"/>
      <c r="E114" s="356"/>
      <c r="F114" s="356"/>
      <c r="G114" s="356"/>
      <c r="H114" s="356"/>
      <c r="I114" s="356"/>
      <c r="J114" s="356"/>
      <c r="K114" s="356"/>
      <c r="L114" s="356"/>
      <c r="M114" s="357"/>
      <c r="N114" s="233"/>
      <c r="O114" s="1131"/>
      <c r="P114" s="1131"/>
      <c r="Q114" s="1131"/>
      <c r="R114" s="1131"/>
      <c r="S114" s="268">
        <f ca="1">AC114</f>
        <v>0</v>
      </c>
      <c r="T114" s="273" t="str">
        <f t="shared" ca="1" si="26"/>
        <v>DQ REASON</v>
      </c>
      <c r="U114" s="273">
        <f t="shared" ca="1" si="26"/>
        <v>0</v>
      </c>
      <c r="V114" s="273">
        <f t="shared" ca="1" si="26"/>
        <v>0</v>
      </c>
      <c r="W114" s="273">
        <f t="shared" ca="1" si="26"/>
        <v>0</v>
      </c>
      <c r="X114" s="273">
        <f t="shared" ca="1" si="26"/>
        <v>0</v>
      </c>
      <c r="Y114" s="273">
        <f t="shared" ca="1" si="26"/>
        <v>0</v>
      </c>
      <c r="Z114" s="273">
        <f t="shared" ca="1" si="26"/>
        <v>0</v>
      </c>
      <c r="AA114" s="273">
        <f t="shared" ca="1" si="26"/>
        <v>0</v>
      </c>
      <c r="AB114" s="273">
        <f t="shared" ca="1" si="26"/>
        <v>0</v>
      </c>
      <c r="AC114" s="273">
        <f t="shared" ca="1" si="26"/>
        <v>0</v>
      </c>
      <c r="AD114" s="1153"/>
      <c r="AE114" s="66"/>
    </row>
    <row r="115" spans="1:31" ht="18" customHeight="1" x14ac:dyDescent="0.3">
      <c r="A115" s="216"/>
      <c r="B115" s="1132" t="s">
        <v>4461</v>
      </c>
      <c r="C115" s="369" t="s">
        <v>4422</v>
      </c>
      <c r="D115" s="326">
        <f>'print 10 lane'!J73</f>
        <v>0</v>
      </c>
      <c r="E115" s="327">
        <f>'print 10 lane'!M73</f>
        <v>6</v>
      </c>
      <c r="F115" s="327">
        <f>'print 10 lane'!P73</f>
        <v>5</v>
      </c>
      <c r="G115" s="327">
        <f>'print 10 lane'!S73</f>
        <v>3</v>
      </c>
      <c r="H115" s="327">
        <f>'print 10 lane'!V73</f>
        <v>1</v>
      </c>
      <c r="I115" s="327">
        <f>'print 10 lane'!Y73</f>
        <v>2</v>
      </c>
      <c r="J115" s="327">
        <f>'print 10 lane'!AB73</f>
        <v>4</v>
      </c>
      <c r="K115" s="327">
        <f>'print 10 lane'!AE73</f>
        <v>0</v>
      </c>
      <c r="L115" s="327">
        <f>'print 10 lane'!AH73</f>
        <v>0</v>
      </c>
      <c r="M115" s="328">
        <f>'print 10 lane'!AK73</f>
        <v>0</v>
      </c>
      <c r="N115" s="233"/>
      <c r="O115" s="1131"/>
      <c r="P115" s="1131"/>
      <c r="Q115" s="1131"/>
      <c r="R115" s="1131"/>
      <c r="S115" s="268"/>
      <c r="T115" s="273"/>
      <c r="U115" s="273"/>
      <c r="V115" s="273"/>
      <c r="W115" s="273"/>
      <c r="X115" s="273"/>
      <c r="Y115" s="273"/>
      <c r="Z115" s="273"/>
      <c r="AA115" s="273"/>
      <c r="AB115" s="273"/>
      <c r="AC115" s="273"/>
      <c r="AD115" s="1153"/>
      <c r="AE115" s="66"/>
    </row>
    <row r="116" spans="1:31" ht="22.5" customHeight="1" x14ac:dyDescent="0.3">
      <c r="A116" s="216"/>
      <c r="B116" s="1132"/>
      <c r="C116" s="330" t="s">
        <v>4424</v>
      </c>
      <c r="D116" s="331">
        <v>0</v>
      </c>
      <c r="E116" s="331">
        <v>12578</v>
      </c>
      <c r="F116" s="331">
        <v>11753</v>
      </c>
      <c r="G116" s="331">
        <v>10734</v>
      </c>
      <c r="H116" s="331">
        <v>10111</v>
      </c>
      <c r="I116" s="331">
        <v>10382</v>
      </c>
      <c r="J116" s="331">
        <v>10864</v>
      </c>
      <c r="K116" s="331"/>
      <c r="L116" s="331"/>
      <c r="M116" s="332"/>
      <c r="N116" s="233"/>
      <c r="O116" s="1131"/>
      <c r="P116" s="1131"/>
      <c r="Q116" s="1131"/>
      <c r="R116" s="1131"/>
      <c r="S116" s="268">
        <f ca="1">AC116</f>
        <v>0</v>
      </c>
      <c r="T116" s="273" t="str">
        <f t="shared" ref="T116:AC118" ca="1" si="27">INDIRECT(ADDRESS(ROW(),T$18))</f>
        <v>TIME</v>
      </c>
      <c r="U116" s="273">
        <f t="shared" ca="1" si="27"/>
        <v>0</v>
      </c>
      <c r="V116" s="273">
        <f t="shared" ca="1" si="27"/>
        <v>12578</v>
      </c>
      <c r="W116" s="273">
        <f t="shared" ca="1" si="27"/>
        <v>11753</v>
      </c>
      <c r="X116" s="273">
        <f t="shared" ca="1" si="27"/>
        <v>10734</v>
      </c>
      <c r="Y116" s="273">
        <f t="shared" ca="1" si="27"/>
        <v>10111</v>
      </c>
      <c r="Z116" s="273">
        <f t="shared" ca="1" si="27"/>
        <v>10382</v>
      </c>
      <c r="AA116" s="273">
        <f t="shared" ca="1" si="27"/>
        <v>10864</v>
      </c>
      <c r="AB116" s="273">
        <f t="shared" ca="1" si="27"/>
        <v>0</v>
      </c>
      <c r="AC116" s="273">
        <f t="shared" ca="1" si="27"/>
        <v>0</v>
      </c>
      <c r="AD116" s="1153"/>
      <c r="AE116" s="66"/>
    </row>
    <row r="117" spans="1:31" ht="22.5" customHeight="1" x14ac:dyDescent="0.3">
      <c r="A117" s="216"/>
      <c r="B117" s="1129" t="str">
        <f>'Team 1'!B51</f>
        <v>Open/Male 15/U 100m Butterfly</v>
      </c>
      <c r="C117" s="330" t="s">
        <v>4425</v>
      </c>
      <c r="D117" s="333" t="str">
        <f>'print 10 lane'!I74</f>
        <v xml:space="preserve"> </v>
      </c>
      <c r="E117" s="333" t="str">
        <f>'print 10 lane'!L74</f>
        <v>Oliver Tubridy</v>
      </c>
      <c r="F117" s="333" t="str">
        <f>'print 10 lane'!O74</f>
        <v>Alfie Bullock</v>
      </c>
      <c r="G117" s="333" t="str">
        <f>'print 10 lane'!R74</f>
        <v>Rafi Gibson</v>
      </c>
      <c r="H117" s="333" t="str">
        <f>'print 10 lane'!U74</f>
        <v>Joshua Parker</v>
      </c>
      <c r="I117" s="333" t="str">
        <f>'print 10 lane'!X74</f>
        <v xml:space="preserve">Owen  Roberts </v>
      </c>
      <c r="J117" s="333" t="str">
        <f>'print 10 lane'!AA74</f>
        <v>Aaran Parmar</v>
      </c>
      <c r="K117" s="333" t="str">
        <f>'print 10 lane'!AD74</f>
        <v xml:space="preserve"> </v>
      </c>
      <c r="L117" s="333" t="str">
        <f>'print 10 lane'!AG74</f>
        <v xml:space="preserve"> </v>
      </c>
      <c r="M117" s="334" t="str">
        <f>'print 10 lane'!AJ74</f>
        <v xml:space="preserve"> </v>
      </c>
      <c r="N117" s="335"/>
      <c r="O117" s="1131"/>
      <c r="P117" s="1131"/>
      <c r="Q117" s="1131"/>
      <c r="R117" s="1131"/>
      <c r="S117" s="268" t="str">
        <f ca="1">AC117</f>
        <v xml:space="preserve"> </v>
      </c>
      <c r="T117" s="273" t="str">
        <f t="shared" ca="1" si="27"/>
        <v>SWIMMER</v>
      </c>
      <c r="U117" s="273" t="str">
        <f t="shared" ca="1" si="27"/>
        <v xml:space="preserve"> </v>
      </c>
      <c r="V117" s="273" t="str">
        <f t="shared" ca="1" si="27"/>
        <v>Oliver Tubridy</v>
      </c>
      <c r="W117" s="273" t="str">
        <f t="shared" ca="1" si="27"/>
        <v>Alfie Bullock</v>
      </c>
      <c r="X117" s="273" t="str">
        <f t="shared" ca="1" si="27"/>
        <v>Rafi Gibson</v>
      </c>
      <c r="Y117" s="273" t="str">
        <f t="shared" ca="1" si="27"/>
        <v>Joshua Parker</v>
      </c>
      <c r="Z117" s="273" t="str">
        <f t="shared" ca="1" si="27"/>
        <v xml:space="preserve">Owen  Roberts </v>
      </c>
      <c r="AA117" s="273" t="str">
        <f t="shared" ca="1" si="27"/>
        <v>Aaran Parmar</v>
      </c>
      <c r="AB117" s="273" t="str">
        <f t="shared" ca="1" si="27"/>
        <v xml:space="preserve"> </v>
      </c>
      <c r="AC117" s="273" t="str">
        <f t="shared" ca="1" si="27"/>
        <v xml:space="preserve"> </v>
      </c>
      <c r="AD117" s="1153"/>
      <c r="AE117" s="66"/>
    </row>
    <row r="118" spans="1:31" ht="30" customHeight="1" x14ac:dyDescent="0.3">
      <c r="A118" s="216"/>
      <c r="B118" s="1129"/>
      <c r="C118" s="364" t="s">
        <v>4426</v>
      </c>
      <c r="D118" s="348" t="s">
        <v>4462</v>
      </c>
      <c r="E118" s="348"/>
      <c r="F118" s="348"/>
      <c r="G118" s="348"/>
      <c r="H118" s="348"/>
      <c r="I118" s="348"/>
      <c r="J118" s="348"/>
      <c r="K118" s="348"/>
      <c r="L118" s="348"/>
      <c r="M118" s="349"/>
      <c r="N118" s="233"/>
      <c r="O118" s="1131"/>
      <c r="P118" s="1131"/>
      <c r="Q118" s="1131"/>
      <c r="R118" s="1131"/>
      <c r="S118" s="268">
        <f ca="1">AC118</f>
        <v>0</v>
      </c>
      <c r="T118" s="273" t="str">
        <f t="shared" ca="1" si="27"/>
        <v>DQ REASON</v>
      </c>
      <c r="U118" s="273" t="str">
        <f t="shared" ca="1" si="27"/>
        <v>dns</v>
      </c>
      <c r="V118" s="273">
        <f t="shared" ca="1" si="27"/>
        <v>0</v>
      </c>
      <c r="W118" s="273">
        <f t="shared" ca="1" si="27"/>
        <v>0</v>
      </c>
      <c r="X118" s="273">
        <f t="shared" ca="1" si="27"/>
        <v>0</v>
      </c>
      <c r="Y118" s="273">
        <f t="shared" ca="1" si="27"/>
        <v>0</v>
      </c>
      <c r="Z118" s="273">
        <f t="shared" ca="1" si="27"/>
        <v>0</v>
      </c>
      <c r="AA118" s="273">
        <f t="shared" ca="1" si="27"/>
        <v>0</v>
      </c>
      <c r="AB118" s="273">
        <f t="shared" ca="1" si="27"/>
        <v>0</v>
      </c>
      <c r="AC118" s="273">
        <f t="shared" ca="1" si="27"/>
        <v>0</v>
      </c>
      <c r="AD118" s="1153"/>
      <c r="AE118" s="66"/>
    </row>
    <row r="119" spans="1:31" ht="18" customHeight="1" x14ac:dyDescent="0.3">
      <c r="A119" s="216"/>
      <c r="B119" s="1130" t="s">
        <v>4463</v>
      </c>
      <c r="C119" s="367" t="s">
        <v>4422</v>
      </c>
      <c r="D119" s="352">
        <f>'print 10 lane'!J76</f>
        <v>7</v>
      </c>
      <c r="E119" s="353">
        <f>'print 10 lane'!M76</f>
        <v>4</v>
      </c>
      <c r="F119" s="353">
        <f>'print 10 lane'!P76</f>
        <v>5</v>
      </c>
      <c r="G119" s="353">
        <f>'print 10 lane'!S76</f>
        <v>1</v>
      </c>
      <c r="H119" s="353">
        <f>'print 10 lane'!V76</f>
        <v>2</v>
      </c>
      <c r="I119" s="353">
        <f>'print 10 lane'!Y76</f>
        <v>6</v>
      </c>
      <c r="J119" s="353">
        <f>'print 10 lane'!AB76</f>
        <v>3</v>
      </c>
      <c r="K119" s="353">
        <f>'print 10 lane'!AE76</f>
        <v>0</v>
      </c>
      <c r="L119" s="353">
        <f>'print 10 lane'!AH76</f>
        <v>0</v>
      </c>
      <c r="M119" s="354">
        <f>'print 10 lane'!AK76</f>
        <v>0</v>
      </c>
      <c r="N119" s="233"/>
      <c r="O119" s="1133" t="s">
        <v>4430</v>
      </c>
      <c r="P119" s="1133"/>
      <c r="Q119" s="1133"/>
      <c r="R119" s="1133"/>
      <c r="S119" s="268"/>
      <c r="T119" s="273"/>
      <c r="U119" s="273"/>
      <c r="V119" s="273"/>
      <c r="W119" s="273"/>
      <c r="X119" s="273"/>
      <c r="Y119" s="273"/>
      <c r="Z119" s="273"/>
      <c r="AA119" s="273"/>
      <c r="AB119" s="273"/>
      <c r="AC119" s="273"/>
      <c r="AD119" s="1153"/>
      <c r="AE119" s="66"/>
    </row>
    <row r="120" spans="1:31" ht="22.5" customHeight="1" x14ac:dyDescent="0.3">
      <c r="A120" s="216"/>
      <c r="B120" s="1130"/>
      <c r="C120" s="310" t="s">
        <v>4424</v>
      </c>
      <c r="D120" s="311">
        <v>12260</v>
      </c>
      <c r="E120" s="312">
        <v>11507</v>
      </c>
      <c r="F120" s="312">
        <v>11691</v>
      </c>
      <c r="G120" s="312">
        <v>10807</v>
      </c>
      <c r="H120" s="312">
        <v>11188</v>
      </c>
      <c r="I120" s="312">
        <v>11836</v>
      </c>
      <c r="J120" s="312">
        <v>11272</v>
      </c>
      <c r="K120" s="312"/>
      <c r="L120" s="312"/>
      <c r="M120" s="313"/>
      <c r="N120" s="233"/>
      <c r="O120" s="1133"/>
      <c r="P120" s="1133"/>
      <c r="Q120" s="1133"/>
      <c r="R120" s="1133"/>
      <c r="S120" s="268">
        <f ca="1">AC120</f>
        <v>0</v>
      </c>
      <c r="T120" s="273" t="str">
        <f t="shared" ref="T120:AC122" ca="1" si="28">INDIRECT(ADDRESS(ROW(),T$18))</f>
        <v>TIME</v>
      </c>
      <c r="U120" s="273">
        <f t="shared" ca="1" si="28"/>
        <v>12260</v>
      </c>
      <c r="V120" s="273">
        <f t="shared" ca="1" si="28"/>
        <v>11507</v>
      </c>
      <c r="W120" s="273">
        <f t="shared" ca="1" si="28"/>
        <v>11691</v>
      </c>
      <c r="X120" s="273">
        <f t="shared" ca="1" si="28"/>
        <v>10807</v>
      </c>
      <c r="Y120" s="273">
        <f t="shared" ca="1" si="28"/>
        <v>11188</v>
      </c>
      <c r="Z120" s="273">
        <f t="shared" ca="1" si="28"/>
        <v>11836</v>
      </c>
      <c r="AA120" s="273">
        <f t="shared" ca="1" si="28"/>
        <v>11272</v>
      </c>
      <c r="AB120" s="273">
        <f t="shared" ca="1" si="28"/>
        <v>0</v>
      </c>
      <c r="AC120" s="273">
        <f t="shared" ca="1" si="28"/>
        <v>0</v>
      </c>
      <c r="AD120" s="1153"/>
      <c r="AE120" s="66"/>
    </row>
    <row r="121" spans="1:31" ht="22.5" customHeight="1" x14ac:dyDescent="0.3">
      <c r="A121" s="216"/>
      <c r="B121" s="1134" t="str">
        <f>'Team 1'!B52</f>
        <v>Female 16+ 100m Backstroke</v>
      </c>
      <c r="C121" s="310" t="s">
        <v>4425</v>
      </c>
      <c r="D121" s="317" t="str">
        <f>'print 10 lane'!I77</f>
        <v>Isabel Spyrou</v>
      </c>
      <c r="E121" s="317" t="str">
        <f>'print 10 lane'!L77</f>
        <v>Sophie Lyon</v>
      </c>
      <c r="F121" s="317" t="str">
        <f>'print 10 lane'!O77</f>
        <v>Grace Sofokleous-Ames</v>
      </c>
      <c r="G121" s="317" t="str">
        <f>'print 10 lane'!R77</f>
        <v>Megan Johnson</v>
      </c>
      <c r="H121" s="317" t="str">
        <f>'print 10 lane'!U77</f>
        <v>Isabelle Talbot</v>
      </c>
      <c r="I121" s="317" t="str">
        <f>'print 10 lane'!X77</f>
        <v>Hannah Barrios</v>
      </c>
      <c r="J121" s="317" t="str">
        <f>'print 10 lane'!AA77</f>
        <v>Kayla Van Zyl</v>
      </c>
      <c r="K121" s="317" t="str">
        <f>'print 10 lane'!AD77</f>
        <v xml:space="preserve"> </v>
      </c>
      <c r="L121" s="317" t="str">
        <f>'print 10 lane'!AG77</f>
        <v xml:space="preserve"> </v>
      </c>
      <c r="M121" s="316" t="str">
        <f>'print 10 lane'!AJ77</f>
        <v xml:space="preserve"> </v>
      </c>
      <c r="N121" s="335"/>
      <c r="O121" s="1133"/>
      <c r="P121" s="1133"/>
      <c r="Q121" s="1133"/>
      <c r="R121" s="1133"/>
      <c r="S121" s="268" t="str">
        <f ca="1">AC121</f>
        <v xml:space="preserve"> </v>
      </c>
      <c r="T121" s="273" t="str">
        <f t="shared" ca="1" si="28"/>
        <v>SWIMMER</v>
      </c>
      <c r="U121" s="273" t="str">
        <f t="shared" ca="1" si="28"/>
        <v>Isabel Spyrou</v>
      </c>
      <c r="V121" s="273" t="str">
        <f t="shared" ca="1" si="28"/>
        <v>Sophie Lyon</v>
      </c>
      <c r="W121" s="273" t="str">
        <f t="shared" ca="1" si="28"/>
        <v>Grace Sofokleous-Ames</v>
      </c>
      <c r="X121" s="273" t="str">
        <f t="shared" ca="1" si="28"/>
        <v>Megan Johnson</v>
      </c>
      <c r="Y121" s="273" t="str">
        <f t="shared" ca="1" si="28"/>
        <v>Isabelle Talbot</v>
      </c>
      <c r="Z121" s="273" t="str">
        <f t="shared" ca="1" si="28"/>
        <v>Hannah Barrios</v>
      </c>
      <c r="AA121" s="273" t="str">
        <f t="shared" ca="1" si="28"/>
        <v>Kayla Van Zyl</v>
      </c>
      <c r="AB121" s="273" t="str">
        <f t="shared" ca="1" si="28"/>
        <v xml:space="preserve"> </v>
      </c>
      <c r="AC121" s="273" t="str">
        <f t="shared" ca="1" si="28"/>
        <v xml:space="preserve"> </v>
      </c>
      <c r="AD121" s="1153"/>
      <c r="AE121" s="66"/>
    </row>
    <row r="122" spans="1:31" ht="30" customHeight="1" x14ac:dyDescent="0.3">
      <c r="A122" s="216"/>
      <c r="B122" s="1134"/>
      <c r="C122" s="371" t="s">
        <v>4426</v>
      </c>
      <c r="D122" s="322"/>
      <c r="E122" s="322"/>
      <c r="F122" s="322"/>
      <c r="G122" s="322"/>
      <c r="H122" s="322"/>
      <c r="I122" s="322"/>
      <c r="J122" s="322"/>
      <c r="K122" s="322"/>
      <c r="L122" s="322"/>
      <c r="M122" s="323"/>
      <c r="N122" s="233"/>
      <c r="O122" s="1133"/>
      <c r="P122" s="1133"/>
      <c r="Q122" s="1133"/>
      <c r="R122" s="1133"/>
      <c r="S122" s="268">
        <f ca="1">AC122</f>
        <v>0</v>
      </c>
      <c r="T122" s="273" t="str">
        <f t="shared" ca="1" si="28"/>
        <v>DQ REASON</v>
      </c>
      <c r="U122" s="273">
        <f t="shared" ca="1" si="28"/>
        <v>0</v>
      </c>
      <c r="V122" s="273">
        <f t="shared" ca="1" si="28"/>
        <v>0</v>
      </c>
      <c r="W122" s="273">
        <f t="shared" ca="1" si="28"/>
        <v>0</v>
      </c>
      <c r="X122" s="273">
        <f t="shared" ca="1" si="28"/>
        <v>0</v>
      </c>
      <c r="Y122" s="273">
        <f t="shared" ca="1" si="28"/>
        <v>0</v>
      </c>
      <c r="Z122" s="273">
        <f t="shared" ca="1" si="28"/>
        <v>0</v>
      </c>
      <c r="AA122" s="273">
        <f t="shared" ca="1" si="28"/>
        <v>0</v>
      </c>
      <c r="AB122" s="273">
        <f t="shared" ca="1" si="28"/>
        <v>0</v>
      </c>
      <c r="AC122" s="273">
        <f t="shared" ca="1" si="28"/>
        <v>0</v>
      </c>
      <c r="AD122" s="1153"/>
      <c r="AE122" s="66"/>
    </row>
    <row r="123" spans="1:31" ht="18" customHeight="1" x14ac:dyDescent="0.3">
      <c r="A123" s="216"/>
      <c r="B123" s="1129" t="s">
        <v>4464</v>
      </c>
      <c r="C123" s="372" t="s">
        <v>4422</v>
      </c>
      <c r="D123" s="373">
        <f>'print 10 lane'!J79</f>
        <v>6</v>
      </c>
      <c r="E123" s="374">
        <f>'print 10 lane'!M79</f>
        <v>4</v>
      </c>
      <c r="F123" s="374">
        <f>'print 10 lane'!P79</f>
        <v>0</v>
      </c>
      <c r="G123" s="374">
        <f>'print 10 lane'!S79</f>
        <v>1</v>
      </c>
      <c r="H123" s="374">
        <f>'print 10 lane'!V79</f>
        <v>2</v>
      </c>
      <c r="I123" s="374">
        <f>'print 10 lane'!Y79</f>
        <v>3</v>
      </c>
      <c r="J123" s="374">
        <f>'print 10 lane'!AB79</f>
        <v>5</v>
      </c>
      <c r="K123" s="374">
        <f>'print 10 lane'!AE79</f>
        <v>0</v>
      </c>
      <c r="L123" s="374">
        <f>'print 10 lane'!AH79</f>
        <v>0</v>
      </c>
      <c r="M123" s="375">
        <f>'print 10 lane'!AK79</f>
        <v>0</v>
      </c>
      <c r="N123" s="233"/>
      <c r="O123" s="1133"/>
      <c r="P123" s="1133"/>
      <c r="Q123" s="1133"/>
      <c r="R123" s="1133"/>
      <c r="S123" s="268"/>
      <c r="T123" s="273"/>
      <c r="U123" s="273"/>
      <c r="V123" s="273"/>
      <c r="W123" s="273"/>
      <c r="X123" s="273"/>
      <c r="Y123" s="273"/>
      <c r="Z123" s="273"/>
      <c r="AA123" s="273"/>
      <c r="AB123" s="273"/>
      <c r="AC123" s="273"/>
      <c r="AD123" s="1153"/>
      <c r="AE123" s="66"/>
    </row>
    <row r="124" spans="1:31" ht="22.5" customHeight="1" x14ac:dyDescent="0.3">
      <c r="A124" s="216"/>
      <c r="B124" s="1129"/>
      <c r="C124" s="330" t="s">
        <v>4424</v>
      </c>
      <c r="D124" s="331">
        <v>11111</v>
      </c>
      <c r="E124" s="331">
        <v>10878</v>
      </c>
      <c r="F124" s="331">
        <v>0</v>
      </c>
      <c r="G124" s="331">
        <v>10176</v>
      </c>
      <c r="H124" s="331">
        <v>10576</v>
      </c>
      <c r="I124" s="331">
        <v>10681</v>
      </c>
      <c r="J124" s="331">
        <v>11076</v>
      </c>
      <c r="K124" s="331"/>
      <c r="L124" s="331"/>
      <c r="M124" s="332"/>
      <c r="N124" s="233"/>
      <c r="O124" s="376"/>
      <c r="P124" s="376"/>
      <c r="Q124" s="376"/>
      <c r="R124" s="376"/>
      <c r="S124" s="268">
        <f ca="1">AC124</f>
        <v>0</v>
      </c>
      <c r="T124" s="273" t="str">
        <f t="shared" ref="T124:AC126" ca="1" si="29">INDIRECT(ADDRESS(ROW(),T$18))</f>
        <v>TIME</v>
      </c>
      <c r="U124" s="273">
        <f t="shared" ca="1" si="29"/>
        <v>11111</v>
      </c>
      <c r="V124" s="273">
        <f t="shared" ca="1" si="29"/>
        <v>10878</v>
      </c>
      <c r="W124" s="273">
        <f t="shared" ca="1" si="29"/>
        <v>0</v>
      </c>
      <c r="X124" s="273">
        <f t="shared" ca="1" si="29"/>
        <v>10176</v>
      </c>
      <c r="Y124" s="273">
        <f t="shared" ca="1" si="29"/>
        <v>10576</v>
      </c>
      <c r="Z124" s="273">
        <f t="shared" ca="1" si="29"/>
        <v>10681</v>
      </c>
      <c r="AA124" s="273">
        <f t="shared" ca="1" si="29"/>
        <v>11076</v>
      </c>
      <c r="AB124" s="273">
        <f t="shared" ca="1" si="29"/>
        <v>0</v>
      </c>
      <c r="AC124" s="273">
        <f t="shared" ca="1" si="29"/>
        <v>0</v>
      </c>
      <c r="AD124" s="1153"/>
      <c r="AE124" s="66"/>
    </row>
    <row r="125" spans="1:31" ht="22.5" customHeight="1" x14ac:dyDescent="0.3">
      <c r="A125" s="216"/>
      <c r="B125" s="1129" t="str">
        <f>'Team 1'!B53</f>
        <v>Open/Male 16+100m Backstroke</v>
      </c>
      <c r="C125" s="330" t="s">
        <v>4425</v>
      </c>
      <c r="D125" s="333" t="str">
        <f>'print 10 lane'!I80</f>
        <v>James Smeaton</v>
      </c>
      <c r="E125" s="333" t="str">
        <f>'print 10 lane'!L80</f>
        <v>Matthew Costello</v>
      </c>
      <c r="F125" s="333" t="str">
        <f>'print 10 lane'!O80</f>
        <v>Charlie Cropley</v>
      </c>
      <c r="G125" s="333" t="str">
        <f>'print 10 lane'!R80</f>
        <v>Matthew Masters</v>
      </c>
      <c r="H125" s="333" t="str">
        <f>'print 10 lane'!U80</f>
        <v>Jamie Hartnup</v>
      </c>
      <c r="I125" s="333" t="str">
        <f>'print 10 lane'!X80</f>
        <v>Owen Roberts</v>
      </c>
      <c r="J125" s="333" t="str">
        <f>'print 10 lane'!AA80</f>
        <v>Tsz Kwai Chan</v>
      </c>
      <c r="K125" s="333" t="str">
        <f>'print 10 lane'!AD80</f>
        <v xml:space="preserve"> </v>
      </c>
      <c r="L125" s="333" t="str">
        <f>'print 10 lane'!AG80</f>
        <v xml:space="preserve"> </v>
      </c>
      <c r="M125" s="334" t="str">
        <f>'print 10 lane'!AJ80</f>
        <v xml:space="preserve"> </v>
      </c>
      <c r="N125" s="335"/>
      <c r="O125" s="376"/>
      <c r="P125" s="376"/>
      <c r="Q125" s="376"/>
      <c r="R125" s="376"/>
      <c r="S125" s="268" t="str">
        <f ca="1">AC125</f>
        <v xml:space="preserve"> </v>
      </c>
      <c r="T125" s="273" t="str">
        <f t="shared" ca="1" si="29"/>
        <v>SWIMMER</v>
      </c>
      <c r="U125" s="273" t="str">
        <f t="shared" ca="1" si="29"/>
        <v>James Smeaton</v>
      </c>
      <c r="V125" s="273" t="str">
        <f t="shared" ca="1" si="29"/>
        <v>Matthew Costello</v>
      </c>
      <c r="W125" s="273" t="str">
        <f t="shared" ca="1" si="29"/>
        <v>Charlie Cropley</v>
      </c>
      <c r="X125" s="273" t="str">
        <f t="shared" ca="1" si="29"/>
        <v>Matthew Masters</v>
      </c>
      <c r="Y125" s="273" t="str">
        <f t="shared" ca="1" si="29"/>
        <v>Jamie Hartnup</v>
      </c>
      <c r="Z125" s="273" t="str">
        <f t="shared" ca="1" si="29"/>
        <v>Owen Roberts</v>
      </c>
      <c r="AA125" s="273" t="str">
        <f t="shared" ca="1" si="29"/>
        <v>Tsz Kwai Chan</v>
      </c>
      <c r="AB125" s="273" t="str">
        <f t="shared" ca="1" si="29"/>
        <v xml:space="preserve"> </v>
      </c>
      <c r="AC125" s="273" t="str">
        <f t="shared" ca="1" si="29"/>
        <v xml:space="preserve"> </v>
      </c>
      <c r="AD125" s="1153"/>
      <c r="AE125" s="66"/>
    </row>
    <row r="126" spans="1:31" ht="30" customHeight="1" x14ac:dyDescent="0.3">
      <c r="A126" s="216"/>
      <c r="B126" s="1129"/>
      <c r="C126" s="364" t="s">
        <v>4426</v>
      </c>
      <c r="D126" s="377"/>
      <c r="E126" s="377"/>
      <c r="F126" s="377" t="s">
        <v>4465</v>
      </c>
      <c r="G126" s="377"/>
      <c r="H126" s="377"/>
      <c r="I126" s="377"/>
      <c r="J126" s="377"/>
      <c r="K126" s="377"/>
      <c r="L126" s="377"/>
      <c r="M126" s="378"/>
      <c r="N126" s="233"/>
      <c r="O126" s="376"/>
      <c r="P126" s="376"/>
      <c r="Q126" s="376"/>
      <c r="R126" s="376"/>
      <c r="S126" s="268">
        <f ca="1">AC126</f>
        <v>0</v>
      </c>
      <c r="T126" s="273" t="str">
        <f t="shared" ca="1" si="29"/>
        <v>DQ REASON</v>
      </c>
      <c r="U126" s="273">
        <f t="shared" ca="1" si="29"/>
        <v>0</v>
      </c>
      <c r="V126" s="273">
        <f t="shared" ca="1" si="29"/>
        <v>0</v>
      </c>
      <c r="W126" s="273" t="str">
        <f t="shared" ca="1" si="29"/>
        <v>6.4 did not immediately initiate turn</v>
      </c>
      <c r="X126" s="273">
        <f t="shared" ca="1" si="29"/>
        <v>0</v>
      </c>
      <c r="Y126" s="273">
        <f t="shared" ca="1" si="29"/>
        <v>0</v>
      </c>
      <c r="Z126" s="273">
        <f t="shared" ca="1" si="29"/>
        <v>0</v>
      </c>
      <c r="AA126" s="273">
        <f t="shared" ca="1" si="29"/>
        <v>0</v>
      </c>
      <c r="AB126" s="273">
        <f t="shared" ca="1" si="29"/>
        <v>0</v>
      </c>
      <c r="AC126" s="273">
        <f t="shared" ca="1" si="29"/>
        <v>0</v>
      </c>
      <c r="AD126" s="1153"/>
      <c r="AE126" s="66"/>
    </row>
    <row r="127" spans="1:31" ht="18" customHeight="1" x14ac:dyDescent="0.3">
      <c r="A127" s="216"/>
      <c r="B127" s="1130" t="s">
        <v>4466</v>
      </c>
      <c r="C127" s="367" t="s">
        <v>4422</v>
      </c>
      <c r="D127" s="352">
        <f>'print 10 lane'!J82</f>
        <v>5</v>
      </c>
      <c r="E127" s="353">
        <f>'print 10 lane'!M82</f>
        <v>6</v>
      </c>
      <c r="F127" s="353">
        <f>'print 10 lane'!P82</f>
        <v>0</v>
      </c>
      <c r="G127" s="353">
        <f>'print 10 lane'!S82</f>
        <v>1</v>
      </c>
      <c r="H127" s="353">
        <f>'print 10 lane'!V82</f>
        <v>4</v>
      </c>
      <c r="I127" s="353">
        <f>'print 10 lane'!Y82</f>
        <v>3</v>
      </c>
      <c r="J127" s="353">
        <f>'print 10 lane'!AB82</f>
        <v>2</v>
      </c>
      <c r="K127" s="353">
        <f>'print 10 lane'!AE82</f>
        <v>0</v>
      </c>
      <c r="L127" s="353">
        <f>'print 10 lane'!AH82</f>
        <v>0</v>
      </c>
      <c r="M127" s="354">
        <f>'print 10 lane'!AK82</f>
        <v>0</v>
      </c>
      <c r="N127" s="233"/>
      <c r="O127" s="376"/>
      <c r="P127" s="376"/>
      <c r="Q127" s="376"/>
      <c r="R127" s="376"/>
      <c r="S127" s="268"/>
      <c r="T127" s="273"/>
      <c r="U127" s="273"/>
      <c r="V127" s="273"/>
      <c r="W127" s="273"/>
      <c r="X127" s="273"/>
      <c r="Y127" s="273"/>
      <c r="Z127" s="273"/>
      <c r="AA127" s="273"/>
      <c r="AB127" s="273"/>
      <c r="AC127" s="273"/>
      <c r="AD127" s="1153"/>
      <c r="AE127" s="66"/>
    </row>
    <row r="128" spans="1:31" ht="22.5" customHeight="1" x14ac:dyDescent="0.3">
      <c r="A128" s="216"/>
      <c r="B128" s="1130"/>
      <c r="C128" s="310" t="s">
        <v>4424</v>
      </c>
      <c r="D128" s="311">
        <v>5036</v>
      </c>
      <c r="E128" s="312">
        <v>5243</v>
      </c>
      <c r="F128" s="312">
        <v>0</v>
      </c>
      <c r="G128" s="312">
        <v>4985</v>
      </c>
      <c r="H128" s="312">
        <v>5020</v>
      </c>
      <c r="I128" s="312">
        <v>5019</v>
      </c>
      <c r="J128" s="312">
        <v>5014</v>
      </c>
      <c r="K128" s="312"/>
      <c r="L128" s="312"/>
      <c r="M128" s="313"/>
      <c r="N128" s="233"/>
      <c r="O128" s="1131"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28" s="1131"/>
      <c r="Q128" s="1131"/>
      <c r="R128" s="1131"/>
      <c r="S128" s="268">
        <f ca="1">AC128</f>
        <v>0</v>
      </c>
      <c r="T128" s="273" t="str">
        <f t="shared" ref="T128:AC130" ca="1" si="30">INDIRECT(ADDRESS(ROW(),T$18))</f>
        <v>TIME</v>
      </c>
      <c r="U128" s="273">
        <f t="shared" ca="1" si="30"/>
        <v>5036</v>
      </c>
      <c r="V128" s="273">
        <f t="shared" ca="1" si="30"/>
        <v>5243</v>
      </c>
      <c r="W128" s="273">
        <f t="shared" ca="1" si="30"/>
        <v>0</v>
      </c>
      <c r="X128" s="273">
        <f t="shared" ca="1" si="30"/>
        <v>4985</v>
      </c>
      <c r="Y128" s="273">
        <f t="shared" ca="1" si="30"/>
        <v>5020</v>
      </c>
      <c r="Z128" s="273">
        <f t="shared" ca="1" si="30"/>
        <v>5019</v>
      </c>
      <c r="AA128" s="273">
        <f t="shared" ca="1" si="30"/>
        <v>5014</v>
      </c>
      <c r="AB128" s="273">
        <f t="shared" ca="1" si="30"/>
        <v>0</v>
      </c>
      <c r="AC128" s="273">
        <f t="shared" ca="1" si="30"/>
        <v>0</v>
      </c>
      <c r="AD128" s="1153"/>
      <c r="AE128" s="66"/>
    </row>
    <row r="129" spans="1:31" ht="22.5" customHeight="1" x14ac:dyDescent="0.3">
      <c r="A129" s="216"/>
      <c r="B129" s="1127" t="str">
        <f>'Team 1'!B54</f>
        <v>Female 10/11 50m Breaststroke</v>
      </c>
      <c r="C129" s="310" t="s">
        <v>4425</v>
      </c>
      <c r="D129" s="317" t="str">
        <f>'print 10 lane'!I83</f>
        <v>Ines Puente</v>
      </c>
      <c r="E129" s="317" t="str">
        <f>'print 10 lane'!L83</f>
        <v>Seren Cooper</v>
      </c>
      <c r="F129" s="317" t="str">
        <f>'print 10 lane'!O83</f>
        <v>Hannah Jounor</v>
      </c>
      <c r="G129" s="317" t="str">
        <f>'print 10 lane'!R83</f>
        <v>Mia Zubcevic</v>
      </c>
      <c r="H129" s="317" t="str">
        <f>'print 10 lane'!U83</f>
        <v>Caoife Long</v>
      </c>
      <c r="I129" s="317" t="str">
        <f>'print 10 lane'!X83</f>
        <v>Miraya  Patel</v>
      </c>
      <c r="J129" s="317" t="str">
        <f>'print 10 lane'!AA83</f>
        <v>Lara Shah</v>
      </c>
      <c r="K129" s="317" t="str">
        <f>'print 10 lane'!AD83</f>
        <v xml:space="preserve"> </v>
      </c>
      <c r="L129" s="317" t="str">
        <f>'print 10 lane'!AG83</f>
        <v xml:space="preserve"> </v>
      </c>
      <c r="M129" s="316" t="str">
        <f>'print 10 lane'!AJ83</f>
        <v xml:space="preserve"> </v>
      </c>
      <c r="N129" s="335"/>
      <c r="O129" s="1131"/>
      <c r="P129" s="1131"/>
      <c r="Q129" s="1131"/>
      <c r="R129" s="1131"/>
      <c r="S129" s="268" t="str">
        <f ca="1">AC129</f>
        <v xml:space="preserve"> </v>
      </c>
      <c r="T129" s="273" t="str">
        <f t="shared" ca="1" si="30"/>
        <v>SWIMMER</v>
      </c>
      <c r="U129" s="273" t="str">
        <f t="shared" ca="1" si="30"/>
        <v>Ines Puente</v>
      </c>
      <c r="V129" s="273" t="str">
        <f t="shared" ca="1" si="30"/>
        <v>Seren Cooper</v>
      </c>
      <c r="W129" s="273" t="str">
        <f t="shared" ca="1" si="30"/>
        <v>Hannah Jounor</v>
      </c>
      <c r="X129" s="273" t="str">
        <f t="shared" ca="1" si="30"/>
        <v>Mia Zubcevic</v>
      </c>
      <c r="Y129" s="273" t="str">
        <f t="shared" ca="1" si="30"/>
        <v>Caoife Long</v>
      </c>
      <c r="Z129" s="273" t="str">
        <f t="shared" ca="1" si="30"/>
        <v>Miraya  Patel</v>
      </c>
      <c r="AA129" s="273" t="str">
        <f t="shared" ca="1" si="30"/>
        <v>Lara Shah</v>
      </c>
      <c r="AB129" s="273" t="str">
        <f t="shared" ca="1" si="30"/>
        <v xml:space="preserve"> </v>
      </c>
      <c r="AC129" s="273" t="str">
        <f t="shared" ca="1" si="30"/>
        <v xml:space="preserve"> </v>
      </c>
      <c r="AD129" s="1153"/>
      <c r="AE129" s="66"/>
    </row>
    <row r="130" spans="1:31" ht="30" customHeight="1" x14ac:dyDescent="0.3">
      <c r="A130" s="216"/>
      <c r="B130" s="1127"/>
      <c r="C130" s="368" t="s">
        <v>4426</v>
      </c>
      <c r="D130" s="379"/>
      <c r="E130" s="379"/>
      <c r="F130" s="379"/>
      <c r="G130" s="379"/>
      <c r="H130" s="379"/>
      <c r="I130" s="379"/>
      <c r="J130" s="379"/>
      <c r="K130" s="379"/>
      <c r="L130" s="379"/>
      <c r="M130" s="380"/>
      <c r="N130" s="233"/>
      <c r="O130" s="1131"/>
      <c r="P130" s="1131"/>
      <c r="Q130" s="1131"/>
      <c r="R130" s="1131"/>
      <c r="S130" s="268">
        <f ca="1">AC130</f>
        <v>0</v>
      </c>
      <c r="T130" s="273" t="str">
        <f t="shared" ca="1" si="30"/>
        <v>DQ REASON</v>
      </c>
      <c r="U130" s="273">
        <f t="shared" ca="1" si="30"/>
        <v>0</v>
      </c>
      <c r="V130" s="273">
        <f t="shared" ca="1" si="30"/>
        <v>0</v>
      </c>
      <c r="W130" s="273">
        <f t="shared" ca="1" si="30"/>
        <v>0</v>
      </c>
      <c r="X130" s="273">
        <f t="shared" ca="1" si="30"/>
        <v>0</v>
      </c>
      <c r="Y130" s="273">
        <f t="shared" ca="1" si="30"/>
        <v>0</v>
      </c>
      <c r="Z130" s="273">
        <f t="shared" ca="1" si="30"/>
        <v>0</v>
      </c>
      <c r="AA130" s="273">
        <f t="shared" ca="1" si="30"/>
        <v>0</v>
      </c>
      <c r="AB130" s="273">
        <f t="shared" ca="1" si="30"/>
        <v>0</v>
      </c>
      <c r="AC130" s="273">
        <f t="shared" ca="1" si="30"/>
        <v>0</v>
      </c>
      <c r="AD130" s="1153"/>
      <c r="AE130" s="66"/>
    </row>
    <row r="131" spans="1:31" ht="18" customHeight="1" x14ac:dyDescent="0.3">
      <c r="A131" s="216"/>
      <c r="B131" s="1132" t="s">
        <v>4467</v>
      </c>
      <c r="C131" s="369" t="s">
        <v>4422</v>
      </c>
      <c r="D131" s="326">
        <f>'print 10 lane'!J85</f>
        <v>0</v>
      </c>
      <c r="E131" s="327">
        <f>'print 10 lane'!M85</f>
        <v>1</v>
      </c>
      <c r="F131" s="327">
        <f>'print 10 lane'!P85</f>
        <v>5</v>
      </c>
      <c r="G131" s="327">
        <f>'print 10 lane'!S85</f>
        <v>4</v>
      </c>
      <c r="H131" s="327">
        <f>'print 10 lane'!V85</f>
        <v>2</v>
      </c>
      <c r="I131" s="327">
        <f>'print 10 lane'!Y85</f>
        <v>3</v>
      </c>
      <c r="J131" s="327">
        <f>'print 10 lane'!AB85</f>
        <v>6</v>
      </c>
      <c r="K131" s="327">
        <f>'print 10 lane'!AE85</f>
        <v>0</v>
      </c>
      <c r="L131" s="327">
        <f>'print 10 lane'!AH85</f>
        <v>0</v>
      </c>
      <c r="M131" s="328">
        <f>'print 10 lane'!AK85</f>
        <v>0</v>
      </c>
      <c r="N131" s="233"/>
      <c r="O131" s="1131"/>
      <c r="P131" s="1131"/>
      <c r="Q131" s="1131"/>
      <c r="R131" s="1131"/>
      <c r="S131" s="268"/>
      <c r="T131" s="273"/>
      <c r="U131" s="273"/>
      <c r="V131" s="273"/>
      <c r="W131" s="273"/>
      <c r="X131" s="273"/>
      <c r="Y131" s="273"/>
      <c r="Z131" s="273"/>
      <c r="AA131" s="273"/>
      <c r="AB131" s="273"/>
      <c r="AC131" s="273"/>
      <c r="AD131" s="1153"/>
      <c r="AE131" s="66"/>
    </row>
    <row r="132" spans="1:31" ht="22.5" customHeight="1" x14ac:dyDescent="0.3">
      <c r="A132" s="216"/>
      <c r="B132" s="1132"/>
      <c r="C132" s="330" t="s">
        <v>4424</v>
      </c>
      <c r="D132" s="331">
        <v>0</v>
      </c>
      <c r="E132" s="331">
        <v>4286</v>
      </c>
      <c r="F132" s="331">
        <v>5312</v>
      </c>
      <c r="G132" s="331">
        <v>4943</v>
      </c>
      <c r="H132" s="331">
        <v>4463</v>
      </c>
      <c r="I132" s="331">
        <v>4932</v>
      </c>
      <c r="J132" s="331">
        <v>5356</v>
      </c>
      <c r="K132" s="331"/>
      <c r="L132" s="331"/>
      <c r="M132" s="332"/>
      <c r="N132" s="233"/>
      <c r="O132" s="1131"/>
      <c r="P132" s="1131"/>
      <c r="Q132" s="1131"/>
      <c r="R132" s="1131"/>
      <c r="S132" s="268">
        <f ca="1">AC132</f>
        <v>0</v>
      </c>
      <c r="T132" s="273" t="str">
        <f t="shared" ref="T132:AC134" ca="1" si="31">INDIRECT(ADDRESS(ROW(),T$18))</f>
        <v>TIME</v>
      </c>
      <c r="U132" s="273">
        <f t="shared" ca="1" si="31"/>
        <v>0</v>
      </c>
      <c r="V132" s="273">
        <f t="shared" ca="1" si="31"/>
        <v>4286</v>
      </c>
      <c r="W132" s="273">
        <f t="shared" ca="1" si="31"/>
        <v>5312</v>
      </c>
      <c r="X132" s="273">
        <f t="shared" ca="1" si="31"/>
        <v>4943</v>
      </c>
      <c r="Y132" s="273">
        <f t="shared" ca="1" si="31"/>
        <v>4463</v>
      </c>
      <c r="Z132" s="273">
        <f t="shared" ca="1" si="31"/>
        <v>4932</v>
      </c>
      <c r="AA132" s="273">
        <f t="shared" ca="1" si="31"/>
        <v>5356</v>
      </c>
      <c r="AB132" s="273">
        <f t="shared" ca="1" si="31"/>
        <v>0</v>
      </c>
      <c r="AC132" s="273">
        <f t="shared" ca="1" si="31"/>
        <v>0</v>
      </c>
      <c r="AD132" s="1153"/>
      <c r="AE132" s="66"/>
    </row>
    <row r="133" spans="1:31" ht="22.5" customHeight="1" x14ac:dyDescent="0.3">
      <c r="A133" s="216"/>
      <c r="B133" s="1129" t="str">
        <f>'Team 1'!B55</f>
        <v>Open/Male 10/11 50m Breaststroke</v>
      </c>
      <c r="C133" s="330" t="s">
        <v>4425</v>
      </c>
      <c r="D133" s="333" t="str">
        <f>'print 10 lane'!I86</f>
        <v>Leonardo Goad</v>
      </c>
      <c r="E133" s="333" t="str">
        <f>'print 10 lane'!L86</f>
        <v>Kai Jun Wai Cheung</v>
      </c>
      <c r="F133" s="333" t="str">
        <f>'print 10 lane'!O86</f>
        <v>Harry Lythgoe</v>
      </c>
      <c r="G133" s="333" t="str">
        <f>'print 10 lane'!R86</f>
        <v>James Mohammed</v>
      </c>
      <c r="H133" s="333" t="str">
        <f>'print 10 lane'!U86</f>
        <v>Braden Barnacle</v>
      </c>
      <c r="I133" s="333" t="str">
        <f>'print 10 lane'!X86</f>
        <v>Macsen Roberts</v>
      </c>
      <c r="J133" s="333" t="str">
        <f>'print 10 lane'!AA86</f>
        <v>Christopher Li Mow Ching</v>
      </c>
      <c r="K133" s="333" t="str">
        <f>'print 10 lane'!AD86</f>
        <v xml:space="preserve"> </v>
      </c>
      <c r="L133" s="333" t="str">
        <f>'print 10 lane'!AG86</f>
        <v xml:space="preserve"> </v>
      </c>
      <c r="M133" s="334" t="str">
        <f>'print 10 lane'!AJ86</f>
        <v xml:space="preserve"> </v>
      </c>
      <c r="N133" s="335"/>
      <c r="O133" s="1131"/>
      <c r="P133" s="1131"/>
      <c r="Q133" s="1131"/>
      <c r="R133" s="1131"/>
      <c r="S133" s="268" t="str">
        <f ca="1">AC133</f>
        <v xml:space="preserve"> </v>
      </c>
      <c r="T133" s="273" t="str">
        <f t="shared" ca="1" si="31"/>
        <v>SWIMMER</v>
      </c>
      <c r="U133" s="273" t="str">
        <f t="shared" ca="1" si="31"/>
        <v>Leonardo Goad</v>
      </c>
      <c r="V133" s="273" t="str">
        <f t="shared" ca="1" si="31"/>
        <v>Kai Jun Wai Cheung</v>
      </c>
      <c r="W133" s="273" t="str">
        <f t="shared" ca="1" si="31"/>
        <v>Harry Lythgoe</v>
      </c>
      <c r="X133" s="273" t="str">
        <f t="shared" ca="1" si="31"/>
        <v>James Mohammed</v>
      </c>
      <c r="Y133" s="273" t="str">
        <f t="shared" ca="1" si="31"/>
        <v>Braden Barnacle</v>
      </c>
      <c r="Z133" s="273" t="str">
        <f t="shared" ca="1" si="31"/>
        <v>Macsen Roberts</v>
      </c>
      <c r="AA133" s="273" t="str">
        <f t="shared" ca="1" si="31"/>
        <v>Christopher Li Mow Ching</v>
      </c>
      <c r="AB133" s="273" t="str">
        <f t="shared" ca="1" si="31"/>
        <v xml:space="preserve"> </v>
      </c>
      <c r="AC133" s="273" t="str">
        <f t="shared" ca="1" si="31"/>
        <v xml:space="preserve"> </v>
      </c>
      <c r="AD133" s="1153"/>
      <c r="AE133" s="66"/>
    </row>
    <row r="134" spans="1:31" ht="30" customHeight="1" x14ac:dyDescent="0.3">
      <c r="A134" s="216"/>
      <c r="B134" s="1129"/>
      <c r="C134" s="364" t="s">
        <v>4426</v>
      </c>
      <c r="D134" s="365" t="s">
        <v>4468</v>
      </c>
      <c r="E134" s="365"/>
      <c r="F134" s="365"/>
      <c r="G134" s="365"/>
      <c r="H134" s="365"/>
      <c r="I134" s="365"/>
      <c r="J134" s="365"/>
      <c r="K134" s="365"/>
      <c r="L134" s="365"/>
      <c r="M134" s="366"/>
      <c r="N134" s="233"/>
      <c r="O134" s="1131"/>
      <c r="P134" s="1131"/>
      <c r="Q134" s="1131"/>
      <c r="R134" s="1131"/>
      <c r="S134" s="268">
        <f ca="1">AC134</f>
        <v>0</v>
      </c>
      <c r="T134" s="273" t="str">
        <f t="shared" ca="1" si="31"/>
        <v>DQ REASON</v>
      </c>
      <c r="U134" s="273" t="str">
        <f t="shared" ca="1" si="31"/>
        <v>7.2 arms not simultaneuous</v>
      </c>
      <c r="V134" s="273">
        <f t="shared" ca="1" si="31"/>
        <v>0</v>
      </c>
      <c r="W134" s="273">
        <f t="shared" ca="1" si="31"/>
        <v>0</v>
      </c>
      <c r="X134" s="273">
        <f t="shared" ca="1" si="31"/>
        <v>0</v>
      </c>
      <c r="Y134" s="273">
        <f t="shared" ca="1" si="31"/>
        <v>0</v>
      </c>
      <c r="Z134" s="273">
        <f t="shared" ca="1" si="31"/>
        <v>0</v>
      </c>
      <c r="AA134" s="273">
        <f t="shared" ca="1" si="31"/>
        <v>0</v>
      </c>
      <c r="AB134" s="273">
        <f t="shared" ca="1" si="31"/>
        <v>0</v>
      </c>
      <c r="AC134" s="273">
        <f t="shared" ca="1" si="31"/>
        <v>0</v>
      </c>
      <c r="AD134" s="1153"/>
      <c r="AE134" s="66"/>
    </row>
    <row r="135" spans="1:31" ht="18" customHeight="1" x14ac:dyDescent="0.3">
      <c r="A135" s="216"/>
      <c r="B135" s="1130" t="s">
        <v>4469</v>
      </c>
      <c r="C135" s="367" t="s">
        <v>4422</v>
      </c>
      <c r="D135" s="352">
        <f>'print 10 lane'!J88</f>
        <v>4</v>
      </c>
      <c r="E135" s="353">
        <f>'print 10 lane'!M88</f>
        <v>7</v>
      </c>
      <c r="F135" s="353">
        <f>'print 10 lane'!P88</f>
        <v>5</v>
      </c>
      <c r="G135" s="353">
        <f>'print 10 lane'!S88</f>
        <v>1</v>
      </c>
      <c r="H135" s="353">
        <f>'print 10 lane'!V88</f>
        <v>2</v>
      </c>
      <c r="I135" s="353">
        <f>'print 10 lane'!Y88</f>
        <v>3</v>
      </c>
      <c r="J135" s="353">
        <f>'print 10 lane'!AB88</f>
        <v>6</v>
      </c>
      <c r="K135" s="353">
        <f>'print 10 lane'!AE88</f>
        <v>0</v>
      </c>
      <c r="L135" s="353">
        <f>'print 10 lane'!AH88</f>
        <v>0</v>
      </c>
      <c r="M135" s="354">
        <f>'print 10 lane'!AK88</f>
        <v>0</v>
      </c>
      <c r="N135" s="233"/>
      <c r="O135" s="1131"/>
      <c r="P135" s="1131"/>
      <c r="Q135" s="1131"/>
      <c r="R135" s="1131"/>
      <c r="S135" s="268"/>
      <c r="T135" s="273"/>
      <c r="U135" s="273"/>
      <c r="V135" s="273"/>
      <c r="W135" s="273"/>
      <c r="X135" s="273"/>
      <c r="Y135" s="273"/>
      <c r="Z135" s="273"/>
      <c r="AA135" s="273"/>
      <c r="AB135" s="273"/>
      <c r="AC135" s="273"/>
      <c r="AD135" s="1153"/>
      <c r="AE135" s="66"/>
    </row>
    <row r="136" spans="1:31" ht="22.5" customHeight="1" x14ac:dyDescent="0.3">
      <c r="A136" s="216"/>
      <c r="B136" s="1130"/>
      <c r="C136" s="310" t="s">
        <v>4424</v>
      </c>
      <c r="D136" s="311">
        <v>12348</v>
      </c>
      <c r="E136" s="312">
        <v>13363</v>
      </c>
      <c r="F136" s="312">
        <v>12503</v>
      </c>
      <c r="G136" s="312">
        <v>11833</v>
      </c>
      <c r="H136" s="312">
        <v>11857</v>
      </c>
      <c r="I136" s="312">
        <v>12036</v>
      </c>
      <c r="J136" s="312">
        <v>12779</v>
      </c>
      <c r="K136" s="312"/>
      <c r="L136" s="312"/>
      <c r="M136" s="313"/>
      <c r="N136" s="233"/>
      <c r="O136" s="1131"/>
      <c r="P136" s="1131"/>
      <c r="Q136" s="1131"/>
      <c r="R136" s="1131"/>
      <c r="S136" s="268">
        <f ca="1">AC136</f>
        <v>0</v>
      </c>
      <c r="T136" s="273" t="str">
        <f t="shared" ref="T136:AC138" ca="1" si="32">INDIRECT(ADDRESS(ROW(),T$18))</f>
        <v>TIME</v>
      </c>
      <c r="U136" s="273">
        <f t="shared" ca="1" si="32"/>
        <v>12348</v>
      </c>
      <c r="V136" s="273">
        <f t="shared" ca="1" si="32"/>
        <v>13363</v>
      </c>
      <c r="W136" s="273">
        <f t="shared" ca="1" si="32"/>
        <v>12503</v>
      </c>
      <c r="X136" s="273">
        <f t="shared" ca="1" si="32"/>
        <v>11833</v>
      </c>
      <c r="Y136" s="273">
        <f t="shared" ca="1" si="32"/>
        <v>11857</v>
      </c>
      <c r="Z136" s="273">
        <f t="shared" ca="1" si="32"/>
        <v>12036</v>
      </c>
      <c r="AA136" s="273">
        <f t="shared" ca="1" si="32"/>
        <v>12779</v>
      </c>
      <c r="AB136" s="273">
        <f t="shared" ca="1" si="32"/>
        <v>0</v>
      </c>
      <c r="AC136" s="273">
        <f t="shared" ca="1" si="32"/>
        <v>0</v>
      </c>
      <c r="AD136" s="1153"/>
      <c r="AE136" s="66"/>
    </row>
    <row r="137" spans="1:31" ht="22.5" customHeight="1" x14ac:dyDescent="0.3">
      <c r="A137" s="216"/>
      <c r="B137" s="1127" t="str">
        <f>'Team 1'!B56</f>
        <v>Female 13/U 100m Butterfly</v>
      </c>
      <c r="C137" s="310" t="s">
        <v>4425</v>
      </c>
      <c r="D137" s="317" t="str">
        <f>'print 10 lane'!I89</f>
        <v>Edanur Yigit</v>
      </c>
      <c r="E137" s="317" t="str">
        <f>'print 10 lane'!L89</f>
        <v>Jasmin Hunt</v>
      </c>
      <c r="F137" s="317" t="str">
        <f>'print 10 lane'!O89</f>
        <v>Niamh Holland</v>
      </c>
      <c r="G137" s="317" t="str">
        <f>'print 10 lane'!R89</f>
        <v>Isla Mohammed</v>
      </c>
      <c r="H137" s="317" t="str">
        <f>'print 10 lane'!U89</f>
        <v>Aimee Baker</v>
      </c>
      <c r="I137" s="317" t="str">
        <f>'print 10 lane'!X89</f>
        <v>Emma Sum</v>
      </c>
      <c r="J137" s="317" t="str">
        <f>'print 10 lane'!AA89</f>
        <v>Mia Curle</v>
      </c>
      <c r="K137" s="317" t="str">
        <f>'print 10 lane'!AD89</f>
        <v xml:space="preserve"> </v>
      </c>
      <c r="L137" s="317" t="str">
        <f>'print 10 lane'!AG89</f>
        <v xml:space="preserve"> </v>
      </c>
      <c r="M137" s="316" t="str">
        <f>'print 10 lane'!AJ89</f>
        <v xml:space="preserve"> </v>
      </c>
      <c r="N137" s="335"/>
      <c r="O137" s="1131"/>
      <c r="P137" s="1131"/>
      <c r="Q137" s="1131"/>
      <c r="R137" s="1131"/>
      <c r="S137" s="268" t="str">
        <f ca="1">AC137</f>
        <v xml:space="preserve"> </v>
      </c>
      <c r="T137" s="273" t="str">
        <f t="shared" ca="1" si="32"/>
        <v>SWIMMER</v>
      </c>
      <c r="U137" s="273" t="str">
        <f t="shared" ca="1" si="32"/>
        <v>Edanur Yigit</v>
      </c>
      <c r="V137" s="273" t="str">
        <f t="shared" ca="1" si="32"/>
        <v>Jasmin Hunt</v>
      </c>
      <c r="W137" s="273" t="str">
        <f t="shared" ca="1" si="32"/>
        <v>Niamh Holland</v>
      </c>
      <c r="X137" s="273" t="str">
        <f t="shared" ca="1" si="32"/>
        <v>Isla Mohammed</v>
      </c>
      <c r="Y137" s="273" t="str">
        <f t="shared" ca="1" si="32"/>
        <v>Aimee Baker</v>
      </c>
      <c r="Z137" s="273" t="str">
        <f t="shared" ca="1" si="32"/>
        <v>Emma Sum</v>
      </c>
      <c r="AA137" s="273" t="str">
        <f t="shared" ca="1" si="32"/>
        <v>Mia Curle</v>
      </c>
      <c r="AB137" s="273" t="str">
        <f t="shared" ca="1" si="32"/>
        <v xml:space="preserve"> </v>
      </c>
      <c r="AC137" s="273" t="str">
        <f t="shared" ca="1" si="32"/>
        <v xml:space="preserve"> </v>
      </c>
      <c r="AD137" s="1153"/>
      <c r="AE137" s="66"/>
    </row>
    <row r="138" spans="1:31" ht="30" customHeight="1" x14ac:dyDescent="0.3">
      <c r="A138" s="216"/>
      <c r="B138" s="1127"/>
      <c r="C138" s="368" t="s">
        <v>4426</v>
      </c>
      <c r="D138" s="379"/>
      <c r="E138" s="379"/>
      <c r="F138" s="379"/>
      <c r="G138" s="379"/>
      <c r="H138" s="379"/>
      <c r="I138" s="379"/>
      <c r="J138" s="379"/>
      <c r="K138" s="379"/>
      <c r="L138" s="379"/>
      <c r="M138" s="380"/>
      <c r="N138" s="233"/>
      <c r="O138" s="1131"/>
      <c r="P138" s="1131"/>
      <c r="Q138" s="1131"/>
      <c r="R138" s="1131"/>
      <c r="S138" s="268">
        <f ca="1">AC138</f>
        <v>0</v>
      </c>
      <c r="T138" s="273" t="str">
        <f t="shared" ca="1" si="32"/>
        <v>DQ REASON</v>
      </c>
      <c r="U138" s="273">
        <f t="shared" ca="1" si="32"/>
        <v>0</v>
      </c>
      <c r="V138" s="273">
        <f t="shared" ca="1" si="32"/>
        <v>0</v>
      </c>
      <c r="W138" s="273">
        <f t="shared" ca="1" si="32"/>
        <v>0</v>
      </c>
      <c r="X138" s="273">
        <f t="shared" ca="1" si="32"/>
        <v>0</v>
      </c>
      <c r="Y138" s="273">
        <f t="shared" ca="1" si="32"/>
        <v>0</v>
      </c>
      <c r="Z138" s="273">
        <f t="shared" ca="1" si="32"/>
        <v>0</v>
      </c>
      <c r="AA138" s="273">
        <f t="shared" ca="1" si="32"/>
        <v>0</v>
      </c>
      <c r="AB138" s="273">
        <f t="shared" ca="1" si="32"/>
        <v>0</v>
      </c>
      <c r="AC138" s="273">
        <f t="shared" ca="1" si="32"/>
        <v>0</v>
      </c>
      <c r="AD138" s="1153"/>
      <c r="AE138" s="66"/>
    </row>
    <row r="139" spans="1:31" ht="18" customHeight="1" x14ac:dyDescent="0.3">
      <c r="A139" s="216"/>
      <c r="B139" s="1132" t="s">
        <v>4470</v>
      </c>
      <c r="C139" s="369" t="s">
        <v>4422</v>
      </c>
      <c r="D139" s="326">
        <f>'print 10 lane'!J91</f>
        <v>4</v>
      </c>
      <c r="E139" s="327">
        <f>'print 10 lane'!M91</f>
        <v>5</v>
      </c>
      <c r="F139" s="327">
        <f>'print 10 lane'!P91</f>
        <v>2</v>
      </c>
      <c r="G139" s="327">
        <f>'print 10 lane'!S91</f>
        <v>6</v>
      </c>
      <c r="H139" s="327">
        <f>'print 10 lane'!V91</f>
        <v>7</v>
      </c>
      <c r="I139" s="327">
        <f>'print 10 lane'!Y91</f>
        <v>3</v>
      </c>
      <c r="J139" s="327">
        <f>'print 10 lane'!AB91</f>
        <v>1</v>
      </c>
      <c r="K139" s="327">
        <f>'print 10 lane'!AE91</f>
        <v>0</v>
      </c>
      <c r="L139" s="327">
        <f>'print 10 lane'!AH91</f>
        <v>0</v>
      </c>
      <c r="M139" s="328">
        <f>'print 10 lane'!AK91</f>
        <v>0</v>
      </c>
      <c r="N139" s="233"/>
      <c r="O139" s="1133" t="s">
        <v>4430</v>
      </c>
      <c r="P139" s="1133"/>
      <c r="Q139" s="1133"/>
      <c r="R139" s="1133"/>
      <c r="S139" s="268"/>
      <c r="T139" s="273"/>
      <c r="U139" s="273"/>
      <c r="V139" s="273"/>
      <c r="W139" s="273"/>
      <c r="X139" s="273"/>
      <c r="Y139" s="273"/>
      <c r="Z139" s="273"/>
      <c r="AA139" s="273"/>
      <c r="AB139" s="273"/>
      <c r="AC139" s="273"/>
      <c r="AD139" s="1153"/>
      <c r="AE139" s="66"/>
    </row>
    <row r="140" spans="1:31" ht="22.5" customHeight="1" x14ac:dyDescent="0.3">
      <c r="A140" s="216"/>
      <c r="B140" s="1132"/>
      <c r="C140" s="330" t="s">
        <v>4424</v>
      </c>
      <c r="D140" s="331">
        <v>12527</v>
      </c>
      <c r="E140" s="331">
        <v>12683</v>
      </c>
      <c r="F140" s="331">
        <v>11887</v>
      </c>
      <c r="G140" s="331">
        <v>13272</v>
      </c>
      <c r="H140" s="331">
        <v>14574</v>
      </c>
      <c r="I140" s="331">
        <v>12123</v>
      </c>
      <c r="J140" s="331">
        <v>11229</v>
      </c>
      <c r="K140" s="331"/>
      <c r="L140" s="331"/>
      <c r="M140" s="332"/>
      <c r="N140" s="233"/>
      <c r="O140" s="1133"/>
      <c r="P140" s="1133"/>
      <c r="Q140" s="1133"/>
      <c r="R140" s="1133"/>
      <c r="S140" s="268">
        <f ca="1">AC140</f>
        <v>0</v>
      </c>
      <c r="T140" s="273" t="str">
        <f t="shared" ref="T140:AC142" ca="1" si="33">INDIRECT(ADDRESS(ROW(),T$18))</f>
        <v>TIME</v>
      </c>
      <c r="U140" s="273">
        <f t="shared" ca="1" si="33"/>
        <v>12527</v>
      </c>
      <c r="V140" s="273">
        <f t="shared" ca="1" si="33"/>
        <v>12683</v>
      </c>
      <c r="W140" s="273">
        <f t="shared" ca="1" si="33"/>
        <v>11887</v>
      </c>
      <c r="X140" s="273">
        <f t="shared" ca="1" si="33"/>
        <v>13272</v>
      </c>
      <c r="Y140" s="273">
        <f t="shared" ca="1" si="33"/>
        <v>14574</v>
      </c>
      <c r="Z140" s="273">
        <f t="shared" ca="1" si="33"/>
        <v>12123</v>
      </c>
      <c r="AA140" s="273">
        <f t="shared" ca="1" si="33"/>
        <v>11229</v>
      </c>
      <c r="AB140" s="273">
        <f t="shared" ca="1" si="33"/>
        <v>0</v>
      </c>
      <c r="AC140" s="273">
        <f t="shared" ca="1" si="33"/>
        <v>0</v>
      </c>
      <c r="AD140" s="1153"/>
      <c r="AE140" s="66"/>
    </row>
    <row r="141" spans="1:31" ht="22.5" customHeight="1" x14ac:dyDescent="0.3">
      <c r="A141" s="216"/>
      <c r="B141" s="1129" t="str">
        <f>'Team 1'!B57</f>
        <v>Open/Male 13/U 100m Butterfly</v>
      </c>
      <c r="C141" s="330" t="s">
        <v>4425</v>
      </c>
      <c r="D141" s="333" t="str">
        <f>'print 10 lane'!I92</f>
        <v>Ned Peter Andrews</v>
      </c>
      <c r="E141" s="333" t="str">
        <f>'print 10 lane'!L92</f>
        <v>Oliver Tubridy</v>
      </c>
      <c r="F141" s="333" t="str">
        <f>'print 10 lane'!O92</f>
        <v>Mikhail Zharinov</v>
      </c>
      <c r="G141" s="333" t="str">
        <f>'print 10 lane'!R92</f>
        <v>Riley Bunce</v>
      </c>
      <c r="H141" s="333" t="str">
        <f>'print 10 lane'!U92</f>
        <v>Poyraz Akbiyik</v>
      </c>
      <c r="I141" s="333" t="str">
        <f>'print 10 lane'!X92</f>
        <v>Cosmin Ioan  Iojan</v>
      </c>
      <c r="J141" s="333" t="str">
        <f>'print 10 lane'!AA92</f>
        <v>Daniel Celi</v>
      </c>
      <c r="K141" s="333" t="str">
        <f>'print 10 lane'!AD92</f>
        <v xml:space="preserve"> </v>
      </c>
      <c r="L141" s="333" t="str">
        <f>'print 10 lane'!AG92</f>
        <v xml:space="preserve"> </v>
      </c>
      <c r="M141" s="334" t="str">
        <f>'print 10 lane'!AJ92</f>
        <v xml:space="preserve"> </v>
      </c>
      <c r="N141" s="335"/>
      <c r="O141" s="1133"/>
      <c r="P141" s="1133"/>
      <c r="Q141" s="1133"/>
      <c r="R141" s="1133"/>
      <c r="S141" s="268" t="str">
        <f ca="1">AC141</f>
        <v xml:space="preserve"> </v>
      </c>
      <c r="T141" s="273" t="str">
        <f t="shared" ca="1" si="33"/>
        <v>SWIMMER</v>
      </c>
      <c r="U141" s="273" t="str">
        <f t="shared" ca="1" si="33"/>
        <v>Ned Peter Andrews</v>
      </c>
      <c r="V141" s="273" t="str">
        <f t="shared" ca="1" si="33"/>
        <v>Oliver Tubridy</v>
      </c>
      <c r="W141" s="273" t="str">
        <f t="shared" ca="1" si="33"/>
        <v>Mikhail Zharinov</v>
      </c>
      <c r="X141" s="273" t="str">
        <f t="shared" ca="1" si="33"/>
        <v>Riley Bunce</v>
      </c>
      <c r="Y141" s="273" t="str">
        <f t="shared" ca="1" si="33"/>
        <v>Poyraz Akbiyik</v>
      </c>
      <c r="Z141" s="273" t="str">
        <f t="shared" ca="1" si="33"/>
        <v>Cosmin Ioan  Iojan</v>
      </c>
      <c r="AA141" s="273" t="str">
        <f t="shared" ca="1" si="33"/>
        <v>Daniel Celi</v>
      </c>
      <c r="AB141" s="273" t="str">
        <f t="shared" ca="1" si="33"/>
        <v xml:space="preserve"> </v>
      </c>
      <c r="AC141" s="273" t="str">
        <f t="shared" ca="1" si="33"/>
        <v xml:space="preserve"> </v>
      </c>
      <c r="AD141" s="1153"/>
      <c r="AE141" s="66"/>
    </row>
    <row r="142" spans="1:31" ht="30" customHeight="1" x14ac:dyDescent="0.3">
      <c r="A142" s="216"/>
      <c r="B142" s="1129"/>
      <c r="C142" s="364" t="s">
        <v>4426</v>
      </c>
      <c r="D142" s="365"/>
      <c r="E142" s="365"/>
      <c r="F142" s="365"/>
      <c r="G142" s="365"/>
      <c r="H142" s="365"/>
      <c r="I142" s="365"/>
      <c r="J142" s="365"/>
      <c r="K142" s="365"/>
      <c r="L142" s="365"/>
      <c r="M142" s="366"/>
      <c r="N142" s="233"/>
      <c r="O142" s="1133"/>
      <c r="P142" s="1133"/>
      <c r="Q142" s="1133"/>
      <c r="R142" s="1133"/>
      <c r="S142" s="268">
        <f ca="1">AC142</f>
        <v>0</v>
      </c>
      <c r="T142" s="273" t="str">
        <f t="shared" ca="1" si="33"/>
        <v>DQ REASON</v>
      </c>
      <c r="U142" s="273">
        <f t="shared" ca="1" si="33"/>
        <v>0</v>
      </c>
      <c r="V142" s="273">
        <f t="shared" ca="1" si="33"/>
        <v>0</v>
      </c>
      <c r="W142" s="273">
        <f t="shared" ca="1" si="33"/>
        <v>0</v>
      </c>
      <c r="X142" s="273">
        <f t="shared" ca="1" si="33"/>
        <v>0</v>
      </c>
      <c r="Y142" s="273">
        <f t="shared" ca="1" si="33"/>
        <v>0</v>
      </c>
      <c r="Z142" s="273">
        <f t="shared" ca="1" si="33"/>
        <v>0</v>
      </c>
      <c r="AA142" s="273">
        <f t="shared" ca="1" si="33"/>
        <v>0</v>
      </c>
      <c r="AB142" s="273">
        <f t="shared" ca="1" si="33"/>
        <v>0</v>
      </c>
      <c r="AC142" s="273">
        <f t="shared" ca="1" si="33"/>
        <v>0</v>
      </c>
      <c r="AD142" s="1153"/>
      <c r="AE142" s="66"/>
    </row>
    <row r="143" spans="1:31" ht="18" customHeight="1" x14ac:dyDescent="0.3">
      <c r="A143" s="216"/>
      <c r="B143" s="1130" t="s">
        <v>4471</v>
      </c>
      <c r="C143" s="367" t="s">
        <v>4422</v>
      </c>
      <c r="D143" s="352">
        <f>'print 10 lane'!J94</f>
        <v>7</v>
      </c>
      <c r="E143" s="353">
        <f>'print 10 lane'!M94</f>
        <v>2</v>
      </c>
      <c r="F143" s="353">
        <f>'print 10 lane'!P94</f>
        <v>5</v>
      </c>
      <c r="G143" s="353">
        <f>'print 10 lane'!S94</f>
        <v>4</v>
      </c>
      <c r="H143" s="353">
        <f>'print 10 lane'!V94</f>
        <v>1</v>
      </c>
      <c r="I143" s="353">
        <f>'print 10 lane'!Y94</f>
        <v>3</v>
      </c>
      <c r="J143" s="353">
        <f>'print 10 lane'!AB94</f>
        <v>6</v>
      </c>
      <c r="K143" s="353">
        <f>'print 10 lane'!AE94</f>
        <v>0</v>
      </c>
      <c r="L143" s="353">
        <f>'print 10 lane'!AH94</f>
        <v>0</v>
      </c>
      <c r="M143" s="354">
        <f>'print 10 lane'!AK94</f>
        <v>0</v>
      </c>
      <c r="N143" s="233"/>
      <c r="O143" s="1133"/>
      <c r="P143" s="1133"/>
      <c r="Q143" s="1133"/>
      <c r="R143" s="1133"/>
      <c r="S143" s="268"/>
      <c r="T143" s="273"/>
      <c r="U143" s="273"/>
      <c r="V143" s="273"/>
      <c r="W143" s="273"/>
      <c r="X143" s="273"/>
      <c r="Y143" s="273"/>
      <c r="Z143" s="273"/>
      <c r="AA143" s="273"/>
      <c r="AB143" s="273"/>
      <c r="AC143" s="273"/>
      <c r="AD143" s="1153"/>
      <c r="AE143" s="66"/>
    </row>
    <row r="144" spans="1:31" ht="22.5" customHeight="1" x14ac:dyDescent="0.3">
      <c r="A144" s="216"/>
      <c r="B144" s="1130"/>
      <c r="C144" s="310" t="s">
        <v>4424</v>
      </c>
      <c r="D144" s="311">
        <v>11148</v>
      </c>
      <c r="E144" s="312">
        <v>10388</v>
      </c>
      <c r="F144" s="312">
        <v>10716</v>
      </c>
      <c r="G144" s="312">
        <v>10570</v>
      </c>
      <c r="H144" s="312">
        <v>10384</v>
      </c>
      <c r="I144" s="312">
        <v>10555</v>
      </c>
      <c r="J144" s="312">
        <v>10967</v>
      </c>
      <c r="K144" s="312"/>
      <c r="L144" s="312"/>
      <c r="M144" s="313"/>
      <c r="N144" s="233"/>
      <c r="O144" s="381"/>
      <c r="P144" s="381"/>
      <c r="Q144" s="381"/>
      <c r="R144" s="381"/>
      <c r="S144" s="268">
        <f ca="1">AC144</f>
        <v>0</v>
      </c>
      <c r="T144" s="273" t="str">
        <f t="shared" ref="T144:AC146" ca="1" si="34">INDIRECT(ADDRESS(ROW(),T$18))</f>
        <v>TIME</v>
      </c>
      <c r="U144" s="273">
        <f t="shared" ca="1" si="34"/>
        <v>11148</v>
      </c>
      <c r="V144" s="273">
        <f t="shared" ca="1" si="34"/>
        <v>10388</v>
      </c>
      <c r="W144" s="273">
        <f t="shared" ca="1" si="34"/>
        <v>10716</v>
      </c>
      <c r="X144" s="273">
        <f t="shared" ca="1" si="34"/>
        <v>10570</v>
      </c>
      <c r="Y144" s="273">
        <f t="shared" ca="1" si="34"/>
        <v>10384</v>
      </c>
      <c r="Z144" s="273">
        <f t="shared" ca="1" si="34"/>
        <v>10555</v>
      </c>
      <c r="AA144" s="273">
        <f t="shared" ca="1" si="34"/>
        <v>10967</v>
      </c>
      <c r="AB144" s="273">
        <f t="shared" ca="1" si="34"/>
        <v>0</v>
      </c>
      <c r="AC144" s="273">
        <f t="shared" ca="1" si="34"/>
        <v>0</v>
      </c>
      <c r="AD144" s="1153"/>
      <c r="AE144" s="66"/>
    </row>
    <row r="145" spans="1:31" ht="22.5" customHeight="1" x14ac:dyDescent="0.3">
      <c r="A145" s="216"/>
      <c r="B145" s="1127" t="str">
        <f>'Team 1'!B58</f>
        <v>Female 15/U 100m Freestyle</v>
      </c>
      <c r="C145" s="310" t="s">
        <v>4425</v>
      </c>
      <c r="D145" s="317" t="str">
        <f>'print 10 lane'!I95</f>
        <v>Emily Hudszky</v>
      </c>
      <c r="E145" s="317" t="str">
        <f>'print 10 lane'!L95</f>
        <v>Sophie Stelmach</v>
      </c>
      <c r="F145" s="317" t="str">
        <f>'print 10 lane'!O95</f>
        <v>Isabel Mullings</v>
      </c>
      <c r="G145" s="317" t="str">
        <f>'print 10 lane'!R95</f>
        <v>Abigail Johnson</v>
      </c>
      <c r="H145" s="317" t="str">
        <f>'print 10 lane'!U95</f>
        <v>Mia Macklin</v>
      </c>
      <c r="I145" s="317" t="str">
        <f>'print 10 lane'!X95</f>
        <v>Alice  Sharrock</v>
      </c>
      <c r="J145" s="317" t="str">
        <f>'print 10 lane'!AA95</f>
        <v>Jessica Sharp</v>
      </c>
      <c r="K145" s="317" t="str">
        <f>'print 10 lane'!AD95</f>
        <v xml:space="preserve"> </v>
      </c>
      <c r="L145" s="317" t="str">
        <f>'print 10 lane'!AG95</f>
        <v xml:space="preserve"> </v>
      </c>
      <c r="M145" s="316" t="str">
        <f>'print 10 lane'!AJ95</f>
        <v xml:space="preserve"> </v>
      </c>
      <c r="N145" s="335"/>
      <c r="O145" s="370"/>
      <c r="P145" s="224"/>
      <c r="Q145" s="269"/>
      <c r="R145" s="370"/>
      <c r="S145" s="268" t="str">
        <f ca="1">AC145</f>
        <v xml:space="preserve"> </v>
      </c>
      <c r="T145" s="273" t="str">
        <f t="shared" ca="1" si="34"/>
        <v>SWIMMER</v>
      </c>
      <c r="U145" s="273" t="str">
        <f t="shared" ca="1" si="34"/>
        <v>Emily Hudszky</v>
      </c>
      <c r="V145" s="273" t="str">
        <f t="shared" ca="1" si="34"/>
        <v>Sophie Stelmach</v>
      </c>
      <c r="W145" s="273" t="str">
        <f t="shared" ca="1" si="34"/>
        <v>Isabel Mullings</v>
      </c>
      <c r="X145" s="273" t="str">
        <f t="shared" ca="1" si="34"/>
        <v>Abigail Johnson</v>
      </c>
      <c r="Y145" s="273" t="str">
        <f t="shared" ca="1" si="34"/>
        <v>Mia Macklin</v>
      </c>
      <c r="Z145" s="273" t="str">
        <f t="shared" ca="1" si="34"/>
        <v>Alice  Sharrock</v>
      </c>
      <c r="AA145" s="273" t="str">
        <f t="shared" ca="1" si="34"/>
        <v>Jessica Sharp</v>
      </c>
      <c r="AB145" s="273" t="str">
        <f t="shared" ca="1" si="34"/>
        <v xml:space="preserve"> </v>
      </c>
      <c r="AC145" s="273" t="str">
        <f t="shared" ca="1" si="34"/>
        <v xml:space="preserve"> </v>
      </c>
      <c r="AD145" s="1153"/>
      <c r="AE145" s="66"/>
    </row>
    <row r="146" spans="1:31" ht="30" customHeight="1" x14ac:dyDescent="0.3">
      <c r="A146" s="216"/>
      <c r="B146" s="1127"/>
      <c r="C146" s="368" t="s">
        <v>4426</v>
      </c>
      <c r="D146" s="379"/>
      <c r="E146" s="379"/>
      <c r="F146" s="379"/>
      <c r="G146" s="379"/>
      <c r="H146" s="379"/>
      <c r="I146" s="379"/>
      <c r="J146" s="379"/>
      <c r="K146" s="379"/>
      <c r="L146" s="379"/>
      <c r="M146" s="380"/>
      <c r="N146" s="233"/>
      <c r="O146" s="370"/>
      <c r="P146" s="224"/>
      <c r="Q146" s="269"/>
      <c r="R146" s="370"/>
      <c r="S146" s="268">
        <f ca="1">AC146</f>
        <v>0</v>
      </c>
      <c r="T146" s="273" t="str">
        <f t="shared" ca="1" si="34"/>
        <v>DQ REASON</v>
      </c>
      <c r="U146" s="273">
        <f t="shared" ca="1" si="34"/>
        <v>0</v>
      </c>
      <c r="V146" s="273">
        <f t="shared" ca="1" si="34"/>
        <v>0</v>
      </c>
      <c r="W146" s="273">
        <f t="shared" ca="1" si="34"/>
        <v>0</v>
      </c>
      <c r="X146" s="273">
        <f t="shared" ca="1" si="34"/>
        <v>0</v>
      </c>
      <c r="Y146" s="273">
        <f t="shared" ca="1" si="34"/>
        <v>0</v>
      </c>
      <c r="Z146" s="273">
        <f t="shared" ca="1" si="34"/>
        <v>0</v>
      </c>
      <c r="AA146" s="273">
        <f t="shared" ca="1" si="34"/>
        <v>0</v>
      </c>
      <c r="AB146" s="273">
        <f t="shared" ca="1" si="34"/>
        <v>0</v>
      </c>
      <c r="AC146" s="273">
        <f t="shared" ca="1" si="34"/>
        <v>0</v>
      </c>
      <c r="AD146" s="1153"/>
      <c r="AE146" s="66"/>
    </row>
    <row r="147" spans="1:31" ht="18" customHeight="1" x14ac:dyDescent="0.3">
      <c r="A147" s="216"/>
      <c r="B147" s="1132" t="s">
        <v>4472</v>
      </c>
      <c r="C147" s="369" t="s">
        <v>4422</v>
      </c>
      <c r="D147" s="326">
        <f>'print 10 lane'!J97</f>
        <v>6</v>
      </c>
      <c r="E147" s="327">
        <f>'print 10 lane'!M97</f>
        <v>4</v>
      </c>
      <c r="F147" s="327">
        <f>'print 10 lane'!P97</f>
        <v>5</v>
      </c>
      <c r="G147" s="327">
        <f>'print 10 lane'!S97</f>
        <v>2</v>
      </c>
      <c r="H147" s="327">
        <f>'print 10 lane'!V97</f>
        <v>1</v>
      </c>
      <c r="I147" s="327">
        <f>'print 10 lane'!Y97</f>
        <v>0</v>
      </c>
      <c r="J147" s="327">
        <f>'print 10 lane'!AB97</f>
        <v>3</v>
      </c>
      <c r="K147" s="327">
        <f>'print 10 lane'!AE97</f>
        <v>0</v>
      </c>
      <c r="L147" s="327">
        <f>'print 10 lane'!AH97</f>
        <v>0</v>
      </c>
      <c r="M147" s="328">
        <f>'print 10 lane'!AK97</f>
        <v>0</v>
      </c>
      <c r="N147" s="233"/>
      <c r="O147" s="370"/>
      <c r="P147" s="224"/>
      <c r="Q147" s="269"/>
      <c r="R147" s="370"/>
      <c r="S147" s="268"/>
      <c r="T147" s="273"/>
      <c r="U147" s="273"/>
      <c r="V147" s="273"/>
      <c r="W147" s="273"/>
      <c r="X147" s="273"/>
      <c r="Y147" s="273"/>
      <c r="Z147" s="273"/>
      <c r="AA147" s="273"/>
      <c r="AB147" s="273"/>
      <c r="AC147" s="273"/>
      <c r="AD147" s="1153"/>
      <c r="AE147" s="66"/>
    </row>
    <row r="148" spans="1:31" ht="22.5" customHeight="1" x14ac:dyDescent="0.3">
      <c r="A148" s="216"/>
      <c r="B148" s="1132"/>
      <c r="C148" s="330" t="s">
        <v>4424</v>
      </c>
      <c r="D148" s="331">
        <v>10754</v>
      </c>
      <c r="E148" s="331">
        <v>10461</v>
      </c>
      <c r="F148" s="331">
        <v>10633</v>
      </c>
      <c r="G148" s="331">
        <v>5925</v>
      </c>
      <c r="H148" s="331">
        <v>5471</v>
      </c>
      <c r="I148" s="331">
        <v>0</v>
      </c>
      <c r="J148" s="331">
        <v>10268</v>
      </c>
      <c r="K148" s="331"/>
      <c r="L148" s="331"/>
      <c r="M148" s="332"/>
      <c r="N148" s="233"/>
      <c r="O148" s="1131"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48" s="1131"/>
      <c r="Q148" s="1131"/>
      <c r="R148" s="1131"/>
      <c r="S148" s="268">
        <f ca="1">AC148</f>
        <v>0</v>
      </c>
      <c r="T148" s="273" t="str">
        <f t="shared" ref="T148:AC150" ca="1" si="35">INDIRECT(ADDRESS(ROW(),T$18))</f>
        <v>TIME</v>
      </c>
      <c r="U148" s="273">
        <f t="shared" ca="1" si="35"/>
        <v>10754</v>
      </c>
      <c r="V148" s="273">
        <f t="shared" ca="1" si="35"/>
        <v>10461</v>
      </c>
      <c r="W148" s="273">
        <f t="shared" ca="1" si="35"/>
        <v>10633</v>
      </c>
      <c r="X148" s="273">
        <f t="shared" ca="1" si="35"/>
        <v>5925</v>
      </c>
      <c r="Y148" s="273">
        <f t="shared" ca="1" si="35"/>
        <v>5471</v>
      </c>
      <c r="Z148" s="273">
        <f t="shared" ca="1" si="35"/>
        <v>0</v>
      </c>
      <c r="AA148" s="273">
        <f t="shared" ca="1" si="35"/>
        <v>10268</v>
      </c>
      <c r="AB148" s="273">
        <f t="shared" ca="1" si="35"/>
        <v>0</v>
      </c>
      <c r="AC148" s="273">
        <f t="shared" ca="1" si="35"/>
        <v>0</v>
      </c>
      <c r="AD148" s="1153"/>
      <c r="AE148" s="66"/>
    </row>
    <row r="149" spans="1:31" ht="22.5" customHeight="1" x14ac:dyDescent="0.3">
      <c r="A149" s="216"/>
      <c r="B149" s="1129" t="str">
        <f>'Team 1'!B59</f>
        <v>Open/Male 15/U 100m Freestyle</v>
      </c>
      <c r="C149" s="330" t="s">
        <v>4425</v>
      </c>
      <c r="D149" s="333" t="str">
        <f>'print 10 lane'!I98</f>
        <v>Zalan Tornay</v>
      </c>
      <c r="E149" s="333" t="str">
        <f>'print 10 lane'!L98</f>
        <v>Daniel Humphreys</v>
      </c>
      <c r="F149" s="333" t="str">
        <f>'print 10 lane'!O98</f>
        <v>Ewan Thompson</v>
      </c>
      <c r="G149" s="333" t="str">
        <f>'print 10 lane'!R98</f>
        <v>Charles Raines</v>
      </c>
      <c r="H149" s="333" t="str">
        <f>'print 10 lane'!U98</f>
        <v>Joshua Parker</v>
      </c>
      <c r="I149" s="333" t="str">
        <f>'print 10 lane'!X98</f>
        <v xml:space="preserve"> </v>
      </c>
      <c r="J149" s="333" t="str">
        <f>'print 10 lane'!AA98</f>
        <v>Aaran Parmar</v>
      </c>
      <c r="K149" s="333" t="str">
        <f>'print 10 lane'!AD98</f>
        <v xml:space="preserve"> </v>
      </c>
      <c r="L149" s="333" t="str">
        <f>'print 10 lane'!AG98</f>
        <v xml:space="preserve"> </v>
      </c>
      <c r="M149" s="334" t="str">
        <f>'print 10 lane'!AJ98</f>
        <v xml:space="preserve"> </v>
      </c>
      <c r="N149" s="335"/>
      <c r="O149" s="1131"/>
      <c r="P149" s="1131"/>
      <c r="Q149" s="1131"/>
      <c r="R149" s="1131"/>
      <c r="S149" s="268" t="str">
        <f ca="1">AC149</f>
        <v xml:space="preserve"> </v>
      </c>
      <c r="T149" s="273" t="str">
        <f t="shared" ca="1" si="35"/>
        <v>SWIMMER</v>
      </c>
      <c r="U149" s="273" t="str">
        <f t="shared" ca="1" si="35"/>
        <v>Zalan Tornay</v>
      </c>
      <c r="V149" s="273" t="str">
        <f t="shared" ca="1" si="35"/>
        <v>Daniel Humphreys</v>
      </c>
      <c r="W149" s="273" t="str">
        <f t="shared" ca="1" si="35"/>
        <v>Ewan Thompson</v>
      </c>
      <c r="X149" s="273" t="str">
        <f t="shared" ca="1" si="35"/>
        <v>Charles Raines</v>
      </c>
      <c r="Y149" s="273" t="str">
        <f t="shared" ca="1" si="35"/>
        <v>Joshua Parker</v>
      </c>
      <c r="Z149" s="273" t="str">
        <f t="shared" ca="1" si="35"/>
        <v xml:space="preserve"> </v>
      </c>
      <c r="AA149" s="273" t="str">
        <f t="shared" ca="1" si="35"/>
        <v>Aaran Parmar</v>
      </c>
      <c r="AB149" s="273" t="str">
        <f t="shared" ca="1" si="35"/>
        <v xml:space="preserve"> </v>
      </c>
      <c r="AC149" s="273" t="str">
        <f t="shared" ca="1" si="35"/>
        <v xml:space="preserve"> </v>
      </c>
      <c r="AD149" s="1153"/>
      <c r="AE149" s="66"/>
    </row>
    <row r="150" spans="1:31" ht="30" customHeight="1" x14ac:dyDescent="0.3">
      <c r="A150" s="216"/>
      <c r="B150" s="1129"/>
      <c r="C150" s="364" t="s">
        <v>4426</v>
      </c>
      <c r="D150" s="365"/>
      <c r="E150" s="365"/>
      <c r="F150" s="365"/>
      <c r="G150" s="365"/>
      <c r="H150" s="365"/>
      <c r="I150" s="365" t="s">
        <v>4473</v>
      </c>
      <c r="J150" s="365"/>
      <c r="K150" s="365"/>
      <c r="L150" s="365"/>
      <c r="M150" s="366"/>
      <c r="N150" s="233"/>
      <c r="O150" s="1131"/>
      <c r="P150" s="1131"/>
      <c r="Q150" s="1131"/>
      <c r="R150" s="1131"/>
      <c r="S150" s="268">
        <f ca="1">AC150</f>
        <v>0</v>
      </c>
      <c r="T150" s="273" t="str">
        <f t="shared" ca="1" si="35"/>
        <v>DQ REASON</v>
      </c>
      <c r="U150" s="273">
        <f t="shared" ca="1" si="35"/>
        <v>0</v>
      </c>
      <c r="V150" s="273">
        <f t="shared" ca="1" si="35"/>
        <v>0</v>
      </c>
      <c r="W150" s="273">
        <f t="shared" ca="1" si="35"/>
        <v>0</v>
      </c>
      <c r="X150" s="273">
        <f t="shared" ca="1" si="35"/>
        <v>0</v>
      </c>
      <c r="Y150" s="273">
        <f t="shared" ca="1" si="35"/>
        <v>0</v>
      </c>
      <c r="Z150" s="273" t="str">
        <f t="shared" ca="1" si="35"/>
        <v>ns</v>
      </c>
      <c r="AA150" s="273">
        <f t="shared" ca="1" si="35"/>
        <v>0</v>
      </c>
      <c r="AB150" s="273">
        <f t="shared" ca="1" si="35"/>
        <v>0</v>
      </c>
      <c r="AC150" s="273">
        <f t="shared" ca="1" si="35"/>
        <v>0</v>
      </c>
      <c r="AD150" s="1153"/>
      <c r="AE150" s="66"/>
    </row>
    <row r="151" spans="1:31" ht="18" customHeight="1" x14ac:dyDescent="0.3">
      <c r="A151" s="216"/>
      <c r="B151" s="1130" t="s">
        <v>4474</v>
      </c>
      <c r="C151" s="367" t="s">
        <v>4422</v>
      </c>
      <c r="D151" s="352">
        <f>'print 10 lane'!J100</f>
        <v>1</v>
      </c>
      <c r="E151" s="353">
        <f>'print 10 lane'!M100</f>
        <v>6</v>
      </c>
      <c r="F151" s="353">
        <f>'print 10 lane'!P100</f>
        <v>3</v>
      </c>
      <c r="G151" s="353">
        <f>'print 10 lane'!S100</f>
        <v>2</v>
      </c>
      <c r="H151" s="353">
        <f>'print 10 lane'!V100</f>
        <v>4</v>
      </c>
      <c r="I151" s="353">
        <f>'print 10 lane'!Y100</f>
        <v>5</v>
      </c>
      <c r="J151" s="353">
        <f>'print 10 lane'!AB100</f>
        <v>7</v>
      </c>
      <c r="K151" s="353">
        <f>'print 10 lane'!AE100</f>
        <v>0</v>
      </c>
      <c r="L151" s="353">
        <f>'print 10 lane'!AH100</f>
        <v>0</v>
      </c>
      <c r="M151" s="354">
        <f>'print 10 lane'!AK100</f>
        <v>0</v>
      </c>
      <c r="N151" s="233"/>
      <c r="O151" s="1131"/>
      <c r="P151" s="1131"/>
      <c r="Q151" s="1131"/>
      <c r="R151" s="1131"/>
      <c r="S151" s="268"/>
      <c r="T151" s="273"/>
      <c r="U151" s="273"/>
      <c r="V151" s="273"/>
      <c r="W151" s="273"/>
      <c r="X151" s="273"/>
      <c r="Y151" s="273"/>
      <c r="Z151" s="273"/>
      <c r="AA151" s="273"/>
      <c r="AB151" s="273"/>
      <c r="AC151" s="273"/>
      <c r="AD151" s="1153"/>
      <c r="AE151" s="66"/>
    </row>
    <row r="152" spans="1:31" ht="22.5" customHeight="1" x14ac:dyDescent="0.3">
      <c r="A152" s="216"/>
      <c r="B152" s="1130"/>
      <c r="C152" s="310" t="s">
        <v>4424</v>
      </c>
      <c r="D152" s="311">
        <v>11792</v>
      </c>
      <c r="E152" s="312">
        <v>12870</v>
      </c>
      <c r="F152" s="312">
        <v>12328</v>
      </c>
      <c r="G152" s="312">
        <v>12129</v>
      </c>
      <c r="H152" s="312">
        <v>12443</v>
      </c>
      <c r="I152" s="312">
        <v>12516</v>
      </c>
      <c r="J152" s="312">
        <v>13061</v>
      </c>
      <c r="K152" s="312"/>
      <c r="L152" s="312"/>
      <c r="M152" s="313"/>
      <c r="N152" s="233"/>
      <c r="O152" s="1131"/>
      <c r="P152" s="1131"/>
      <c r="Q152" s="1131"/>
      <c r="R152" s="1131"/>
      <c r="S152" s="268">
        <f ca="1">AC152</f>
        <v>0</v>
      </c>
      <c r="T152" s="273" t="str">
        <f t="shared" ref="T152:AC154" ca="1" si="36">INDIRECT(ADDRESS(ROW(),T$18))</f>
        <v>TIME</v>
      </c>
      <c r="U152" s="273">
        <f t="shared" ca="1" si="36"/>
        <v>11792</v>
      </c>
      <c r="V152" s="273">
        <f t="shared" ca="1" si="36"/>
        <v>12870</v>
      </c>
      <c r="W152" s="273">
        <f t="shared" ca="1" si="36"/>
        <v>12328</v>
      </c>
      <c r="X152" s="273">
        <f t="shared" ca="1" si="36"/>
        <v>12129</v>
      </c>
      <c r="Y152" s="273">
        <f t="shared" ca="1" si="36"/>
        <v>12443</v>
      </c>
      <c r="Z152" s="273">
        <f t="shared" ca="1" si="36"/>
        <v>12516</v>
      </c>
      <c r="AA152" s="273">
        <f t="shared" ca="1" si="36"/>
        <v>13061</v>
      </c>
      <c r="AB152" s="273">
        <f t="shared" ca="1" si="36"/>
        <v>0</v>
      </c>
      <c r="AC152" s="273">
        <f t="shared" ca="1" si="36"/>
        <v>0</v>
      </c>
      <c r="AD152" s="1153"/>
      <c r="AE152" s="66"/>
    </row>
    <row r="153" spans="1:31" ht="22.5" customHeight="1" x14ac:dyDescent="0.3">
      <c r="A153" s="216"/>
      <c r="B153" s="1127" t="str">
        <f>'Team 1'!B60</f>
        <v>Female 16+ 100m Breaststroke</v>
      </c>
      <c r="C153" s="310" t="s">
        <v>4425</v>
      </c>
      <c r="D153" s="317" t="str">
        <f>'print 10 lane'!I101</f>
        <v>Bianca Gomez-Velasco</v>
      </c>
      <c r="E153" s="317" t="str">
        <f>'print 10 lane'!L101</f>
        <v>Sophie Lyon</v>
      </c>
      <c r="F153" s="317" t="str">
        <f>'print 10 lane'!O101</f>
        <v>Mia Nelson</v>
      </c>
      <c r="G153" s="317" t="str">
        <f>'print 10 lane'!R101</f>
        <v>Amber Curtis</v>
      </c>
      <c r="H153" s="317" t="str">
        <f>'print 10 lane'!U101</f>
        <v>Marcie Aley</v>
      </c>
      <c r="I153" s="317" t="str">
        <f>'print 10 lane'!X101</f>
        <v>Mina  Safahe</v>
      </c>
      <c r="J153" s="317" t="str">
        <f>'print 10 lane'!AA101</f>
        <v>Julia Ozen</v>
      </c>
      <c r="K153" s="317" t="str">
        <f>'print 10 lane'!AD101</f>
        <v xml:space="preserve"> </v>
      </c>
      <c r="L153" s="317" t="str">
        <f>'print 10 lane'!AG101</f>
        <v xml:space="preserve"> </v>
      </c>
      <c r="M153" s="316" t="str">
        <f>'print 10 lane'!AJ101</f>
        <v xml:space="preserve"> </v>
      </c>
      <c r="N153" s="335"/>
      <c r="O153" s="1131"/>
      <c r="P153" s="1131"/>
      <c r="Q153" s="1131"/>
      <c r="R153" s="1131"/>
      <c r="S153" s="268" t="str">
        <f ca="1">AC153</f>
        <v xml:space="preserve"> </v>
      </c>
      <c r="T153" s="273" t="str">
        <f t="shared" ca="1" si="36"/>
        <v>SWIMMER</v>
      </c>
      <c r="U153" s="273" t="str">
        <f t="shared" ca="1" si="36"/>
        <v>Bianca Gomez-Velasco</v>
      </c>
      <c r="V153" s="273" t="str">
        <f t="shared" ca="1" si="36"/>
        <v>Sophie Lyon</v>
      </c>
      <c r="W153" s="273" t="str">
        <f t="shared" ca="1" si="36"/>
        <v>Mia Nelson</v>
      </c>
      <c r="X153" s="273" t="str">
        <f t="shared" ca="1" si="36"/>
        <v>Amber Curtis</v>
      </c>
      <c r="Y153" s="273" t="str">
        <f t="shared" ca="1" si="36"/>
        <v>Marcie Aley</v>
      </c>
      <c r="Z153" s="273" t="str">
        <f t="shared" ca="1" si="36"/>
        <v>Mina  Safahe</v>
      </c>
      <c r="AA153" s="273" t="str">
        <f t="shared" ca="1" si="36"/>
        <v>Julia Ozen</v>
      </c>
      <c r="AB153" s="273" t="str">
        <f t="shared" ca="1" si="36"/>
        <v xml:space="preserve"> </v>
      </c>
      <c r="AC153" s="273" t="str">
        <f t="shared" ca="1" si="36"/>
        <v xml:space="preserve"> </v>
      </c>
      <c r="AD153" s="1153"/>
      <c r="AE153" s="66"/>
    </row>
    <row r="154" spans="1:31" ht="30" customHeight="1" x14ac:dyDescent="0.3">
      <c r="A154" s="216"/>
      <c r="B154" s="1127"/>
      <c r="C154" s="368" t="s">
        <v>4426</v>
      </c>
      <c r="D154" s="379"/>
      <c r="E154" s="379"/>
      <c r="F154" s="379"/>
      <c r="G154" s="379"/>
      <c r="H154" s="379"/>
      <c r="I154" s="379"/>
      <c r="J154" s="379"/>
      <c r="K154" s="379"/>
      <c r="L154" s="379"/>
      <c r="M154" s="380"/>
      <c r="N154" s="233"/>
      <c r="O154" s="1131"/>
      <c r="P154" s="1131"/>
      <c r="Q154" s="1131"/>
      <c r="R154" s="1131"/>
      <c r="S154" s="268">
        <f ca="1">AC154</f>
        <v>0</v>
      </c>
      <c r="T154" s="273" t="str">
        <f t="shared" ca="1" si="36"/>
        <v>DQ REASON</v>
      </c>
      <c r="U154" s="273">
        <f t="shared" ca="1" si="36"/>
        <v>0</v>
      </c>
      <c r="V154" s="273">
        <f t="shared" ca="1" si="36"/>
        <v>0</v>
      </c>
      <c r="W154" s="273">
        <f t="shared" ca="1" si="36"/>
        <v>0</v>
      </c>
      <c r="X154" s="273">
        <f t="shared" ca="1" si="36"/>
        <v>0</v>
      </c>
      <c r="Y154" s="273">
        <f t="shared" ca="1" si="36"/>
        <v>0</v>
      </c>
      <c r="Z154" s="273">
        <f t="shared" ca="1" si="36"/>
        <v>0</v>
      </c>
      <c r="AA154" s="273">
        <f t="shared" ca="1" si="36"/>
        <v>0</v>
      </c>
      <c r="AB154" s="273">
        <f t="shared" ca="1" si="36"/>
        <v>0</v>
      </c>
      <c r="AC154" s="273">
        <f t="shared" ca="1" si="36"/>
        <v>0</v>
      </c>
      <c r="AD154" s="1153"/>
      <c r="AE154" s="66"/>
    </row>
    <row r="155" spans="1:31" ht="18" customHeight="1" x14ac:dyDescent="0.3">
      <c r="A155" s="216"/>
      <c r="B155" s="1132" t="s">
        <v>4475</v>
      </c>
      <c r="C155" s="369" t="s">
        <v>4422</v>
      </c>
      <c r="D155" s="326">
        <f>'print 10 lane'!J103</f>
        <v>6</v>
      </c>
      <c r="E155" s="327">
        <f>'print 10 lane'!M103</f>
        <v>7</v>
      </c>
      <c r="F155" s="327">
        <f>'print 10 lane'!P103</f>
        <v>1</v>
      </c>
      <c r="G155" s="327">
        <f>'print 10 lane'!S103</f>
        <v>4</v>
      </c>
      <c r="H155" s="327">
        <f>'print 10 lane'!V103</f>
        <v>2</v>
      </c>
      <c r="I155" s="327">
        <f>'print 10 lane'!Y103</f>
        <v>3</v>
      </c>
      <c r="J155" s="327">
        <f>'print 10 lane'!AB103</f>
        <v>5</v>
      </c>
      <c r="K155" s="327">
        <f>'print 10 lane'!AE103</f>
        <v>0</v>
      </c>
      <c r="L155" s="327">
        <f>'print 10 lane'!AH103</f>
        <v>0</v>
      </c>
      <c r="M155" s="328">
        <f>'print 10 lane'!AK103</f>
        <v>0</v>
      </c>
      <c r="N155" s="233"/>
      <c r="O155" s="1131"/>
      <c r="P155" s="1131"/>
      <c r="Q155" s="1131"/>
      <c r="R155" s="1131"/>
      <c r="S155" s="268"/>
      <c r="T155" s="273"/>
      <c r="U155" s="273"/>
      <c r="V155" s="273"/>
      <c r="W155" s="273"/>
      <c r="X155" s="273"/>
      <c r="Y155" s="273"/>
      <c r="Z155" s="273"/>
      <c r="AA155" s="273"/>
      <c r="AB155" s="273"/>
      <c r="AC155" s="273"/>
      <c r="AD155" s="1153"/>
      <c r="AE155" s="66"/>
    </row>
    <row r="156" spans="1:31" ht="22.5" customHeight="1" x14ac:dyDescent="0.3">
      <c r="A156" s="216"/>
      <c r="B156" s="1132"/>
      <c r="C156" s="330" t="s">
        <v>4424</v>
      </c>
      <c r="D156" s="331">
        <v>12095</v>
      </c>
      <c r="E156" s="331">
        <v>12921</v>
      </c>
      <c r="F156" s="331">
        <v>10978</v>
      </c>
      <c r="G156" s="331">
        <v>11692</v>
      </c>
      <c r="H156" s="331">
        <v>11135</v>
      </c>
      <c r="I156" s="331">
        <v>11140</v>
      </c>
      <c r="J156" s="331">
        <v>11786</v>
      </c>
      <c r="K156" s="331"/>
      <c r="L156" s="331"/>
      <c r="M156" s="332"/>
      <c r="N156" s="233"/>
      <c r="O156" s="1131"/>
      <c r="P156" s="1131"/>
      <c r="Q156" s="1131"/>
      <c r="R156" s="1131"/>
      <c r="S156" s="268">
        <f ca="1">AC156</f>
        <v>0</v>
      </c>
      <c r="T156" s="273" t="str">
        <f t="shared" ref="T156:AC158" ca="1" si="37">INDIRECT(ADDRESS(ROW(),T$18))</f>
        <v>TIME</v>
      </c>
      <c r="U156" s="273">
        <f t="shared" ca="1" si="37"/>
        <v>12095</v>
      </c>
      <c r="V156" s="273">
        <f t="shared" ca="1" si="37"/>
        <v>12921</v>
      </c>
      <c r="W156" s="273">
        <f t="shared" ca="1" si="37"/>
        <v>10978</v>
      </c>
      <c r="X156" s="273">
        <f t="shared" ca="1" si="37"/>
        <v>11692</v>
      </c>
      <c r="Y156" s="273">
        <f t="shared" ca="1" si="37"/>
        <v>11135</v>
      </c>
      <c r="Z156" s="273">
        <f t="shared" ca="1" si="37"/>
        <v>11140</v>
      </c>
      <c r="AA156" s="273">
        <f t="shared" ca="1" si="37"/>
        <v>11786</v>
      </c>
      <c r="AB156" s="273">
        <f t="shared" ca="1" si="37"/>
        <v>0</v>
      </c>
      <c r="AC156" s="273">
        <f t="shared" ca="1" si="37"/>
        <v>0</v>
      </c>
      <c r="AD156" s="1153"/>
      <c r="AE156" s="66"/>
    </row>
    <row r="157" spans="1:31" ht="22.5" customHeight="1" x14ac:dyDescent="0.3">
      <c r="A157" s="216"/>
      <c r="B157" s="1129" t="str">
        <f>'Team 1'!B61</f>
        <v>Open/Male 16+ 100m Breaststroke</v>
      </c>
      <c r="C157" s="330" t="s">
        <v>4425</v>
      </c>
      <c r="D157" s="333" t="str">
        <f>'print 10 lane'!I104</f>
        <v>Gabriel Bhonsle</v>
      </c>
      <c r="E157" s="333" t="str">
        <f>'print 10 lane'!L104</f>
        <v>Daniel Humphreys</v>
      </c>
      <c r="F157" s="333" t="str">
        <f>'print 10 lane'!O104</f>
        <v>George Lovelock</v>
      </c>
      <c r="G157" s="333" t="str">
        <f>'print 10 lane'!R104</f>
        <v>Max Waller</v>
      </c>
      <c r="H157" s="333" t="str">
        <f>'print 10 lane'!U104</f>
        <v>Robert Elliston</v>
      </c>
      <c r="I157" s="333" t="str">
        <f>'print 10 lane'!X104</f>
        <v>Wiktor  Brejnak</v>
      </c>
      <c r="J157" s="333" t="str">
        <f>'print 10 lane'!AA104</f>
        <v>Andrew May</v>
      </c>
      <c r="K157" s="333" t="str">
        <f>'print 10 lane'!AD104</f>
        <v xml:space="preserve"> </v>
      </c>
      <c r="L157" s="333" t="str">
        <f>'print 10 lane'!AG104</f>
        <v xml:space="preserve"> </v>
      </c>
      <c r="M157" s="334" t="str">
        <f>'print 10 lane'!AJ104</f>
        <v xml:space="preserve"> </v>
      </c>
      <c r="N157" s="335"/>
      <c r="O157" s="1131"/>
      <c r="P157" s="1131"/>
      <c r="Q157" s="1131"/>
      <c r="R157" s="1131"/>
      <c r="S157" s="268" t="str">
        <f ca="1">AC157</f>
        <v xml:space="preserve"> </v>
      </c>
      <c r="T157" s="273" t="str">
        <f t="shared" ca="1" si="37"/>
        <v>SWIMMER</v>
      </c>
      <c r="U157" s="273" t="str">
        <f t="shared" ca="1" si="37"/>
        <v>Gabriel Bhonsle</v>
      </c>
      <c r="V157" s="273" t="str">
        <f t="shared" ca="1" si="37"/>
        <v>Daniel Humphreys</v>
      </c>
      <c r="W157" s="273" t="str">
        <f t="shared" ca="1" si="37"/>
        <v>George Lovelock</v>
      </c>
      <c r="X157" s="273" t="str">
        <f t="shared" ca="1" si="37"/>
        <v>Max Waller</v>
      </c>
      <c r="Y157" s="273" t="str">
        <f t="shared" ca="1" si="37"/>
        <v>Robert Elliston</v>
      </c>
      <c r="Z157" s="273" t="str">
        <f t="shared" ca="1" si="37"/>
        <v>Wiktor  Brejnak</v>
      </c>
      <c r="AA157" s="273" t="str">
        <f t="shared" ca="1" si="37"/>
        <v>Andrew May</v>
      </c>
      <c r="AB157" s="273" t="str">
        <f t="shared" ca="1" si="37"/>
        <v xml:space="preserve"> </v>
      </c>
      <c r="AC157" s="273" t="str">
        <f t="shared" ca="1" si="37"/>
        <v xml:space="preserve"> </v>
      </c>
      <c r="AD157" s="1153"/>
      <c r="AE157" s="66"/>
    </row>
    <row r="158" spans="1:31" ht="30" customHeight="1" x14ac:dyDescent="0.3">
      <c r="A158" s="216"/>
      <c r="B158" s="1129"/>
      <c r="C158" s="364" t="s">
        <v>4426</v>
      </c>
      <c r="D158" s="365"/>
      <c r="E158" s="365"/>
      <c r="F158" s="365"/>
      <c r="G158" s="365"/>
      <c r="H158" s="365"/>
      <c r="I158" s="365"/>
      <c r="J158" s="365"/>
      <c r="K158" s="365"/>
      <c r="L158" s="365"/>
      <c r="M158" s="366"/>
      <c r="N158" s="233"/>
      <c r="O158" s="1131"/>
      <c r="P158" s="1131"/>
      <c r="Q158" s="1131"/>
      <c r="R158" s="1131"/>
      <c r="S158" s="268">
        <f ca="1">AC158</f>
        <v>0</v>
      </c>
      <c r="T158" s="273" t="str">
        <f t="shared" ca="1" si="37"/>
        <v>DQ REASON</v>
      </c>
      <c r="U158" s="273">
        <f t="shared" ca="1" si="37"/>
        <v>0</v>
      </c>
      <c r="V158" s="273">
        <f t="shared" ca="1" si="37"/>
        <v>0</v>
      </c>
      <c r="W158" s="273">
        <f t="shared" ca="1" si="37"/>
        <v>0</v>
      </c>
      <c r="X158" s="273">
        <f t="shared" ca="1" si="37"/>
        <v>0</v>
      </c>
      <c r="Y158" s="273">
        <f t="shared" ca="1" si="37"/>
        <v>0</v>
      </c>
      <c r="Z158" s="273">
        <f t="shared" ca="1" si="37"/>
        <v>0</v>
      </c>
      <c r="AA158" s="273">
        <f t="shared" ca="1" si="37"/>
        <v>0</v>
      </c>
      <c r="AB158" s="273">
        <f t="shared" ca="1" si="37"/>
        <v>0</v>
      </c>
      <c r="AC158" s="273">
        <f t="shared" ca="1" si="37"/>
        <v>0</v>
      </c>
      <c r="AD158" s="1153"/>
      <c r="AE158" s="66"/>
    </row>
    <row r="159" spans="1:31" ht="18" customHeight="1" x14ac:dyDescent="0.3">
      <c r="A159" s="216"/>
      <c r="B159" s="1130" t="s">
        <v>4476</v>
      </c>
      <c r="C159" s="367" t="s">
        <v>4422</v>
      </c>
      <c r="D159" s="352">
        <f>'print 10 lane'!J106</f>
        <v>1</v>
      </c>
      <c r="E159" s="353">
        <f>'print 10 lane'!M106</f>
        <v>6</v>
      </c>
      <c r="F159" s="353">
        <f>'print 10 lane'!P106</f>
        <v>4</v>
      </c>
      <c r="G159" s="353">
        <f>'print 10 lane'!S106</f>
        <v>2</v>
      </c>
      <c r="H159" s="353">
        <f>'print 10 lane'!V106</f>
        <v>3</v>
      </c>
      <c r="I159" s="353">
        <f>'print 10 lane'!Y106</f>
        <v>7</v>
      </c>
      <c r="J159" s="353">
        <f>'print 10 lane'!AB106</f>
        <v>5</v>
      </c>
      <c r="K159" s="353">
        <f>'print 10 lane'!AE106</f>
        <v>0</v>
      </c>
      <c r="L159" s="353">
        <f>'print 10 lane'!AH106</f>
        <v>0</v>
      </c>
      <c r="M159" s="354">
        <f>'print 10 lane'!AK106</f>
        <v>0</v>
      </c>
      <c r="N159" s="233"/>
      <c r="O159" s="1133" t="s">
        <v>4430</v>
      </c>
      <c r="P159" s="1133"/>
      <c r="Q159" s="1133"/>
      <c r="R159" s="1133"/>
      <c r="S159" s="268"/>
      <c r="T159" s="273"/>
      <c r="U159" s="273"/>
      <c r="V159" s="273"/>
      <c r="W159" s="273"/>
      <c r="X159" s="273"/>
      <c r="Y159" s="273"/>
      <c r="Z159" s="273"/>
      <c r="AA159" s="273"/>
      <c r="AB159" s="273"/>
      <c r="AC159" s="273"/>
      <c r="AD159" s="1153"/>
      <c r="AE159" s="66"/>
    </row>
    <row r="160" spans="1:31" ht="22.5" customHeight="1" x14ac:dyDescent="0.3">
      <c r="A160" s="216"/>
      <c r="B160" s="1130"/>
      <c r="C160" s="310" t="s">
        <v>4424</v>
      </c>
      <c r="D160" s="311">
        <v>3453</v>
      </c>
      <c r="E160" s="312">
        <v>3869</v>
      </c>
      <c r="F160" s="312">
        <v>3751</v>
      </c>
      <c r="G160" s="312">
        <v>3626</v>
      </c>
      <c r="H160" s="312">
        <v>3694</v>
      </c>
      <c r="I160" s="312">
        <v>4113</v>
      </c>
      <c r="J160" s="312">
        <v>3845</v>
      </c>
      <c r="K160" s="312"/>
      <c r="L160" s="312"/>
      <c r="M160" s="313"/>
      <c r="N160" s="233"/>
      <c r="O160" s="1133"/>
      <c r="P160" s="1133"/>
      <c r="Q160" s="1133"/>
      <c r="R160" s="1133"/>
      <c r="S160" s="268">
        <f ca="1">AC160</f>
        <v>0</v>
      </c>
      <c r="T160" s="273" t="str">
        <f t="shared" ref="T160:AC162" ca="1" si="38">INDIRECT(ADDRESS(ROW(),T$18))</f>
        <v>TIME</v>
      </c>
      <c r="U160" s="273">
        <f t="shared" ca="1" si="38"/>
        <v>3453</v>
      </c>
      <c r="V160" s="273">
        <f t="shared" ca="1" si="38"/>
        <v>3869</v>
      </c>
      <c r="W160" s="273">
        <f t="shared" ca="1" si="38"/>
        <v>3751</v>
      </c>
      <c r="X160" s="273">
        <f t="shared" ca="1" si="38"/>
        <v>3626</v>
      </c>
      <c r="Y160" s="273">
        <f t="shared" ca="1" si="38"/>
        <v>3694</v>
      </c>
      <c r="Z160" s="273">
        <f t="shared" ca="1" si="38"/>
        <v>4113</v>
      </c>
      <c r="AA160" s="273">
        <f t="shared" ca="1" si="38"/>
        <v>3845</v>
      </c>
      <c r="AB160" s="273">
        <f t="shared" ca="1" si="38"/>
        <v>0</v>
      </c>
      <c r="AC160" s="273">
        <f t="shared" ca="1" si="38"/>
        <v>0</v>
      </c>
      <c r="AD160" s="1153"/>
      <c r="AE160" s="66"/>
    </row>
    <row r="161" spans="1:31" ht="22.5" customHeight="1" x14ac:dyDescent="0.3">
      <c r="A161" s="216"/>
      <c r="B161" s="1127" t="str">
        <f>'Team 1'!B62</f>
        <v>Female 10/11 50m Freestyle</v>
      </c>
      <c r="C161" s="310" t="s">
        <v>4425</v>
      </c>
      <c r="D161" s="317" t="str">
        <f>'print 10 lane'!I107</f>
        <v>Claudia Savov</v>
      </c>
      <c r="E161" s="317" t="str">
        <f>'print 10 lane'!L107</f>
        <v>Annabelle Harris</v>
      </c>
      <c r="F161" s="317" t="str">
        <f>'print 10 lane'!O107</f>
        <v>Scarlett Omand</v>
      </c>
      <c r="G161" s="317" t="str">
        <f>'print 10 lane'!R107</f>
        <v>Chelsea Dare</v>
      </c>
      <c r="H161" s="317" t="str">
        <f>'print 10 lane'!U107</f>
        <v>Maisie Cooper</v>
      </c>
      <c r="I161" s="317" t="str">
        <f>'print 10 lane'!X107</f>
        <v>Mahika Chandrashekar</v>
      </c>
      <c r="J161" s="317" t="str">
        <f>'print 10 lane'!AA107</f>
        <v>Arabella Connick</v>
      </c>
      <c r="K161" s="317" t="str">
        <f>'print 10 lane'!AD107</f>
        <v xml:space="preserve"> </v>
      </c>
      <c r="L161" s="317" t="str">
        <f>'print 10 lane'!AG107</f>
        <v xml:space="preserve"> </v>
      </c>
      <c r="M161" s="316" t="str">
        <f>'print 10 lane'!AJ107</f>
        <v xml:space="preserve"> </v>
      </c>
      <c r="N161" s="335"/>
      <c r="O161" s="1133"/>
      <c r="P161" s="1133"/>
      <c r="Q161" s="1133"/>
      <c r="R161" s="1133"/>
      <c r="S161" s="268" t="str">
        <f ca="1">AC161</f>
        <v xml:space="preserve"> </v>
      </c>
      <c r="T161" s="273" t="str">
        <f t="shared" ca="1" si="38"/>
        <v>SWIMMER</v>
      </c>
      <c r="U161" s="273" t="str">
        <f t="shared" ca="1" si="38"/>
        <v>Claudia Savov</v>
      </c>
      <c r="V161" s="273" t="str">
        <f t="shared" ca="1" si="38"/>
        <v>Annabelle Harris</v>
      </c>
      <c r="W161" s="273" t="str">
        <f t="shared" ca="1" si="38"/>
        <v>Scarlett Omand</v>
      </c>
      <c r="X161" s="273" t="str">
        <f t="shared" ca="1" si="38"/>
        <v>Chelsea Dare</v>
      </c>
      <c r="Y161" s="273" t="str">
        <f t="shared" ca="1" si="38"/>
        <v>Maisie Cooper</v>
      </c>
      <c r="Z161" s="273" t="str">
        <f t="shared" ca="1" si="38"/>
        <v>Mahika Chandrashekar</v>
      </c>
      <c r="AA161" s="273" t="str">
        <f t="shared" ca="1" si="38"/>
        <v>Arabella Connick</v>
      </c>
      <c r="AB161" s="273" t="str">
        <f t="shared" ca="1" si="38"/>
        <v xml:space="preserve"> </v>
      </c>
      <c r="AC161" s="273" t="str">
        <f t="shared" ca="1" si="38"/>
        <v xml:space="preserve"> </v>
      </c>
      <c r="AD161" s="1153"/>
      <c r="AE161" s="66"/>
    </row>
    <row r="162" spans="1:31" ht="30" customHeight="1" x14ac:dyDescent="0.3">
      <c r="A162" s="216"/>
      <c r="B162" s="1127"/>
      <c r="C162" s="368" t="s">
        <v>4426</v>
      </c>
      <c r="D162" s="379"/>
      <c r="E162" s="379"/>
      <c r="F162" s="379"/>
      <c r="G162" s="379"/>
      <c r="H162" s="379"/>
      <c r="I162" s="379"/>
      <c r="J162" s="379"/>
      <c r="K162" s="379"/>
      <c r="L162" s="379"/>
      <c r="M162" s="380"/>
      <c r="N162" s="233"/>
      <c r="O162" s="1133"/>
      <c r="P162" s="1133"/>
      <c r="Q162" s="1133"/>
      <c r="R162" s="1133"/>
      <c r="S162" s="268">
        <f ca="1">AC162</f>
        <v>0</v>
      </c>
      <c r="T162" s="273" t="str">
        <f t="shared" ca="1" si="38"/>
        <v>DQ REASON</v>
      </c>
      <c r="U162" s="273">
        <f t="shared" ca="1" si="38"/>
        <v>0</v>
      </c>
      <c r="V162" s="273">
        <f t="shared" ca="1" si="38"/>
        <v>0</v>
      </c>
      <c r="W162" s="273">
        <f t="shared" ca="1" si="38"/>
        <v>0</v>
      </c>
      <c r="X162" s="273">
        <f t="shared" ca="1" si="38"/>
        <v>0</v>
      </c>
      <c r="Y162" s="273">
        <f t="shared" ca="1" si="38"/>
        <v>0</v>
      </c>
      <c r="Z162" s="273">
        <f t="shared" ca="1" si="38"/>
        <v>0</v>
      </c>
      <c r="AA162" s="273">
        <f t="shared" ca="1" si="38"/>
        <v>0</v>
      </c>
      <c r="AB162" s="273">
        <f t="shared" ca="1" si="38"/>
        <v>0</v>
      </c>
      <c r="AC162" s="273">
        <f t="shared" ca="1" si="38"/>
        <v>0</v>
      </c>
      <c r="AD162" s="1153"/>
      <c r="AE162" s="66"/>
    </row>
    <row r="163" spans="1:31" ht="18" customHeight="1" x14ac:dyDescent="0.3">
      <c r="A163" s="216"/>
      <c r="B163" s="1132" t="s">
        <v>4477</v>
      </c>
      <c r="C163" s="369" t="s">
        <v>4422</v>
      </c>
      <c r="D163" s="326">
        <f>'print 10 lane'!J109</f>
        <v>7</v>
      </c>
      <c r="E163" s="327">
        <f>'print 10 lane'!M109</f>
        <v>5</v>
      </c>
      <c r="F163" s="327">
        <f>'print 10 lane'!P109</f>
        <v>4</v>
      </c>
      <c r="G163" s="327">
        <f>'print 10 lane'!S109</f>
        <v>3</v>
      </c>
      <c r="H163" s="327">
        <f>'print 10 lane'!V109</f>
        <v>1</v>
      </c>
      <c r="I163" s="327">
        <f>'print 10 lane'!Y109</f>
        <v>2</v>
      </c>
      <c r="J163" s="327">
        <f>'print 10 lane'!AB109</f>
        <v>6</v>
      </c>
      <c r="K163" s="327">
        <f>'print 10 lane'!AE109</f>
        <v>0</v>
      </c>
      <c r="L163" s="327">
        <f>'print 10 lane'!AH109</f>
        <v>0</v>
      </c>
      <c r="M163" s="328">
        <f>'print 10 lane'!AK109</f>
        <v>0</v>
      </c>
      <c r="N163" s="233"/>
      <c r="O163" s="1133"/>
      <c r="P163" s="1133"/>
      <c r="Q163" s="1133"/>
      <c r="R163" s="1133"/>
      <c r="S163" s="268"/>
      <c r="T163" s="273"/>
      <c r="U163" s="273"/>
      <c r="V163" s="273"/>
      <c r="W163" s="273"/>
      <c r="X163" s="273"/>
      <c r="Y163" s="273"/>
      <c r="Z163" s="273"/>
      <c r="AA163" s="273"/>
      <c r="AB163" s="273"/>
      <c r="AC163" s="273"/>
      <c r="AD163" s="1153"/>
      <c r="AE163" s="66"/>
    </row>
    <row r="164" spans="1:31" ht="22.5" customHeight="1" x14ac:dyDescent="0.3">
      <c r="A164" s="216"/>
      <c r="B164" s="1132"/>
      <c r="C164" s="330" t="s">
        <v>4424</v>
      </c>
      <c r="D164" s="331">
        <v>4586</v>
      </c>
      <c r="E164" s="331">
        <v>3845</v>
      </c>
      <c r="F164" s="331">
        <v>3803</v>
      </c>
      <c r="G164" s="331">
        <v>3663</v>
      </c>
      <c r="H164" s="331">
        <v>3539</v>
      </c>
      <c r="I164" s="331">
        <v>3541</v>
      </c>
      <c r="J164" s="331">
        <v>4362</v>
      </c>
      <c r="K164" s="331"/>
      <c r="L164" s="331"/>
      <c r="M164" s="382"/>
      <c r="N164" s="233"/>
      <c r="O164" s="376"/>
      <c r="P164" s="376"/>
      <c r="Q164" s="383"/>
      <c r="R164" s="376"/>
      <c r="S164" s="268">
        <f ca="1">AC164</f>
        <v>0</v>
      </c>
      <c r="T164" s="273" t="str">
        <f t="shared" ref="T164:AC166" ca="1" si="39">INDIRECT(ADDRESS(ROW(),T$18))</f>
        <v>TIME</v>
      </c>
      <c r="U164" s="273">
        <f t="shared" ca="1" si="39"/>
        <v>4586</v>
      </c>
      <c r="V164" s="273">
        <f t="shared" ca="1" si="39"/>
        <v>3845</v>
      </c>
      <c r="W164" s="273">
        <f t="shared" ca="1" si="39"/>
        <v>3803</v>
      </c>
      <c r="X164" s="273">
        <f t="shared" ca="1" si="39"/>
        <v>3663</v>
      </c>
      <c r="Y164" s="273">
        <f t="shared" ca="1" si="39"/>
        <v>3539</v>
      </c>
      <c r="Z164" s="273">
        <f t="shared" ca="1" si="39"/>
        <v>3541</v>
      </c>
      <c r="AA164" s="273">
        <f t="shared" ca="1" si="39"/>
        <v>4362</v>
      </c>
      <c r="AB164" s="273">
        <f t="shared" ca="1" si="39"/>
        <v>0</v>
      </c>
      <c r="AC164" s="273">
        <f t="shared" ca="1" si="39"/>
        <v>0</v>
      </c>
      <c r="AD164" s="1153"/>
      <c r="AE164" s="66"/>
    </row>
    <row r="165" spans="1:31" ht="22.5" customHeight="1" x14ac:dyDescent="0.3">
      <c r="A165" s="216"/>
      <c r="B165" s="1129" t="str">
        <f>'Team 1'!B63</f>
        <v>Open/Male 10/11 50m Freestyle</v>
      </c>
      <c r="C165" s="330" t="s">
        <v>4425</v>
      </c>
      <c r="D165" s="333" t="str">
        <f>'print 10 lane'!I110</f>
        <v>Kornel Kern-Konyar</v>
      </c>
      <c r="E165" s="333" t="str">
        <f>'print 10 lane'!L110</f>
        <v>Alex Cash</v>
      </c>
      <c r="F165" s="333" t="str">
        <f>'print 10 lane'!O110</f>
        <v>Fabio Giambrone</v>
      </c>
      <c r="G165" s="333" t="str">
        <f>'print 10 lane'!R110</f>
        <v>James Mohammed</v>
      </c>
      <c r="H165" s="333" t="str">
        <f>'print 10 lane'!U110</f>
        <v>Braden Barnacle</v>
      </c>
      <c r="I165" s="333" t="str">
        <f>'print 10 lane'!X110</f>
        <v>Mikhail Fedorov</v>
      </c>
      <c r="J165" s="333" t="str">
        <f>'print 10 lane'!AA110</f>
        <v>Arush Agarwal</v>
      </c>
      <c r="K165" s="333" t="str">
        <f>'print 10 lane'!AD110</f>
        <v xml:space="preserve"> </v>
      </c>
      <c r="L165" s="333" t="str">
        <f>'print 10 lane'!AG110</f>
        <v xml:space="preserve"> </v>
      </c>
      <c r="M165" s="334" t="str">
        <f>'print 10 lane'!AJ110</f>
        <v xml:space="preserve"> </v>
      </c>
      <c r="N165" s="335"/>
      <c r="O165" s="363"/>
      <c r="P165" s="363"/>
      <c r="Q165" s="363"/>
      <c r="R165" s="363"/>
      <c r="S165" s="268" t="str">
        <f ca="1">AC165</f>
        <v xml:space="preserve"> </v>
      </c>
      <c r="T165" s="273" t="str">
        <f t="shared" ca="1" si="39"/>
        <v>SWIMMER</v>
      </c>
      <c r="U165" s="273" t="str">
        <f t="shared" ca="1" si="39"/>
        <v>Kornel Kern-Konyar</v>
      </c>
      <c r="V165" s="273" t="str">
        <f t="shared" ca="1" si="39"/>
        <v>Alex Cash</v>
      </c>
      <c r="W165" s="273" t="str">
        <f t="shared" ca="1" si="39"/>
        <v>Fabio Giambrone</v>
      </c>
      <c r="X165" s="273" t="str">
        <f t="shared" ca="1" si="39"/>
        <v>James Mohammed</v>
      </c>
      <c r="Y165" s="273" t="str">
        <f t="shared" ca="1" si="39"/>
        <v>Braden Barnacle</v>
      </c>
      <c r="Z165" s="273" t="str">
        <f t="shared" ca="1" si="39"/>
        <v>Mikhail Fedorov</v>
      </c>
      <c r="AA165" s="273" t="str">
        <f t="shared" ca="1" si="39"/>
        <v>Arush Agarwal</v>
      </c>
      <c r="AB165" s="273" t="str">
        <f t="shared" ca="1" si="39"/>
        <v xml:space="preserve"> </v>
      </c>
      <c r="AC165" s="273" t="str">
        <f t="shared" ca="1" si="39"/>
        <v xml:space="preserve"> </v>
      </c>
      <c r="AD165" s="1153"/>
      <c r="AE165" s="66"/>
    </row>
    <row r="166" spans="1:31" ht="30" customHeight="1" x14ac:dyDescent="0.3">
      <c r="A166" s="216"/>
      <c r="B166" s="1129"/>
      <c r="C166" s="364" t="s">
        <v>4426</v>
      </c>
      <c r="D166" s="365"/>
      <c r="E166" s="365"/>
      <c r="F166" s="365"/>
      <c r="G166" s="365"/>
      <c r="H166" s="365"/>
      <c r="I166" s="365"/>
      <c r="J166" s="365"/>
      <c r="K166" s="365"/>
      <c r="L166" s="365"/>
      <c r="M166" s="366"/>
      <c r="N166" s="233"/>
      <c r="O166" s="363"/>
      <c r="P166" s="363"/>
      <c r="Q166" s="363"/>
      <c r="R166" s="363"/>
      <c r="S166" s="268">
        <f ca="1">AC166</f>
        <v>0</v>
      </c>
      <c r="T166" s="273" t="str">
        <f t="shared" ca="1" si="39"/>
        <v>DQ REASON</v>
      </c>
      <c r="U166" s="273">
        <f t="shared" ca="1" si="39"/>
        <v>0</v>
      </c>
      <c r="V166" s="273">
        <f t="shared" ca="1" si="39"/>
        <v>0</v>
      </c>
      <c r="W166" s="273">
        <f t="shared" ca="1" si="39"/>
        <v>0</v>
      </c>
      <c r="X166" s="273">
        <f t="shared" ca="1" si="39"/>
        <v>0</v>
      </c>
      <c r="Y166" s="273">
        <f t="shared" ca="1" si="39"/>
        <v>0</v>
      </c>
      <c r="Z166" s="273">
        <f t="shared" ca="1" si="39"/>
        <v>0</v>
      </c>
      <c r="AA166" s="273">
        <f t="shared" ca="1" si="39"/>
        <v>0</v>
      </c>
      <c r="AB166" s="273">
        <f t="shared" ca="1" si="39"/>
        <v>0</v>
      </c>
      <c r="AC166" s="273">
        <f t="shared" ca="1" si="39"/>
        <v>0</v>
      </c>
      <c r="AD166" s="1153"/>
      <c r="AE166" s="66"/>
    </row>
    <row r="167" spans="1:31" ht="18" customHeight="1" x14ac:dyDescent="0.3">
      <c r="A167" s="216"/>
      <c r="B167" s="1130" t="s">
        <v>4478</v>
      </c>
      <c r="C167" s="367" t="s">
        <v>4422</v>
      </c>
      <c r="D167" s="352">
        <f>'print 10 lane'!J112</f>
        <v>3</v>
      </c>
      <c r="E167" s="353">
        <f>'print 10 lane'!M112</f>
        <v>7</v>
      </c>
      <c r="F167" s="353">
        <f>'print 10 lane'!P112</f>
        <v>2</v>
      </c>
      <c r="G167" s="353">
        <f>'print 10 lane'!S112</f>
        <v>1</v>
      </c>
      <c r="H167" s="353">
        <f>'print 10 lane'!V112</f>
        <v>5</v>
      </c>
      <c r="I167" s="353">
        <f>'print 10 lane'!Y112</f>
        <v>4</v>
      </c>
      <c r="J167" s="353">
        <f>'print 10 lane'!AB112</f>
        <v>6</v>
      </c>
      <c r="K167" s="353">
        <f>'print 10 lane'!AE112</f>
        <v>0</v>
      </c>
      <c r="L167" s="353">
        <f>'print 10 lane'!AH112</f>
        <v>0</v>
      </c>
      <c r="M167" s="354">
        <f>'print 10 lane'!AK112</f>
        <v>0</v>
      </c>
      <c r="N167" s="233"/>
      <c r="O167" s="363"/>
      <c r="P167" s="363"/>
      <c r="Q167" s="363"/>
      <c r="R167" s="363"/>
      <c r="S167" s="268"/>
      <c r="T167" s="273"/>
      <c r="U167" s="273"/>
      <c r="V167" s="273"/>
      <c r="W167" s="273"/>
      <c r="X167" s="273"/>
      <c r="Y167" s="273"/>
      <c r="Z167" s="273"/>
      <c r="AA167" s="273"/>
      <c r="AB167" s="273"/>
      <c r="AC167" s="273"/>
      <c r="AD167" s="1153"/>
      <c r="AE167" s="66"/>
    </row>
    <row r="168" spans="1:31" ht="22.5" customHeight="1" x14ac:dyDescent="0.3">
      <c r="A168" s="216"/>
      <c r="B168" s="1130"/>
      <c r="C168" s="310" t="s">
        <v>4424</v>
      </c>
      <c r="D168" s="311">
        <v>10958</v>
      </c>
      <c r="E168" s="312">
        <v>11141</v>
      </c>
      <c r="F168" s="312">
        <v>10629</v>
      </c>
      <c r="G168" s="312">
        <v>10570</v>
      </c>
      <c r="H168" s="312">
        <v>10985</v>
      </c>
      <c r="I168" s="312">
        <v>10984</v>
      </c>
      <c r="J168" s="312">
        <v>11061</v>
      </c>
      <c r="K168" s="312"/>
      <c r="L168" s="312"/>
      <c r="M168" s="313"/>
      <c r="N168" s="233"/>
      <c r="O168" s="1131"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68" s="1131"/>
      <c r="Q168" s="1131"/>
      <c r="R168" s="1131"/>
      <c r="S168" s="268">
        <f ca="1">AC168</f>
        <v>0</v>
      </c>
      <c r="T168" s="273" t="str">
        <f t="shared" ref="T168:AC170" ca="1" si="40">INDIRECT(ADDRESS(ROW(),T$18))</f>
        <v>TIME</v>
      </c>
      <c r="U168" s="273">
        <f t="shared" ca="1" si="40"/>
        <v>10958</v>
      </c>
      <c r="V168" s="273">
        <f t="shared" ca="1" si="40"/>
        <v>11141</v>
      </c>
      <c r="W168" s="273">
        <f t="shared" ca="1" si="40"/>
        <v>10629</v>
      </c>
      <c r="X168" s="273">
        <f t="shared" ca="1" si="40"/>
        <v>10570</v>
      </c>
      <c r="Y168" s="273">
        <f t="shared" ca="1" si="40"/>
        <v>10985</v>
      </c>
      <c r="Z168" s="273">
        <f t="shared" ca="1" si="40"/>
        <v>10984</v>
      </c>
      <c r="AA168" s="273">
        <f t="shared" ca="1" si="40"/>
        <v>11061</v>
      </c>
      <c r="AB168" s="273">
        <f t="shared" ca="1" si="40"/>
        <v>0</v>
      </c>
      <c r="AC168" s="273">
        <f t="shared" ca="1" si="40"/>
        <v>0</v>
      </c>
      <c r="AD168" s="1153"/>
      <c r="AE168" s="66"/>
    </row>
    <row r="169" spans="1:31" ht="22.5" customHeight="1" x14ac:dyDescent="0.3">
      <c r="A169" s="216"/>
      <c r="B169" s="1127" t="str">
        <f>'Team 1'!B64</f>
        <v>Female 13/U 100m Freestyle</v>
      </c>
      <c r="C169" s="310" t="s">
        <v>4425</v>
      </c>
      <c r="D169" s="317" t="str">
        <f>'print 10 lane'!I113</f>
        <v>Amy Hanson</v>
      </c>
      <c r="E169" s="317" t="str">
        <f>'print 10 lane'!L113</f>
        <v>Gracie Fleming-Jacobs</v>
      </c>
      <c r="F169" s="317" t="str">
        <f>'print 10 lane'!O113</f>
        <v>Mia Nelson</v>
      </c>
      <c r="G169" s="317" t="str">
        <f>'print 10 lane'!R113</f>
        <v>Annabella Cojeen</v>
      </c>
      <c r="H169" s="317" t="str">
        <f>'print 10 lane'!U113</f>
        <v>Aimee Baker</v>
      </c>
      <c r="I169" s="317" t="str">
        <f>'print 10 lane'!X113</f>
        <v>Polina Fedorova</v>
      </c>
      <c r="J169" s="317" t="str">
        <f>'print 10 lane'!AA113</f>
        <v>Vaari Mepani</v>
      </c>
      <c r="K169" s="317" t="str">
        <f>'print 10 lane'!AD113</f>
        <v xml:space="preserve"> </v>
      </c>
      <c r="L169" s="317" t="str">
        <f>'print 10 lane'!AG113</f>
        <v xml:space="preserve"> </v>
      </c>
      <c r="M169" s="316" t="str">
        <f>'print 10 lane'!AJ113</f>
        <v xml:space="preserve"> </v>
      </c>
      <c r="N169" s="335"/>
      <c r="O169" s="1131"/>
      <c r="P169" s="1131"/>
      <c r="Q169" s="1131"/>
      <c r="R169" s="1131"/>
      <c r="S169" s="268" t="str">
        <f ca="1">AC169</f>
        <v xml:space="preserve"> </v>
      </c>
      <c r="T169" s="273" t="str">
        <f t="shared" ca="1" si="40"/>
        <v>SWIMMER</v>
      </c>
      <c r="U169" s="273" t="str">
        <f t="shared" ca="1" si="40"/>
        <v>Amy Hanson</v>
      </c>
      <c r="V169" s="273" t="str">
        <f t="shared" ca="1" si="40"/>
        <v>Gracie Fleming-Jacobs</v>
      </c>
      <c r="W169" s="273" t="str">
        <f t="shared" ca="1" si="40"/>
        <v>Mia Nelson</v>
      </c>
      <c r="X169" s="273" t="str">
        <f t="shared" ca="1" si="40"/>
        <v>Annabella Cojeen</v>
      </c>
      <c r="Y169" s="273" t="str">
        <f t="shared" ca="1" si="40"/>
        <v>Aimee Baker</v>
      </c>
      <c r="Z169" s="273" t="str">
        <f t="shared" ca="1" si="40"/>
        <v>Polina Fedorova</v>
      </c>
      <c r="AA169" s="273" t="str">
        <f t="shared" ca="1" si="40"/>
        <v>Vaari Mepani</v>
      </c>
      <c r="AB169" s="273" t="str">
        <f t="shared" ca="1" si="40"/>
        <v xml:space="preserve"> </v>
      </c>
      <c r="AC169" s="273" t="str">
        <f t="shared" ca="1" si="40"/>
        <v xml:space="preserve"> </v>
      </c>
      <c r="AD169" s="1153"/>
      <c r="AE169" s="66"/>
    </row>
    <row r="170" spans="1:31" ht="30" customHeight="1" x14ac:dyDescent="0.3">
      <c r="A170" s="216"/>
      <c r="B170" s="1127"/>
      <c r="C170" s="368" t="s">
        <v>4426</v>
      </c>
      <c r="D170" s="379"/>
      <c r="E170" s="379"/>
      <c r="F170" s="379"/>
      <c r="G170" s="379"/>
      <c r="H170" s="379"/>
      <c r="I170" s="379"/>
      <c r="J170" s="379"/>
      <c r="K170" s="379"/>
      <c r="L170" s="379"/>
      <c r="M170" s="380"/>
      <c r="N170" s="233"/>
      <c r="O170" s="1131"/>
      <c r="P170" s="1131"/>
      <c r="Q170" s="1131"/>
      <c r="R170" s="1131"/>
      <c r="S170" s="268">
        <f ca="1">AC170</f>
        <v>0</v>
      </c>
      <c r="T170" s="273" t="str">
        <f t="shared" ca="1" si="40"/>
        <v>DQ REASON</v>
      </c>
      <c r="U170" s="273">
        <f t="shared" ca="1" si="40"/>
        <v>0</v>
      </c>
      <c r="V170" s="273">
        <f t="shared" ca="1" si="40"/>
        <v>0</v>
      </c>
      <c r="W170" s="273">
        <f t="shared" ca="1" si="40"/>
        <v>0</v>
      </c>
      <c r="X170" s="273">
        <f t="shared" ca="1" si="40"/>
        <v>0</v>
      </c>
      <c r="Y170" s="273">
        <f t="shared" ca="1" si="40"/>
        <v>0</v>
      </c>
      <c r="Z170" s="273">
        <f t="shared" ca="1" si="40"/>
        <v>0</v>
      </c>
      <c r="AA170" s="273">
        <f t="shared" ca="1" si="40"/>
        <v>0</v>
      </c>
      <c r="AB170" s="273">
        <f t="shared" ca="1" si="40"/>
        <v>0</v>
      </c>
      <c r="AC170" s="273">
        <f t="shared" ca="1" si="40"/>
        <v>0</v>
      </c>
      <c r="AD170" s="1153"/>
      <c r="AE170" s="66"/>
    </row>
    <row r="171" spans="1:31" ht="18" customHeight="1" x14ac:dyDescent="0.3">
      <c r="A171" s="216"/>
      <c r="B171" s="1132" t="s">
        <v>4479</v>
      </c>
      <c r="C171" s="369" t="s">
        <v>4422</v>
      </c>
      <c r="D171" s="326">
        <f>'print 10 lane'!J115</f>
        <v>3</v>
      </c>
      <c r="E171" s="327">
        <f>'print 10 lane'!M115</f>
        <v>4</v>
      </c>
      <c r="F171" s="327">
        <f>'print 10 lane'!P115</f>
        <v>5</v>
      </c>
      <c r="G171" s="327">
        <f>'print 10 lane'!S115</f>
        <v>6</v>
      </c>
      <c r="H171" s="327">
        <f>'print 10 lane'!V115</f>
        <v>7</v>
      </c>
      <c r="I171" s="327">
        <f>'print 10 lane'!Y115</f>
        <v>1</v>
      </c>
      <c r="J171" s="327">
        <f>'print 10 lane'!AB115</f>
        <v>2</v>
      </c>
      <c r="K171" s="327">
        <f>'print 10 lane'!AE115</f>
        <v>0</v>
      </c>
      <c r="L171" s="327">
        <f>'print 10 lane'!AH115</f>
        <v>0</v>
      </c>
      <c r="M171" s="328">
        <f>'print 10 lane'!AK115</f>
        <v>0</v>
      </c>
      <c r="N171" s="233"/>
      <c r="O171" s="1131"/>
      <c r="P171" s="1131"/>
      <c r="Q171" s="1131"/>
      <c r="R171" s="1131"/>
      <c r="S171" s="268"/>
      <c r="T171" s="273"/>
      <c r="U171" s="273"/>
      <c r="V171" s="273"/>
      <c r="W171" s="273"/>
      <c r="X171" s="273"/>
      <c r="Y171" s="273"/>
      <c r="Z171" s="273"/>
      <c r="AA171" s="273"/>
      <c r="AB171" s="273"/>
      <c r="AC171" s="273"/>
      <c r="AD171" s="1153"/>
      <c r="AE171" s="66"/>
    </row>
    <row r="172" spans="1:31" ht="22.5" customHeight="1" x14ac:dyDescent="0.3">
      <c r="A172" s="216"/>
      <c r="B172" s="1132"/>
      <c r="C172" s="330" t="s">
        <v>4424</v>
      </c>
      <c r="D172" s="331">
        <v>10530</v>
      </c>
      <c r="E172" s="331">
        <v>10589</v>
      </c>
      <c r="F172" s="331">
        <v>10647</v>
      </c>
      <c r="G172" s="331">
        <v>10990</v>
      </c>
      <c r="H172" s="331">
        <v>12206</v>
      </c>
      <c r="I172" s="331">
        <v>10212</v>
      </c>
      <c r="J172" s="331">
        <v>10398</v>
      </c>
      <c r="K172" s="331"/>
      <c r="L172" s="331"/>
      <c r="M172" s="332"/>
      <c r="N172" s="233"/>
      <c r="O172" s="1131"/>
      <c r="P172" s="1131"/>
      <c r="Q172" s="1131"/>
      <c r="R172" s="1131"/>
      <c r="S172" s="268">
        <f ca="1">AC172</f>
        <v>0</v>
      </c>
      <c r="T172" s="273" t="str">
        <f t="shared" ref="T172:AC174" ca="1" si="41">INDIRECT(ADDRESS(ROW(),T$18))</f>
        <v>TIME</v>
      </c>
      <c r="U172" s="273">
        <f t="shared" ca="1" si="41"/>
        <v>10530</v>
      </c>
      <c r="V172" s="273">
        <f t="shared" ca="1" si="41"/>
        <v>10589</v>
      </c>
      <c r="W172" s="273">
        <f t="shared" ca="1" si="41"/>
        <v>10647</v>
      </c>
      <c r="X172" s="273">
        <f t="shared" ca="1" si="41"/>
        <v>10990</v>
      </c>
      <c r="Y172" s="273">
        <f t="shared" ca="1" si="41"/>
        <v>12206</v>
      </c>
      <c r="Z172" s="273">
        <f t="shared" ca="1" si="41"/>
        <v>10212</v>
      </c>
      <c r="AA172" s="273">
        <f t="shared" ca="1" si="41"/>
        <v>10398</v>
      </c>
      <c r="AB172" s="273">
        <f t="shared" ca="1" si="41"/>
        <v>0</v>
      </c>
      <c r="AC172" s="273">
        <f t="shared" ca="1" si="41"/>
        <v>0</v>
      </c>
      <c r="AD172" s="1153"/>
      <c r="AE172" s="66"/>
    </row>
    <row r="173" spans="1:31" ht="22.5" customHeight="1" x14ac:dyDescent="0.3">
      <c r="A173" s="216"/>
      <c r="B173" s="1129" t="str">
        <f>'Team 1'!B65</f>
        <v>Open/Male 13/U 100m Freestyle</v>
      </c>
      <c r="C173" s="330" t="s">
        <v>4425</v>
      </c>
      <c r="D173" s="333" t="str">
        <f>'print 10 lane'!I116</f>
        <v>Yigit Ilhan</v>
      </c>
      <c r="E173" s="333" t="str">
        <f>'print 10 lane'!L116</f>
        <v>Joseph Bagshaw</v>
      </c>
      <c r="F173" s="333" t="str">
        <f>'print 10 lane'!O116</f>
        <v>Mikhail Zharinov</v>
      </c>
      <c r="G173" s="333" t="str">
        <f>'print 10 lane'!R116</f>
        <v>Riley Bunce</v>
      </c>
      <c r="H173" s="333" t="str">
        <f>'print 10 lane'!U116</f>
        <v>Mohammed Malek</v>
      </c>
      <c r="I173" s="333" t="str">
        <f>'print 10 lane'!X116</f>
        <v>Gert  Zeqiri</v>
      </c>
      <c r="J173" s="333" t="str">
        <f>'print 10 lane'!AA116</f>
        <v>Daniel Celi</v>
      </c>
      <c r="K173" s="333" t="str">
        <f>'print 10 lane'!AD116</f>
        <v xml:space="preserve"> </v>
      </c>
      <c r="L173" s="333" t="str">
        <f>'print 10 lane'!AG116</f>
        <v xml:space="preserve"> </v>
      </c>
      <c r="M173" s="334" t="str">
        <f>'print 10 lane'!AJ116</f>
        <v xml:space="preserve"> </v>
      </c>
      <c r="N173" s="335"/>
      <c r="O173" s="1131"/>
      <c r="P173" s="1131"/>
      <c r="Q173" s="1131"/>
      <c r="R173" s="1131"/>
      <c r="S173" s="268" t="str">
        <f ca="1">AC173</f>
        <v xml:space="preserve"> </v>
      </c>
      <c r="T173" s="273" t="str">
        <f t="shared" ca="1" si="41"/>
        <v>SWIMMER</v>
      </c>
      <c r="U173" s="273" t="str">
        <f t="shared" ca="1" si="41"/>
        <v>Yigit Ilhan</v>
      </c>
      <c r="V173" s="273" t="str">
        <f t="shared" ca="1" si="41"/>
        <v>Joseph Bagshaw</v>
      </c>
      <c r="W173" s="273" t="str">
        <f t="shared" ca="1" si="41"/>
        <v>Mikhail Zharinov</v>
      </c>
      <c r="X173" s="273" t="str">
        <f t="shared" ca="1" si="41"/>
        <v>Riley Bunce</v>
      </c>
      <c r="Y173" s="273" t="str">
        <f t="shared" ca="1" si="41"/>
        <v>Mohammed Malek</v>
      </c>
      <c r="Z173" s="273" t="str">
        <f t="shared" ca="1" si="41"/>
        <v>Gert  Zeqiri</v>
      </c>
      <c r="AA173" s="273" t="str">
        <f t="shared" ca="1" si="41"/>
        <v>Daniel Celi</v>
      </c>
      <c r="AB173" s="273" t="str">
        <f t="shared" ca="1" si="41"/>
        <v xml:space="preserve"> </v>
      </c>
      <c r="AC173" s="273" t="str">
        <f t="shared" ca="1" si="41"/>
        <v xml:space="preserve"> </v>
      </c>
      <c r="AD173" s="1153"/>
      <c r="AE173" s="66"/>
    </row>
    <row r="174" spans="1:31" ht="30" customHeight="1" x14ac:dyDescent="0.3">
      <c r="A174" s="216"/>
      <c r="B174" s="1129"/>
      <c r="C174" s="364" t="s">
        <v>4426</v>
      </c>
      <c r="D174" s="365"/>
      <c r="E174" s="365"/>
      <c r="F174" s="365"/>
      <c r="G174" s="365"/>
      <c r="H174" s="365"/>
      <c r="I174" s="365"/>
      <c r="J174" s="365"/>
      <c r="K174" s="365"/>
      <c r="L174" s="365"/>
      <c r="M174" s="366"/>
      <c r="N174" s="233"/>
      <c r="O174" s="1131"/>
      <c r="P174" s="1131"/>
      <c r="Q174" s="1131"/>
      <c r="R174" s="1131"/>
      <c r="S174" s="268">
        <f ca="1">AC174</f>
        <v>0</v>
      </c>
      <c r="T174" s="273" t="str">
        <f t="shared" ca="1" si="41"/>
        <v>DQ REASON</v>
      </c>
      <c r="U174" s="273">
        <f t="shared" ca="1" si="41"/>
        <v>0</v>
      </c>
      <c r="V174" s="273">
        <f t="shared" ca="1" si="41"/>
        <v>0</v>
      </c>
      <c r="W174" s="273">
        <f t="shared" ca="1" si="41"/>
        <v>0</v>
      </c>
      <c r="X174" s="273">
        <f t="shared" ca="1" si="41"/>
        <v>0</v>
      </c>
      <c r="Y174" s="273">
        <f t="shared" ca="1" si="41"/>
        <v>0</v>
      </c>
      <c r="Z174" s="273">
        <f t="shared" ca="1" si="41"/>
        <v>0</v>
      </c>
      <c r="AA174" s="273">
        <f t="shared" ca="1" si="41"/>
        <v>0</v>
      </c>
      <c r="AB174" s="273">
        <f t="shared" ca="1" si="41"/>
        <v>0</v>
      </c>
      <c r="AC174" s="273">
        <f t="shared" ca="1" si="41"/>
        <v>0</v>
      </c>
      <c r="AD174" s="1153"/>
      <c r="AE174" s="66"/>
    </row>
    <row r="175" spans="1:31" ht="18" customHeight="1" x14ac:dyDescent="0.3">
      <c r="A175" s="216"/>
      <c r="B175" s="1130" t="s">
        <v>4480</v>
      </c>
      <c r="C175" s="367" t="s">
        <v>4422</v>
      </c>
      <c r="D175" s="352">
        <f>'print 10 lane'!J118</f>
        <v>5</v>
      </c>
      <c r="E175" s="353">
        <f>'print 10 lane'!M118</f>
        <v>7</v>
      </c>
      <c r="F175" s="353">
        <f>'print 10 lane'!P118</f>
        <v>2</v>
      </c>
      <c r="G175" s="353">
        <f>'print 10 lane'!S118</f>
        <v>6</v>
      </c>
      <c r="H175" s="353">
        <f>'print 10 lane'!V118</f>
        <v>1</v>
      </c>
      <c r="I175" s="353">
        <f>'print 10 lane'!Y118</f>
        <v>4</v>
      </c>
      <c r="J175" s="353">
        <f>'print 10 lane'!AB118</f>
        <v>3</v>
      </c>
      <c r="K175" s="353">
        <f>'print 10 lane'!AE118</f>
        <v>0</v>
      </c>
      <c r="L175" s="353">
        <f>'print 10 lane'!AH118</f>
        <v>0</v>
      </c>
      <c r="M175" s="354">
        <f>'print 10 lane'!AK118</f>
        <v>0</v>
      </c>
      <c r="N175" s="233"/>
      <c r="O175" s="1131"/>
      <c r="P175" s="1131"/>
      <c r="Q175" s="1131"/>
      <c r="R175" s="1131"/>
      <c r="S175" s="268"/>
      <c r="T175" s="273"/>
      <c r="U175" s="273"/>
      <c r="V175" s="273"/>
      <c r="W175" s="273"/>
      <c r="X175" s="273"/>
      <c r="Y175" s="273"/>
      <c r="Z175" s="273"/>
      <c r="AA175" s="273"/>
      <c r="AB175" s="273"/>
      <c r="AC175" s="273"/>
      <c r="AD175" s="1153"/>
      <c r="AE175" s="66"/>
    </row>
    <row r="176" spans="1:31" ht="22.5" customHeight="1" x14ac:dyDescent="0.3">
      <c r="A176" s="216"/>
      <c r="B176" s="1130"/>
      <c r="C176" s="310" t="s">
        <v>4424</v>
      </c>
      <c r="D176" s="311">
        <v>12752</v>
      </c>
      <c r="E176" s="312">
        <v>13445</v>
      </c>
      <c r="F176" s="312">
        <v>12217</v>
      </c>
      <c r="G176" s="312">
        <v>13420</v>
      </c>
      <c r="H176" s="312">
        <v>12054</v>
      </c>
      <c r="I176" s="312">
        <v>12569</v>
      </c>
      <c r="J176" s="312">
        <v>12309</v>
      </c>
      <c r="K176" s="312"/>
      <c r="L176" s="312"/>
      <c r="M176" s="313"/>
      <c r="N176" s="233"/>
      <c r="O176" s="1131"/>
      <c r="P176" s="1131"/>
      <c r="Q176" s="1131"/>
      <c r="R176" s="1131"/>
      <c r="S176" s="268">
        <f ca="1">AC176</f>
        <v>0</v>
      </c>
      <c r="T176" s="273" t="str">
        <f t="shared" ref="T176:AC178" ca="1" si="42">INDIRECT(ADDRESS(ROW(),T$18))</f>
        <v>TIME</v>
      </c>
      <c r="U176" s="273">
        <f t="shared" ca="1" si="42"/>
        <v>12752</v>
      </c>
      <c r="V176" s="273">
        <f t="shared" ca="1" si="42"/>
        <v>13445</v>
      </c>
      <c r="W176" s="273">
        <f t="shared" ca="1" si="42"/>
        <v>12217</v>
      </c>
      <c r="X176" s="273">
        <f t="shared" ca="1" si="42"/>
        <v>13420</v>
      </c>
      <c r="Y176" s="273">
        <f t="shared" ca="1" si="42"/>
        <v>12054</v>
      </c>
      <c r="Z176" s="273">
        <f t="shared" ca="1" si="42"/>
        <v>12569</v>
      </c>
      <c r="AA176" s="273">
        <f t="shared" ca="1" si="42"/>
        <v>12309</v>
      </c>
      <c r="AB176" s="273">
        <f t="shared" ca="1" si="42"/>
        <v>0</v>
      </c>
      <c r="AC176" s="273">
        <f t="shared" ca="1" si="42"/>
        <v>0</v>
      </c>
      <c r="AD176" s="1153"/>
      <c r="AE176" s="66"/>
    </row>
    <row r="177" spans="1:31" ht="22.5" customHeight="1" x14ac:dyDescent="0.3">
      <c r="A177" s="216"/>
      <c r="B177" s="1127" t="str">
        <f>'Team 1'!B66</f>
        <v>Female 15/U 100m Breaststroke</v>
      </c>
      <c r="C177" s="310" t="s">
        <v>4425</v>
      </c>
      <c r="D177" s="317" t="str">
        <f>'print 10 lane'!I119</f>
        <v>Taisia Flury</v>
      </c>
      <c r="E177" s="317" t="str">
        <f>'print 10 lane'!L119</f>
        <v>Daisy Harradine</v>
      </c>
      <c r="F177" s="317" t="str">
        <f>'print 10 lane'!O119</f>
        <v>Molly Bartup</v>
      </c>
      <c r="G177" s="317" t="str">
        <f>'print 10 lane'!R119</f>
        <v>Zahra Waller</v>
      </c>
      <c r="H177" s="317" t="str">
        <f>'print 10 lane'!U119</f>
        <v>Hollie Heighes</v>
      </c>
      <c r="I177" s="317" t="str">
        <f>'print 10 lane'!X119</f>
        <v>Mina Safahe</v>
      </c>
      <c r="J177" s="317" t="str">
        <f>'print 10 lane'!AA119</f>
        <v>Keira Brannigan</v>
      </c>
      <c r="K177" s="317" t="str">
        <f>'print 10 lane'!AD119</f>
        <v xml:space="preserve"> </v>
      </c>
      <c r="L177" s="317" t="str">
        <f>'print 10 lane'!AG119</f>
        <v xml:space="preserve"> </v>
      </c>
      <c r="M177" s="316" t="str">
        <f>'print 10 lane'!AJ119</f>
        <v xml:space="preserve"> </v>
      </c>
      <c r="N177" s="335"/>
      <c r="O177" s="1131"/>
      <c r="P177" s="1131"/>
      <c r="Q177" s="1131"/>
      <c r="R177" s="1131"/>
      <c r="S177" s="268" t="str">
        <f ca="1">AC177</f>
        <v xml:space="preserve"> </v>
      </c>
      <c r="T177" s="273" t="str">
        <f t="shared" ca="1" si="42"/>
        <v>SWIMMER</v>
      </c>
      <c r="U177" s="273" t="str">
        <f t="shared" ca="1" si="42"/>
        <v>Taisia Flury</v>
      </c>
      <c r="V177" s="273" t="str">
        <f t="shared" ca="1" si="42"/>
        <v>Daisy Harradine</v>
      </c>
      <c r="W177" s="273" t="str">
        <f t="shared" ca="1" si="42"/>
        <v>Molly Bartup</v>
      </c>
      <c r="X177" s="273" t="str">
        <f t="shared" ca="1" si="42"/>
        <v>Zahra Waller</v>
      </c>
      <c r="Y177" s="273" t="str">
        <f t="shared" ca="1" si="42"/>
        <v>Hollie Heighes</v>
      </c>
      <c r="Z177" s="273" t="str">
        <f t="shared" ca="1" si="42"/>
        <v>Mina Safahe</v>
      </c>
      <c r="AA177" s="273" t="str">
        <f t="shared" ca="1" si="42"/>
        <v>Keira Brannigan</v>
      </c>
      <c r="AB177" s="273" t="str">
        <f t="shared" ca="1" si="42"/>
        <v xml:space="preserve"> </v>
      </c>
      <c r="AC177" s="273" t="str">
        <f t="shared" ca="1" si="42"/>
        <v xml:space="preserve"> </v>
      </c>
      <c r="AD177" s="1153"/>
      <c r="AE177" s="66"/>
    </row>
    <row r="178" spans="1:31" ht="30" customHeight="1" x14ac:dyDescent="0.3">
      <c r="A178" s="216"/>
      <c r="B178" s="1127"/>
      <c r="C178" s="368" t="s">
        <v>4426</v>
      </c>
      <c r="D178" s="379"/>
      <c r="E178" s="379"/>
      <c r="F178" s="379"/>
      <c r="G178" s="379"/>
      <c r="H178" s="379"/>
      <c r="I178" s="379"/>
      <c r="J178" s="379"/>
      <c r="K178" s="379"/>
      <c r="L178" s="379"/>
      <c r="M178" s="380"/>
      <c r="N178" s="233"/>
      <c r="O178" s="1131"/>
      <c r="P178" s="1131"/>
      <c r="Q178" s="1131"/>
      <c r="R178" s="1131"/>
      <c r="S178" s="268">
        <f ca="1">AC178</f>
        <v>0</v>
      </c>
      <c r="T178" s="273" t="str">
        <f t="shared" ca="1" si="42"/>
        <v>DQ REASON</v>
      </c>
      <c r="U178" s="273">
        <f t="shared" ca="1" si="42"/>
        <v>0</v>
      </c>
      <c r="V178" s="273">
        <f t="shared" ca="1" si="42"/>
        <v>0</v>
      </c>
      <c r="W178" s="273">
        <f t="shared" ca="1" si="42"/>
        <v>0</v>
      </c>
      <c r="X178" s="273">
        <f t="shared" ca="1" si="42"/>
        <v>0</v>
      </c>
      <c r="Y178" s="273">
        <f t="shared" ca="1" si="42"/>
        <v>0</v>
      </c>
      <c r="Z178" s="273">
        <f t="shared" ca="1" si="42"/>
        <v>0</v>
      </c>
      <c r="AA178" s="273">
        <f t="shared" ca="1" si="42"/>
        <v>0</v>
      </c>
      <c r="AB178" s="273">
        <f t="shared" ca="1" si="42"/>
        <v>0</v>
      </c>
      <c r="AC178" s="273">
        <f t="shared" ca="1" si="42"/>
        <v>0</v>
      </c>
      <c r="AD178" s="1153"/>
      <c r="AE178" s="66"/>
    </row>
    <row r="179" spans="1:31" ht="18" customHeight="1" x14ac:dyDescent="0.3">
      <c r="A179" s="216"/>
      <c r="B179" s="1132" t="s">
        <v>4481</v>
      </c>
      <c r="C179" s="369" t="s">
        <v>4422</v>
      </c>
      <c r="D179" s="326">
        <f>'print 10 lane'!J121</f>
        <v>7</v>
      </c>
      <c r="E179" s="327">
        <f>'print 10 lane'!M121</f>
        <v>6</v>
      </c>
      <c r="F179" s="327">
        <f>'print 10 lane'!P121</f>
        <v>3</v>
      </c>
      <c r="G179" s="327">
        <f>'print 10 lane'!S121</f>
        <v>1</v>
      </c>
      <c r="H179" s="327">
        <f>'print 10 lane'!V121</f>
        <v>2</v>
      </c>
      <c r="I179" s="327">
        <f>'print 10 lane'!Y121</f>
        <v>5</v>
      </c>
      <c r="J179" s="327">
        <f>'print 10 lane'!AB121</f>
        <v>4</v>
      </c>
      <c r="K179" s="327">
        <f>'print 10 lane'!AE121</f>
        <v>0</v>
      </c>
      <c r="L179" s="327">
        <f>'print 10 lane'!AH121</f>
        <v>0</v>
      </c>
      <c r="M179" s="328">
        <f>'print 10 lane'!AK121</f>
        <v>0</v>
      </c>
      <c r="N179" s="233"/>
      <c r="O179" s="1133" t="s">
        <v>4430</v>
      </c>
      <c r="P179" s="1133"/>
      <c r="Q179" s="1133"/>
      <c r="R179" s="1133"/>
      <c r="S179" s="268"/>
      <c r="T179" s="273"/>
      <c r="U179" s="273"/>
      <c r="V179" s="273"/>
      <c r="W179" s="273"/>
      <c r="X179" s="273"/>
      <c r="Y179" s="273"/>
      <c r="Z179" s="273"/>
      <c r="AA179" s="273"/>
      <c r="AB179" s="273"/>
      <c r="AC179" s="273"/>
      <c r="AD179" s="1153"/>
      <c r="AE179" s="66"/>
    </row>
    <row r="180" spans="1:31" ht="22.5" customHeight="1" x14ac:dyDescent="0.3">
      <c r="A180" s="216"/>
      <c r="B180" s="1132"/>
      <c r="C180" s="330" t="s">
        <v>4424</v>
      </c>
      <c r="D180" s="331">
        <v>12700</v>
      </c>
      <c r="E180" s="331">
        <v>12106</v>
      </c>
      <c r="F180" s="331">
        <v>11849</v>
      </c>
      <c r="G180" s="331">
        <v>11825</v>
      </c>
      <c r="H180" s="331">
        <v>11831</v>
      </c>
      <c r="I180" s="331">
        <v>11944</v>
      </c>
      <c r="J180" s="331">
        <v>11871</v>
      </c>
      <c r="K180" s="331"/>
      <c r="L180" s="331"/>
      <c r="M180" s="332"/>
      <c r="N180" s="233"/>
      <c r="O180" s="1133"/>
      <c r="P180" s="1133"/>
      <c r="Q180" s="1133"/>
      <c r="R180" s="1133"/>
      <c r="S180" s="268">
        <f ca="1">AC180</f>
        <v>0</v>
      </c>
      <c r="T180" s="273" t="str">
        <f t="shared" ref="T180:AC182" ca="1" si="43">INDIRECT(ADDRESS(ROW(),T$18))</f>
        <v>TIME</v>
      </c>
      <c r="U180" s="273">
        <f t="shared" ca="1" si="43"/>
        <v>12700</v>
      </c>
      <c r="V180" s="273">
        <f t="shared" ca="1" si="43"/>
        <v>12106</v>
      </c>
      <c r="W180" s="273">
        <f t="shared" ca="1" si="43"/>
        <v>11849</v>
      </c>
      <c r="X180" s="273">
        <f t="shared" ca="1" si="43"/>
        <v>11825</v>
      </c>
      <c r="Y180" s="273">
        <f t="shared" ca="1" si="43"/>
        <v>11831</v>
      </c>
      <c r="Z180" s="273">
        <f t="shared" ca="1" si="43"/>
        <v>11944</v>
      </c>
      <c r="AA180" s="273">
        <f t="shared" ca="1" si="43"/>
        <v>11871</v>
      </c>
      <c r="AB180" s="273">
        <f t="shared" ca="1" si="43"/>
        <v>0</v>
      </c>
      <c r="AC180" s="273">
        <f t="shared" ca="1" si="43"/>
        <v>0</v>
      </c>
      <c r="AD180" s="1153"/>
      <c r="AE180" s="66"/>
    </row>
    <row r="181" spans="1:31" ht="22.5" customHeight="1" x14ac:dyDescent="0.3">
      <c r="A181" s="216"/>
      <c r="B181" s="1129" t="str">
        <f>'Team 1'!B67</f>
        <v>Open/Male 15/U 100m Breaststroke</v>
      </c>
      <c r="C181" s="330" t="s">
        <v>4425</v>
      </c>
      <c r="D181" s="333" t="str">
        <f>'print 10 lane'!I122</f>
        <v>Michael Manassero</v>
      </c>
      <c r="E181" s="333" t="str">
        <f>'print 10 lane'!L122</f>
        <v>Samuel Heraty</v>
      </c>
      <c r="F181" s="333" t="str">
        <f>'print 10 lane'!O122</f>
        <v>Theo Smith</v>
      </c>
      <c r="G181" s="333" t="str">
        <f>'print 10 lane'!R122</f>
        <v>Rafi Gibson</v>
      </c>
      <c r="H181" s="333" t="str">
        <f>'print 10 lane'!U122</f>
        <v>Nathaniel Coburn</v>
      </c>
      <c r="I181" s="333" t="str">
        <f>'print 10 lane'!X122</f>
        <v>Gabriel Rebelo</v>
      </c>
      <c r="J181" s="333" t="str">
        <f>'print 10 lane'!AA122</f>
        <v>Advay Bhatia</v>
      </c>
      <c r="K181" s="333" t="str">
        <f>'print 10 lane'!AD122</f>
        <v xml:space="preserve"> </v>
      </c>
      <c r="L181" s="333" t="str">
        <f>'print 10 lane'!AG122</f>
        <v xml:space="preserve"> </v>
      </c>
      <c r="M181" s="334" t="str">
        <f>'print 10 lane'!AJ122</f>
        <v xml:space="preserve"> </v>
      </c>
      <c r="N181" s="335"/>
      <c r="O181" s="1133"/>
      <c r="P181" s="1133"/>
      <c r="Q181" s="1133"/>
      <c r="R181" s="1133"/>
      <c r="S181" s="268" t="str">
        <f ca="1">AC181</f>
        <v xml:space="preserve"> </v>
      </c>
      <c r="T181" s="273" t="str">
        <f t="shared" ca="1" si="43"/>
        <v>SWIMMER</v>
      </c>
      <c r="U181" s="273" t="str">
        <f t="shared" ca="1" si="43"/>
        <v>Michael Manassero</v>
      </c>
      <c r="V181" s="273" t="str">
        <f t="shared" ca="1" si="43"/>
        <v>Samuel Heraty</v>
      </c>
      <c r="W181" s="273" t="str">
        <f t="shared" ca="1" si="43"/>
        <v>Theo Smith</v>
      </c>
      <c r="X181" s="273" t="str">
        <f t="shared" ca="1" si="43"/>
        <v>Rafi Gibson</v>
      </c>
      <c r="Y181" s="273" t="str">
        <f t="shared" ca="1" si="43"/>
        <v>Nathaniel Coburn</v>
      </c>
      <c r="Z181" s="273" t="str">
        <f t="shared" ca="1" si="43"/>
        <v>Gabriel Rebelo</v>
      </c>
      <c r="AA181" s="273" t="str">
        <f t="shared" ca="1" si="43"/>
        <v>Advay Bhatia</v>
      </c>
      <c r="AB181" s="273" t="str">
        <f t="shared" ca="1" si="43"/>
        <v xml:space="preserve"> </v>
      </c>
      <c r="AC181" s="273" t="str">
        <f t="shared" ca="1" si="43"/>
        <v xml:space="preserve"> </v>
      </c>
      <c r="AD181" s="1153"/>
      <c r="AE181" s="66"/>
    </row>
    <row r="182" spans="1:31" ht="30" customHeight="1" x14ac:dyDescent="0.3">
      <c r="A182" s="216"/>
      <c r="B182" s="1129"/>
      <c r="C182" s="364" t="s">
        <v>4426</v>
      </c>
      <c r="D182" s="365"/>
      <c r="E182" s="365"/>
      <c r="F182" s="365"/>
      <c r="G182" s="365"/>
      <c r="H182" s="365"/>
      <c r="I182" s="365"/>
      <c r="J182" s="365"/>
      <c r="K182" s="365"/>
      <c r="L182" s="365"/>
      <c r="M182" s="366"/>
      <c r="N182" s="233"/>
      <c r="O182" s="1133"/>
      <c r="P182" s="1133"/>
      <c r="Q182" s="1133"/>
      <c r="R182" s="1133"/>
      <c r="S182" s="268">
        <f ca="1">AC182</f>
        <v>0</v>
      </c>
      <c r="T182" s="273" t="str">
        <f t="shared" ca="1" si="43"/>
        <v>DQ REASON</v>
      </c>
      <c r="U182" s="273">
        <f t="shared" ca="1" si="43"/>
        <v>0</v>
      </c>
      <c r="V182" s="273">
        <f t="shared" ca="1" si="43"/>
        <v>0</v>
      </c>
      <c r="W182" s="273">
        <f t="shared" ca="1" si="43"/>
        <v>0</v>
      </c>
      <c r="X182" s="273">
        <f t="shared" ca="1" si="43"/>
        <v>0</v>
      </c>
      <c r="Y182" s="273">
        <f t="shared" ca="1" si="43"/>
        <v>0</v>
      </c>
      <c r="Z182" s="273">
        <f t="shared" ca="1" si="43"/>
        <v>0</v>
      </c>
      <c r="AA182" s="273">
        <f t="shared" ca="1" si="43"/>
        <v>0</v>
      </c>
      <c r="AB182" s="273">
        <f t="shared" ca="1" si="43"/>
        <v>0</v>
      </c>
      <c r="AC182" s="273">
        <f t="shared" ca="1" si="43"/>
        <v>0</v>
      </c>
      <c r="AD182" s="1153"/>
      <c r="AE182" s="66"/>
    </row>
    <row r="183" spans="1:31" ht="18" customHeight="1" x14ac:dyDescent="0.3">
      <c r="A183" s="216"/>
      <c r="B183" s="1130" t="s">
        <v>4482</v>
      </c>
      <c r="C183" s="367" t="s">
        <v>4422</v>
      </c>
      <c r="D183" s="352">
        <f>'print 10 lane'!J124</f>
        <v>2</v>
      </c>
      <c r="E183" s="353">
        <f>'print 10 lane'!M124</f>
        <v>7</v>
      </c>
      <c r="F183" s="353">
        <f>'print 10 lane'!P124</f>
        <v>6</v>
      </c>
      <c r="G183" s="353">
        <f>'print 10 lane'!S124</f>
        <v>3</v>
      </c>
      <c r="H183" s="353">
        <f>'print 10 lane'!V124</f>
        <v>4</v>
      </c>
      <c r="I183" s="353">
        <f>'print 10 lane'!Y124</f>
        <v>5</v>
      </c>
      <c r="J183" s="353">
        <f>'print 10 lane'!AB124</f>
        <v>1</v>
      </c>
      <c r="K183" s="353">
        <f>'print 10 lane'!AE124</f>
        <v>0</v>
      </c>
      <c r="L183" s="353">
        <f>'print 10 lane'!AH124</f>
        <v>0</v>
      </c>
      <c r="M183" s="354">
        <f>'print 10 lane'!AK124</f>
        <v>0</v>
      </c>
      <c r="N183" s="233"/>
      <c r="O183" s="1133"/>
      <c r="P183" s="1133"/>
      <c r="Q183" s="1133"/>
      <c r="R183" s="1133"/>
      <c r="S183" s="268"/>
      <c r="T183" s="273"/>
      <c r="U183" s="273"/>
      <c r="V183" s="273"/>
      <c r="W183" s="273"/>
      <c r="X183" s="273"/>
      <c r="Y183" s="273"/>
      <c r="Z183" s="273"/>
      <c r="AA183" s="273"/>
      <c r="AB183" s="273"/>
      <c r="AC183" s="273"/>
      <c r="AD183" s="1153"/>
      <c r="AE183" s="66"/>
    </row>
    <row r="184" spans="1:31" ht="22.5" customHeight="1" x14ac:dyDescent="0.3">
      <c r="A184" s="216"/>
      <c r="B184" s="1130"/>
      <c r="C184" s="310" t="s">
        <v>4424</v>
      </c>
      <c r="D184" s="311">
        <v>10411</v>
      </c>
      <c r="E184" s="312">
        <v>10739</v>
      </c>
      <c r="F184" s="312">
        <v>10689</v>
      </c>
      <c r="G184" s="312">
        <v>10573</v>
      </c>
      <c r="H184" s="312">
        <v>10582</v>
      </c>
      <c r="I184" s="312">
        <v>10602</v>
      </c>
      <c r="J184" s="312">
        <v>10360</v>
      </c>
      <c r="K184" s="312"/>
      <c r="L184" s="312"/>
      <c r="M184" s="313"/>
      <c r="N184" s="233"/>
      <c r="O184" s="363"/>
      <c r="P184" s="363"/>
      <c r="Q184" s="363"/>
      <c r="R184" s="363"/>
      <c r="S184" s="268">
        <f ca="1">AC184</f>
        <v>0</v>
      </c>
      <c r="T184" s="273" t="str">
        <f t="shared" ref="T184:AC186" ca="1" si="44">INDIRECT(ADDRESS(ROW(),T$18))</f>
        <v>TIME</v>
      </c>
      <c r="U184" s="273">
        <f t="shared" ca="1" si="44"/>
        <v>10411</v>
      </c>
      <c r="V184" s="273">
        <f t="shared" ca="1" si="44"/>
        <v>10739</v>
      </c>
      <c r="W184" s="273">
        <f t="shared" ca="1" si="44"/>
        <v>10689</v>
      </c>
      <c r="X184" s="273">
        <f t="shared" ca="1" si="44"/>
        <v>10573</v>
      </c>
      <c r="Y184" s="273">
        <f t="shared" ca="1" si="44"/>
        <v>10582</v>
      </c>
      <c r="Z184" s="273">
        <f t="shared" ca="1" si="44"/>
        <v>10602</v>
      </c>
      <c r="AA184" s="273">
        <f t="shared" ca="1" si="44"/>
        <v>10360</v>
      </c>
      <c r="AB184" s="273">
        <f t="shared" ca="1" si="44"/>
        <v>0</v>
      </c>
      <c r="AC184" s="273">
        <f t="shared" ca="1" si="44"/>
        <v>0</v>
      </c>
      <c r="AD184" s="1153"/>
      <c r="AE184" s="66"/>
    </row>
    <row r="185" spans="1:31" ht="22.5" customHeight="1" x14ac:dyDescent="0.3">
      <c r="A185" s="216"/>
      <c r="B185" s="1127" t="str">
        <f>'Team 1'!B68</f>
        <v>Female 16+ 100m Freestyle</v>
      </c>
      <c r="C185" s="310" t="s">
        <v>4425</v>
      </c>
      <c r="D185" s="317" t="str">
        <f>'print 10 lane'!I125</f>
        <v>Maja Grzybek</v>
      </c>
      <c r="E185" s="317" t="str">
        <f>'print 10 lane'!L125</f>
        <v>Madeleine Bailiss</v>
      </c>
      <c r="F185" s="317" t="str">
        <f>'print 10 lane'!O125</f>
        <v>Charlotte Brakenbury</v>
      </c>
      <c r="G185" s="317" t="str">
        <f>'print 10 lane'!R125</f>
        <v>Lucy Burnham</v>
      </c>
      <c r="H185" s="317" t="str">
        <f>'print 10 lane'!U125</f>
        <v>Lily Threadgold</v>
      </c>
      <c r="I185" s="317" t="str">
        <f>'print 10 lane'!X125</f>
        <v>Alice  Sharrock</v>
      </c>
      <c r="J185" s="317" t="str">
        <f>'print 10 lane'!AA125</f>
        <v>Laura Hibberd</v>
      </c>
      <c r="K185" s="317" t="str">
        <f>'print 10 lane'!AD125</f>
        <v xml:space="preserve"> </v>
      </c>
      <c r="L185" s="317" t="str">
        <f>'print 10 lane'!AG125</f>
        <v xml:space="preserve"> </v>
      </c>
      <c r="M185" s="316" t="str">
        <f>'print 10 lane'!AJ125</f>
        <v xml:space="preserve"> </v>
      </c>
      <c r="N185" s="335"/>
      <c r="O185" s="363"/>
      <c r="P185" s="363"/>
      <c r="Q185" s="363"/>
      <c r="R185" s="363"/>
      <c r="S185" s="268" t="str">
        <f ca="1">AC185</f>
        <v xml:space="preserve"> </v>
      </c>
      <c r="T185" s="273" t="str">
        <f t="shared" ca="1" si="44"/>
        <v>SWIMMER</v>
      </c>
      <c r="U185" s="273" t="str">
        <f t="shared" ca="1" si="44"/>
        <v>Maja Grzybek</v>
      </c>
      <c r="V185" s="273" t="str">
        <f t="shared" ca="1" si="44"/>
        <v>Madeleine Bailiss</v>
      </c>
      <c r="W185" s="273" t="str">
        <f t="shared" ca="1" si="44"/>
        <v>Charlotte Brakenbury</v>
      </c>
      <c r="X185" s="273" t="str">
        <f t="shared" ca="1" si="44"/>
        <v>Lucy Burnham</v>
      </c>
      <c r="Y185" s="273" t="str">
        <f t="shared" ca="1" si="44"/>
        <v>Lily Threadgold</v>
      </c>
      <c r="Z185" s="273" t="str">
        <f t="shared" ca="1" si="44"/>
        <v>Alice  Sharrock</v>
      </c>
      <c r="AA185" s="273" t="str">
        <f t="shared" ca="1" si="44"/>
        <v>Laura Hibberd</v>
      </c>
      <c r="AB185" s="273" t="str">
        <f t="shared" ca="1" si="44"/>
        <v xml:space="preserve"> </v>
      </c>
      <c r="AC185" s="273" t="str">
        <f t="shared" ca="1" si="44"/>
        <v xml:space="preserve"> </v>
      </c>
      <c r="AD185" s="1153"/>
      <c r="AE185" s="66"/>
    </row>
    <row r="186" spans="1:31" ht="30" customHeight="1" x14ac:dyDescent="0.3">
      <c r="A186" s="216"/>
      <c r="B186" s="1127"/>
      <c r="C186" s="368" t="s">
        <v>4426</v>
      </c>
      <c r="D186" s="379"/>
      <c r="E186" s="379"/>
      <c r="F186" s="379"/>
      <c r="G186" s="379"/>
      <c r="H186" s="379"/>
      <c r="I186" s="379"/>
      <c r="J186" s="379"/>
      <c r="K186" s="379"/>
      <c r="L186" s="379"/>
      <c r="M186" s="380"/>
      <c r="N186" s="233"/>
      <c r="O186" s="362"/>
      <c r="P186" s="362"/>
      <c r="Q186" s="362"/>
      <c r="R186" s="362"/>
      <c r="S186" s="268">
        <f ca="1">AC186</f>
        <v>0</v>
      </c>
      <c r="T186" s="273" t="str">
        <f t="shared" ca="1" si="44"/>
        <v>DQ REASON</v>
      </c>
      <c r="U186" s="273">
        <f t="shared" ca="1" si="44"/>
        <v>0</v>
      </c>
      <c r="V186" s="273">
        <f t="shared" ca="1" si="44"/>
        <v>0</v>
      </c>
      <c r="W186" s="273">
        <f t="shared" ca="1" si="44"/>
        <v>0</v>
      </c>
      <c r="X186" s="273">
        <f t="shared" ca="1" si="44"/>
        <v>0</v>
      </c>
      <c r="Y186" s="273">
        <f t="shared" ca="1" si="44"/>
        <v>0</v>
      </c>
      <c r="Z186" s="273">
        <f t="shared" ca="1" si="44"/>
        <v>0</v>
      </c>
      <c r="AA186" s="273">
        <f t="shared" ca="1" si="44"/>
        <v>0</v>
      </c>
      <c r="AB186" s="273">
        <f t="shared" ca="1" si="44"/>
        <v>0</v>
      </c>
      <c r="AC186" s="273">
        <f t="shared" ca="1" si="44"/>
        <v>0</v>
      </c>
      <c r="AD186" s="1153"/>
      <c r="AE186" s="66"/>
    </row>
    <row r="187" spans="1:31" ht="18" customHeight="1" x14ac:dyDescent="0.3">
      <c r="A187" s="216"/>
      <c r="B187" s="358" t="s">
        <v>4483</v>
      </c>
      <c r="C187" s="369" t="s">
        <v>4422</v>
      </c>
      <c r="D187" s="326">
        <f>'print 10 lane'!J127</f>
        <v>7</v>
      </c>
      <c r="E187" s="327">
        <f>'print 10 lane'!M127</f>
        <v>6</v>
      </c>
      <c r="F187" s="327">
        <f>'print 10 lane'!P127</f>
        <v>5</v>
      </c>
      <c r="G187" s="327">
        <f>'print 10 lane'!S127</f>
        <v>2</v>
      </c>
      <c r="H187" s="327">
        <f>'print 10 lane'!V127</f>
        <v>3</v>
      </c>
      <c r="I187" s="327">
        <f>'print 10 lane'!Y127</f>
        <v>1</v>
      </c>
      <c r="J187" s="327">
        <f>'print 10 lane'!AB127</f>
        <v>4</v>
      </c>
      <c r="K187" s="327">
        <f>'print 10 lane'!AE127</f>
        <v>0</v>
      </c>
      <c r="L187" s="327">
        <f>'print 10 lane'!AH127</f>
        <v>0</v>
      </c>
      <c r="M187" s="328">
        <f>'print 10 lane'!AK127</f>
        <v>0</v>
      </c>
      <c r="N187" s="233"/>
      <c r="O187" s="363"/>
      <c r="P187" s="363"/>
      <c r="Q187" s="363"/>
      <c r="R187" s="363"/>
      <c r="S187" s="268"/>
      <c r="T187" s="273"/>
      <c r="U187" s="273"/>
      <c r="V187" s="273"/>
      <c r="W187" s="273"/>
      <c r="X187" s="273"/>
      <c r="Y187" s="273"/>
      <c r="Z187" s="273"/>
      <c r="AA187" s="273"/>
      <c r="AB187" s="273"/>
      <c r="AC187" s="273"/>
      <c r="AD187" s="1153"/>
      <c r="AE187" s="66"/>
    </row>
    <row r="188" spans="1:31" ht="22.5" customHeight="1" x14ac:dyDescent="0.3">
      <c r="A188" s="216"/>
      <c r="B188" s="1118" t="str">
        <f>'Team 1'!B69</f>
        <v>Open/Male 16+ 100m Freestyle</v>
      </c>
      <c r="C188" s="330" t="s">
        <v>4424</v>
      </c>
      <c r="D188" s="331">
        <v>10229</v>
      </c>
      <c r="E188" s="331">
        <v>10143</v>
      </c>
      <c r="F188" s="331">
        <v>10077</v>
      </c>
      <c r="G188" s="331">
        <v>5657</v>
      </c>
      <c r="H188" s="331">
        <v>5865</v>
      </c>
      <c r="I188" s="331">
        <v>5568</v>
      </c>
      <c r="J188" s="331">
        <v>5914</v>
      </c>
      <c r="K188" s="331"/>
      <c r="L188" s="331"/>
      <c r="M188" s="332"/>
      <c r="N188" s="233"/>
      <c r="O188" s="111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88" s="1119"/>
      <c r="Q188" s="1119"/>
      <c r="R188" s="1119"/>
      <c r="S188" s="268">
        <f ca="1">AC188</f>
        <v>0</v>
      </c>
      <c r="T188" s="273" t="str">
        <f t="shared" ref="T188:AC190" ca="1" si="45">INDIRECT(ADDRESS(ROW(),T$18))</f>
        <v>TIME</v>
      </c>
      <c r="U188" s="273">
        <f t="shared" ca="1" si="45"/>
        <v>10229</v>
      </c>
      <c r="V188" s="273">
        <f t="shared" ca="1" si="45"/>
        <v>10143</v>
      </c>
      <c r="W188" s="273">
        <f t="shared" ca="1" si="45"/>
        <v>10077</v>
      </c>
      <c r="X188" s="273">
        <f t="shared" ca="1" si="45"/>
        <v>5657</v>
      </c>
      <c r="Y188" s="273">
        <f t="shared" ca="1" si="45"/>
        <v>5865</v>
      </c>
      <c r="Z188" s="273">
        <f t="shared" ca="1" si="45"/>
        <v>5568</v>
      </c>
      <c r="AA188" s="273">
        <f t="shared" ca="1" si="45"/>
        <v>5914</v>
      </c>
      <c r="AB188" s="273">
        <f t="shared" ca="1" si="45"/>
        <v>0</v>
      </c>
      <c r="AC188" s="273">
        <f t="shared" ca="1" si="45"/>
        <v>0</v>
      </c>
      <c r="AD188" s="1153"/>
      <c r="AE188" s="66"/>
    </row>
    <row r="189" spans="1:31" ht="22.5" customHeight="1" x14ac:dyDescent="0.3">
      <c r="A189" s="216"/>
      <c r="B189" s="1118"/>
      <c r="C189" s="330" t="s">
        <v>4425</v>
      </c>
      <c r="D189" s="333" t="str">
        <f>'print 10 lane'!I128</f>
        <v>James Smeaton</v>
      </c>
      <c r="E189" s="333" t="str">
        <f>'print 10 lane'!L128</f>
        <v>Harry Chapman</v>
      </c>
      <c r="F189" s="333" t="str">
        <f>'print 10 lane'!O128</f>
        <v>Luke Morley</v>
      </c>
      <c r="G189" s="333" t="str">
        <f>'print 10 lane'!R128</f>
        <v>Matthew Masters</v>
      </c>
      <c r="H189" s="333" t="str">
        <f>'print 10 lane'!U128</f>
        <v>Robert Elliston</v>
      </c>
      <c r="I189" s="333" t="str">
        <f>'print 10 lane'!X128</f>
        <v>Razvan Lembac</v>
      </c>
      <c r="J189" s="333" t="str">
        <f>'print 10 lane'!AA128</f>
        <v>Liam Treanor</v>
      </c>
      <c r="K189" s="333" t="str">
        <f>'print 10 lane'!AD128</f>
        <v xml:space="preserve"> </v>
      </c>
      <c r="L189" s="333" t="str">
        <f>'print 10 lane'!AG128</f>
        <v xml:space="preserve"> </v>
      </c>
      <c r="M189" s="334" t="str">
        <f>'print 10 lane'!AJ128</f>
        <v xml:space="preserve"> </v>
      </c>
      <c r="N189" s="335"/>
      <c r="O189" s="1119"/>
      <c r="P189" s="1119"/>
      <c r="Q189" s="1119"/>
      <c r="R189" s="1119"/>
      <c r="S189" s="268" t="str">
        <f ca="1">AC189</f>
        <v xml:space="preserve"> </v>
      </c>
      <c r="T189" s="273" t="str">
        <f t="shared" ca="1" si="45"/>
        <v>SWIMMER</v>
      </c>
      <c r="U189" s="273" t="str">
        <f t="shared" ca="1" si="45"/>
        <v>James Smeaton</v>
      </c>
      <c r="V189" s="273" t="str">
        <f t="shared" ca="1" si="45"/>
        <v>Harry Chapman</v>
      </c>
      <c r="W189" s="273" t="str">
        <f t="shared" ca="1" si="45"/>
        <v>Luke Morley</v>
      </c>
      <c r="X189" s="273" t="str">
        <f t="shared" ca="1" si="45"/>
        <v>Matthew Masters</v>
      </c>
      <c r="Y189" s="273" t="str">
        <f t="shared" ca="1" si="45"/>
        <v>Robert Elliston</v>
      </c>
      <c r="Z189" s="273" t="str">
        <f t="shared" ca="1" si="45"/>
        <v>Razvan Lembac</v>
      </c>
      <c r="AA189" s="273" t="str">
        <f t="shared" ca="1" si="45"/>
        <v>Liam Treanor</v>
      </c>
      <c r="AB189" s="273" t="str">
        <f t="shared" ca="1" si="45"/>
        <v xml:space="preserve"> </v>
      </c>
      <c r="AC189" s="273" t="str">
        <f t="shared" ca="1" si="45"/>
        <v xml:space="preserve"> </v>
      </c>
      <c r="AD189" s="1153"/>
      <c r="AE189" s="66"/>
    </row>
    <row r="190" spans="1:31" ht="30" customHeight="1" x14ac:dyDescent="0.3">
      <c r="A190" s="216"/>
      <c r="B190" s="1118"/>
      <c r="C190" s="364" t="s">
        <v>4426</v>
      </c>
      <c r="D190" s="365"/>
      <c r="E190" s="365"/>
      <c r="F190" s="365"/>
      <c r="G190" s="365"/>
      <c r="H190" s="365"/>
      <c r="I190" s="365"/>
      <c r="J190" s="365"/>
      <c r="K190" s="365"/>
      <c r="L190" s="365"/>
      <c r="M190" s="366"/>
      <c r="N190" s="233"/>
      <c r="O190" s="1119"/>
      <c r="P190" s="1119"/>
      <c r="Q190" s="1119"/>
      <c r="R190" s="1119"/>
      <c r="S190" s="268">
        <f ca="1">AC190</f>
        <v>0</v>
      </c>
      <c r="T190" s="273" t="str">
        <f t="shared" ca="1" si="45"/>
        <v>DQ REASON</v>
      </c>
      <c r="U190" s="273">
        <f t="shared" ca="1" si="45"/>
        <v>0</v>
      </c>
      <c r="V190" s="273">
        <f t="shared" ca="1" si="45"/>
        <v>0</v>
      </c>
      <c r="W190" s="273">
        <f t="shared" ca="1" si="45"/>
        <v>0</v>
      </c>
      <c r="X190" s="273">
        <f t="shared" ca="1" si="45"/>
        <v>0</v>
      </c>
      <c r="Y190" s="273">
        <f t="shared" ca="1" si="45"/>
        <v>0</v>
      </c>
      <c r="Z190" s="273">
        <f t="shared" ca="1" si="45"/>
        <v>0</v>
      </c>
      <c r="AA190" s="273">
        <f t="shared" ca="1" si="45"/>
        <v>0</v>
      </c>
      <c r="AB190" s="273">
        <f t="shared" ca="1" si="45"/>
        <v>0</v>
      </c>
      <c r="AC190" s="273">
        <f t="shared" ca="1" si="45"/>
        <v>0</v>
      </c>
      <c r="AD190" s="1153"/>
      <c r="AE190" s="66"/>
    </row>
    <row r="191" spans="1:31" ht="18" customHeight="1" x14ac:dyDescent="0.3">
      <c r="A191" s="216"/>
      <c r="B191" s="350" t="s">
        <v>4484</v>
      </c>
      <c r="C191" s="367" t="s">
        <v>4422</v>
      </c>
      <c r="D191" s="352">
        <f>'print 10 lane'!J130</f>
        <v>1</v>
      </c>
      <c r="E191" s="353">
        <f>'print 10 lane'!M130</f>
        <v>4</v>
      </c>
      <c r="F191" s="353">
        <f>'print 10 lane'!P130</f>
        <v>0</v>
      </c>
      <c r="G191" s="353">
        <f>'print 10 lane'!S130</f>
        <v>2</v>
      </c>
      <c r="H191" s="353">
        <f>'print 10 lane'!V130</f>
        <v>5</v>
      </c>
      <c r="I191" s="353">
        <f>'print 10 lane'!Y130</f>
        <v>6</v>
      </c>
      <c r="J191" s="353">
        <f>'print 10 lane'!AB130</f>
        <v>3</v>
      </c>
      <c r="K191" s="353">
        <f>'print 10 lane'!AE130</f>
        <v>0</v>
      </c>
      <c r="L191" s="353">
        <f>'print 10 lane'!AH130</f>
        <v>0</v>
      </c>
      <c r="M191" s="354">
        <f>'print 10 lane'!AK130</f>
        <v>0</v>
      </c>
      <c r="N191" s="233"/>
      <c r="O191" s="1119"/>
      <c r="P191" s="1119"/>
      <c r="Q191" s="1119"/>
      <c r="R191" s="1119"/>
      <c r="S191" s="268"/>
      <c r="T191" s="273"/>
      <c r="U191" s="273"/>
      <c r="V191" s="273"/>
      <c r="W191" s="273"/>
      <c r="X191" s="273"/>
      <c r="Y191" s="273"/>
      <c r="Z191" s="273"/>
      <c r="AA191" s="273"/>
      <c r="AB191" s="273"/>
      <c r="AC191" s="273"/>
      <c r="AD191" s="1153"/>
      <c r="AE191" s="66"/>
    </row>
    <row r="192" spans="1:31" ht="22.5" customHeight="1" x14ac:dyDescent="0.3">
      <c r="A192" s="216"/>
      <c r="B192" s="1120" t="str">
        <f>'Team 1'!B70</f>
        <v>FEMALE 9/11 4 X 50M
MEDLEY RELAY</v>
      </c>
      <c r="C192" s="310" t="s">
        <v>4424</v>
      </c>
      <c r="D192" s="311">
        <v>25526</v>
      </c>
      <c r="E192" s="312">
        <v>30428</v>
      </c>
      <c r="F192" s="312">
        <v>0</v>
      </c>
      <c r="G192" s="312">
        <v>30078</v>
      </c>
      <c r="H192" s="312">
        <v>30577</v>
      </c>
      <c r="I192" s="312">
        <v>31352</v>
      </c>
      <c r="J192" s="312">
        <v>30166</v>
      </c>
      <c r="K192" s="312"/>
      <c r="L192" s="312"/>
      <c r="M192" s="313"/>
      <c r="N192" s="233"/>
      <c r="O192" s="1119"/>
      <c r="P192" s="1119"/>
      <c r="Q192" s="1119"/>
      <c r="R192" s="1119"/>
      <c r="S192" s="268">
        <f ca="1">AC192</f>
        <v>0</v>
      </c>
      <c r="T192" s="273" t="str">
        <f t="shared" ref="T192:AC193" ca="1" si="46">INDIRECT(ADDRESS(ROW(),T$18))</f>
        <v>TIME</v>
      </c>
      <c r="U192" s="273">
        <f t="shared" ca="1" si="46"/>
        <v>25526</v>
      </c>
      <c r="V192" s="273">
        <f t="shared" ca="1" si="46"/>
        <v>30428</v>
      </c>
      <c r="W192" s="273">
        <f t="shared" ca="1" si="46"/>
        <v>0</v>
      </c>
      <c r="X192" s="273">
        <f t="shared" ca="1" si="46"/>
        <v>30078</v>
      </c>
      <c r="Y192" s="273">
        <f t="shared" ca="1" si="46"/>
        <v>30577</v>
      </c>
      <c r="Z192" s="273">
        <f t="shared" ca="1" si="46"/>
        <v>31352</v>
      </c>
      <c r="AA192" s="273">
        <f t="shared" ca="1" si="46"/>
        <v>30166</v>
      </c>
      <c r="AB192" s="273">
        <f t="shared" ca="1" si="46"/>
        <v>0</v>
      </c>
      <c r="AC192" s="273">
        <f t="shared" ca="1" si="46"/>
        <v>0</v>
      </c>
      <c r="AD192" s="1153"/>
      <c r="AE192" s="66"/>
    </row>
    <row r="193" spans="1:31" ht="30" customHeight="1" x14ac:dyDescent="0.3">
      <c r="A193" s="216"/>
      <c r="B193" s="1120"/>
      <c r="C193" s="368" t="s">
        <v>4426</v>
      </c>
      <c r="D193" s="379"/>
      <c r="E193" s="379"/>
      <c r="F193" s="379"/>
      <c r="G193" s="379"/>
      <c r="H193" s="379"/>
      <c r="I193" s="379"/>
      <c r="J193" s="379"/>
      <c r="K193" s="379"/>
      <c r="L193" s="379"/>
      <c r="M193" s="380"/>
      <c r="N193" s="233"/>
      <c r="O193" s="1119"/>
      <c r="P193" s="1119"/>
      <c r="Q193" s="1119"/>
      <c r="R193" s="1119"/>
      <c r="S193" s="268">
        <f ca="1">AC193</f>
        <v>0</v>
      </c>
      <c r="T193" s="273" t="str">
        <f t="shared" ca="1" si="46"/>
        <v>DQ REASON</v>
      </c>
      <c r="U193" s="273">
        <f t="shared" ca="1" si="46"/>
        <v>0</v>
      </c>
      <c r="V193" s="273">
        <f t="shared" ca="1" si="46"/>
        <v>0</v>
      </c>
      <c r="W193" s="273">
        <f t="shared" ca="1" si="46"/>
        <v>0</v>
      </c>
      <c r="X193" s="273">
        <f t="shared" ca="1" si="46"/>
        <v>0</v>
      </c>
      <c r="Y193" s="273">
        <f t="shared" ca="1" si="46"/>
        <v>0</v>
      </c>
      <c r="Z193" s="273">
        <f t="shared" ca="1" si="46"/>
        <v>0</v>
      </c>
      <c r="AA193" s="273">
        <f t="shared" ca="1" si="46"/>
        <v>0</v>
      </c>
      <c r="AB193" s="273">
        <f t="shared" ca="1" si="46"/>
        <v>0</v>
      </c>
      <c r="AC193" s="273">
        <f t="shared" ca="1" si="46"/>
        <v>0</v>
      </c>
      <c r="AD193" s="1153"/>
      <c r="AE193" s="66"/>
    </row>
    <row r="194" spans="1:31" ht="18" customHeight="1" x14ac:dyDescent="0.3">
      <c r="A194" s="216"/>
      <c r="B194" s="358" t="s">
        <v>4485</v>
      </c>
      <c r="C194" s="369" t="s">
        <v>4422</v>
      </c>
      <c r="D194" s="326">
        <f>'print 10 lane'!J132</f>
        <v>0</v>
      </c>
      <c r="E194" s="327">
        <f>'print 10 lane'!M132</f>
        <v>1</v>
      </c>
      <c r="F194" s="327">
        <f>'print 10 lane'!P132</f>
        <v>0</v>
      </c>
      <c r="G194" s="327">
        <f>'print 10 lane'!S132</f>
        <v>3</v>
      </c>
      <c r="H194" s="327">
        <f>'print 10 lane'!V132</f>
        <v>2</v>
      </c>
      <c r="I194" s="327">
        <f>'print 10 lane'!Y132</f>
        <v>0</v>
      </c>
      <c r="J194" s="327">
        <f>'print 10 lane'!AB132</f>
        <v>0</v>
      </c>
      <c r="K194" s="327">
        <f>'print 10 lane'!AE132</f>
        <v>0</v>
      </c>
      <c r="L194" s="327">
        <f>'print 10 lane'!AH132</f>
        <v>0</v>
      </c>
      <c r="M194" s="328">
        <f>'print 10 lane'!AK132</f>
        <v>0</v>
      </c>
      <c r="N194" s="233"/>
      <c r="O194" s="1119"/>
      <c r="P194" s="1119"/>
      <c r="Q194" s="1119"/>
      <c r="R194" s="1119"/>
      <c r="S194" s="268"/>
      <c r="T194" s="273"/>
      <c r="U194" s="273"/>
      <c r="V194" s="273"/>
      <c r="W194" s="273"/>
      <c r="X194" s="273"/>
      <c r="Y194" s="273"/>
      <c r="Z194" s="273"/>
      <c r="AA194" s="273"/>
      <c r="AB194" s="273"/>
      <c r="AC194" s="273"/>
      <c r="AD194" s="1153"/>
      <c r="AE194" s="66"/>
    </row>
    <row r="195" spans="1:31" ht="22.5" customHeight="1" x14ac:dyDescent="0.3">
      <c r="A195" s="216"/>
      <c r="B195" s="1118" t="str">
        <f>'Team 1'!B74</f>
        <v>OPEN/MALE 9/11 4 X 50M
MEDLEY RELAY</v>
      </c>
      <c r="C195" s="330" t="s">
        <v>4424</v>
      </c>
      <c r="D195" s="331">
        <v>0</v>
      </c>
      <c r="E195" s="331">
        <v>24312</v>
      </c>
      <c r="F195" s="331">
        <v>0</v>
      </c>
      <c r="G195" s="331">
        <v>32555</v>
      </c>
      <c r="H195" s="331">
        <v>25677</v>
      </c>
      <c r="I195" s="331">
        <v>0</v>
      </c>
      <c r="J195" s="331">
        <v>0</v>
      </c>
      <c r="K195" s="331"/>
      <c r="L195" s="331"/>
      <c r="M195" s="332"/>
      <c r="N195" s="233"/>
      <c r="O195" s="1119"/>
      <c r="P195" s="1119"/>
      <c r="Q195" s="1119"/>
      <c r="R195" s="1119"/>
      <c r="S195" s="268">
        <f ca="1">AC195</f>
        <v>0</v>
      </c>
      <c r="T195" s="273" t="str">
        <f t="shared" ref="T195:AC196" ca="1" si="47">INDIRECT(ADDRESS(ROW(),T$18))</f>
        <v>TIME</v>
      </c>
      <c r="U195" s="273">
        <f t="shared" ca="1" si="47"/>
        <v>0</v>
      </c>
      <c r="V195" s="273">
        <f t="shared" ca="1" si="47"/>
        <v>24312</v>
      </c>
      <c r="W195" s="273">
        <f t="shared" ca="1" si="47"/>
        <v>0</v>
      </c>
      <c r="X195" s="273">
        <f t="shared" ca="1" si="47"/>
        <v>32555</v>
      </c>
      <c r="Y195" s="273">
        <f t="shared" ca="1" si="47"/>
        <v>25677</v>
      </c>
      <c r="Z195" s="273">
        <f t="shared" ca="1" si="47"/>
        <v>0</v>
      </c>
      <c r="AA195" s="273">
        <f t="shared" ca="1" si="47"/>
        <v>0</v>
      </c>
      <c r="AB195" s="273">
        <f t="shared" ca="1" si="47"/>
        <v>0</v>
      </c>
      <c r="AC195" s="273">
        <f t="shared" ca="1" si="47"/>
        <v>0</v>
      </c>
      <c r="AD195" s="1153"/>
      <c r="AE195" s="66"/>
    </row>
    <row r="196" spans="1:31" ht="30" customHeight="1" x14ac:dyDescent="0.3">
      <c r="A196" s="216"/>
      <c r="B196" s="1118"/>
      <c r="C196" s="364" t="s">
        <v>4426</v>
      </c>
      <c r="D196" s="365" t="s">
        <v>4433</v>
      </c>
      <c r="E196" s="365"/>
      <c r="F196" s="365"/>
      <c r="G196" s="365"/>
      <c r="H196" s="365"/>
      <c r="I196" s="365" t="s">
        <v>4486</v>
      </c>
      <c r="J196" s="365" t="s">
        <v>4487</v>
      </c>
      <c r="K196" s="365"/>
      <c r="L196" s="365"/>
      <c r="M196" s="366"/>
      <c r="N196" s="233"/>
      <c r="O196" s="1119"/>
      <c r="P196" s="1119"/>
      <c r="Q196" s="1119"/>
      <c r="R196" s="1119"/>
      <c r="S196" s="268">
        <f ca="1">AC196</f>
        <v>0</v>
      </c>
      <c r="T196" s="273" t="str">
        <f t="shared" ca="1" si="47"/>
        <v>DQ REASON</v>
      </c>
      <c r="U196" s="273" t="str">
        <f t="shared" ca="1" si="47"/>
        <v>DNS</v>
      </c>
      <c r="V196" s="273">
        <f t="shared" ca="1" si="47"/>
        <v>0</v>
      </c>
      <c r="W196" s="273">
        <f t="shared" ca="1" si="47"/>
        <v>0</v>
      </c>
      <c r="X196" s="273">
        <f t="shared" ca="1" si="47"/>
        <v>0</v>
      </c>
      <c r="Y196" s="273">
        <f t="shared" ca="1" si="47"/>
        <v>0</v>
      </c>
      <c r="Z196" s="273" t="str">
        <f t="shared" ca="1" si="47"/>
        <v>10.12 feet lost touch with starting platform before incoming swimmer touched the wall</v>
      </c>
      <c r="AA196" s="273" t="str">
        <f t="shared" ca="1" si="47"/>
        <v>10.8 swimmer caused an obstruction in lane 6</v>
      </c>
      <c r="AB196" s="273">
        <f t="shared" ca="1" si="47"/>
        <v>0</v>
      </c>
      <c r="AC196" s="273">
        <f t="shared" ca="1" si="47"/>
        <v>0</v>
      </c>
      <c r="AD196" s="1153"/>
      <c r="AE196" s="66"/>
    </row>
    <row r="197" spans="1:31" ht="18" customHeight="1" x14ac:dyDescent="0.3">
      <c r="A197" s="216"/>
      <c r="B197" s="350" t="s">
        <v>4488</v>
      </c>
      <c r="C197" s="367" t="s">
        <v>4422</v>
      </c>
      <c r="D197" s="352">
        <f>'print 10 lane'!J134</f>
        <v>3</v>
      </c>
      <c r="E197" s="353">
        <f>'print 10 lane'!M134</f>
        <v>6</v>
      </c>
      <c r="F197" s="353">
        <f>'print 10 lane'!P134</f>
        <v>2</v>
      </c>
      <c r="G197" s="353">
        <f>'print 10 lane'!S134</f>
        <v>1</v>
      </c>
      <c r="H197" s="353">
        <f>'print 10 lane'!V134</f>
        <v>4</v>
      </c>
      <c r="I197" s="353">
        <f>'print 10 lane'!Y134</f>
        <v>7</v>
      </c>
      <c r="J197" s="353">
        <f>'print 10 lane'!AB134</f>
        <v>5</v>
      </c>
      <c r="K197" s="353">
        <f>'print 10 lane'!AE134</f>
        <v>0</v>
      </c>
      <c r="L197" s="353">
        <f>'print 10 lane'!AH134</f>
        <v>0</v>
      </c>
      <c r="M197" s="354">
        <f>'print 10 lane'!AK134</f>
        <v>0</v>
      </c>
      <c r="N197" s="233"/>
      <c r="O197" s="1119"/>
      <c r="P197" s="1119"/>
      <c r="Q197" s="1119"/>
      <c r="R197" s="1119"/>
      <c r="S197" s="268"/>
      <c r="T197" s="273"/>
      <c r="U197" s="273"/>
      <c r="V197" s="273"/>
      <c r="W197" s="273"/>
      <c r="X197" s="273"/>
      <c r="Y197" s="273"/>
      <c r="Z197" s="273"/>
      <c r="AA197" s="273"/>
      <c r="AB197" s="273"/>
      <c r="AC197" s="273"/>
      <c r="AD197" s="1153"/>
      <c r="AE197" s="66"/>
    </row>
    <row r="198" spans="1:31" ht="22.5" customHeight="1" x14ac:dyDescent="0.3">
      <c r="A198" s="216"/>
      <c r="B198" s="1120" t="str">
        <f>'Team 1'!B78</f>
        <v>FEMALE 13/U 4 X 50M
FREESTYLE RELAY</v>
      </c>
      <c r="C198" s="310" t="s">
        <v>4424</v>
      </c>
      <c r="D198" s="311">
        <v>21208</v>
      </c>
      <c r="E198" s="312">
        <v>21673</v>
      </c>
      <c r="F198" s="312">
        <v>20787</v>
      </c>
      <c r="G198" s="312">
        <v>20520</v>
      </c>
      <c r="H198" s="312">
        <v>21320</v>
      </c>
      <c r="I198" s="312">
        <v>22958</v>
      </c>
      <c r="J198" s="312">
        <v>21423</v>
      </c>
      <c r="K198" s="312"/>
      <c r="L198" s="312"/>
      <c r="M198" s="313"/>
      <c r="N198" s="233"/>
      <c r="O198" s="1119"/>
      <c r="P198" s="1119"/>
      <c r="Q198" s="1119"/>
      <c r="R198" s="1119"/>
      <c r="S198" s="268">
        <f ca="1">AC198</f>
        <v>0</v>
      </c>
      <c r="T198" s="273" t="str">
        <f t="shared" ref="T198:AC199" ca="1" si="48">INDIRECT(ADDRESS(ROW(),T$18))</f>
        <v>TIME</v>
      </c>
      <c r="U198" s="273">
        <f t="shared" ca="1" si="48"/>
        <v>21208</v>
      </c>
      <c r="V198" s="273">
        <f t="shared" ca="1" si="48"/>
        <v>21673</v>
      </c>
      <c r="W198" s="273">
        <f t="shared" ca="1" si="48"/>
        <v>20787</v>
      </c>
      <c r="X198" s="273">
        <f t="shared" ca="1" si="48"/>
        <v>20520</v>
      </c>
      <c r="Y198" s="273">
        <f t="shared" ca="1" si="48"/>
        <v>21320</v>
      </c>
      <c r="Z198" s="273">
        <f t="shared" ca="1" si="48"/>
        <v>22958</v>
      </c>
      <c r="AA198" s="273">
        <f t="shared" ca="1" si="48"/>
        <v>21423</v>
      </c>
      <c r="AB198" s="273">
        <f t="shared" ca="1" si="48"/>
        <v>0</v>
      </c>
      <c r="AC198" s="273">
        <f t="shared" ca="1" si="48"/>
        <v>0</v>
      </c>
      <c r="AD198" s="1153"/>
      <c r="AE198" s="66"/>
    </row>
    <row r="199" spans="1:31" ht="30" customHeight="1" x14ac:dyDescent="0.3">
      <c r="A199" s="216"/>
      <c r="B199" s="1120"/>
      <c r="C199" s="368" t="s">
        <v>4426</v>
      </c>
      <c r="D199" s="379"/>
      <c r="E199" s="379"/>
      <c r="F199" s="379"/>
      <c r="G199" s="379"/>
      <c r="H199" s="379"/>
      <c r="I199" s="379"/>
      <c r="J199" s="379"/>
      <c r="K199" s="379"/>
      <c r="L199" s="379"/>
      <c r="M199" s="380"/>
      <c r="N199" s="233"/>
      <c r="O199" s="1128" t="s">
        <v>4430</v>
      </c>
      <c r="P199" s="1128"/>
      <c r="Q199" s="1128"/>
      <c r="R199" s="1128"/>
      <c r="S199" s="268">
        <f ca="1">AC199</f>
        <v>0</v>
      </c>
      <c r="T199" s="273" t="str">
        <f t="shared" ca="1" si="48"/>
        <v>DQ REASON</v>
      </c>
      <c r="U199" s="273">
        <f t="shared" ca="1" si="48"/>
        <v>0</v>
      </c>
      <c r="V199" s="273">
        <f t="shared" ca="1" si="48"/>
        <v>0</v>
      </c>
      <c r="W199" s="273">
        <f t="shared" ca="1" si="48"/>
        <v>0</v>
      </c>
      <c r="X199" s="273">
        <f t="shared" ca="1" si="48"/>
        <v>0</v>
      </c>
      <c r="Y199" s="273">
        <f t="shared" ca="1" si="48"/>
        <v>0</v>
      </c>
      <c r="Z199" s="273">
        <f t="shared" ca="1" si="48"/>
        <v>0</v>
      </c>
      <c r="AA199" s="273">
        <f t="shared" ca="1" si="48"/>
        <v>0</v>
      </c>
      <c r="AB199" s="273">
        <f t="shared" ca="1" si="48"/>
        <v>0</v>
      </c>
      <c r="AC199" s="273">
        <f t="shared" ca="1" si="48"/>
        <v>0</v>
      </c>
      <c r="AD199" s="1153"/>
      <c r="AE199" s="66"/>
    </row>
    <row r="200" spans="1:31" ht="18" customHeight="1" x14ac:dyDescent="0.3">
      <c r="A200" s="216"/>
      <c r="B200" s="358" t="s">
        <v>4489</v>
      </c>
      <c r="C200" s="369" t="s">
        <v>4422</v>
      </c>
      <c r="D200" s="326">
        <f>'print 10 lane'!J136</f>
        <v>4</v>
      </c>
      <c r="E200" s="327">
        <f>'print 10 lane'!M136</f>
        <v>5</v>
      </c>
      <c r="F200" s="327">
        <f>'print 10 lane'!P136</f>
        <v>3</v>
      </c>
      <c r="G200" s="327">
        <f>'print 10 lane'!S136</f>
        <v>7</v>
      </c>
      <c r="H200" s="327">
        <f>'print 10 lane'!V136</f>
        <v>6</v>
      </c>
      <c r="I200" s="327">
        <f>'print 10 lane'!Y136</f>
        <v>1</v>
      </c>
      <c r="J200" s="327">
        <f>'print 10 lane'!AB136</f>
        <v>2</v>
      </c>
      <c r="K200" s="327">
        <f>'print 10 lane'!AE136</f>
        <v>0</v>
      </c>
      <c r="L200" s="327">
        <f>'print 10 lane'!AH136</f>
        <v>0</v>
      </c>
      <c r="M200" s="328">
        <f>'print 10 lane'!AK136</f>
        <v>0</v>
      </c>
      <c r="N200" s="233"/>
      <c r="O200" s="1128"/>
      <c r="P200" s="1128"/>
      <c r="Q200" s="1128"/>
      <c r="R200" s="1128"/>
      <c r="S200" s="268"/>
      <c r="T200" s="273"/>
      <c r="U200" s="273"/>
      <c r="V200" s="273"/>
      <c r="W200" s="273"/>
      <c r="X200" s="273"/>
      <c r="Y200" s="273"/>
      <c r="Z200" s="273"/>
      <c r="AA200" s="273"/>
      <c r="AB200" s="273"/>
      <c r="AC200" s="273"/>
      <c r="AD200" s="1153"/>
      <c r="AE200" s="66"/>
    </row>
    <row r="201" spans="1:31" ht="22.5" customHeight="1" x14ac:dyDescent="0.3">
      <c r="A201" s="216"/>
      <c r="B201" s="1118" t="str">
        <f>'Team 1'!B82</f>
        <v>OPEN/MALE 13/U 4 X 50M
FREESTYLE RELAY</v>
      </c>
      <c r="C201" s="330" t="s">
        <v>4424</v>
      </c>
      <c r="D201" s="331">
        <v>21267</v>
      </c>
      <c r="E201" s="331">
        <v>21739</v>
      </c>
      <c r="F201" s="331">
        <v>20545</v>
      </c>
      <c r="G201" s="331">
        <v>21920</v>
      </c>
      <c r="H201" s="331">
        <v>21893</v>
      </c>
      <c r="I201" s="331">
        <v>15928</v>
      </c>
      <c r="J201" s="331">
        <v>20397</v>
      </c>
      <c r="K201" s="331"/>
      <c r="L201" s="331"/>
      <c r="M201" s="332"/>
      <c r="N201" s="233"/>
      <c r="O201" s="1128"/>
      <c r="P201" s="1128"/>
      <c r="Q201" s="1128"/>
      <c r="R201" s="1128"/>
      <c r="S201" s="268">
        <f ca="1">AC201</f>
        <v>0</v>
      </c>
      <c r="T201" s="273" t="str">
        <f t="shared" ref="T201:AC202" ca="1" si="49">INDIRECT(ADDRESS(ROW(),T$18))</f>
        <v>TIME</v>
      </c>
      <c r="U201" s="273">
        <f t="shared" ca="1" si="49"/>
        <v>21267</v>
      </c>
      <c r="V201" s="273">
        <f t="shared" ca="1" si="49"/>
        <v>21739</v>
      </c>
      <c r="W201" s="273">
        <f t="shared" ca="1" si="49"/>
        <v>20545</v>
      </c>
      <c r="X201" s="273">
        <f t="shared" ca="1" si="49"/>
        <v>21920</v>
      </c>
      <c r="Y201" s="273">
        <f t="shared" ca="1" si="49"/>
        <v>21893</v>
      </c>
      <c r="Z201" s="273">
        <f t="shared" ca="1" si="49"/>
        <v>15928</v>
      </c>
      <c r="AA201" s="273">
        <f t="shared" ca="1" si="49"/>
        <v>20397</v>
      </c>
      <c r="AB201" s="273">
        <f t="shared" ca="1" si="49"/>
        <v>0</v>
      </c>
      <c r="AC201" s="273">
        <f t="shared" ca="1" si="49"/>
        <v>0</v>
      </c>
      <c r="AD201" s="1153"/>
      <c r="AE201" s="66"/>
    </row>
    <row r="202" spans="1:31" ht="30" customHeight="1" x14ac:dyDescent="0.3">
      <c r="A202" s="216"/>
      <c r="B202" s="1118"/>
      <c r="C202" s="364" t="s">
        <v>4426</v>
      </c>
      <c r="D202" s="365"/>
      <c r="E202" s="365"/>
      <c r="F202" s="365"/>
      <c r="G202" s="365"/>
      <c r="H202" s="365"/>
      <c r="I202" s="365"/>
      <c r="J202" s="365"/>
      <c r="K202" s="365"/>
      <c r="L202" s="365"/>
      <c r="M202" s="366"/>
      <c r="N202" s="233"/>
      <c r="O202" s="1128"/>
      <c r="P202" s="1128"/>
      <c r="Q202" s="1128"/>
      <c r="R202" s="1128"/>
      <c r="S202" s="268">
        <f ca="1">AC202</f>
        <v>0</v>
      </c>
      <c r="T202" s="273" t="str">
        <f t="shared" ca="1" si="49"/>
        <v>DQ REASON</v>
      </c>
      <c r="U202" s="273">
        <f t="shared" ca="1" si="49"/>
        <v>0</v>
      </c>
      <c r="V202" s="273">
        <f t="shared" ca="1" si="49"/>
        <v>0</v>
      </c>
      <c r="W202" s="273">
        <f t="shared" ca="1" si="49"/>
        <v>0</v>
      </c>
      <c r="X202" s="273">
        <f t="shared" ca="1" si="49"/>
        <v>0</v>
      </c>
      <c r="Y202" s="273">
        <f t="shared" ca="1" si="49"/>
        <v>0</v>
      </c>
      <c r="Z202" s="273">
        <f t="shared" ca="1" si="49"/>
        <v>0</v>
      </c>
      <c r="AA202" s="273">
        <f t="shared" ca="1" si="49"/>
        <v>0</v>
      </c>
      <c r="AB202" s="273">
        <f t="shared" ca="1" si="49"/>
        <v>0</v>
      </c>
      <c r="AC202" s="273">
        <f t="shared" ca="1" si="49"/>
        <v>0</v>
      </c>
      <c r="AD202" s="1153"/>
      <c r="AE202" s="66"/>
    </row>
    <row r="203" spans="1:31" ht="18" customHeight="1" x14ac:dyDescent="0.3">
      <c r="A203" s="216"/>
      <c r="B203" s="350" t="s">
        <v>4490</v>
      </c>
      <c r="C203" s="367" t="s">
        <v>4422</v>
      </c>
      <c r="D203" s="352">
        <f>'print 10 lane'!J138</f>
        <v>4</v>
      </c>
      <c r="E203" s="353">
        <f>'print 10 lane'!M138</f>
        <v>7</v>
      </c>
      <c r="F203" s="353">
        <f>'print 10 lane'!P138</f>
        <v>6</v>
      </c>
      <c r="G203" s="353">
        <f>'print 10 lane'!S138</f>
        <v>3</v>
      </c>
      <c r="H203" s="353">
        <f>'print 10 lane'!V138</f>
        <v>1</v>
      </c>
      <c r="I203" s="353">
        <f>'print 10 lane'!Y138</f>
        <v>2</v>
      </c>
      <c r="J203" s="353">
        <f>'print 10 lane'!AB138</f>
        <v>5</v>
      </c>
      <c r="K203" s="353">
        <f>'print 10 lane'!AE138</f>
        <v>0</v>
      </c>
      <c r="L203" s="353">
        <f>'print 10 lane'!AH138</f>
        <v>0</v>
      </c>
      <c r="M203" s="354">
        <f>'print 10 lane'!AK138</f>
        <v>0</v>
      </c>
      <c r="N203" s="233"/>
      <c r="O203" s="376"/>
      <c r="P203" s="376"/>
      <c r="Q203" s="376"/>
      <c r="R203" s="376"/>
      <c r="S203" s="268"/>
      <c r="T203" s="273"/>
      <c r="U203" s="273"/>
      <c r="V203" s="273"/>
      <c r="W203" s="273"/>
      <c r="X203" s="273"/>
      <c r="Y203" s="273"/>
      <c r="Z203" s="273"/>
      <c r="AA203" s="273"/>
      <c r="AB203" s="273"/>
      <c r="AC203" s="273"/>
      <c r="AD203" s="1153"/>
      <c r="AE203" s="66"/>
    </row>
    <row r="204" spans="1:31" ht="22.5" customHeight="1" x14ac:dyDescent="0.3">
      <c r="A204" s="216"/>
      <c r="B204" s="1120" t="str">
        <f>'Team 1'!B86</f>
        <v>FEMALE 15/U 4 X 50M
MEDLEY RELAY</v>
      </c>
      <c r="C204" s="310" t="s">
        <v>4424</v>
      </c>
      <c r="D204" s="311">
        <v>22371</v>
      </c>
      <c r="E204" s="312">
        <v>23058</v>
      </c>
      <c r="F204" s="312">
        <v>22566</v>
      </c>
      <c r="G204" s="312">
        <v>21923</v>
      </c>
      <c r="H204" s="312">
        <v>21442</v>
      </c>
      <c r="I204" s="312">
        <v>21800</v>
      </c>
      <c r="J204" s="312">
        <v>22519</v>
      </c>
      <c r="K204" s="312"/>
      <c r="L204" s="312"/>
      <c r="M204" s="313"/>
      <c r="N204" s="233"/>
      <c r="O204" s="363"/>
      <c r="P204" s="363"/>
      <c r="Q204" s="363"/>
      <c r="R204" s="363"/>
      <c r="S204" s="268">
        <f ca="1">AC204</f>
        <v>0</v>
      </c>
      <c r="T204" s="273" t="str">
        <f t="shared" ref="T204:AC205" ca="1" si="50">INDIRECT(ADDRESS(ROW(),T$18))</f>
        <v>TIME</v>
      </c>
      <c r="U204" s="273">
        <f t="shared" ca="1" si="50"/>
        <v>22371</v>
      </c>
      <c r="V204" s="273">
        <f t="shared" ca="1" si="50"/>
        <v>23058</v>
      </c>
      <c r="W204" s="273">
        <f t="shared" ca="1" si="50"/>
        <v>22566</v>
      </c>
      <c r="X204" s="273">
        <f t="shared" ca="1" si="50"/>
        <v>21923</v>
      </c>
      <c r="Y204" s="273">
        <f t="shared" ca="1" si="50"/>
        <v>21442</v>
      </c>
      <c r="Z204" s="273">
        <f t="shared" ca="1" si="50"/>
        <v>21800</v>
      </c>
      <c r="AA204" s="273">
        <f t="shared" ca="1" si="50"/>
        <v>22519</v>
      </c>
      <c r="AB204" s="273">
        <f t="shared" ca="1" si="50"/>
        <v>0</v>
      </c>
      <c r="AC204" s="273">
        <f t="shared" ca="1" si="50"/>
        <v>0</v>
      </c>
      <c r="AD204" s="1153"/>
      <c r="AE204" s="66"/>
    </row>
    <row r="205" spans="1:31" ht="30" customHeight="1" x14ac:dyDescent="0.3">
      <c r="A205" s="216"/>
      <c r="B205" s="1120"/>
      <c r="C205" s="368" t="s">
        <v>4426</v>
      </c>
      <c r="D205" s="379"/>
      <c r="E205" s="379"/>
      <c r="F205" s="379"/>
      <c r="G205" s="379"/>
      <c r="H205" s="379"/>
      <c r="I205" s="379"/>
      <c r="J205" s="379"/>
      <c r="K205" s="379"/>
      <c r="L205" s="379"/>
      <c r="M205" s="380"/>
      <c r="N205" s="233"/>
      <c r="O205" s="363"/>
      <c r="P205" s="363"/>
      <c r="Q205" s="363"/>
      <c r="R205" s="363"/>
      <c r="S205" s="268">
        <f ca="1">AC205</f>
        <v>0</v>
      </c>
      <c r="T205" s="273" t="str">
        <f t="shared" ca="1" si="50"/>
        <v>DQ REASON</v>
      </c>
      <c r="U205" s="273">
        <f t="shared" ca="1" si="50"/>
        <v>0</v>
      </c>
      <c r="V205" s="273">
        <f t="shared" ca="1" si="50"/>
        <v>0</v>
      </c>
      <c r="W205" s="273">
        <f t="shared" ca="1" si="50"/>
        <v>0</v>
      </c>
      <c r="X205" s="273">
        <f t="shared" ca="1" si="50"/>
        <v>0</v>
      </c>
      <c r="Y205" s="273">
        <f t="shared" ca="1" si="50"/>
        <v>0</v>
      </c>
      <c r="Z205" s="273">
        <f t="shared" ca="1" si="50"/>
        <v>0</v>
      </c>
      <c r="AA205" s="273">
        <f t="shared" ca="1" si="50"/>
        <v>0</v>
      </c>
      <c r="AB205" s="273">
        <f t="shared" ca="1" si="50"/>
        <v>0</v>
      </c>
      <c r="AC205" s="273">
        <f t="shared" ca="1" si="50"/>
        <v>0</v>
      </c>
      <c r="AD205" s="1153"/>
      <c r="AE205" s="66"/>
    </row>
    <row r="206" spans="1:31" ht="18" customHeight="1" x14ac:dyDescent="0.3">
      <c r="A206" s="216"/>
      <c r="B206" s="384" t="s">
        <v>4491</v>
      </c>
      <c r="C206" s="369"/>
      <c r="D206" s="326">
        <f>'print 10 lane'!J140</f>
        <v>6</v>
      </c>
      <c r="E206" s="327">
        <f>'print 10 lane'!M140</f>
        <v>4</v>
      </c>
      <c r="F206" s="327">
        <f>'print 10 lane'!P140</f>
        <v>5</v>
      </c>
      <c r="G206" s="327">
        <f>'print 10 lane'!S140</f>
        <v>0</v>
      </c>
      <c r="H206" s="327">
        <f>'print 10 lane'!V140</f>
        <v>1</v>
      </c>
      <c r="I206" s="327">
        <f>'print 10 lane'!Y140</f>
        <v>2</v>
      </c>
      <c r="J206" s="327">
        <f>'print 10 lane'!AB140</f>
        <v>3</v>
      </c>
      <c r="K206" s="327">
        <f>'print 10 lane'!AE140</f>
        <v>0</v>
      </c>
      <c r="L206" s="327">
        <f>'print 10 lane'!AH140</f>
        <v>0</v>
      </c>
      <c r="M206" s="328">
        <f>'print 10 lane'!AK140</f>
        <v>0</v>
      </c>
      <c r="N206" s="233"/>
      <c r="O206" s="363"/>
      <c r="P206" s="363"/>
      <c r="Q206" s="363"/>
      <c r="R206" s="363"/>
      <c r="S206" s="268"/>
      <c r="T206" s="273"/>
      <c r="U206" s="273"/>
      <c r="V206" s="273"/>
      <c r="W206" s="273"/>
      <c r="X206" s="273"/>
      <c r="Y206" s="273"/>
      <c r="Z206" s="273"/>
      <c r="AA206" s="273"/>
      <c r="AB206" s="273"/>
      <c r="AC206" s="273"/>
      <c r="AD206" s="1153"/>
      <c r="AE206" s="66"/>
    </row>
    <row r="207" spans="1:31" ht="22.5" customHeight="1" x14ac:dyDescent="0.3">
      <c r="A207" s="216"/>
      <c r="B207" s="1118" t="str">
        <f>'Team 1'!B90</f>
        <v>OPEN/MALE 15/U 4 X 50M
MEDLEY RELAY</v>
      </c>
      <c r="C207" s="330" t="s">
        <v>4424</v>
      </c>
      <c r="D207" s="331">
        <v>22802</v>
      </c>
      <c r="E207" s="331">
        <v>21864</v>
      </c>
      <c r="F207" s="331">
        <v>21936</v>
      </c>
      <c r="G207" s="331">
        <v>0</v>
      </c>
      <c r="H207" s="331">
        <v>20155</v>
      </c>
      <c r="I207" s="331">
        <v>20589</v>
      </c>
      <c r="J207" s="331">
        <v>20935</v>
      </c>
      <c r="K207" s="331"/>
      <c r="L207" s="331"/>
      <c r="M207" s="332"/>
      <c r="N207" s="233"/>
      <c r="O207" s="111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207" s="1119"/>
      <c r="Q207" s="1119"/>
      <c r="R207" s="1119"/>
      <c r="S207" s="268">
        <f ca="1">AC207</f>
        <v>0</v>
      </c>
      <c r="T207" s="273" t="str">
        <f t="shared" ref="T207:AC208" ca="1" si="51">INDIRECT(ADDRESS(ROW(),T$18))</f>
        <v>TIME</v>
      </c>
      <c r="U207" s="273">
        <f t="shared" ca="1" si="51"/>
        <v>22802</v>
      </c>
      <c r="V207" s="273">
        <f t="shared" ca="1" si="51"/>
        <v>21864</v>
      </c>
      <c r="W207" s="273">
        <f t="shared" ca="1" si="51"/>
        <v>21936</v>
      </c>
      <c r="X207" s="273">
        <f t="shared" ca="1" si="51"/>
        <v>0</v>
      </c>
      <c r="Y207" s="273">
        <f t="shared" ca="1" si="51"/>
        <v>20155</v>
      </c>
      <c r="Z207" s="273">
        <f t="shared" ca="1" si="51"/>
        <v>20589</v>
      </c>
      <c r="AA207" s="273">
        <f t="shared" ca="1" si="51"/>
        <v>20935</v>
      </c>
      <c r="AB207" s="273">
        <f t="shared" ca="1" si="51"/>
        <v>0</v>
      </c>
      <c r="AC207" s="273">
        <f t="shared" ca="1" si="51"/>
        <v>0</v>
      </c>
      <c r="AD207" s="1153"/>
      <c r="AE207" s="66"/>
    </row>
    <row r="208" spans="1:31" ht="30" customHeight="1" x14ac:dyDescent="0.3">
      <c r="A208" s="216"/>
      <c r="B208" s="1118"/>
      <c r="C208" s="364" t="s">
        <v>4426</v>
      </c>
      <c r="D208" s="365"/>
      <c r="E208" s="365"/>
      <c r="F208" s="365"/>
      <c r="G208" s="365" t="s">
        <v>4492</v>
      </c>
      <c r="H208" s="365"/>
      <c r="I208" s="365"/>
      <c r="J208" s="365"/>
      <c r="K208" s="365"/>
      <c r="L208" s="365"/>
      <c r="M208" s="366"/>
      <c r="N208" s="250"/>
      <c r="O208" s="1119"/>
      <c r="P208" s="1119"/>
      <c r="Q208" s="1119"/>
      <c r="R208" s="1119"/>
      <c r="S208" s="268">
        <f ca="1">AC208</f>
        <v>0</v>
      </c>
      <c r="T208" s="273" t="str">
        <f t="shared" ca="1" si="51"/>
        <v>DQ REASON</v>
      </c>
      <c r="U208" s="273">
        <f t="shared" ca="1" si="51"/>
        <v>0</v>
      </c>
      <c r="V208" s="273">
        <f t="shared" ca="1" si="51"/>
        <v>0</v>
      </c>
      <c r="W208" s="273">
        <f t="shared" ca="1" si="51"/>
        <v>0</v>
      </c>
      <c r="X208" s="273" t="str">
        <f t="shared" ca="1" si="51"/>
        <v>10.8 Obstructed swimmer in lane 3</v>
      </c>
      <c r="Y208" s="273">
        <f t="shared" ca="1" si="51"/>
        <v>0</v>
      </c>
      <c r="Z208" s="273">
        <f t="shared" ca="1" si="51"/>
        <v>0</v>
      </c>
      <c r="AA208" s="273">
        <f t="shared" ca="1" si="51"/>
        <v>0</v>
      </c>
      <c r="AB208" s="273">
        <f t="shared" ca="1" si="51"/>
        <v>0</v>
      </c>
      <c r="AC208" s="273">
        <f t="shared" ca="1" si="51"/>
        <v>0</v>
      </c>
      <c r="AD208" s="1153"/>
      <c r="AE208" s="66"/>
    </row>
    <row r="209" spans="1:31" ht="18" customHeight="1" x14ac:dyDescent="0.25">
      <c r="A209" s="216"/>
      <c r="B209" s="385" t="s">
        <v>4493</v>
      </c>
      <c r="C209" s="367" t="s">
        <v>4422</v>
      </c>
      <c r="D209" s="352">
        <f>'print 10 lane'!J142</f>
        <v>4</v>
      </c>
      <c r="E209" s="353">
        <f>'print 10 lane'!M142</f>
        <v>7</v>
      </c>
      <c r="F209" s="353">
        <f>'print 10 lane'!P142</f>
        <v>6</v>
      </c>
      <c r="G209" s="353">
        <f>'print 10 lane'!S142</f>
        <v>3</v>
      </c>
      <c r="H209" s="353">
        <f>'print 10 lane'!V142</f>
        <v>2</v>
      </c>
      <c r="I209" s="353">
        <f>'print 10 lane'!Y142</f>
        <v>5</v>
      </c>
      <c r="J209" s="353">
        <f>'print 10 lane'!AB142</f>
        <v>1</v>
      </c>
      <c r="K209" s="353">
        <f>'print 10 lane'!AE142</f>
        <v>0</v>
      </c>
      <c r="L209" s="353">
        <f>'print 10 lane'!AH142</f>
        <v>0</v>
      </c>
      <c r="M209" s="354">
        <f>'print 10 lane'!AK142</f>
        <v>0</v>
      </c>
      <c r="N209" s="233"/>
      <c r="O209" s="1119"/>
      <c r="P209" s="1119"/>
      <c r="Q209" s="1119"/>
      <c r="R209" s="1119"/>
      <c r="S209" s="386"/>
      <c r="T209" s="386"/>
      <c r="U209" s="386"/>
      <c r="V209" s="386"/>
      <c r="W209" s="386"/>
      <c r="X209" s="386"/>
      <c r="Y209" s="386"/>
      <c r="Z209" s="386"/>
      <c r="AA209" s="386"/>
      <c r="AB209" s="386"/>
      <c r="AC209" s="386"/>
      <c r="AD209" s="1153"/>
      <c r="AE209" s="66"/>
    </row>
    <row r="210" spans="1:31" ht="22.5" customHeight="1" x14ac:dyDescent="0.3">
      <c r="A210" s="216"/>
      <c r="B210" s="1120" t="str">
        <f>'Team 1'!B94</f>
        <v>FEMALE 16+4 X 50M
FREESTYLE RELAY</v>
      </c>
      <c r="C210" s="310" t="s">
        <v>4424</v>
      </c>
      <c r="D210" s="311">
        <v>20391</v>
      </c>
      <c r="E210" s="312">
        <v>20999</v>
      </c>
      <c r="F210" s="312">
        <v>20669</v>
      </c>
      <c r="G210" s="312">
        <v>20006</v>
      </c>
      <c r="H210" s="312">
        <v>15992</v>
      </c>
      <c r="I210" s="312">
        <v>20440</v>
      </c>
      <c r="J210" s="312">
        <v>15919</v>
      </c>
      <c r="K210" s="312"/>
      <c r="L210" s="312"/>
      <c r="M210" s="313"/>
      <c r="N210" s="233"/>
      <c r="O210" s="1119"/>
      <c r="P210" s="1119"/>
      <c r="Q210" s="1119"/>
      <c r="R210" s="1119"/>
      <c r="S210" s="268">
        <f ca="1">AC210</f>
        <v>0</v>
      </c>
      <c r="T210" s="273" t="str">
        <f t="shared" ref="T210:AC211" ca="1" si="52">INDIRECT(ADDRESS(ROW(),T$18))</f>
        <v>TIME</v>
      </c>
      <c r="U210" s="273">
        <f t="shared" ca="1" si="52"/>
        <v>20391</v>
      </c>
      <c r="V210" s="273">
        <f t="shared" ca="1" si="52"/>
        <v>20999</v>
      </c>
      <c r="W210" s="273">
        <f t="shared" ca="1" si="52"/>
        <v>20669</v>
      </c>
      <c r="X210" s="273">
        <f t="shared" ca="1" si="52"/>
        <v>20006</v>
      </c>
      <c r="Y210" s="273">
        <f t="shared" ca="1" si="52"/>
        <v>15992</v>
      </c>
      <c r="Z210" s="273">
        <f t="shared" ca="1" si="52"/>
        <v>20440</v>
      </c>
      <c r="AA210" s="273">
        <f t="shared" ca="1" si="52"/>
        <v>15919</v>
      </c>
      <c r="AB210" s="273">
        <f t="shared" ca="1" si="52"/>
        <v>0</v>
      </c>
      <c r="AC210" s="273">
        <f t="shared" ca="1" si="52"/>
        <v>0</v>
      </c>
      <c r="AD210" s="1153"/>
      <c r="AE210" s="66"/>
    </row>
    <row r="211" spans="1:31" ht="30" customHeight="1" x14ac:dyDescent="0.3">
      <c r="A211" s="216"/>
      <c r="B211" s="1120"/>
      <c r="C211" s="368" t="s">
        <v>4426</v>
      </c>
      <c r="D211" s="379"/>
      <c r="E211" s="379"/>
      <c r="F211" s="379"/>
      <c r="G211" s="379"/>
      <c r="H211" s="379"/>
      <c r="I211" s="379"/>
      <c r="J211" s="379"/>
      <c r="K211" s="379"/>
      <c r="L211" s="379"/>
      <c r="M211" s="380"/>
      <c r="N211" s="233"/>
      <c r="O211" s="1119"/>
      <c r="P211" s="1119"/>
      <c r="Q211" s="1119"/>
      <c r="R211" s="1119"/>
      <c r="S211" s="268">
        <f ca="1">AC211</f>
        <v>0</v>
      </c>
      <c r="T211" s="273" t="str">
        <f t="shared" ca="1" si="52"/>
        <v>DQ REASON</v>
      </c>
      <c r="U211" s="273">
        <f t="shared" ca="1" si="52"/>
        <v>0</v>
      </c>
      <c r="V211" s="273">
        <f t="shared" ca="1" si="52"/>
        <v>0</v>
      </c>
      <c r="W211" s="273">
        <f t="shared" ca="1" si="52"/>
        <v>0</v>
      </c>
      <c r="X211" s="273">
        <f t="shared" ca="1" si="52"/>
        <v>0</v>
      </c>
      <c r="Y211" s="273">
        <f t="shared" ca="1" si="52"/>
        <v>0</v>
      </c>
      <c r="Z211" s="273">
        <f t="shared" ca="1" si="52"/>
        <v>0</v>
      </c>
      <c r="AA211" s="273">
        <f t="shared" ca="1" si="52"/>
        <v>0</v>
      </c>
      <c r="AB211" s="273">
        <f t="shared" ca="1" si="52"/>
        <v>0</v>
      </c>
      <c r="AC211" s="273">
        <f t="shared" ca="1" si="52"/>
        <v>0</v>
      </c>
      <c r="AD211" s="1153"/>
      <c r="AE211" s="66"/>
    </row>
    <row r="212" spans="1:31" ht="18" customHeight="1" x14ac:dyDescent="0.3">
      <c r="A212" s="216"/>
      <c r="B212" s="358" t="s">
        <v>4494</v>
      </c>
      <c r="C212" s="369" t="s">
        <v>4422</v>
      </c>
      <c r="D212" s="326">
        <f>'print 10 lane'!J144</f>
        <v>7</v>
      </c>
      <c r="E212" s="327">
        <f>'print 10 lane'!M144</f>
        <v>6</v>
      </c>
      <c r="F212" s="327">
        <f>'print 10 lane'!P144</f>
        <v>5</v>
      </c>
      <c r="G212" s="327">
        <f>'print 10 lane'!S144</f>
        <v>2</v>
      </c>
      <c r="H212" s="327">
        <f>'print 10 lane'!V144</f>
        <v>3</v>
      </c>
      <c r="I212" s="327">
        <f>'print 10 lane'!Y144</f>
        <v>1</v>
      </c>
      <c r="J212" s="327">
        <f>'print 10 lane'!AB144</f>
        <v>4</v>
      </c>
      <c r="K212" s="327">
        <f>'print 10 lane'!AE144</f>
        <v>0</v>
      </c>
      <c r="L212" s="327">
        <f>'print 10 lane'!AH144</f>
        <v>0</v>
      </c>
      <c r="M212" s="328">
        <f>'print 10 lane'!AK144</f>
        <v>0</v>
      </c>
      <c r="N212" s="233"/>
      <c r="O212" s="1119"/>
      <c r="P212" s="1119"/>
      <c r="Q212" s="1119"/>
      <c r="R212" s="1119"/>
      <c r="S212" s="268"/>
      <c r="T212" s="273"/>
      <c r="U212" s="273"/>
      <c r="V212" s="273"/>
      <c r="W212" s="273"/>
      <c r="X212" s="273"/>
      <c r="Y212" s="273"/>
      <c r="Z212" s="273"/>
      <c r="AA212" s="273"/>
      <c r="AB212" s="273"/>
      <c r="AC212" s="273"/>
      <c r="AD212" s="1153"/>
      <c r="AE212" s="66"/>
    </row>
    <row r="213" spans="1:31" ht="22.5" customHeight="1" x14ac:dyDescent="0.3">
      <c r="A213" s="216"/>
      <c r="B213" s="1118" t="str">
        <f>'Team 1'!B98</f>
        <v>OPEN/MALE 16+4 X 50M
FREESTYLE RELAY</v>
      </c>
      <c r="C213" s="330" t="s">
        <v>4424</v>
      </c>
      <c r="D213" s="331">
        <v>15974</v>
      </c>
      <c r="E213" s="331">
        <v>15461</v>
      </c>
      <c r="F213" s="331">
        <v>15394</v>
      </c>
      <c r="G213" s="331">
        <v>14642</v>
      </c>
      <c r="H213" s="331">
        <v>14705</v>
      </c>
      <c r="I213" s="331">
        <v>14433</v>
      </c>
      <c r="J213" s="331">
        <v>15124</v>
      </c>
      <c r="K213" s="331"/>
      <c r="L213" s="331"/>
      <c r="M213" s="332"/>
      <c r="N213" s="233"/>
      <c r="O213" s="1119"/>
      <c r="P213" s="1119"/>
      <c r="Q213" s="1119"/>
      <c r="R213" s="1119"/>
      <c r="S213" s="268">
        <f ca="1">AC213</f>
        <v>0</v>
      </c>
      <c r="T213" s="273" t="str">
        <f t="shared" ref="T213:AC214" ca="1" si="53">INDIRECT(ADDRESS(ROW(),T$18))</f>
        <v>TIME</v>
      </c>
      <c r="U213" s="273">
        <f t="shared" ca="1" si="53"/>
        <v>15974</v>
      </c>
      <c r="V213" s="273">
        <f t="shared" ca="1" si="53"/>
        <v>15461</v>
      </c>
      <c r="W213" s="273">
        <f t="shared" ca="1" si="53"/>
        <v>15394</v>
      </c>
      <c r="X213" s="273">
        <f t="shared" ca="1" si="53"/>
        <v>14642</v>
      </c>
      <c r="Y213" s="273">
        <f t="shared" ca="1" si="53"/>
        <v>14705</v>
      </c>
      <c r="Z213" s="273">
        <f t="shared" ca="1" si="53"/>
        <v>14433</v>
      </c>
      <c r="AA213" s="273">
        <f t="shared" ca="1" si="53"/>
        <v>15124</v>
      </c>
      <c r="AB213" s="273">
        <f t="shared" ca="1" si="53"/>
        <v>0</v>
      </c>
      <c r="AC213" s="273">
        <f t="shared" ca="1" si="53"/>
        <v>0</v>
      </c>
      <c r="AD213" s="1153"/>
      <c r="AE213" s="66"/>
    </row>
    <row r="214" spans="1:31" ht="30" customHeight="1" x14ac:dyDescent="0.3">
      <c r="A214" s="216"/>
      <c r="B214" s="1118"/>
      <c r="C214" s="387" t="s">
        <v>4426</v>
      </c>
      <c r="D214" s="365"/>
      <c r="E214" s="365"/>
      <c r="F214" s="365"/>
      <c r="G214" s="365"/>
      <c r="H214" s="365"/>
      <c r="I214" s="365"/>
      <c r="J214" s="365"/>
      <c r="K214" s="365"/>
      <c r="L214" s="365"/>
      <c r="M214" s="366"/>
      <c r="N214" s="233"/>
      <c r="O214" s="1119"/>
      <c r="P214" s="1119"/>
      <c r="Q214" s="1119"/>
      <c r="R214" s="1119"/>
      <c r="S214" s="268">
        <f ca="1">AC214</f>
        <v>0</v>
      </c>
      <c r="T214" s="273" t="str">
        <f t="shared" ca="1" si="53"/>
        <v>DQ REASON</v>
      </c>
      <c r="U214" s="273">
        <f t="shared" ca="1" si="53"/>
        <v>0</v>
      </c>
      <c r="V214" s="273">
        <f t="shared" ca="1" si="53"/>
        <v>0</v>
      </c>
      <c r="W214" s="273">
        <f t="shared" ca="1" si="53"/>
        <v>0</v>
      </c>
      <c r="X214" s="273">
        <f t="shared" ca="1" si="53"/>
        <v>0</v>
      </c>
      <c r="Y214" s="273">
        <f t="shared" ca="1" si="53"/>
        <v>0</v>
      </c>
      <c r="Z214" s="273">
        <f t="shared" ca="1" si="53"/>
        <v>0</v>
      </c>
      <c r="AA214" s="273">
        <f t="shared" ca="1" si="53"/>
        <v>0</v>
      </c>
      <c r="AB214" s="273">
        <f t="shared" ca="1" si="53"/>
        <v>0</v>
      </c>
      <c r="AC214" s="273">
        <f t="shared" ca="1" si="53"/>
        <v>0</v>
      </c>
      <c r="AD214" s="1153"/>
      <c r="AE214" s="66"/>
    </row>
    <row r="215" spans="1:31" ht="18" customHeight="1" x14ac:dyDescent="0.3">
      <c r="A215" s="216"/>
      <c r="B215" s="1121" t="s">
        <v>4495</v>
      </c>
      <c r="C215" s="369" t="s">
        <v>4422</v>
      </c>
      <c r="D215" s="326">
        <f>'print 10 lane'!J146</f>
        <v>5</v>
      </c>
      <c r="E215" s="327">
        <f>'print 10 lane'!M146</f>
        <v>2</v>
      </c>
      <c r="F215" s="327">
        <f>'print 10 lane'!P146</f>
        <v>6</v>
      </c>
      <c r="G215" s="327">
        <f>'print 10 lane'!S146</f>
        <v>1</v>
      </c>
      <c r="H215" s="327">
        <f>'print 10 lane'!V146</f>
        <v>3</v>
      </c>
      <c r="I215" s="327">
        <f>'print 10 lane'!Y146</f>
        <v>0</v>
      </c>
      <c r="J215" s="327">
        <f>'print 10 lane'!AB146</f>
        <v>4</v>
      </c>
      <c r="K215" s="327">
        <f>'print 10 lane'!AE146</f>
        <v>0</v>
      </c>
      <c r="L215" s="327">
        <f>'print 10 lane'!AH146</f>
        <v>0</v>
      </c>
      <c r="M215" s="328">
        <f>'print 10 lane'!AK146</f>
        <v>0</v>
      </c>
      <c r="N215" s="388"/>
      <c r="O215" s="1119"/>
      <c r="P215" s="1119"/>
      <c r="Q215" s="1119"/>
      <c r="R215" s="1119"/>
      <c r="S215" s="268"/>
      <c r="T215" s="273"/>
      <c r="U215" s="273"/>
      <c r="V215" s="273"/>
      <c r="W215" s="273"/>
      <c r="X215" s="273"/>
      <c r="Y215" s="273"/>
      <c r="Z215" s="273"/>
      <c r="AA215" s="273"/>
      <c r="AB215" s="273"/>
      <c r="AC215" s="273"/>
      <c r="AD215" s="1153"/>
      <c r="AE215" s="66"/>
    </row>
    <row r="216" spans="1:31" ht="22.5" customHeight="1" x14ac:dyDescent="0.3">
      <c r="A216" s="216"/>
      <c r="B216" s="1121"/>
      <c r="C216" s="330" t="s">
        <v>4424</v>
      </c>
      <c r="D216" s="389">
        <v>42248</v>
      </c>
      <c r="E216" s="389">
        <v>40646</v>
      </c>
      <c r="F216" s="389">
        <v>42625</v>
      </c>
      <c r="G216" s="389">
        <v>40535</v>
      </c>
      <c r="H216" s="389">
        <v>41629</v>
      </c>
      <c r="I216" s="389">
        <v>0</v>
      </c>
      <c r="J216" s="389">
        <v>41991</v>
      </c>
      <c r="K216" s="389"/>
      <c r="L216" s="389"/>
      <c r="M216" s="389"/>
      <c r="N216" s="388"/>
      <c r="O216" s="1119"/>
      <c r="P216" s="1119"/>
      <c r="Q216" s="1119"/>
      <c r="R216" s="1119"/>
      <c r="S216" s="268"/>
      <c r="T216" s="273"/>
      <c r="U216" s="273"/>
      <c r="V216" s="273"/>
      <c r="W216" s="273"/>
      <c r="X216" s="273"/>
      <c r="Y216" s="273"/>
      <c r="Z216" s="273"/>
      <c r="AA216" s="273"/>
      <c r="AB216" s="273"/>
      <c r="AC216" s="273"/>
      <c r="AD216" s="1153"/>
      <c r="AE216" s="66"/>
    </row>
    <row r="217" spans="1:31" ht="30" customHeight="1" x14ac:dyDescent="0.3">
      <c r="A217" s="216"/>
      <c r="B217" s="1121"/>
      <c r="C217" s="387" t="s">
        <v>4426</v>
      </c>
      <c r="D217" s="390"/>
      <c r="E217" s="390"/>
      <c r="F217" s="390"/>
      <c r="G217" s="390"/>
      <c r="H217" s="390"/>
      <c r="I217" s="390" t="s">
        <v>4496</v>
      </c>
      <c r="J217" s="390"/>
      <c r="K217" s="390"/>
      <c r="L217" s="390"/>
      <c r="M217" s="390"/>
      <c r="N217" s="388"/>
      <c r="O217" s="1119"/>
      <c r="P217" s="1119"/>
      <c r="Q217" s="1119"/>
      <c r="R217" s="1119"/>
      <c r="S217" s="268"/>
      <c r="T217" s="273"/>
      <c r="U217" s="273"/>
      <c r="V217" s="273"/>
      <c r="W217" s="273"/>
      <c r="X217" s="273"/>
      <c r="Y217" s="273"/>
      <c r="Z217" s="273"/>
      <c r="AA217" s="273"/>
      <c r="AB217" s="273"/>
      <c r="AC217" s="273"/>
      <c r="AD217" s="1153"/>
      <c r="AE217" s="66"/>
    </row>
    <row r="218" spans="1:31" ht="9" customHeight="1" x14ac:dyDescent="0.25">
      <c r="A218" s="216"/>
      <c r="B218" s="1122" t="s">
        <v>4497</v>
      </c>
      <c r="C218" s="1122"/>
      <c r="D218" s="1122"/>
      <c r="E218" s="1122"/>
      <c r="F218" s="1122"/>
      <c r="G218" s="1122"/>
      <c r="H218" s="1122"/>
      <c r="I218" s="1122"/>
      <c r="J218" s="1122"/>
      <c r="K218" s="1123" t="s">
        <v>4498</v>
      </c>
      <c r="L218" s="1124" t="s">
        <v>4499</v>
      </c>
      <c r="M218" s="1125" t="s">
        <v>4500</v>
      </c>
      <c r="N218" s="233"/>
      <c r="O218" s="1119"/>
      <c r="P218" s="1119"/>
      <c r="Q218" s="1119"/>
      <c r="R218" s="1119"/>
      <c r="S218" s="268">
        <f>AC218</f>
        <v>0</v>
      </c>
      <c r="T218" s="223"/>
      <c r="U218" s="223"/>
      <c r="V218" s="223"/>
      <c r="W218" s="223"/>
      <c r="X218" s="223"/>
      <c r="Y218" s="224"/>
      <c r="Z218" s="224"/>
      <c r="AA218" s="224"/>
      <c r="AB218" s="224"/>
      <c r="AC218" s="224"/>
      <c r="AD218" s="1153"/>
      <c r="AE218" s="66"/>
    </row>
    <row r="219" spans="1:31" ht="58.5" customHeight="1" x14ac:dyDescent="0.25">
      <c r="A219" s="216"/>
      <c r="B219" s="1122"/>
      <c r="C219" s="1122"/>
      <c r="D219" s="1122"/>
      <c r="E219" s="1122"/>
      <c r="F219" s="1122"/>
      <c r="G219" s="1122"/>
      <c r="H219" s="1122"/>
      <c r="I219" s="1122"/>
      <c r="J219" s="1122"/>
      <c r="K219" s="1123"/>
      <c r="L219" s="1124"/>
      <c r="M219" s="1125"/>
      <c r="N219" s="391"/>
      <c r="O219" s="1119"/>
      <c r="P219" s="1119"/>
      <c r="Q219" s="1119"/>
      <c r="R219" s="1119"/>
      <c r="S219" s="223"/>
      <c r="T219" s="223"/>
      <c r="U219" s="223"/>
      <c r="V219" s="223"/>
      <c r="W219" s="223"/>
      <c r="X219" s="223"/>
      <c r="Y219" s="224"/>
      <c r="Z219" s="224"/>
      <c r="AA219" s="224"/>
      <c r="AB219" s="224"/>
      <c r="AC219" s="224"/>
      <c r="AD219" s="1153"/>
      <c r="AE219" s="66"/>
    </row>
    <row r="220" spans="1:31" ht="42" customHeight="1" x14ac:dyDescent="0.25">
      <c r="A220" s="216"/>
      <c r="B220" s="1126" t="s">
        <v>4501</v>
      </c>
      <c r="C220" s="1126"/>
      <c r="D220" s="1126"/>
      <c r="E220" s="1126"/>
      <c r="F220" s="1126"/>
      <c r="G220" s="1126"/>
      <c r="H220" s="1126"/>
      <c r="I220" s="1126"/>
      <c r="J220" s="1126"/>
      <c r="K220" s="1126"/>
      <c r="L220" s="1126"/>
      <c r="M220" s="1126"/>
      <c r="N220" s="250"/>
      <c r="O220" s="1119"/>
      <c r="P220" s="1119"/>
      <c r="Q220" s="1119"/>
      <c r="R220" s="1119"/>
      <c r="S220" s="223"/>
      <c r="T220" s="223"/>
      <c r="U220" s="223"/>
      <c r="V220" s="223"/>
      <c r="W220" s="223"/>
      <c r="X220" s="223"/>
      <c r="Y220" s="224"/>
      <c r="Z220" s="224"/>
      <c r="AA220" s="224"/>
      <c r="AB220" s="224"/>
      <c r="AC220" s="224"/>
      <c r="AD220" s="1153"/>
      <c r="AE220" s="66"/>
    </row>
    <row r="221" spans="1:31" ht="19.5" customHeight="1" x14ac:dyDescent="0.25">
      <c r="A221" s="216"/>
      <c r="B221" s="392"/>
      <c r="C221" s="393"/>
      <c r="D221" s="394"/>
      <c r="E221" s="394"/>
      <c r="F221" s="394"/>
      <c r="G221" s="394"/>
      <c r="H221" s="394"/>
      <c r="I221" s="394"/>
      <c r="J221" s="394"/>
      <c r="K221" s="394"/>
      <c r="L221" s="394"/>
      <c r="M221" s="394"/>
      <c r="N221" s="1117"/>
      <c r="O221" s="1117"/>
      <c r="P221" s="1117"/>
      <c r="Q221" s="1117"/>
      <c r="R221" s="1117"/>
      <c r="S221" s="223"/>
      <c r="T221" s="223"/>
      <c r="U221" s="223"/>
      <c r="V221" s="223"/>
      <c r="W221" s="223"/>
      <c r="X221" s="223"/>
      <c r="Y221" s="224"/>
      <c r="Z221" s="224"/>
      <c r="AA221" s="224"/>
      <c r="AB221" s="224"/>
      <c r="AC221" s="224"/>
      <c r="AD221" s="1153"/>
      <c r="AE221" s="66"/>
    </row>
    <row r="222" spans="1:31" ht="22.5" customHeight="1" x14ac:dyDescent="0.25">
      <c r="B222" s="395"/>
      <c r="C222" s="396"/>
      <c r="D222" s="397"/>
      <c r="E222" s="397"/>
      <c r="F222" s="397"/>
      <c r="G222" s="397"/>
      <c r="H222" s="397"/>
      <c r="I222" s="397"/>
      <c r="J222" s="397"/>
      <c r="K222" s="397"/>
      <c r="L222" s="397"/>
      <c r="M222" s="397"/>
      <c r="N222" s="269"/>
      <c r="O222" s="370"/>
      <c r="P222" s="224"/>
      <c r="Q222" s="269"/>
      <c r="R222" s="370"/>
      <c r="S222" s="223"/>
      <c r="T222" s="223"/>
      <c r="U222" s="223"/>
      <c r="V222" s="223"/>
      <c r="W222" s="223"/>
      <c r="X222" s="223"/>
      <c r="Y222" s="224"/>
      <c r="Z222" s="224"/>
      <c r="AA222" s="224"/>
      <c r="AB222" s="224"/>
      <c r="AC222" s="224"/>
      <c r="AD222" s="398"/>
      <c r="AE222" s="66"/>
    </row>
    <row r="223" spans="1:31" ht="200.25" customHeight="1" x14ac:dyDescent="0.25">
      <c r="B223" s="395"/>
      <c r="C223" s="396"/>
      <c r="D223" s="399"/>
      <c r="E223" s="399"/>
      <c r="F223" s="399"/>
      <c r="G223" s="399"/>
      <c r="H223" s="399"/>
      <c r="I223" s="399"/>
      <c r="J223" s="399"/>
      <c r="K223" s="399"/>
      <c r="L223" s="397"/>
      <c r="M223" s="397"/>
      <c r="N223" s="269"/>
      <c r="O223" s="370"/>
      <c r="P223" s="224"/>
      <c r="Q223" s="269"/>
      <c r="R223" s="370"/>
      <c r="S223" s="223"/>
      <c r="T223" s="223"/>
      <c r="U223" s="223"/>
      <c r="V223" s="223"/>
      <c r="W223" s="223"/>
      <c r="X223" s="223"/>
      <c r="Y223" s="224"/>
      <c r="Z223" s="224"/>
      <c r="AA223" s="224"/>
      <c r="AB223" s="224"/>
      <c r="AC223" s="224"/>
      <c r="AD223" s="398"/>
      <c r="AE223" s="66"/>
    </row>
    <row r="236" ht="22.5" hidden="1" customHeight="1" x14ac:dyDescent="0.25"/>
    <row r="237" ht="22.5" hidden="1" customHeight="1" x14ac:dyDescent="0.25"/>
    <row r="238" ht="22.5" hidden="1" customHeight="1" x14ac:dyDescent="0.25"/>
    <row r="239" ht="22.5" hidden="1" customHeight="1" x14ac:dyDescent="0.25"/>
    <row r="240" ht="22.5" hidden="1" customHeight="1" x14ac:dyDescent="0.25"/>
    <row r="241" ht="22.5" hidden="1" customHeight="1" x14ac:dyDescent="0.25"/>
    <row r="242" ht="22.5" hidden="1" customHeight="1" x14ac:dyDescent="0.25"/>
    <row r="243" ht="22.5" hidden="1" customHeight="1" x14ac:dyDescent="0.25"/>
    <row r="244" ht="22.5" hidden="1" customHeight="1" x14ac:dyDescent="0.25"/>
    <row r="245" ht="22.5" hidden="1" customHeight="1" x14ac:dyDescent="0.25"/>
    <row r="246" ht="22.5" hidden="1" customHeight="1" x14ac:dyDescent="0.25"/>
    <row r="247" ht="22.5" hidden="1" customHeight="1" x14ac:dyDescent="0.25"/>
  </sheetData>
  <sheetProtection algorithmName="SHA-512" hashValue="fsaYksLVK2tKqVcl1NaIOiDZlHyfFJdrvH2//kOT9hnDVkZa2tz3EEyYxd3JBJ1remb45mk3EoyOtCsvdY9AIw==" saltValue="xpaIXvUTDBLLFbsatg8ilg==" spinCount="100000" sheet="1" objects="1" scenarios="1"/>
  <mergeCells count="152">
    <mergeCell ref="B1:C1"/>
    <mergeCell ref="E1:K2"/>
    <mergeCell ref="L1:M2"/>
    <mergeCell ref="AD1:AD221"/>
    <mergeCell ref="B2:C2"/>
    <mergeCell ref="B3:B4"/>
    <mergeCell ref="P4:Q4"/>
    <mergeCell ref="AI4:AI26"/>
    <mergeCell ref="B5:C18"/>
    <mergeCell ref="D5:D18"/>
    <mergeCell ref="E5:E18"/>
    <mergeCell ref="F5:F18"/>
    <mergeCell ref="G5:G18"/>
    <mergeCell ref="H5:H18"/>
    <mergeCell ref="I5:I18"/>
    <mergeCell ref="J5:J18"/>
    <mergeCell ref="K5:K18"/>
    <mergeCell ref="L5:L18"/>
    <mergeCell ref="M5:M18"/>
    <mergeCell ref="P5:Q5"/>
    <mergeCell ref="X5:Y5"/>
    <mergeCell ref="P18:Q18"/>
    <mergeCell ref="B19:C19"/>
    <mergeCell ref="P19:Q19"/>
    <mergeCell ref="B20:C20"/>
    <mergeCell ref="P20:Q20"/>
    <mergeCell ref="B21:C21"/>
    <mergeCell ref="P21:Q21"/>
    <mergeCell ref="B22:C22"/>
    <mergeCell ref="P22:Q22"/>
    <mergeCell ref="B23:C23"/>
    <mergeCell ref="P23:Q23"/>
    <mergeCell ref="B24:C24"/>
    <mergeCell ref="P24:Q24"/>
    <mergeCell ref="B25:C25"/>
    <mergeCell ref="P25:Q25"/>
    <mergeCell ref="B26:C26"/>
    <mergeCell ref="P26:Q26"/>
    <mergeCell ref="B28:C29"/>
    <mergeCell ref="O28:R29"/>
    <mergeCell ref="B30:C30"/>
    <mergeCell ref="D30:M30"/>
    <mergeCell ref="O30:R30"/>
    <mergeCell ref="B31:B32"/>
    <mergeCell ref="O31:R39"/>
    <mergeCell ref="B33:B34"/>
    <mergeCell ref="B35:B36"/>
    <mergeCell ref="B37:B38"/>
    <mergeCell ref="B40:B41"/>
    <mergeCell ref="O40:R44"/>
    <mergeCell ref="B43:B44"/>
    <mergeCell ref="B46:B47"/>
    <mergeCell ref="B48:B49"/>
    <mergeCell ref="O49:R58"/>
    <mergeCell ref="B52:B53"/>
    <mergeCell ref="B55:B56"/>
    <mergeCell ref="B58:B59"/>
    <mergeCell ref="O59:R63"/>
    <mergeCell ref="B60:B61"/>
    <mergeCell ref="B63:B64"/>
    <mergeCell ref="B65:B66"/>
    <mergeCell ref="B67:B68"/>
    <mergeCell ref="O68:R78"/>
    <mergeCell ref="B69:B70"/>
    <mergeCell ref="B71:B72"/>
    <mergeCell ref="B73:B74"/>
    <mergeCell ref="B75:B76"/>
    <mergeCell ref="B77:B78"/>
    <mergeCell ref="B79:B80"/>
    <mergeCell ref="O79:R83"/>
    <mergeCell ref="B81:B82"/>
    <mergeCell ref="B83:B84"/>
    <mergeCell ref="B85:B86"/>
    <mergeCell ref="B87:B88"/>
    <mergeCell ref="O88:R98"/>
    <mergeCell ref="B89:B90"/>
    <mergeCell ref="B91:B92"/>
    <mergeCell ref="B93:B94"/>
    <mergeCell ref="B95:B96"/>
    <mergeCell ref="B97:B98"/>
    <mergeCell ref="B99:B100"/>
    <mergeCell ref="O99:R103"/>
    <mergeCell ref="B101:B102"/>
    <mergeCell ref="B103:B104"/>
    <mergeCell ref="B105:B106"/>
    <mergeCell ref="B107:B108"/>
    <mergeCell ref="O108:R118"/>
    <mergeCell ref="B109:B110"/>
    <mergeCell ref="B111:B112"/>
    <mergeCell ref="B113:B114"/>
    <mergeCell ref="B115:B116"/>
    <mergeCell ref="B117:B118"/>
    <mergeCell ref="B119:B120"/>
    <mergeCell ref="O119:R123"/>
    <mergeCell ref="B121:B122"/>
    <mergeCell ref="B123:B124"/>
    <mergeCell ref="B125:B126"/>
    <mergeCell ref="B127:B128"/>
    <mergeCell ref="O128:R138"/>
    <mergeCell ref="B129:B130"/>
    <mergeCell ref="B131:B132"/>
    <mergeCell ref="B133:B134"/>
    <mergeCell ref="B135:B136"/>
    <mergeCell ref="B137:B138"/>
    <mergeCell ref="B139:B140"/>
    <mergeCell ref="O139:R143"/>
    <mergeCell ref="B141:B142"/>
    <mergeCell ref="B143:B144"/>
    <mergeCell ref="B145:B146"/>
    <mergeCell ref="B147:B148"/>
    <mergeCell ref="O148:R158"/>
    <mergeCell ref="B149:B150"/>
    <mergeCell ref="B151:B152"/>
    <mergeCell ref="B153:B154"/>
    <mergeCell ref="B155:B156"/>
    <mergeCell ref="B157:B158"/>
    <mergeCell ref="B159:B160"/>
    <mergeCell ref="O159:R163"/>
    <mergeCell ref="B161:B162"/>
    <mergeCell ref="B163:B164"/>
    <mergeCell ref="B165:B166"/>
    <mergeCell ref="B167:B168"/>
    <mergeCell ref="O168:R178"/>
    <mergeCell ref="B169:B170"/>
    <mergeCell ref="B171:B172"/>
    <mergeCell ref="B173:B174"/>
    <mergeCell ref="B175:B176"/>
    <mergeCell ref="B177:B178"/>
    <mergeCell ref="B179:B180"/>
    <mergeCell ref="O179:R183"/>
    <mergeCell ref="B181:B182"/>
    <mergeCell ref="B183:B184"/>
    <mergeCell ref="B185:B186"/>
    <mergeCell ref="B188:B190"/>
    <mergeCell ref="O188:R198"/>
    <mergeCell ref="B192:B193"/>
    <mergeCell ref="B195:B196"/>
    <mergeCell ref="B198:B199"/>
    <mergeCell ref="O199:R202"/>
    <mergeCell ref="B201:B202"/>
    <mergeCell ref="B204:B205"/>
    <mergeCell ref="N221:R221"/>
    <mergeCell ref="B207:B208"/>
    <mergeCell ref="O207:R220"/>
    <mergeCell ref="B210:B211"/>
    <mergeCell ref="B213:B214"/>
    <mergeCell ref="B215:B217"/>
    <mergeCell ref="B218:J219"/>
    <mergeCell ref="K218:K219"/>
    <mergeCell ref="L218:L219"/>
    <mergeCell ref="M218:M219"/>
    <mergeCell ref="B220:M220"/>
  </mergeCells>
  <conditionalFormatting sqref="D215:M215">
    <cfRule type="cellIs" dxfId="644" priority="2" operator="equal">
      <formula>0</formula>
    </cfRule>
  </conditionalFormatting>
  <conditionalFormatting sqref="D24">
    <cfRule type="cellIs" dxfId="643" priority="3" operator="equal">
      <formula>"The 1st team must show here"</formula>
    </cfRule>
  </conditionalFormatting>
  <conditionalFormatting sqref="D2">
    <cfRule type="cellIs" dxfId="642" priority="4" operator="equal">
      <formula>0</formula>
    </cfRule>
  </conditionalFormatting>
  <conditionalFormatting sqref="E1">
    <cfRule type="cellIs" dxfId="641" priority="5" operator="greaterThan">
      <formula>0</formula>
    </cfRule>
  </conditionalFormatting>
  <conditionalFormatting sqref="B1:D2">
    <cfRule type="cellIs" dxfId="640" priority="6" operator="greaterThan">
      <formula>0</formula>
    </cfRule>
  </conditionalFormatting>
  <conditionalFormatting sqref="O5:Q26">
    <cfRule type="cellIs" dxfId="639" priority="7" operator="equal">
      <formula>0</formula>
    </cfRule>
  </conditionalFormatting>
  <conditionalFormatting sqref="O199:R202">
    <cfRule type="cellIs" dxfId="638" priority="8" operator="greaterThan">
      <formula>0</formula>
    </cfRule>
  </conditionalFormatting>
  <conditionalFormatting sqref="O179:R183">
    <cfRule type="cellIs" dxfId="637" priority="9" operator="greaterThan">
      <formula>0</formula>
    </cfRule>
  </conditionalFormatting>
  <conditionalFormatting sqref="O159:R163">
    <cfRule type="cellIs" dxfId="636" priority="10" operator="greaterThan">
      <formula>0</formula>
    </cfRule>
  </conditionalFormatting>
  <conditionalFormatting sqref="O139:R143">
    <cfRule type="cellIs" dxfId="635" priority="11" operator="greaterThan">
      <formula>0</formula>
    </cfRule>
  </conditionalFormatting>
  <conditionalFormatting sqref="O119:R123">
    <cfRule type="cellIs" dxfId="634" priority="12" operator="greaterThan">
      <formula>0</formula>
    </cfRule>
  </conditionalFormatting>
  <conditionalFormatting sqref="O99:R103">
    <cfRule type="cellIs" dxfId="633" priority="13" operator="greaterThan">
      <formula>0</formula>
    </cfRule>
  </conditionalFormatting>
  <conditionalFormatting sqref="O79:R83">
    <cfRule type="cellIs" dxfId="632" priority="14" operator="greaterThan">
      <formula>0</formula>
    </cfRule>
  </conditionalFormatting>
  <conditionalFormatting sqref="O59:R63">
    <cfRule type="cellIs" dxfId="631" priority="15" operator="greaterThan">
      <formula>0</formula>
    </cfRule>
  </conditionalFormatting>
  <conditionalFormatting sqref="O40:R44">
    <cfRule type="cellIs" dxfId="630" priority="16" operator="greaterThan">
      <formula>0</formula>
    </cfRule>
  </conditionalFormatting>
  <conditionalFormatting sqref="R5:R26">
    <cfRule type="cellIs" dxfId="629" priority="17" operator="equal">
      <formula>0</formula>
    </cfRule>
  </conditionalFormatting>
  <conditionalFormatting sqref="P5:Q26">
    <cfRule type="cellIs" dxfId="628" priority="18" operator="equal">
      <formula>"More results required for accuracy"</formula>
    </cfRule>
  </conditionalFormatting>
  <conditionalFormatting sqref="O28">
    <cfRule type="cellIs" dxfId="627" priority="19" operator="greaterThan">
      <formula>0</formula>
    </cfRule>
  </conditionalFormatting>
  <conditionalFormatting sqref="C3">
    <cfRule type="cellIs" dxfId="626" priority="20" operator="greaterThan">
      <formula>0</formula>
    </cfRule>
  </conditionalFormatting>
  <conditionalFormatting sqref="C4">
    <cfRule type="cellIs" dxfId="625" priority="21" operator="greaterThan">
      <formula>0</formula>
    </cfRule>
  </conditionalFormatting>
  <conditionalFormatting sqref="AF5:AH26">
    <cfRule type="cellIs" dxfId="624" priority="22" operator="equal">
      <formula>0</formula>
    </cfRule>
  </conditionalFormatting>
  <conditionalFormatting sqref="D26:M26">
    <cfRule type="cellIs" dxfId="623" priority="23" operator="equal">
      <formula>0</formula>
    </cfRule>
    <cfRule type="cellIs" dxfId="622" priority="24" operator="equal">
      <formula>"3rd"</formula>
    </cfRule>
    <cfRule type="cellIs" dxfId="621" priority="25" operator="equal">
      <formula>"2nd"</formula>
    </cfRule>
    <cfRule type="cellIs" dxfId="620" priority="26" operator="greaterThan">
      <formula>1</formula>
    </cfRule>
    <cfRule type="cellIs" dxfId="619" priority="27" operator="equal">
      <formula>0</formula>
    </cfRule>
    <cfRule type="cellIs" dxfId="618" priority="28" operator="equal">
      <formula>"1st"</formula>
    </cfRule>
  </conditionalFormatting>
  <conditionalFormatting sqref="K218:M219">
    <cfRule type="cellIs" dxfId="617" priority="29" operator="greaterThan">
      <formula>0</formula>
    </cfRule>
  </conditionalFormatting>
  <conditionalFormatting sqref="L4:M4">
    <cfRule type="cellIs" dxfId="616" priority="30" operator="greaterThan">
      <formula>0</formula>
    </cfRule>
  </conditionalFormatting>
  <conditionalFormatting sqref="D4:K4">
    <cfRule type="cellIs" dxfId="615" priority="31" operator="greaterThan">
      <formula>0</formula>
    </cfRule>
  </conditionalFormatting>
  <conditionalFormatting sqref="D3:M3">
    <cfRule type="cellIs" dxfId="614" priority="32" operator="greaterThan">
      <formula>0</formula>
    </cfRule>
  </conditionalFormatting>
  <conditionalFormatting sqref="B220:M220">
    <cfRule type="cellIs" dxfId="613" priority="33" operator="greaterThan">
      <formula>0</formula>
    </cfRule>
  </conditionalFormatting>
  <conditionalFormatting sqref="B218:J219">
    <cfRule type="cellIs" dxfId="612" priority="34" operator="greaterThan">
      <formula>0</formula>
    </cfRule>
  </conditionalFormatting>
  <conditionalFormatting sqref="O31:Q39 O49 O68 O88 O108 O128 O148 O168 O188 O207">
    <cfRule type="cellIs" dxfId="611" priority="35" operator="greaterThan">
      <formula>0</formula>
    </cfRule>
  </conditionalFormatting>
  <conditionalFormatting sqref="E29:M29">
    <cfRule type="cellIs" dxfId="610" priority="36" operator="equal">
      <formula>0</formula>
    </cfRule>
  </conditionalFormatting>
  <conditionalFormatting sqref="AH5">
    <cfRule type="cellIs" dxfId="609" priority="37" operator="equal">
      <formula>0</formula>
    </cfRule>
  </conditionalFormatting>
  <conditionalFormatting sqref="D209:M209">
    <cfRule type="cellIs" dxfId="608" priority="38" operator="equal">
      <formula>0</formula>
    </cfRule>
  </conditionalFormatting>
  <conditionalFormatting sqref="D203:M203">
    <cfRule type="cellIs" dxfId="607" priority="39" operator="equal">
      <formula>0</formula>
    </cfRule>
  </conditionalFormatting>
  <conditionalFormatting sqref="D197:M197">
    <cfRule type="cellIs" dxfId="606" priority="40" operator="equal">
      <formula>0</formula>
    </cfRule>
  </conditionalFormatting>
  <conditionalFormatting sqref="D212:M212">
    <cfRule type="cellIs" dxfId="605" priority="41" operator="equal">
      <formula>0</formula>
    </cfRule>
  </conditionalFormatting>
  <conditionalFormatting sqref="D206:M206">
    <cfRule type="cellIs" dxfId="604" priority="42" operator="equal">
      <formula>0</formula>
    </cfRule>
  </conditionalFormatting>
  <conditionalFormatting sqref="D200:M200">
    <cfRule type="cellIs" dxfId="603" priority="43" operator="equal">
      <formula>0</formula>
    </cfRule>
  </conditionalFormatting>
  <conditionalFormatting sqref="D194:M194">
    <cfRule type="cellIs" dxfId="602" priority="44" operator="equal">
      <formula>0</formula>
    </cfRule>
  </conditionalFormatting>
  <conditionalFormatting sqref="D191:M191">
    <cfRule type="cellIs" dxfId="601" priority="45" operator="equal">
      <formula>0</formula>
    </cfRule>
  </conditionalFormatting>
  <conditionalFormatting sqref="D183:M183">
    <cfRule type="cellIs" dxfId="600" priority="46" operator="equal">
      <formula>0</formula>
    </cfRule>
  </conditionalFormatting>
  <conditionalFormatting sqref="D175:M175">
    <cfRule type="cellIs" dxfId="599" priority="47" operator="equal">
      <formula>0</formula>
    </cfRule>
  </conditionalFormatting>
  <conditionalFormatting sqref="D167:M167">
    <cfRule type="cellIs" dxfId="598" priority="48" operator="equal">
      <formula>0</formula>
    </cfRule>
  </conditionalFormatting>
  <conditionalFormatting sqref="D159:M159">
    <cfRule type="cellIs" dxfId="597" priority="49" operator="equal">
      <formula>0</formula>
    </cfRule>
  </conditionalFormatting>
  <conditionalFormatting sqref="D151:M151">
    <cfRule type="cellIs" dxfId="596" priority="50" operator="equal">
      <formula>0</formula>
    </cfRule>
  </conditionalFormatting>
  <conditionalFormatting sqref="D143:M143">
    <cfRule type="cellIs" dxfId="595" priority="51" operator="equal">
      <formula>0</formula>
    </cfRule>
  </conditionalFormatting>
  <conditionalFormatting sqref="D135:M135">
    <cfRule type="cellIs" dxfId="594" priority="52" operator="equal">
      <formula>0</formula>
    </cfRule>
  </conditionalFormatting>
  <conditionalFormatting sqref="D127:M127">
    <cfRule type="cellIs" dxfId="593" priority="53" operator="equal">
      <formula>0</formula>
    </cfRule>
  </conditionalFormatting>
  <conditionalFormatting sqref="D119:M119">
    <cfRule type="cellIs" dxfId="592" priority="54" operator="equal">
      <formula>0</formula>
    </cfRule>
  </conditionalFormatting>
  <conditionalFormatting sqref="D111:M111">
    <cfRule type="cellIs" dxfId="591" priority="55" operator="equal">
      <formula>0</formula>
    </cfRule>
  </conditionalFormatting>
  <conditionalFormatting sqref="D103:M103">
    <cfRule type="cellIs" dxfId="590" priority="56" operator="equal">
      <formula>0</formula>
    </cfRule>
  </conditionalFormatting>
  <conditionalFormatting sqref="D95:M95">
    <cfRule type="cellIs" dxfId="589" priority="57" operator="equal">
      <formula>0</formula>
    </cfRule>
  </conditionalFormatting>
  <conditionalFormatting sqref="D187:M187">
    <cfRule type="cellIs" dxfId="588" priority="58" operator="equal">
      <formula>0</formula>
    </cfRule>
  </conditionalFormatting>
  <conditionalFormatting sqref="D179:M179">
    <cfRule type="cellIs" dxfId="587" priority="59" operator="equal">
      <formula>0</formula>
    </cfRule>
  </conditionalFormatting>
  <conditionalFormatting sqref="D171:M171">
    <cfRule type="cellIs" dxfId="586" priority="60" operator="equal">
      <formula>0</formula>
    </cfRule>
  </conditionalFormatting>
  <conditionalFormatting sqref="D163:M163">
    <cfRule type="cellIs" dxfId="585" priority="61" operator="equal">
      <formula>0</formula>
    </cfRule>
  </conditionalFormatting>
  <conditionalFormatting sqref="D155:M155">
    <cfRule type="cellIs" dxfId="584" priority="62" operator="equal">
      <formula>0</formula>
    </cfRule>
  </conditionalFormatting>
  <conditionalFormatting sqref="D147:M147">
    <cfRule type="cellIs" dxfId="583" priority="63" operator="equal">
      <formula>0</formula>
    </cfRule>
  </conditionalFormatting>
  <conditionalFormatting sqref="D139:M139">
    <cfRule type="cellIs" dxfId="582" priority="64" operator="equal">
      <formula>0</formula>
    </cfRule>
  </conditionalFormatting>
  <conditionalFormatting sqref="D131:M131">
    <cfRule type="cellIs" dxfId="581" priority="65" operator="equal">
      <formula>0</formula>
    </cfRule>
  </conditionalFormatting>
  <conditionalFormatting sqref="D123:M123">
    <cfRule type="cellIs" dxfId="580" priority="66" operator="equal">
      <formula>0</formula>
    </cfRule>
  </conditionalFormatting>
  <conditionalFormatting sqref="D115:M115">
    <cfRule type="cellIs" dxfId="579" priority="67" operator="equal">
      <formula>0</formula>
    </cfRule>
  </conditionalFormatting>
  <conditionalFormatting sqref="D107:M107">
    <cfRule type="cellIs" dxfId="578" priority="68" operator="equal">
      <formula>0</formula>
    </cfRule>
  </conditionalFormatting>
  <conditionalFormatting sqref="D99:M99">
    <cfRule type="cellIs" dxfId="577" priority="69" operator="equal">
      <formula>0</formula>
    </cfRule>
  </conditionalFormatting>
  <conditionalFormatting sqref="D91:M91">
    <cfRule type="cellIs" dxfId="576" priority="70" operator="equal">
      <formula>0</formula>
    </cfRule>
  </conditionalFormatting>
  <conditionalFormatting sqref="D87:M87">
    <cfRule type="cellIs" dxfId="575" priority="71" operator="equal">
      <formula>0</formula>
    </cfRule>
  </conditionalFormatting>
  <conditionalFormatting sqref="D79:M79">
    <cfRule type="cellIs" dxfId="574" priority="72" operator="equal">
      <formula>0</formula>
    </cfRule>
  </conditionalFormatting>
  <conditionalFormatting sqref="D83:M83">
    <cfRule type="cellIs" dxfId="573" priority="73" operator="equal">
      <formula>0</formula>
    </cfRule>
  </conditionalFormatting>
  <conditionalFormatting sqref="D75:M75">
    <cfRule type="cellIs" dxfId="572" priority="74" operator="equal">
      <formula>0</formula>
    </cfRule>
  </conditionalFormatting>
  <conditionalFormatting sqref="D71:M71">
    <cfRule type="cellIs" dxfId="571" priority="75" operator="equal">
      <formula>0</formula>
    </cfRule>
  </conditionalFormatting>
  <conditionalFormatting sqref="D67:M67">
    <cfRule type="cellIs" dxfId="570" priority="76" operator="equal">
      <formula>0</formula>
    </cfRule>
  </conditionalFormatting>
  <conditionalFormatting sqref="D45:M45">
    <cfRule type="cellIs" dxfId="569" priority="77" operator="equal">
      <formula>0</formula>
    </cfRule>
  </conditionalFormatting>
  <conditionalFormatting sqref="D63:M63">
    <cfRule type="cellIs" dxfId="568" priority="78" operator="equal">
      <formula>0</formula>
    </cfRule>
  </conditionalFormatting>
  <conditionalFormatting sqref="D60:M60">
    <cfRule type="cellIs" dxfId="567" priority="79" operator="equal">
      <formula>0</formula>
    </cfRule>
  </conditionalFormatting>
  <conditionalFormatting sqref="D57:M57">
    <cfRule type="cellIs" dxfId="566" priority="80" operator="equal">
      <formula>0</formula>
    </cfRule>
  </conditionalFormatting>
  <conditionalFormatting sqref="D54:M54">
    <cfRule type="cellIs" dxfId="565" priority="81" operator="equal">
      <formula>0</formula>
    </cfRule>
  </conditionalFormatting>
  <conditionalFormatting sqref="D51:M51">
    <cfRule type="cellIs" dxfId="564" priority="82" operator="equal">
      <formula>0</formula>
    </cfRule>
  </conditionalFormatting>
  <conditionalFormatting sqref="D48:M48">
    <cfRule type="cellIs" dxfId="563" priority="83" operator="equal">
      <formula>0</formula>
    </cfRule>
  </conditionalFormatting>
  <conditionalFormatting sqref="D42:M42">
    <cfRule type="cellIs" dxfId="562" priority="84" operator="equal">
      <formula>0</formula>
    </cfRule>
  </conditionalFormatting>
  <conditionalFormatting sqref="D39:M39">
    <cfRule type="cellIs" dxfId="561" priority="85" operator="equal">
      <formula>0</formula>
    </cfRule>
  </conditionalFormatting>
  <conditionalFormatting sqref="D35:M35">
    <cfRule type="cellIs" dxfId="560" priority="86" operator="equal">
      <formula>0</formula>
    </cfRule>
  </conditionalFormatting>
  <conditionalFormatting sqref="D31:M31">
    <cfRule type="cellIs" dxfId="559" priority="87" operator="equal">
      <formula>0</formula>
    </cfRule>
  </conditionalFormatting>
  <conditionalFormatting sqref="AG5:AG26">
    <cfRule type="cellIs" dxfId="558" priority="88" operator="equal">
      <formula>0</formula>
    </cfRule>
  </conditionalFormatting>
  <conditionalFormatting sqref="AH5 AH18:AH26">
    <cfRule type="cellIs" dxfId="557" priority="89" operator="equal">
      <formula>0</formula>
    </cfRule>
  </conditionalFormatting>
  <conditionalFormatting sqref="X18:Y18">
    <cfRule type="cellIs" dxfId="556" priority="90" operator="equal">
      <formula>0</formula>
    </cfRule>
  </conditionalFormatting>
  <conditionalFormatting sqref="X5">
    <cfRule type="cellIs" dxfId="555" priority="91" operator="equal">
      <formula>0</formula>
    </cfRule>
  </conditionalFormatting>
  <conditionalFormatting sqref="U5 U18">
    <cfRule type="cellIs" dxfId="554" priority="92" operator="equal">
      <formula>0</formula>
    </cfRule>
  </conditionalFormatting>
  <conditionalFormatting sqref="M25">
    <cfRule type="cellIs" dxfId="553" priority="93" operator="equal">
      <formula>0.000000000011</formula>
    </cfRule>
  </conditionalFormatting>
  <conditionalFormatting sqref="L25">
    <cfRule type="cellIs" dxfId="552" priority="94" operator="equal">
      <formula>0.00000000009</formula>
    </cfRule>
  </conditionalFormatting>
  <conditionalFormatting sqref="K25">
    <cfRule type="cellIs" dxfId="551" priority="95" operator="equal">
      <formula>0.00000000008</formula>
    </cfRule>
  </conditionalFormatting>
  <conditionalFormatting sqref="I25:J25">
    <cfRule type="cellIs" dxfId="550" priority="96" operator="equal">
      <formula>0.00000000007</formula>
    </cfRule>
  </conditionalFormatting>
  <conditionalFormatting sqref="I25">
    <cfRule type="cellIs" dxfId="549" priority="97" operator="equal">
      <formula>0.00000000006</formula>
    </cfRule>
  </conditionalFormatting>
  <conditionalFormatting sqref="H25">
    <cfRule type="cellIs" dxfId="548" priority="98" operator="equal">
      <formula>0.00000000005</formula>
    </cfRule>
  </conditionalFormatting>
  <conditionalFormatting sqref="G25">
    <cfRule type="cellIs" dxfId="547" priority="99" operator="equal">
      <formula>0.00000000004</formula>
    </cfRule>
  </conditionalFormatting>
  <conditionalFormatting sqref="F25">
    <cfRule type="cellIs" dxfId="546" priority="100" operator="equal">
      <formula>0.00000000003</formula>
    </cfRule>
  </conditionalFormatting>
  <conditionalFormatting sqref="E25">
    <cfRule type="cellIs" dxfId="545" priority="101" operator="equal">
      <formula>0.00000000002</formula>
    </cfRule>
  </conditionalFormatting>
  <conditionalFormatting sqref="D25">
    <cfRule type="cellIs" dxfId="544" priority="102" operator="equal">
      <formula>0.00000000001</formula>
    </cfRule>
  </conditionalFormatting>
  <conditionalFormatting sqref="C39">
    <cfRule type="cellIs" dxfId="543" priority="103" operator="equal">
      <formula>0</formula>
    </cfRule>
  </conditionalFormatting>
  <conditionalFormatting sqref="C35">
    <cfRule type="cellIs" dxfId="542" priority="104" operator="equal">
      <formula>0</formula>
    </cfRule>
  </conditionalFormatting>
  <conditionalFormatting sqref="D19:M25 D5:M5">
    <cfRule type="cellIs" dxfId="541" priority="105" operator="equal">
      <formula>0</formula>
    </cfRule>
  </conditionalFormatting>
  <conditionalFormatting sqref="D19:I19">
    <cfRule type="cellIs" dxfId="540" priority="106" operator="equal">
      <formula>0</formula>
    </cfRule>
    <cfRule type="cellIs" dxfId="539" priority="107" operator="equal">
      <formula>0</formula>
    </cfRule>
  </conditionalFormatting>
  <conditionalFormatting sqref="D20:M24">
    <cfRule type="cellIs" dxfId="538" priority="108" operator="equal">
      <formula>0</formula>
    </cfRule>
  </conditionalFormatting>
  <conditionalFormatting sqref="D5:M5 L20:M23 L4:M4 S19:S27 S30:S208 S210:S218">
    <cfRule type="cellIs" dxfId="537" priority="109" operator="equal">
      <formula>0</formula>
    </cfRule>
  </conditionalFormatting>
  <conditionalFormatting sqref="L4:M4 S19:S27 K20:M23 S30:S208 S210:S218">
    <cfRule type="cellIs" dxfId="536" priority="110" operator="equal">
      <formula>0</formula>
    </cfRule>
  </conditionalFormatting>
  <conditionalFormatting sqref="M4 S19:S27 H20:M23 S30:S208 S210:S218">
    <cfRule type="cellIs" dxfId="535" priority="111" operator="equal">
      <formula>0</formula>
    </cfRule>
  </conditionalFormatting>
  <dataValidations count="2">
    <dataValidation type="whole" allowBlank="1" showInputMessage="1" showErrorMessage="1" errorTitle="Invalid data" error="Please enter numbers only to a maximum of 5 digits" sqref="N32 N36 N40 N43 N46 N49 N52 N55 N58 N61 N64 N68 N72 N76 N80 N84 N88 N92 N96 N100 N104 N108 N112 N116 N120 N124 N128 N132 N136 N140 N144 N148 N152 N156 N160 N164 N168 N172 N176 N180 N184 N188 N192 N195 N198 N201 N204 N207 N210 N213" xr:uid="{00000000-0002-0000-0300-000000000000}">
      <formula1>0</formula1>
      <formula2>55999</formula2>
    </dataValidation>
    <dataValidation type="whole" allowBlank="1" showInputMessage="1" showErrorMessage="1" errorTitle="Error" error="You may only enter numbers._x000a_ie 12345  This will equal a time of  1:23.45" sqref="D32:M32 D36:M36 D40:M40 D43:M43 D46:M46 D49:M49 D52:M52 D55:M55 D58:M58 D61:M61 D64:M64 D68:M68 D72:M72 D76:M76 D80:M80 D84:M84 D88:M88 D92:M92 D96:M96 D100:M100 D104:M104 D108:M108 D112:M112 D116:M116 D120:M120 D124:M124 D128:M128 D132:M132 D136:M136 D140:M140 D144:M144 D148:M148 D152:M152 D156:M156 D160:M160 D164:M164 D168:M168 D172:M172 D176:M176 D180:M180 D184:M184 D188:M188 D192:M192 D195:M195 D198:M198 D201:M201 D204:M204 D207:M207 D210:M210 D213:M213" xr:uid="{00000000-0002-0000-0300-000001000000}">
      <formula1>0</formula1>
      <formula2>90000</formula2>
    </dataValidation>
  </dataValidations>
  <hyperlinks>
    <hyperlink ref="D3" location="'Team 1'!A1" display="Edit Team 1" xr:uid="{00000000-0004-0000-0300-000000000000}"/>
    <hyperlink ref="E3" location="'Team 2'!A1" display="Edit Team 2" xr:uid="{00000000-0004-0000-0300-000001000000}"/>
    <hyperlink ref="F3" location="'Team 3'!A1" display="Edit Team 3" xr:uid="{00000000-0004-0000-0300-000002000000}"/>
    <hyperlink ref="G3" location="'Team 4'!A1" display="Edit Team 4" xr:uid="{00000000-0004-0000-0300-000003000000}"/>
    <hyperlink ref="H3" location="'Team 5'!A1" display="Edit Team 5" xr:uid="{00000000-0004-0000-0300-000004000000}"/>
    <hyperlink ref="I3" location="'Team 6'!A1" display="Edit Team 6" xr:uid="{00000000-0004-0000-0300-000005000000}"/>
    <hyperlink ref="J3" location="'Team 7'!A1" display="Edit Team 7" xr:uid="{00000000-0004-0000-0300-000006000000}"/>
    <hyperlink ref="K3" location="'Team 8'!A1" display="Edit Team 8" xr:uid="{00000000-0004-0000-0300-000007000000}"/>
    <hyperlink ref="L3" location="'Team 9'!A1" display="Edit Team 9" xr:uid="{00000000-0004-0000-0300-000008000000}"/>
    <hyperlink ref="M3" location="'Team 10'!A1" display="Edit Team 10" xr:uid="{00000000-0004-0000-0300-000009000000}"/>
    <hyperlink ref="D4" location="'Gala Setup'!G2" display="Gala Set-up " xr:uid="{00000000-0004-0000-0300-00000A000000}"/>
    <hyperlink ref="E4" location="'Quick Check'!A3" display="Check a Result" xr:uid="{00000000-0004-0000-0300-00000B000000}"/>
    <hyperlink ref="F4" location="Eligibility!D1" display="Eligibility" xr:uid="{00000000-0004-0000-0300-00000C000000}"/>
    <hyperlink ref="G4" location="'Final result'!G7" display="Final result" xr:uid="{00000000-0004-0000-0300-00000D000000}"/>
    <hyperlink ref="H4" location="'Print 6 Lane'!F1" display="Printout_x000a_6 Lane" xr:uid="{00000000-0004-0000-0300-00000E000000}"/>
    <hyperlink ref="I4" location="'Print 8 Lane'!F1" display="Printout_x000a_8 Lane" xr:uid="{00000000-0004-0000-0300-00000F000000}"/>
    <hyperlink ref="J4" location="'print 10 lane'!I1" display="Printout_x000a_10 Lane" xr:uid="{00000000-0004-0000-0300-000010000000}"/>
    <hyperlink ref="K4" location="'Club Names &amp; Codes'!A2" display="Club Codes" xr:uid="{00000000-0004-0000-0300-000011000000}"/>
    <hyperlink ref="L4" location="HDR!A1" display="Rankings _x000a_HDR File" xr:uid="{00000000-0004-0000-0300-000012000000}"/>
    <hyperlink ref="M4" location="MRF!T23" display="Rankings _x000a_MRF File" xr:uid="{00000000-0004-0000-0300-000013000000}"/>
    <hyperlink ref="K218" location="'Print 6 Lane'!AF1" display="Results _x000a_Printout_x000a_6 Lane " xr:uid="{00000000-0004-0000-0300-000014000000}"/>
    <hyperlink ref="L218" location="'Print 8 Lane'!F1" display="Results _x000a_Printout_x000a_8 Lane " xr:uid="{00000000-0004-0000-0300-000015000000}"/>
    <hyperlink ref="M218" location="'print 10 lane'!I1" display="Results _x000a_Printout_x000a_10 Lane " xr:uid="{00000000-0004-0000-0300-000016000000}"/>
  </hyperlinks>
  <pageMargins left="0.70833333333333304" right="0.70833333333333304" top="0.74791666666666701" bottom="0.74791666666666701" header="0.511811023622047" footer="0.511811023622047"/>
  <pageSetup paperSize="9" scale="52" orientation="landscape" horizontalDpi="300" verticalDpi="300" r:id="rId1"/>
  <colBreaks count="1" manualBreakCount="1">
    <brk id="1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56"/>
  <sheetViews>
    <sheetView showRowColHeaders="0" zoomScale="90" zoomScaleNormal="90" workbookViewId="0">
      <pane ySplit="3" topLeftCell="A4" activePane="bottomLeft" state="frozen"/>
      <selection pane="bottomLeft" activeCell="F1" sqref="F1"/>
    </sheetView>
  </sheetViews>
  <sheetFormatPr defaultColWidth="8.6640625" defaultRowHeight="13.2" x14ac:dyDescent="0.25"/>
  <cols>
    <col min="1" max="1" width="2.88671875" customWidth="1"/>
    <col min="2" max="2" width="10.44140625" customWidth="1"/>
    <col min="3" max="3" width="28.5546875" customWidth="1"/>
    <col min="4" max="4" width="8" customWidth="1"/>
    <col min="5" max="5" width="3.33203125" customWidth="1"/>
    <col min="6" max="6" width="8" customWidth="1"/>
    <col min="7" max="7" width="3.33203125" customWidth="1"/>
    <col min="8" max="8" width="8" customWidth="1"/>
    <col min="9" max="9" width="3.33203125" customWidth="1"/>
    <col min="10" max="10" width="8" customWidth="1"/>
    <col min="11" max="11" width="3.33203125" customWidth="1"/>
    <col min="12" max="12" width="8" customWidth="1"/>
    <col min="13" max="13" width="3.33203125" customWidth="1"/>
    <col min="14" max="14" width="8" customWidth="1"/>
    <col min="15" max="15" width="3.33203125" customWidth="1"/>
    <col min="16" max="16" width="8" customWidth="1"/>
    <col min="17" max="17" width="3.33203125" customWidth="1"/>
    <col min="18" max="18" width="8" customWidth="1"/>
    <col min="19" max="19" width="3.33203125" customWidth="1"/>
    <col min="20" max="20" width="8" customWidth="1"/>
    <col min="21" max="21" width="3.33203125" customWidth="1"/>
    <col min="22" max="22" width="8" customWidth="1"/>
    <col min="23" max="23" width="3.33203125" customWidth="1"/>
    <col min="24" max="24" width="2.88671875" customWidth="1"/>
    <col min="25" max="25" width="72" customWidth="1"/>
  </cols>
  <sheetData>
    <row r="1" spans="1:25" ht="64.5" customHeight="1" x14ac:dyDescent="0.25">
      <c r="A1" s="400"/>
      <c r="C1" s="401"/>
      <c r="D1" s="1168" t="s">
        <v>4502</v>
      </c>
      <c r="E1" s="1168"/>
      <c r="F1" s="1169" t="s">
        <v>4320</v>
      </c>
      <c r="G1" s="1169"/>
      <c r="H1" s="1170" t="s">
        <v>4503</v>
      </c>
      <c r="I1" s="1170"/>
      <c r="J1" s="1170"/>
      <c r="K1" s="1170"/>
      <c r="L1" s="1170"/>
      <c r="M1" s="1170"/>
      <c r="N1" s="1170"/>
      <c r="O1" s="1170"/>
      <c r="P1" s="1170"/>
      <c r="Q1" s="1170"/>
      <c r="R1" s="1170"/>
      <c r="S1" s="1170"/>
      <c r="T1" s="1170"/>
      <c r="U1" s="1170"/>
      <c r="V1" s="1170"/>
      <c r="W1" s="1170"/>
      <c r="X1" s="400"/>
      <c r="Y1" s="134"/>
    </row>
    <row r="2" spans="1:25" ht="38.25" customHeight="1" x14ac:dyDescent="0.25">
      <c r="A2" s="402"/>
      <c r="B2" s="1171" t="str">
        <f>'Gala Setup'!$S$4</f>
        <v>NASL.2023 V6</v>
      </c>
      <c r="C2" s="1171"/>
      <c r="D2" s="1172" t="s">
        <v>4327</v>
      </c>
      <c r="E2" s="1172"/>
      <c r="F2" s="1172" t="s">
        <v>4327</v>
      </c>
      <c r="G2" s="1172"/>
      <c r="H2" s="1172" t="s">
        <v>4327</v>
      </c>
      <c r="I2" s="1172"/>
      <c r="J2" s="1172" t="s">
        <v>4327</v>
      </c>
      <c r="K2" s="1172"/>
      <c r="L2" s="1172" t="s">
        <v>4327</v>
      </c>
      <c r="M2" s="1172"/>
      <c r="N2" s="1172" t="s">
        <v>4327</v>
      </c>
      <c r="O2" s="1172"/>
      <c r="P2" s="1172" t="s">
        <v>4327</v>
      </c>
      <c r="Q2" s="1172"/>
      <c r="R2" s="1172" t="s">
        <v>4327</v>
      </c>
      <c r="S2" s="1172"/>
      <c r="T2" s="1172" t="s">
        <v>4327</v>
      </c>
      <c r="U2" s="1172"/>
      <c r="V2" s="1172" t="s">
        <v>4327</v>
      </c>
      <c r="W2" s="1172"/>
      <c r="X2" s="402"/>
      <c r="Y2" s="134"/>
    </row>
    <row r="3" spans="1:25" ht="41.25" customHeight="1" x14ac:dyDescent="0.25">
      <c r="A3" s="402"/>
      <c r="B3" s="1171"/>
      <c r="C3" s="1171"/>
      <c r="D3" s="1166">
        <f>'Gala Setup'!N4</f>
        <v>1</v>
      </c>
      <c r="E3" s="1166"/>
      <c r="F3" s="1166">
        <f>'Gala Setup'!N5</f>
        <v>2</v>
      </c>
      <c r="G3" s="1166"/>
      <c r="H3" s="1166">
        <f>'Gala Setup'!N6</f>
        <v>3</v>
      </c>
      <c r="I3" s="1166"/>
      <c r="J3" s="1166">
        <f>'Gala Setup'!N7</f>
        <v>4</v>
      </c>
      <c r="K3" s="1166"/>
      <c r="L3" s="1166">
        <f>'Gala Setup'!N8</f>
        <v>5</v>
      </c>
      <c r="M3" s="1166"/>
      <c r="N3" s="1166">
        <f>'Gala Setup'!N9</f>
        <v>6</v>
      </c>
      <c r="O3" s="1166"/>
      <c r="P3" s="1166">
        <f>'Gala Setup'!N10</f>
        <v>7</v>
      </c>
      <c r="Q3" s="1166"/>
      <c r="R3" s="1166">
        <f>'Gala Setup'!N11</f>
        <v>0</v>
      </c>
      <c r="S3" s="1166"/>
      <c r="T3" s="1166">
        <f>'Gala Setup'!N12</f>
        <v>0</v>
      </c>
      <c r="U3" s="1166"/>
      <c r="V3" s="1166">
        <f>'Gala Setup'!N13</f>
        <v>0</v>
      </c>
      <c r="W3" s="1166"/>
      <c r="X3" s="403"/>
      <c r="Y3" s="134"/>
    </row>
    <row r="4" spans="1:25" ht="20.25" customHeight="1" x14ac:dyDescent="0.25">
      <c r="A4" s="402"/>
      <c r="B4" s="404"/>
      <c r="C4" s="405" t="s">
        <v>4504</v>
      </c>
      <c r="D4" s="406">
        <f>'print 10 lane'!I12</f>
        <v>1.7831018518518519E-3</v>
      </c>
      <c r="E4" s="407">
        <f>'print 10 lane'!J12</f>
        <v>2</v>
      </c>
      <c r="F4" s="406">
        <f>'print 10 lane'!L12</f>
        <v>1.8467592592592596E-3</v>
      </c>
      <c r="G4" s="407">
        <f>'print 10 lane'!M12</f>
        <v>5</v>
      </c>
      <c r="H4" s="406">
        <f>'print 10 lane'!O12</f>
        <v>1.7894675925925925E-3</v>
      </c>
      <c r="I4" s="407">
        <f>'print 10 lane'!P12</f>
        <v>3</v>
      </c>
      <c r="J4" s="406">
        <f>'print 10 lane'!R12</f>
        <v>1.75E-3</v>
      </c>
      <c r="K4" s="407">
        <f>'print 10 lane'!S12</f>
        <v>1</v>
      </c>
      <c r="L4" s="406">
        <f>'print 10 lane'!U12</f>
        <v>1.8901620370370372E-3</v>
      </c>
      <c r="M4" s="407">
        <f>'print 10 lane'!V12</f>
        <v>7</v>
      </c>
      <c r="N4" s="406">
        <f>'print 10 lane'!X12</f>
        <v>1.8304398148148149E-3</v>
      </c>
      <c r="O4" s="407">
        <f>'print 10 lane'!Y12</f>
        <v>4</v>
      </c>
      <c r="P4" s="406">
        <f>'print 10 lane'!AA12</f>
        <v>1.8548611111111109E-3</v>
      </c>
      <c r="Q4" s="407">
        <f>'print 10 lane'!AB12</f>
        <v>6</v>
      </c>
      <c r="R4" s="406">
        <f>'print 10 lane'!AD12</f>
        <v>0</v>
      </c>
      <c r="S4" s="407">
        <f>'print 10 lane'!AE12</f>
        <v>0</v>
      </c>
      <c r="T4" s="406">
        <f>'print 10 lane'!AG12</f>
        <v>0</v>
      </c>
      <c r="U4" s="407">
        <f>'print 10 lane'!AH12</f>
        <v>0</v>
      </c>
      <c r="V4" s="406">
        <f>'print 10 lane'!AJ12</f>
        <v>0</v>
      </c>
      <c r="W4" s="408">
        <f>'print 10 lane'!AK12</f>
        <v>0</v>
      </c>
      <c r="X4" s="1167"/>
      <c r="Y4" s="134"/>
    </row>
    <row r="5" spans="1:25" ht="20.25" customHeight="1" x14ac:dyDescent="0.25">
      <c r="A5" s="402"/>
      <c r="B5" s="409"/>
      <c r="C5" s="410" t="s">
        <v>4427</v>
      </c>
      <c r="D5" s="411">
        <f>'print 10 lane'!I15</f>
        <v>0</v>
      </c>
      <c r="E5" s="412">
        <f>'print 10 lane'!J15</f>
        <v>0</v>
      </c>
      <c r="F5" s="411">
        <f>'print 10 lane'!L15</f>
        <v>1.8596064814814814E-3</v>
      </c>
      <c r="G5" s="412">
        <f>'print 10 lane'!M15</f>
        <v>6</v>
      </c>
      <c r="H5" s="411">
        <f>'print 10 lane'!O15</f>
        <v>1.7115740740740739E-3</v>
      </c>
      <c r="I5" s="412">
        <f>'print 10 lane'!P15</f>
        <v>5</v>
      </c>
      <c r="J5" s="411">
        <f>'print 10 lane'!R15</f>
        <v>1.6637731481481484E-3</v>
      </c>
      <c r="K5" s="412">
        <f>'print 10 lane'!S15</f>
        <v>3</v>
      </c>
      <c r="L5" s="411">
        <f>'print 10 lane'!U15</f>
        <v>1.6520833333333333E-3</v>
      </c>
      <c r="M5" s="412">
        <f>'print 10 lane'!V15</f>
        <v>2</v>
      </c>
      <c r="N5" s="411">
        <f>'print 10 lane'!X15</f>
        <v>1.6135416666666668E-3</v>
      </c>
      <c r="O5" s="412">
        <f>'print 10 lane'!Y15</f>
        <v>1</v>
      </c>
      <c r="P5" s="411">
        <f>'print 10 lane'!AA15</f>
        <v>1.6844907407407405E-3</v>
      </c>
      <c r="Q5" s="412">
        <f>'print 10 lane'!AB15</f>
        <v>4</v>
      </c>
      <c r="R5" s="411">
        <f>'print 10 lane'!AD15</f>
        <v>0</v>
      </c>
      <c r="S5" s="412">
        <f>'print 10 lane'!AE15</f>
        <v>0</v>
      </c>
      <c r="T5" s="411">
        <f>'print 10 lane'!AG15</f>
        <v>0</v>
      </c>
      <c r="U5" s="412">
        <f>'print 10 lane'!AH15</f>
        <v>0</v>
      </c>
      <c r="V5" s="411">
        <f>'print 10 lane'!AJ15</f>
        <v>0</v>
      </c>
      <c r="W5" s="413">
        <f>'print 10 lane'!AK15</f>
        <v>0</v>
      </c>
      <c r="X5" s="1167"/>
      <c r="Y5" s="134"/>
    </row>
    <row r="6" spans="1:25" ht="20.25" customHeight="1" x14ac:dyDescent="0.25">
      <c r="A6" s="402"/>
      <c r="B6" s="404"/>
      <c r="C6" s="405" t="s">
        <v>4429</v>
      </c>
      <c r="D6" s="406">
        <f>'print 10 lane'!I18</f>
        <v>1.7363425925925925E-3</v>
      </c>
      <c r="E6" s="407">
        <f>'print 10 lane'!J18</f>
        <v>1</v>
      </c>
      <c r="F6" s="406">
        <f>'print 10 lane'!L18</f>
        <v>0</v>
      </c>
      <c r="G6" s="407">
        <f>'print 10 lane'!M18</f>
        <v>0</v>
      </c>
      <c r="H6" s="406">
        <f>'print 10 lane'!O18</f>
        <v>0</v>
      </c>
      <c r="I6" s="407">
        <f>'print 10 lane'!P18</f>
        <v>0</v>
      </c>
      <c r="J6" s="406">
        <f>'print 10 lane'!R18</f>
        <v>1.8369212962962963E-3</v>
      </c>
      <c r="K6" s="407">
        <f>'print 10 lane'!S18</f>
        <v>4</v>
      </c>
      <c r="L6" s="406">
        <f>'print 10 lane'!U18</f>
        <v>1.8157407407407408E-3</v>
      </c>
      <c r="M6" s="407">
        <f>'print 10 lane'!V18</f>
        <v>3</v>
      </c>
      <c r="N6" s="406">
        <f>'print 10 lane'!X18</f>
        <v>1.9184027777777778E-3</v>
      </c>
      <c r="O6" s="407">
        <f>'print 10 lane'!Y18</f>
        <v>5</v>
      </c>
      <c r="P6" s="406">
        <f>'print 10 lane'!AA18</f>
        <v>1.8145833333333332E-3</v>
      </c>
      <c r="Q6" s="407">
        <f>'print 10 lane'!AB18</f>
        <v>2</v>
      </c>
      <c r="R6" s="406">
        <f>'print 10 lane'!AD18</f>
        <v>0</v>
      </c>
      <c r="S6" s="407">
        <f>'print 10 lane'!AE18</f>
        <v>0</v>
      </c>
      <c r="T6" s="406">
        <f>'print 10 lane'!AG18</f>
        <v>0</v>
      </c>
      <c r="U6" s="407">
        <f>'print 10 lane'!AH18</f>
        <v>0</v>
      </c>
      <c r="V6" s="406">
        <f>'print 10 lane'!AJ18</f>
        <v>0</v>
      </c>
      <c r="W6" s="408">
        <f>'print 10 lane'!AK18</f>
        <v>0</v>
      </c>
      <c r="X6" s="414"/>
      <c r="Y6" s="134"/>
    </row>
    <row r="7" spans="1:25" ht="20.25" customHeight="1" x14ac:dyDescent="0.25">
      <c r="A7" s="402"/>
      <c r="B7" s="409"/>
      <c r="C7" s="410" t="s">
        <v>4432</v>
      </c>
      <c r="D7" s="411">
        <f>'print 10 lane'!I20</f>
        <v>0</v>
      </c>
      <c r="E7" s="412">
        <f>'print 10 lane'!J20</f>
        <v>0</v>
      </c>
      <c r="F7" s="411">
        <f>'print 10 lane'!L20</f>
        <v>1.6399305555555557E-3</v>
      </c>
      <c r="G7" s="412">
        <f>'print 10 lane'!M20</f>
        <v>1</v>
      </c>
      <c r="H7" s="411">
        <f>'print 10 lane'!O20</f>
        <v>0</v>
      </c>
      <c r="I7" s="412">
        <f>'print 10 lane'!P20</f>
        <v>0</v>
      </c>
      <c r="J7" s="411">
        <f>'print 10 lane'!R20</f>
        <v>2.0035879629629631E-3</v>
      </c>
      <c r="K7" s="412">
        <f>'print 10 lane'!S20</f>
        <v>5</v>
      </c>
      <c r="L7" s="411">
        <f>'print 10 lane'!U20</f>
        <v>1.7332175925925926E-3</v>
      </c>
      <c r="M7" s="412">
        <f>'print 10 lane'!V20</f>
        <v>2</v>
      </c>
      <c r="N7" s="411">
        <f>'print 10 lane'!X20</f>
        <v>1.7974537037037037E-3</v>
      </c>
      <c r="O7" s="412">
        <f>'print 10 lane'!Y20</f>
        <v>3</v>
      </c>
      <c r="P7" s="411">
        <f>'print 10 lane'!AA20</f>
        <v>1.9951388888888892E-3</v>
      </c>
      <c r="Q7" s="412">
        <f>'print 10 lane'!AB20</f>
        <v>4</v>
      </c>
      <c r="R7" s="411">
        <f>'print 10 lane'!AD20</f>
        <v>0</v>
      </c>
      <c r="S7" s="412">
        <f>'print 10 lane'!AE20</f>
        <v>0</v>
      </c>
      <c r="T7" s="411">
        <f>'print 10 lane'!AG20</f>
        <v>0</v>
      </c>
      <c r="U7" s="412">
        <f>'print 10 lane'!AH20</f>
        <v>0</v>
      </c>
      <c r="V7" s="411">
        <f>'print 10 lane'!AJ20</f>
        <v>0</v>
      </c>
      <c r="W7" s="413">
        <f>'print 10 lane'!AK20</f>
        <v>0</v>
      </c>
      <c r="X7" s="414"/>
      <c r="Y7" s="134"/>
    </row>
    <row r="8" spans="1:25" ht="20.25" customHeight="1" x14ac:dyDescent="0.25">
      <c r="A8" s="402"/>
      <c r="B8" s="404"/>
      <c r="C8" s="405" t="s">
        <v>4435</v>
      </c>
      <c r="D8" s="406">
        <f>'print 10 lane'!I22</f>
        <v>1.645949074074074E-3</v>
      </c>
      <c r="E8" s="407">
        <f>'print 10 lane'!J22</f>
        <v>2</v>
      </c>
      <c r="F8" s="406">
        <f>'print 10 lane'!L22</f>
        <v>1.742361111111111E-3</v>
      </c>
      <c r="G8" s="407">
        <f>'print 10 lane'!M22</f>
        <v>4</v>
      </c>
      <c r="H8" s="406">
        <f>'print 10 lane'!O22</f>
        <v>1.6287037037037036E-3</v>
      </c>
      <c r="I8" s="407">
        <f>'print 10 lane'!P22</f>
        <v>1</v>
      </c>
      <c r="J8" s="406">
        <f>'print 10 lane'!R22</f>
        <v>1.6534722222222222E-3</v>
      </c>
      <c r="K8" s="407">
        <f>'print 10 lane'!S22</f>
        <v>3</v>
      </c>
      <c r="L8" s="406">
        <f>'print 10 lane'!U22</f>
        <v>1.7437500000000003E-3</v>
      </c>
      <c r="M8" s="407">
        <f>'print 10 lane'!V22</f>
        <v>5</v>
      </c>
      <c r="N8" s="406">
        <f>'print 10 lane'!X22</f>
        <v>1.9731481481481479E-3</v>
      </c>
      <c r="O8" s="407">
        <f>'print 10 lane'!Y22</f>
        <v>6</v>
      </c>
      <c r="P8" s="406">
        <f>'print 10 lane'!AA22</f>
        <v>0</v>
      </c>
      <c r="Q8" s="407">
        <f>'print 10 lane'!AB22</f>
        <v>0</v>
      </c>
      <c r="R8" s="406">
        <f>'print 10 lane'!AD22</f>
        <v>0</v>
      </c>
      <c r="S8" s="407">
        <f>'print 10 lane'!AE22</f>
        <v>0</v>
      </c>
      <c r="T8" s="406">
        <f>'print 10 lane'!AG22</f>
        <v>0</v>
      </c>
      <c r="U8" s="407">
        <f>'print 10 lane'!AH22</f>
        <v>0</v>
      </c>
      <c r="V8" s="406">
        <f>'print 10 lane'!AJ22</f>
        <v>0</v>
      </c>
      <c r="W8" s="408">
        <f>'print 10 lane'!AK22</f>
        <v>0</v>
      </c>
      <c r="X8" s="414"/>
      <c r="Y8" s="134"/>
    </row>
    <row r="9" spans="1:25" ht="20.25" customHeight="1" x14ac:dyDescent="0.25">
      <c r="A9" s="402"/>
      <c r="B9" s="409"/>
      <c r="C9" s="410" t="s">
        <v>4437</v>
      </c>
      <c r="D9" s="411">
        <f>'print 10 lane'!I24</f>
        <v>1.7806712962962965E-3</v>
      </c>
      <c r="E9" s="412">
        <f>'print 10 lane'!J24</f>
        <v>5</v>
      </c>
      <c r="F9" s="411">
        <f>'print 10 lane'!L24</f>
        <v>1.7177083333333332E-3</v>
      </c>
      <c r="G9" s="412">
        <f>'print 10 lane'!M24</f>
        <v>4</v>
      </c>
      <c r="H9" s="411">
        <f>'print 10 lane'!O24</f>
        <v>1.6693287037037039E-3</v>
      </c>
      <c r="I9" s="412">
        <f>'print 10 lane'!P24</f>
        <v>3</v>
      </c>
      <c r="J9" s="411">
        <f>'print 10 lane'!R24</f>
        <v>1.8538194444444446E-3</v>
      </c>
      <c r="K9" s="412">
        <f>'print 10 lane'!S24</f>
        <v>7</v>
      </c>
      <c r="L9" s="411">
        <f>'print 10 lane'!U24</f>
        <v>1.8093750000000002E-3</v>
      </c>
      <c r="M9" s="412">
        <f>'print 10 lane'!V24</f>
        <v>6</v>
      </c>
      <c r="N9" s="411">
        <f>'print 10 lane'!X24</f>
        <v>1.5825231481481482E-3</v>
      </c>
      <c r="O9" s="412">
        <f>'print 10 lane'!Y24</f>
        <v>2</v>
      </c>
      <c r="P9" s="411">
        <f>'print 10 lane'!AA24</f>
        <v>1.5534722222222224E-3</v>
      </c>
      <c r="Q9" s="412">
        <f>'print 10 lane'!AB24</f>
        <v>1</v>
      </c>
      <c r="R9" s="411">
        <f>'print 10 lane'!AD24</f>
        <v>0</v>
      </c>
      <c r="S9" s="412">
        <f>'print 10 lane'!AE24</f>
        <v>0</v>
      </c>
      <c r="T9" s="411">
        <f>'print 10 lane'!AG24</f>
        <v>0</v>
      </c>
      <c r="U9" s="412">
        <f>'print 10 lane'!AH24</f>
        <v>0</v>
      </c>
      <c r="V9" s="411">
        <f>'print 10 lane'!AJ24</f>
        <v>0</v>
      </c>
      <c r="W9" s="413">
        <f>'print 10 lane'!AK24</f>
        <v>0</v>
      </c>
      <c r="X9" s="414"/>
      <c r="Y9" s="134"/>
    </row>
    <row r="10" spans="1:25" ht="20.25" customHeight="1" x14ac:dyDescent="0.25">
      <c r="A10" s="402"/>
      <c r="B10" s="404"/>
      <c r="C10" s="405" t="s">
        <v>4438</v>
      </c>
      <c r="D10" s="406">
        <f>'print 10 lane'!I26</f>
        <v>1.4748842592592591E-3</v>
      </c>
      <c r="E10" s="407">
        <f>'print 10 lane'!J26</f>
        <v>7</v>
      </c>
      <c r="F10" s="406">
        <f>'print 10 lane'!L26</f>
        <v>1.4600694444444444E-3</v>
      </c>
      <c r="G10" s="407">
        <f>'print 10 lane'!M26</f>
        <v>6</v>
      </c>
      <c r="H10" s="406">
        <f>'print 10 lane'!O26</f>
        <v>1.4290509259259258E-3</v>
      </c>
      <c r="I10" s="407">
        <f>'print 10 lane'!P26</f>
        <v>4</v>
      </c>
      <c r="J10" s="406">
        <f>'print 10 lane'!R26</f>
        <v>1.4349537037037037E-3</v>
      </c>
      <c r="K10" s="407">
        <f>'print 10 lane'!S26</f>
        <v>5</v>
      </c>
      <c r="L10" s="406">
        <f>'print 10 lane'!U26</f>
        <v>1.3890046296296298E-3</v>
      </c>
      <c r="M10" s="407">
        <f>'print 10 lane'!V26</f>
        <v>1</v>
      </c>
      <c r="N10" s="406">
        <f>'print 10 lane'!X26</f>
        <v>1.391435185185185E-3</v>
      </c>
      <c r="O10" s="407">
        <f>'print 10 lane'!Y26</f>
        <v>2</v>
      </c>
      <c r="P10" s="406">
        <f>'print 10 lane'!AA26</f>
        <v>1.4256944444444445E-3</v>
      </c>
      <c r="Q10" s="407">
        <f>'print 10 lane'!AB26</f>
        <v>3</v>
      </c>
      <c r="R10" s="406">
        <f>'print 10 lane'!AD26</f>
        <v>0</v>
      </c>
      <c r="S10" s="407">
        <f>'print 10 lane'!AE26</f>
        <v>0</v>
      </c>
      <c r="T10" s="406">
        <f>'print 10 lane'!AG26</f>
        <v>0</v>
      </c>
      <c r="U10" s="407">
        <f>'print 10 lane'!AH26</f>
        <v>0</v>
      </c>
      <c r="V10" s="406">
        <f>'print 10 lane'!AJ26</f>
        <v>0</v>
      </c>
      <c r="W10" s="408">
        <f>'print 10 lane'!AK26</f>
        <v>0</v>
      </c>
      <c r="X10" s="414"/>
      <c r="Y10" s="134"/>
    </row>
    <row r="11" spans="1:25" ht="20.25" customHeight="1" x14ac:dyDescent="0.25">
      <c r="A11" s="402"/>
      <c r="B11" s="409"/>
      <c r="C11" s="410" t="s">
        <v>4439</v>
      </c>
      <c r="D11" s="411">
        <f>'print 10 lane'!I28</f>
        <v>1.4600694444444444E-3</v>
      </c>
      <c r="E11" s="412">
        <f>'print 10 lane'!J28</f>
        <v>7</v>
      </c>
      <c r="F11" s="411">
        <f>'print 10 lane'!L28</f>
        <v>1.3547453703703701E-3</v>
      </c>
      <c r="G11" s="412">
        <f>'print 10 lane'!M28</f>
        <v>5</v>
      </c>
      <c r="H11" s="411">
        <f>'print 10 lane'!O28</f>
        <v>1.4348379629629631E-3</v>
      </c>
      <c r="I11" s="412">
        <f>'print 10 lane'!P28</f>
        <v>6</v>
      </c>
      <c r="J11" s="411">
        <f>'print 10 lane'!R28</f>
        <v>1.3260416666666666E-3</v>
      </c>
      <c r="K11" s="412">
        <f>'print 10 lane'!S28</f>
        <v>4</v>
      </c>
      <c r="L11" s="411">
        <f>'print 10 lane'!U28</f>
        <v>1.2678240740740742E-3</v>
      </c>
      <c r="M11" s="412">
        <f>'print 10 lane'!V28</f>
        <v>2</v>
      </c>
      <c r="N11" s="411">
        <f>'print 10 lane'!X28</f>
        <v>1.262037037037037E-3</v>
      </c>
      <c r="O11" s="412">
        <f>'print 10 lane'!Y28</f>
        <v>1</v>
      </c>
      <c r="P11" s="411">
        <f>'print 10 lane'!AA28</f>
        <v>1.3180555555555556E-3</v>
      </c>
      <c r="Q11" s="412">
        <f>'print 10 lane'!AB28</f>
        <v>3</v>
      </c>
      <c r="R11" s="411">
        <f>'print 10 lane'!AD28</f>
        <v>0</v>
      </c>
      <c r="S11" s="412">
        <f>'print 10 lane'!AE28</f>
        <v>0</v>
      </c>
      <c r="T11" s="411">
        <f>'print 10 lane'!AG28</f>
        <v>0</v>
      </c>
      <c r="U11" s="412">
        <f>'print 10 lane'!AH28</f>
        <v>0</v>
      </c>
      <c r="V11" s="411">
        <f>'print 10 lane'!AJ28</f>
        <v>0</v>
      </c>
      <c r="W11" s="413">
        <f>'print 10 lane'!AK28</f>
        <v>0</v>
      </c>
      <c r="X11" s="414"/>
      <c r="Y11" s="134"/>
    </row>
    <row r="12" spans="1:25" ht="20.25" customHeight="1" x14ac:dyDescent="0.25">
      <c r="A12" s="402"/>
      <c r="B12" s="404"/>
      <c r="C12" s="405" t="s">
        <v>4440</v>
      </c>
      <c r="D12" s="406">
        <f>'print 10 lane'!I30</f>
        <v>0</v>
      </c>
      <c r="E12" s="407">
        <f>'print 10 lane'!J30</f>
        <v>0</v>
      </c>
      <c r="F12" s="406">
        <f>'print 10 lane'!L30</f>
        <v>1.6187500000000002E-3</v>
      </c>
      <c r="G12" s="407">
        <f>'print 10 lane'!M30</f>
        <v>6</v>
      </c>
      <c r="H12" s="406">
        <f>'print 10 lane'!O30</f>
        <v>1.6140046296296295E-3</v>
      </c>
      <c r="I12" s="407">
        <f>'print 10 lane'!P30</f>
        <v>5</v>
      </c>
      <c r="J12" s="406">
        <f>'print 10 lane'!R30</f>
        <v>1.5174768518518517E-3</v>
      </c>
      <c r="K12" s="407">
        <f>'print 10 lane'!S30</f>
        <v>1</v>
      </c>
      <c r="L12" s="406">
        <f>'print 10 lane'!U30</f>
        <v>1.5806712962962962E-3</v>
      </c>
      <c r="M12" s="407">
        <f>'print 10 lane'!V30</f>
        <v>3</v>
      </c>
      <c r="N12" s="406">
        <f>'print 10 lane'!X30</f>
        <v>1.6027777777777776E-3</v>
      </c>
      <c r="O12" s="407">
        <f>'print 10 lane'!Y30</f>
        <v>4</v>
      </c>
      <c r="P12" s="406">
        <f>'print 10 lane'!AA30</f>
        <v>1.5299768518518518E-3</v>
      </c>
      <c r="Q12" s="407">
        <f>'print 10 lane'!AB30</f>
        <v>2</v>
      </c>
      <c r="R12" s="406">
        <f>'print 10 lane'!AD30</f>
        <v>0</v>
      </c>
      <c r="S12" s="407">
        <f>'print 10 lane'!AE30</f>
        <v>0</v>
      </c>
      <c r="T12" s="406">
        <f>'print 10 lane'!AG30</f>
        <v>0</v>
      </c>
      <c r="U12" s="407">
        <f>'print 10 lane'!AH30</f>
        <v>0</v>
      </c>
      <c r="V12" s="406">
        <f>'print 10 lane'!AJ30</f>
        <v>0</v>
      </c>
      <c r="W12" s="408">
        <f>'print 10 lane'!AK30</f>
        <v>0</v>
      </c>
      <c r="X12" s="414"/>
      <c r="Y12" s="134"/>
    </row>
    <row r="13" spans="1:25" ht="20.25" customHeight="1" x14ac:dyDescent="0.25">
      <c r="A13" s="402"/>
      <c r="B13" s="409"/>
      <c r="C13" s="410" t="s">
        <v>4442</v>
      </c>
      <c r="D13" s="411">
        <f>'print 10 lane'!I32</f>
        <v>1.5916666666666666E-3</v>
      </c>
      <c r="E13" s="412">
        <f>'print 10 lane'!J32</f>
        <v>6</v>
      </c>
      <c r="F13" s="411">
        <f>'print 10 lane'!L32</f>
        <v>1.5048611111111111E-3</v>
      </c>
      <c r="G13" s="412">
        <f>'print 10 lane'!M32</f>
        <v>5</v>
      </c>
      <c r="H13" s="411">
        <f>'print 10 lane'!O32</f>
        <v>0</v>
      </c>
      <c r="I13" s="412">
        <f>'print 10 lane'!P32</f>
        <v>0</v>
      </c>
      <c r="J13" s="411">
        <f>'print 10 lane'!R32</f>
        <v>1.3813657407407409E-3</v>
      </c>
      <c r="K13" s="412">
        <f>'print 10 lane'!S32</f>
        <v>2</v>
      </c>
      <c r="L13" s="411">
        <f>'print 10 lane'!U32</f>
        <v>1.4202546296296298E-3</v>
      </c>
      <c r="M13" s="412">
        <f>'print 10 lane'!V32</f>
        <v>4</v>
      </c>
      <c r="N13" s="411">
        <f>'print 10 lane'!X32</f>
        <v>1.3542824074074073E-3</v>
      </c>
      <c r="O13" s="412">
        <f>'print 10 lane'!Y32</f>
        <v>1</v>
      </c>
      <c r="P13" s="411">
        <f>'print 10 lane'!AA32</f>
        <v>1.420138888888889E-3</v>
      </c>
      <c r="Q13" s="412">
        <f>'print 10 lane'!AB32</f>
        <v>3</v>
      </c>
      <c r="R13" s="411">
        <f>'print 10 lane'!AD32</f>
        <v>0</v>
      </c>
      <c r="S13" s="412">
        <f>'print 10 lane'!AE32</f>
        <v>0</v>
      </c>
      <c r="T13" s="411">
        <f>'print 10 lane'!AG32</f>
        <v>0</v>
      </c>
      <c r="U13" s="412">
        <f>'print 10 lane'!AH32</f>
        <v>0</v>
      </c>
      <c r="V13" s="411">
        <f>'print 10 lane'!AJ32</f>
        <v>0</v>
      </c>
      <c r="W13" s="413">
        <f>'print 10 lane'!AK32</f>
        <v>0</v>
      </c>
      <c r="X13" s="414"/>
      <c r="Y13" s="134"/>
    </row>
    <row r="14" spans="1:25" ht="20.25" customHeight="1" x14ac:dyDescent="0.25">
      <c r="A14" s="402"/>
      <c r="B14" s="404"/>
      <c r="C14" s="405" t="s">
        <v>4444</v>
      </c>
      <c r="D14" s="406">
        <f>'print 10 lane'!I34</f>
        <v>5.1493055555555558E-4</v>
      </c>
      <c r="E14" s="407">
        <f>'print 10 lane'!J34</f>
        <v>4</v>
      </c>
      <c r="F14" s="406">
        <f>'print 10 lane'!L34</f>
        <v>5.1990740740740741E-4</v>
      </c>
      <c r="G14" s="407">
        <f>'print 10 lane'!M34</f>
        <v>5</v>
      </c>
      <c r="H14" s="406">
        <f>'print 10 lane'!O34</f>
        <v>0</v>
      </c>
      <c r="I14" s="407">
        <f>'print 10 lane'!P34</f>
        <v>0</v>
      </c>
      <c r="J14" s="406">
        <f>'print 10 lane'!R34</f>
        <v>4.6643518518518518E-4</v>
      </c>
      <c r="K14" s="407">
        <f>'print 10 lane'!S34</f>
        <v>2</v>
      </c>
      <c r="L14" s="406">
        <f>'print 10 lane'!U34</f>
        <v>4.6516203703703699E-4</v>
      </c>
      <c r="M14" s="407">
        <f>'print 10 lane'!V34</f>
        <v>1</v>
      </c>
      <c r="N14" s="406">
        <f>'print 10 lane'!X34</f>
        <v>5.346064814814815E-4</v>
      </c>
      <c r="O14" s="407">
        <f>'print 10 lane'!Y34</f>
        <v>6</v>
      </c>
      <c r="P14" s="406">
        <f>'print 10 lane'!AA34</f>
        <v>4.9548611111111115E-4</v>
      </c>
      <c r="Q14" s="407">
        <f>'print 10 lane'!AB34</f>
        <v>3</v>
      </c>
      <c r="R14" s="406">
        <f>'print 10 lane'!AD34</f>
        <v>0</v>
      </c>
      <c r="S14" s="407">
        <f>'print 10 lane'!AE34</f>
        <v>0</v>
      </c>
      <c r="T14" s="406">
        <f>'print 10 lane'!AG34</f>
        <v>0</v>
      </c>
      <c r="U14" s="407">
        <f>'print 10 lane'!AH34</f>
        <v>0</v>
      </c>
      <c r="V14" s="406">
        <f>'print 10 lane'!AJ34</f>
        <v>0</v>
      </c>
      <c r="W14" s="408">
        <f>'print 10 lane'!AK34</f>
        <v>0</v>
      </c>
      <c r="X14" s="414"/>
      <c r="Y14" s="134"/>
    </row>
    <row r="15" spans="1:25" ht="20.25" customHeight="1" x14ac:dyDescent="0.25">
      <c r="A15" s="402"/>
      <c r="B15" s="409"/>
      <c r="C15" s="410" t="s">
        <v>4445</v>
      </c>
      <c r="D15" s="411">
        <f>'print 10 lane'!I37</f>
        <v>0</v>
      </c>
      <c r="E15" s="412">
        <f>'print 10 lane'!J37</f>
        <v>0</v>
      </c>
      <c r="F15" s="411">
        <f>'print 10 lane'!L37</f>
        <v>4.6608796296296302E-4</v>
      </c>
      <c r="G15" s="412">
        <f>'print 10 lane'!M37</f>
        <v>1</v>
      </c>
      <c r="H15" s="411">
        <f>'print 10 lane'!O37</f>
        <v>5.4340277777777785E-4</v>
      </c>
      <c r="I15" s="412">
        <f>'print 10 lane'!P37</f>
        <v>6</v>
      </c>
      <c r="J15" s="411">
        <f>'print 10 lane'!R37</f>
        <v>5.3668981481481482E-4</v>
      </c>
      <c r="K15" s="412">
        <f>'print 10 lane'!S37</f>
        <v>5</v>
      </c>
      <c r="L15" s="411">
        <f>'print 10 lane'!U37</f>
        <v>4.7870370370370368E-4</v>
      </c>
      <c r="M15" s="412">
        <f>'print 10 lane'!V37</f>
        <v>2</v>
      </c>
      <c r="N15" s="411">
        <f>'print 10 lane'!X37</f>
        <v>5.2071759259259259E-4</v>
      </c>
      <c r="O15" s="412">
        <f>'print 10 lane'!Y37</f>
        <v>3</v>
      </c>
      <c r="P15" s="411">
        <f>'print 10 lane'!AA37</f>
        <v>5.3321759259259262E-4</v>
      </c>
      <c r="Q15" s="412">
        <f>'print 10 lane'!AB37</f>
        <v>4</v>
      </c>
      <c r="R15" s="411">
        <f>'print 10 lane'!AD37</f>
        <v>0</v>
      </c>
      <c r="S15" s="412">
        <f>'print 10 lane'!AE37</f>
        <v>0</v>
      </c>
      <c r="T15" s="411">
        <f>'print 10 lane'!AG37</f>
        <v>0</v>
      </c>
      <c r="U15" s="412">
        <f>'print 10 lane'!AH37</f>
        <v>0</v>
      </c>
      <c r="V15" s="411">
        <f>'print 10 lane'!AJ37</f>
        <v>0</v>
      </c>
      <c r="W15" s="413">
        <f>'print 10 lane'!AK37</f>
        <v>0</v>
      </c>
      <c r="X15" s="414"/>
      <c r="Y15" s="134"/>
    </row>
    <row r="16" spans="1:25" ht="20.25" customHeight="1" x14ac:dyDescent="0.25">
      <c r="A16" s="402"/>
      <c r="B16" s="404"/>
      <c r="C16" s="405" t="s">
        <v>4447</v>
      </c>
      <c r="D16" s="406">
        <f>'print 10 lane'!I40</f>
        <v>9.4062500000000005E-4</v>
      </c>
      <c r="E16" s="407">
        <f>'print 10 lane'!J40</f>
        <v>1</v>
      </c>
      <c r="F16" s="406">
        <f>'print 10 lane'!L40</f>
        <v>1.1271990740740741E-3</v>
      </c>
      <c r="G16" s="407">
        <f>'print 10 lane'!M40</f>
        <v>5</v>
      </c>
      <c r="H16" s="406">
        <f>'print 10 lane'!O40</f>
        <v>9.5138888888888888E-4</v>
      </c>
      <c r="I16" s="407">
        <f>'print 10 lane'!P40</f>
        <v>2</v>
      </c>
      <c r="J16" s="406">
        <f>'print 10 lane'!R40</f>
        <v>1.0512731481481482E-3</v>
      </c>
      <c r="K16" s="407">
        <f>'print 10 lane'!S40</f>
        <v>3</v>
      </c>
      <c r="L16" s="406">
        <f>'print 10 lane'!U40</f>
        <v>1.135185185185185E-3</v>
      </c>
      <c r="M16" s="407">
        <f>'print 10 lane'!V40</f>
        <v>6</v>
      </c>
      <c r="N16" s="406">
        <f>'print 10 lane'!X40</f>
        <v>1.2004629629629631E-3</v>
      </c>
      <c r="O16" s="407">
        <f>'print 10 lane'!Y40</f>
        <v>7</v>
      </c>
      <c r="P16" s="406">
        <f>'print 10 lane'!AA40</f>
        <v>1.0837962962962962E-3</v>
      </c>
      <c r="Q16" s="407">
        <f>'print 10 lane'!AB40</f>
        <v>4</v>
      </c>
      <c r="R16" s="406">
        <f>'print 10 lane'!AD40</f>
        <v>0</v>
      </c>
      <c r="S16" s="407">
        <f>'print 10 lane'!AE40</f>
        <v>0</v>
      </c>
      <c r="T16" s="406">
        <f>'print 10 lane'!AG40</f>
        <v>0</v>
      </c>
      <c r="U16" s="407">
        <f>'print 10 lane'!AH40</f>
        <v>0</v>
      </c>
      <c r="V16" s="406">
        <f>'print 10 lane'!AJ40</f>
        <v>0</v>
      </c>
      <c r="W16" s="408">
        <f>'print 10 lane'!AK40</f>
        <v>0</v>
      </c>
      <c r="X16" s="414"/>
      <c r="Y16" s="134"/>
    </row>
    <row r="17" spans="1:25" ht="20.25" customHeight="1" x14ac:dyDescent="0.25">
      <c r="A17" s="402"/>
      <c r="B17" s="409"/>
      <c r="C17" s="410" t="s">
        <v>4448</v>
      </c>
      <c r="D17" s="411">
        <f>'print 10 lane'!I43</f>
        <v>1.1857638888888888E-3</v>
      </c>
      <c r="E17" s="412">
        <f>'print 10 lane'!J43</f>
        <v>7</v>
      </c>
      <c r="F17" s="411">
        <f>'print 10 lane'!L43</f>
        <v>1.0996527777777777E-3</v>
      </c>
      <c r="G17" s="412">
        <f>'print 10 lane'!M43</f>
        <v>5</v>
      </c>
      <c r="H17" s="411">
        <f>'print 10 lane'!O43</f>
        <v>1.0501157407407408E-3</v>
      </c>
      <c r="I17" s="412">
        <f>'print 10 lane'!P43</f>
        <v>3</v>
      </c>
      <c r="J17" s="411">
        <f>'print 10 lane'!R43</f>
        <v>1.1608796296296295E-3</v>
      </c>
      <c r="K17" s="412">
        <f>'print 10 lane'!S43</f>
        <v>6</v>
      </c>
      <c r="L17" s="411">
        <f>'print 10 lane'!U43</f>
        <v>1.0450231481481482E-3</v>
      </c>
      <c r="M17" s="412">
        <f>'print 10 lane'!V43</f>
        <v>2</v>
      </c>
      <c r="N17" s="411">
        <f>'print 10 lane'!X43</f>
        <v>1.0557870370370372E-3</v>
      </c>
      <c r="O17" s="412">
        <f>'print 10 lane'!Y43</f>
        <v>4</v>
      </c>
      <c r="P17" s="411">
        <f>'print 10 lane'!AA43</f>
        <v>8.9733796296296295E-4</v>
      </c>
      <c r="Q17" s="412">
        <f>'print 10 lane'!AB43</f>
        <v>1</v>
      </c>
      <c r="R17" s="411">
        <f>'print 10 lane'!AD43</f>
        <v>0</v>
      </c>
      <c r="S17" s="412">
        <f>'print 10 lane'!AE43</f>
        <v>0</v>
      </c>
      <c r="T17" s="411">
        <f>'print 10 lane'!AG43</f>
        <v>0</v>
      </c>
      <c r="U17" s="412">
        <f>'print 10 lane'!AH43</f>
        <v>0</v>
      </c>
      <c r="V17" s="411">
        <f>'print 10 lane'!AJ43</f>
        <v>0</v>
      </c>
      <c r="W17" s="413">
        <f>'print 10 lane'!AK43</f>
        <v>0</v>
      </c>
      <c r="X17" s="414"/>
      <c r="Y17" s="134"/>
    </row>
    <row r="18" spans="1:25" ht="20.25" customHeight="1" x14ac:dyDescent="0.25">
      <c r="A18" s="402"/>
      <c r="B18" s="404"/>
      <c r="C18" s="405" t="s">
        <v>4449</v>
      </c>
      <c r="D18" s="406">
        <f>'print 10 lane'!I46</f>
        <v>8.9375000000000001E-4</v>
      </c>
      <c r="E18" s="407">
        <f>'print 10 lane'!J46</f>
        <v>5</v>
      </c>
      <c r="F18" s="406">
        <f>'print 10 lane'!L46</f>
        <v>9.2106481481481477E-4</v>
      </c>
      <c r="G18" s="407">
        <f>'print 10 lane'!M46</f>
        <v>6</v>
      </c>
      <c r="H18" s="406">
        <f>'print 10 lane'!O46</f>
        <v>8.6793981481481488E-4</v>
      </c>
      <c r="I18" s="407">
        <f>'print 10 lane'!P46</f>
        <v>4</v>
      </c>
      <c r="J18" s="406">
        <f>'print 10 lane'!R46</f>
        <v>7.7500000000000008E-4</v>
      </c>
      <c r="K18" s="407">
        <f>'print 10 lane'!S46</f>
        <v>1</v>
      </c>
      <c r="L18" s="406">
        <f>'print 10 lane'!U46</f>
        <v>8.3391203703703709E-4</v>
      </c>
      <c r="M18" s="407">
        <f>'print 10 lane'!V46</f>
        <v>2</v>
      </c>
      <c r="N18" s="406">
        <f>'print 10 lane'!X46</f>
        <v>8.4525462962962972E-4</v>
      </c>
      <c r="O18" s="407">
        <f>'print 10 lane'!Y46</f>
        <v>3</v>
      </c>
      <c r="P18" s="406">
        <f>'print 10 lane'!AA46</f>
        <v>9.3564814814814812E-4</v>
      </c>
      <c r="Q18" s="407">
        <f>'print 10 lane'!AB46</f>
        <v>7</v>
      </c>
      <c r="R18" s="406">
        <f>'print 10 lane'!AD46</f>
        <v>0</v>
      </c>
      <c r="S18" s="407">
        <f>'print 10 lane'!AE46</f>
        <v>0</v>
      </c>
      <c r="T18" s="406">
        <f>'print 10 lane'!AG46</f>
        <v>0</v>
      </c>
      <c r="U18" s="407">
        <f>'print 10 lane'!AH46</f>
        <v>0</v>
      </c>
      <c r="V18" s="406">
        <f>'print 10 lane'!AJ46</f>
        <v>0</v>
      </c>
      <c r="W18" s="408">
        <f>'print 10 lane'!AK46</f>
        <v>0</v>
      </c>
      <c r="X18" s="414"/>
      <c r="Y18" s="134"/>
    </row>
    <row r="19" spans="1:25" ht="20.25" customHeight="1" x14ac:dyDescent="0.25">
      <c r="A19" s="402"/>
      <c r="B19" s="409"/>
      <c r="C19" s="410" t="s">
        <v>4450</v>
      </c>
      <c r="D19" s="411">
        <f>'print 10 lane'!I49</f>
        <v>9.2187499999999995E-4</v>
      </c>
      <c r="E19" s="412">
        <f>'print 10 lane'!J49</f>
        <v>5</v>
      </c>
      <c r="F19" s="411">
        <f>'print 10 lane'!L49</f>
        <v>8.1967592592592595E-4</v>
      </c>
      <c r="G19" s="412">
        <f>'print 10 lane'!M49</f>
        <v>4</v>
      </c>
      <c r="H19" s="411">
        <f>'print 10 lane'!O49</f>
        <v>9.8182870370370373E-4</v>
      </c>
      <c r="I19" s="412">
        <f>'print 10 lane'!P49</f>
        <v>6</v>
      </c>
      <c r="J19" s="411">
        <f>'print 10 lane'!R49</f>
        <v>7.7662037037037033E-4</v>
      </c>
      <c r="K19" s="412">
        <f>'print 10 lane'!S49</f>
        <v>2</v>
      </c>
      <c r="L19" s="411">
        <f>'print 10 lane'!U49</f>
        <v>7.4768518518518511E-4</v>
      </c>
      <c r="M19" s="412">
        <f>'print 10 lane'!V49</f>
        <v>1</v>
      </c>
      <c r="N19" s="411">
        <f>'print 10 lane'!X49</f>
        <v>0</v>
      </c>
      <c r="O19" s="412">
        <f>'print 10 lane'!Y49</f>
        <v>0</v>
      </c>
      <c r="P19" s="411">
        <f>'print 10 lane'!AA49</f>
        <v>8.1678240740740745E-4</v>
      </c>
      <c r="Q19" s="412">
        <f>'print 10 lane'!AB49</f>
        <v>3</v>
      </c>
      <c r="R19" s="411">
        <f>'print 10 lane'!AD49</f>
        <v>0</v>
      </c>
      <c r="S19" s="412">
        <f>'print 10 lane'!AE49</f>
        <v>0</v>
      </c>
      <c r="T19" s="411">
        <f>'print 10 lane'!AG49</f>
        <v>0</v>
      </c>
      <c r="U19" s="412">
        <f>'print 10 lane'!AH49</f>
        <v>0</v>
      </c>
      <c r="V19" s="411">
        <f>'print 10 lane'!AJ49</f>
        <v>0</v>
      </c>
      <c r="W19" s="413">
        <f>'print 10 lane'!AK49</f>
        <v>0</v>
      </c>
      <c r="X19" s="414"/>
      <c r="Y19" s="134"/>
    </row>
    <row r="20" spans="1:25" ht="20.25" customHeight="1" x14ac:dyDescent="0.25">
      <c r="A20" s="402"/>
      <c r="B20" s="404"/>
      <c r="C20" s="405" t="s">
        <v>4452</v>
      </c>
      <c r="D20" s="406">
        <f>'print 10 lane'!I52</f>
        <v>8.8090277777777776E-4</v>
      </c>
      <c r="E20" s="407">
        <f>'print 10 lane'!J52</f>
        <v>3</v>
      </c>
      <c r="F20" s="406">
        <f>'print 10 lane'!L52</f>
        <v>9.2118055555555562E-4</v>
      </c>
      <c r="G20" s="407">
        <f>'print 10 lane'!M52</f>
        <v>7</v>
      </c>
      <c r="H20" s="406">
        <f>'print 10 lane'!O52</f>
        <v>9.0671296296296301E-4</v>
      </c>
      <c r="I20" s="407">
        <f>'print 10 lane'!P52</f>
        <v>6</v>
      </c>
      <c r="J20" s="406">
        <f>'print 10 lane'!R52</f>
        <v>7.9513888888888896E-4</v>
      </c>
      <c r="K20" s="407">
        <f>'print 10 lane'!S52</f>
        <v>1</v>
      </c>
      <c r="L20" s="406">
        <f>'print 10 lane'!U52</f>
        <v>8.6215277777777777E-4</v>
      </c>
      <c r="M20" s="407">
        <f>'print 10 lane'!V52</f>
        <v>2</v>
      </c>
      <c r="N20" s="406">
        <f>'print 10 lane'!X52</f>
        <v>9.0601851851851857E-4</v>
      </c>
      <c r="O20" s="407">
        <f>'print 10 lane'!Y52</f>
        <v>5</v>
      </c>
      <c r="P20" s="406">
        <f>'print 10 lane'!AA52</f>
        <v>8.9131944444444447E-4</v>
      </c>
      <c r="Q20" s="407">
        <f>'print 10 lane'!AB52</f>
        <v>4</v>
      </c>
      <c r="R20" s="406">
        <f>'print 10 lane'!AD52</f>
        <v>0</v>
      </c>
      <c r="S20" s="407">
        <f>'print 10 lane'!AE52</f>
        <v>0</v>
      </c>
      <c r="T20" s="406">
        <f>'print 10 lane'!AG52</f>
        <v>0</v>
      </c>
      <c r="U20" s="407">
        <f>'print 10 lane'!AH52</f>
        <v>0</v>
      </c>
      <c r="V20" s="406">
        <f>'print 10 lane'!AJ52</f>
        <v>0</v>
      </c>
      <c r="W20" s="408">
        <f>'print 10 lane'!AK52</f>
        <v>0</v>
      </c>
      <c r="X20" s="414"/>
      <c r="Y20" s="134"/>
    </row>
    <row r="21" spans="1:25" ht="20.25" customHeight="1" x14ac:dyDescent="0.25">
      <c r="A21" s="402"/>
      <c r="B21" s="409"/>
      <c r="C21" s="410" t="s">
        <v>4453</v>
      </c>
      <c r="D21" s="411">
        <f>'print 10 lane'!I55</f>
        <v>0</v>
      </c>
      <c r="E21" s="412">
        <f>'print 10 lane'!J55</f>
        <v>0</v>
      </c>
      <c r="F21" s="411">
        <f>'print 10 lane'!L55</f>
        <v>1.0456018518518518E-3</v>
      </c>
      <c r="G21" s="412">
        <f>'print 10 lane'!M55</f>
        <v>6</v>
      </c>
      <c r="H21" s="411">
        <f>'print 10 lane'!O55</f>
        <v>8.0162037037037018E-4</v>
      </c>
      <c r="I21" s="412">
        <f>'print 10 lane'!P55</f>
        <v>5</v>
      </c>
      <c r="J21" s="411">
        <f>'print 10 lane'!R55</f>
        <v>7.4166666666666662E-4</v>
      </c>
      <c r="K21" s="412">
        <f>'print 10 lane'!S55</f>
        <v>2</v>
      </c>
      <c r="L21" s="411">
        <f>'print 10 lane'!U55</f>
        <v>7.594907407407407E-4</v>
      </c>
      <c r="M21" s="412">
        <f>'print 10 lane'!V55</f>
        <v>4</v>
      </c>
      <c r="N21" s="411">
        <f>'print 10 lane'!X55</f>
        <v>7.1388888888888891E-4</v>
      </c>
      <c r="O21" s="412">
        <f>'print 10 lane'!Y55</f>
        <v>1</v>
      </c>
      <c r="P21" s="411">
        <f>'print 10 lane'!AA55</f>
        <v>7.53125E-4</v>
      </c>
      <c r="Q21" s="412">
        <f>'print 10 lane'!AB55</f>
        <v>3</v>
      </c>
      <c r="R21" s="411">
        <f>'print 10 lane'!AD55</f>
        <v>0</v>
      </c>
      <c r="S21" s="412">
        <f>'print 10 lane'!AE55</f>
        <v>0</v>
      </c>
      <c r="T21" s="411">
        <f>'print 10 lane'!AG55</f>
        <v>0</v>
      </c>
      <c r="U21" s="412">
        <f>'print 10 lane'!AH55</f>
        <v>0</v>
      </c>
      <c r="V21" s="411">
        <f>'print 10 lane'!AJ55</f>
        <v>0</v>
      </c>
      <c r="W21" s="413">
        <f>'print 10 lane'!AK55</f>
        <v>0</v>
      </c>
      <c r="X21" s="414"/>
      <c r="Y21" s="134"/>
    </row>
    <row r="22" spans="1:25" ht="20.25" customHeight="1" x14ac:dyDescent="0.25">
      <c r="A22" s="402"/>
      <c r="B22" s="404"/>
      <c r="C22" s="405" t="s">
        <v>4454</v>
      </c>
      <c r="D22" s="406">
        <f>'print 10 lane'!I58</f>
        <v>4.4745370370370365E-4</v>
      </c>
      <c r="E22" s="407">
        <f>'print 10 lane'!J58</f>
        <v>1</v>
      </c>
      <c r="F22" s="406">
        <f>'print 10 lane'!L58</f>
        <v>5.0428240740740739E-4</v>
      </c>
      <c r="G22" s="407">
        <f>'print 10 lane'!M58</f>
        <v>3</v>
      </c>
      <c r="H22" s="406">
        <f>'print 10 lane'!O58</f>
        <v>4.9270833333333339E-4</v>
      </c>
      <c r="I22" s="407">
        <f>'print 10 lane'!P58</f>
        <v>2</v>
      </c>
      <c r="J22" s="406">
        <f>'print 10 lane'!R58</f>
        <v>5.276620370370371E-4</v>
      </c>
      <c r="K22" s="407">
        <f>'print 10 lane'!S58</f>
        <v>5</v>
      </c>
      <c r="L22" s="406">
        <f>'print 10 lane'!U58</f>
        <v>5.4780092592592586E-4</v>
      </c>
      <c r="M22" s="407">
        <f>'print 10 lane'!V58</f>
        <v>7</v>
      </c>
      <c r="N22" s="406">
        <f>'print 10 lane'!X58</f>
        <v>5.398148148148148E-4</v>
      </c>
      <c r="O22" s="407">
        <f>'print 10 lane'!Y58</f>
        <v>6</v>
      </c>
      <c r="P22" s="406">
        <f>'print 10 lane'!AA58</f>
        <v>5.0543981481481479E-4</v>
      </c>
      <c r="Q22" s="407">
        <f>'print 10 lane'!AB58</f>
        <v>4</v>
      </c>
      <c r="R22" s="406">
        <f>'print 10 lane'!AD58</f>
        <v>0</v>
      </c>
      <c r="S22" s="407">
        <f>'print 10 lane'!AE58</f>
        <v>0</v>
      </c>
      <c r="T22" s="406">
        <f>'print 10 lane'!AG58</f>
        <v>0</v>
      </c>
      <c r="U22" s="407">
        <f>'print 10 lane'!AH58</f>
        <v>0</v>
      </c>
      <c r="V22" s="406">
        <f>'print 10 lane'!AJ58</f>
        <v>0</v>
      </c>
      <c r="W22" s="408">
        <f>'print 10 lane'!AK58</f>
        <v>0</v>
      </c>
      <c r="X22" s="414"/>
      <c r="Y22" s="134"/>
    </row>
    <row r="23" spans="1:25" ht="20.25" customHeight="1" x14ac:dyDescent="0.25">
      <c r="A23" s="402"/>
      <c r="B23" s="409"/>
      <c r="C23" s="410" t="s">
        <v>4455</v>
      </c>
      <c r="D23" s="411">
        <f>'print 10 lane'!I61</f>
        <v>6.6365740740740751E-4</v>
      </c>
      <c r="E23" s="412">
        <f>'print 10 lane'!J61</f>
        <v>6</v>
      </c>
      <c r="F23" s="411">
        <f>'print 10 lane'!L61</f>
        <v>4.5636574074074074E-4</v>
      </c>
      <c r="G23" s="412">
        <f>'print 10 lane'!M61</f>
        <v>1</v>
      </c>
      <c r="H23" s="411">
        <f>'print 10 lane'!O61</f>
        <v>5.5312500000000001E-4</v>
      </c>
      <c r="I23" s="412">
        <f>'print 10 lane'!P61</f>
        <v>3</v>
      </c>
      <c r="J23" s="411">
        <f>'print 10 lane'!R61</f>
        <v>0</v>
      </c>
      <c r="K23" s="412">
        <f>'print 10 lane'!S61</f>
        <v>0</v>
      </c>
      <c r="L23" s="411">
        <f>'print 10 lane'!U61</f>
        <v>5.807870370370371E-4</v>
      </c>
      <c r="M23" s="412">
        <f>'print 10 lane'!V61</f>
        <v>4</v>
      </c>
      <c r="N23" s="411">
        <f>'print 10 lane'!X61</f>
        <v>4.7685185185185195E-4</v>
      </c>
      <c r="O23" s="412">
        <f>'print 10 lane'!Y61</f>
        <v>2</v>
      </c>
      <c r="P23" s="411">
        <f>'print 10 lane'!AA61</f>
        <v>5.8124999999999995E-4</v>
      </c>
      <c r="Q23" s="412">
        <f>'print 10 lane'!AB61</f>
        <v>5</v>
      </c>
      <c r="R23" s="411">
        <f>'print 10 lane'!AD61</f>
        <v>0</v>
      </c>
      <c r="S23" s="412">
        <f>'print 10 lane'!AE61</f>
        <v>0</v>
      </c>
      <c r="T23" s="411">
        <f>'print 10 lane'!AG61</f>
        <v>0</v>
      </c>
      <c r="U23" s="412">
        <f>'print 10 lane'!AH61</f>
        <v>0</v>
      </c>
      <c r="V23" s="411">
        <f>'print 10 lane'!AJ61</f>
        <v>0</v>
      </c>
      <c r="W23" s="413">
        <f>'print 10 lane'!AK61</f>
        <v>0</v>
      </c>
      <c r="X23" s="414"/>
      <c r="Y23" s="134"/>
    </row>
    <row r="24" spans="1:25" ht="20.25" customHeight="1" x14ac:dyDescent="0.25">
      <c r="A24" s="402"/>
      <c r="B24" s="404"/>
      <c r="C24" s="405" t="s">
        <v>4457</v>
      </c>
      <c r="D24" s="406">
        <f>'print 10 lane'!I64</f>
        <v>1.0196759259259258E-3</v>
      </c>
      <c r="E24" s="407">
        <f>'print 10 lane'!J64</f>
        <v>6</v>
      </c>
      <c r="F24" s="406">
        <f>'print 10 lane'!L64</f>
        <v>9.2986111111111101E-4</v>
      </c>
      <c r="G24" s="407">
        <f>'print 10 lane'!M64</f>
        <v>4</v>
      </c>
      <c r="H24" s="406">
        <f>'print 10 lane'!O64</f>
        <v>9.0185185185185192E-4</v>
      </c>
      <c r="I24" s="407">
        <f>'print 10 lane'!P64</f>
        <v>2</v>
      </c>
      <c r="J24" s="406">
        <f>'print 10 lane'!R64</f>
        <v>8.8587962962962969E-4</v>
      </c>
      <c r="K24" s="407">
        <f>'print 10 lane'!S64</f>
        <v>1</v>
      </c>
      <c r="L24" s="406">
        <f>'print 10 lane'!U64</f>
        <v>9.4004629629629614E-4</v>
      </c>
      <c r="M24" s="407">
        <f>'print 10 lane'!V64</f>
        <v>5</v>
      </c>
      <c r="N24" s="406">
        <f>'print 10 lane'!X64</f>
        <v>9.2581018518518522E-4</v>
      </c>
      <c r="O24" s="407">
        <f>'print 10 lane'!Y64</f>
        <v>3</v>
      </c>
      <c r="P24" s="406">
        <f>'print 10 lane'!AA64</f>
        <v>0</v>
      </c>
      <c r="Q24" s="407">
        <f>'print 10 lane'!AB64</f>
        <v>0</v>
      </c>
      <c r="R24" s="406">
        <f>'print 10 lane'!AD64</f>
        <v>0</v>
      </c>
      <c r="S24" s="407">
        <f>'print 10 lane'!AE64</f>
        <v>0</v>
      </c>
      <c r="T24" s="406">
        <f>'print 10 lane'!AG64</f>
        <v>0</v>
      </c>
      <c r="U24" s="407">
        <f>'print 10 lane'!AH64</f>
        <v>0</v>
      </c>
      <c r="V24" s="406">
        <f>'print 10 lane'!AJ64</f>
        <v>0</v>
      </c>
      <c r="W24" s="408">
        <f>'print 10 lane'!AK64</f>
        <v>0</v>
      </c>
      <c r="X24" s="414"/>
      <c r="Y24" s="134"/>
    </row>
    <row r="25" spans="1:25" ht="20.25" customHeight="1" x14ac:dyDescent="0.25">
      <c r="A25" s="402"/>
      <c r="B25" s="409"/>
      <c r="C25" s="410" t="s">
        <v>4459</v>
      </c>
      <c r="D25" s="411">
        <f>'print 10 lane'!I67</f>
        <v>9.3923611111111117E-4</v>
      </c>
      <c r="E25" s="412">
        <f>'print 10 lane'!J67</f>
        <v>5</v>
      </c>
      <c r="F25" s="411">
        <f>'print 10 lane'!L67</f>
        <v>1.0121527777777778E-3</v>
      </c>
      <c r="G25" s="412">
        <f>'print 10 lane'!M67</f>
        <v>6</v>
      </c>
      <c r="H25" s="411">
        <f>'print 10 lane'!O67</f>
        <v>9.3715277777777775E-4</v>
      </c>
      <c r="I25" s="412">
        <f>'print 10 lane'!P67</f>
        <v>4</v>
      </c>
      <c r="J25" s="411">
        <f>'print 10 lane'!R67</f>
        <v>1.0128472222222221E-3</v>
      </c>
      <c r="K25" s="412">
        <f>'print 10 lane'!S67</f>
        <v>7</v>
      </c>
      <c r="L25" s="411">
        <f>'print 10 lane'!U67</f>
        <v>9.032407407407408E-4</v>
      </c>
      <c r="M25" s="412">
        <f>'print 10 lane'!V67</f>
        <v>3</v>
      </c>
      <c r="N25" s="411">
        <f>'print 10 lane'!X67</f>
        <v>7.9201388888888898E-4</v>
      </c>
      <c r="O25" s="412">
        <f>'print 10 lane'!Y67</f>
        <v>1</v>
      </c>
      <c r="P25" s="411">
        <f>'print 10 lane'!AA67</f>
        <v>7.9988425925925919E-4</v>
      </c>
      <c r="Q25" s="412">
        <f>'print 10 lane'!AB67</f>
        <v>2</v>
      </c>
      <c r="R25" s="411">
        <f>'print 10 lane'!AD67</f>
        <v>0</v>
      </c>
      <c r="S25" s="412">
        <f>'print 10 lane'!AE67</f>
        <v>0</v>
      </c>
      <c r="T25" s="411">
        <f>'print 10 lane'!AG67</f>
        <v>0</v>
      </c>
      <c r="U25" s="412">
        <f>'print 10 lane'!AH67</f>
        <v>0</v>
      </c>
      <c r="V25" s="411">
        <f>'print 10 lane'!AJ67</f>
        <v>0</v>
      </c>
      <c r="W25" s="413">
        <f>'print 10 lane'!AK67</f>
        <v>0</v>
      </c>
      <c r="X25" s="414"/>
      <c r="Y25" s="134"/>
    </row>
    <row r="26" spans="1:25" ht="20.25" customHeight="1" x14ac:dyDescent="0.25">
      <c r="A26" s="402"/>
      <c r="B26" s="404"/>
      <c r="C26" s="405" t="s">
        <v>4460</v>
      </c>
      <c r="D26" s="406">
        <f>'print 10 lane'!I70</f>
        <v>8.8113425925925913E-4</v>
      </c>
      <c r="E26" s="407">
        <f>'print 10 lane'!J70</f>
        <v>4</v>
      </c>
      <c r="F26" s="406">
        <f>'print 10 lane'!L70</f>
        <v>9.0543981481481476E-4</v>
      </c>
      <c r="G26" s="407">
        <f>'print 10 lane'!M70</f>
        <v>5</v>
      </c>
      <c r="H26" s="406">
        <f>'print 10 lane'!O70</f>
        <v>8.7824074074074063E-4</v>
      </c>
      <c r="I26" s="407">
        <f>'print 10 lane'!P70</f>
        <v>3</v>
      </c>
      <c r="J26" s="406">
        <f>'print 10 lane'!R70</f>
        <v>9.1539351851851851E-4</v>
      </c>
      <c r="K26" s="407">
        <f>'print 10 lane'!S70</f>
        <v>6</v>
      </c>
      <c r="L26" s="406">
        <f>'print 10 lane'!U70</f>
        <v>8.155092592592592E-4</v>
      </c>
      <c r="M26" s="407">
        <f>'print 10 lane'!V70</f>
        <v>1</v>
      </c>
      <c r="N26" s="406">
        <f>'print 10 lane'!X70</f>
        <v>9.3287037037037036E-4</v>
      </c>
      <c r="O26" s="407">
        <f>'print 10 lane'!Y70</f>
        <v>7</v>
      </c>
      <c r="P26" s="406">
        <f>'print 10 lane'!AA70</f>
        <v>8.5023148148148143E-4</v>
      </c>
      <c r="Q26" s="407">
        <f>'print 10 lane'!AB70</f>
        <v>2</v>
      </c>
      <c r="R26" s="406">
        <f>'print 10 lane'!AD70</f>
        <v>0</v>
      </c>
      <c r="S26" s="407">
        <f>'print 10 lane'!AE70</f>
        <v>0</v>
      </c>
      <c r="T26" s="406">
        <f>'print 10 lane'!AG70</f>
        <v>0</v>
      </c>
      <c r="U26" s="407">
        <f>'print 10 lane'!AH70</f>
        <v>0</v>
      </c>
      <c r="V26" s="406">
        <f>'print 10 lane'!AJ70</f>
        <v>0</v>
      </c>
      <c r="W26" s="408">
        <f>'print 10 lane'!AK70</f>
        <v>0</v>
      </c>
      <c r="X26" s="414"/>
      <c r="Y26" s="134"/>
    </row>
    <row r="27" spans="1:25" ht="20.25" customHeight="1" x14ac:dyDescent="0.25">
      <c r="A27" s="402"/>
      <c r="B27" s="409"/>
      <c r="C27" s="410" t="s">
        <v>4461</v>
      </c>
      <c r="D27" s="411">
        <f>'print 10 lane'!I73</f>
        <v>0</v>
      </c>
      <c r="E27" s="412">
        <f>'print 10 lane'!J73</f>
        <v>0</v>
      </c>
      <c r="F27" s="411">
        <f>'print 10 lane'!L73</f>
        <v>9.9282407407407414E-4</v>
      </c>
      <c r="G27" s="412">
        <f>'print 10 lane'!M73</f>
        <v>6</v>
      </c>
      <c r="H27" s="411">
        <f>'print 10 lane'!O73</f>
        <v>8.9733796296296295E-4</v>
      </c>
      <c r="I27" s="412">
        <f>'print 10 lane'!P73</f>
        <v>5</v>
      </c>
      <c r="J27" s="411">
        <f>'print 10 lane'!R73</f>
        <v>7.7939814814814809E-4</v>
      </c>
      <c r="K27" s="412">
        <f>'print 10 lane'!S73</f>
        <v>3</v>
      </c>
      <c r="L27" s="411">
        <f>'print 10 lane'!U73</f>
        <v>7.0729166666666672E-4</v>
      </c>
      <c r="M27" s="412">
        <f>'print 10 lane'!V73</f>
        <v>1</v>
      </c>
      <c r="N27" s="411">
        <f>'print 10 lane'!X73</f>
        <v>7.3865740740740749E-4</v>
      </c>
      <c r="O27" s="412">
        <f>'print 10 lane'!Y73</f>
        <v>2</v>
      </c>
      <c r="P27" s="411">
        <f>'print 10 lane'!AA73</f>
        <v>7.9444444444444452E-4</v>
      </c>
      <c r="Q27" s="412">
        <f>'print 10 lane'!AB73</f>
        <v>4</v>
      </c>
      <c r="R27" s="411">
        <f>'print 10 lane'!AD73</f>
        <v>0</v>
      </c>
      <c r="S27" s="412">
        <f>'print 10 lane'!AE73</f>
        <v>0</v>
      </c>
      <c r="T27" s="411">
        <f>'print 10 lane'!AG73</f>
        <v>0</v>
      </c>
      <c r="U27" s="412">
        <f>'print 10 lane'!AH73</f>
        <v>0</v>
      </c>
      <c r="V27" s="411">
        <f>'print 10 lane'!AJ73</f>
        <v>0</v>
      </c>
      <c r="W27" s="413">
        <f>'print 10 lane'!AK73</f>
        <v>0</v>
      </c>
      <c r="X27" s="414"/>
      <c r="Y27" s="134"/>
    </row>
    <row r="28" spans="1:25" ht="20.25" customHeight="1" x14ac:dyDescent="0.25">
      <c r="A28" s="402"/>
      <c r="B28" s="404"/>
      <c r="C28" s="405" t="s">
        <v>4463</v>
      </c>
      <c r="D28" s="406">
        <f>'print 10 lane'!I76</f>
        <v>9.5601851851851848E-4</v>
      </c>
      <c r="E28" s="407">
        <f>'print 10 lane'!J76</f>
        <v>7</v>
      </c>
      <c r="F28" s="406">
        <f>'print 10 lane'!L76</f>
        <v>8.688657407407408E-4</v>
      </c>
      <c r="G28" s="407">
        <f>'print 10 lane'!M76</f>
        <v>4</v>
      </c>
      <c r="H28" s="406">
        <f>'print 10 lane'!O76</f>
        <v>8.9016203703703707E-4</v>
      </c>
      <c r="I28" s="407">
        <f>'print 10 lane'!P76</f>
        <v>5</v>
      </c>
      <c r="J28" s="406">
        <f>'print 10 lane'!R76</f>
        <v>7.8784722222222233E-4</v>
      </c>
      <c r="K28" s="407">
        <f>'print 10 lane'!S76</f>
        <v>1</v>
      </c>
      <c r="L28" s="406">
        <f>'print 10 lane'!U76</f>
        <v>8.3194444444444451E-4</v>
      </c>
      <c r="M28" s="407">
        <f>'print 10 lane'!V76</f>
        <v>2</v>
      </c>
      <c r="N28" s="406">
        <f>'print 10 lane'!X76</f>
        <v>9.0694444444444449E-4</v>
      </c>
      <c r="O28" s="407">
        <f>'print 10 lane'!Y76</f>
        <v>6</v>
      </c>
      <c r="P28" s="406">
        <f>'print 10 lane'!AA76</f>
        <v>8.4166666666666667E-4</v>
      </c>
      <c r="Q28" s="407">
        <f>'print 10 lane'!AB76</f>
        <v>3</v>
      </c>
      <c r="R28" s="406">
        <f>'print 10 lane'!AD76</f>
        <v>0</v>
      </c>
      <c r="S28" s="407">
        <f>'print 10 lane'!AE76</f>
        <v>0</v>
      </c>
      <c r="T28" s="406">
        <f>'print 10 lane'!AG76</f>
        <v>0</v>
      </c>
      <c r="U28" s="407">
        <f>'print 10 lane'!AH76</f>
        <v>0</v>
      </c>
      <c r="V28" s="406">
        <f>'print 10 lane'!AJ76</f>
        <v>0</v>
      </c>
      <c r="W28" s="408">
        <f>'print 10 lane'!AK76</f>
        <v>0</v>
      </c>
      <c r="X28" s="414"/>
      <c r="Y28" s="134"/>
    </row>
    <row r="29" spans="1:25" ht="20.25" customHeight="1" x14ac:dyDescent="0.25">
      <c r="A29" s="402"/>
      <c r="B29" s="409"/>
      <c r="C29" s="410" t="s">
        <v>4464</v>
      </c>
      <c r="D29" s="411">
        <f>'print 10 lane'!I79</f>
        <v>8.2303240740740741E-4</v>
      </c>
      <c r="E29" s="412">
        <f>'print 10 lane'!J79</f>
        <v>6</v>
      </c>
      <c r="F29" s="411">
        <f>'print 10 lane'!L79</f>
        <v>7.9606481481481466E-4</v>
      </c>
      <c r="G29" s="412">
        <f>'print 10 lane'!M79</f>
        <v>4</v>
      </c>
      <c r="H29" s="411">
        <f>'print 10 lane'!O79</f>
        <v>0</v>
      </c>
      <c r="I29" s="412">
        <f>'print 10 lane'!P79</f>
        <v>0</v>
      </c>
      <c r="J29" s="411">
        <f>'print 10 lane'!R79</f>
        <v>7.1481481481481483E-4</v>
      </c>
      <c r="K29" s="412">
        <f>'print 10 lane'!S79</f>
        <v>1</v>
      </c>
      <c r="L29" s="411">
        <f>'print 10 lane'!U79</f>
        <v>7.6111111111111117E-4</v>
      </c>
      <c r="M29" s="412">
        <f>'print 10 lane'!V79</f>
        <v>2</v>
      </c>
      <c r="N29" s="411">
        <f>'print 10 lane'!X79</f>
        <v>7.7326388888888887E-4</v>
      </c>
      <c r="O29" s="412">
        <f>'print 10 lane'!Y79</f>
        <v>3</v>
      </c>
      <c r="P29" s="411">
        <f>'print 10 lane'!AA79</f>
        <v>8.189814814814814E-4</v>
      </c>
      <c r="Q29" s="412">
        <f>'print 10 lane'!AB79</f>
        <v>5</v>
      </c>
      <c r="R29" s="411">
        <f>'print 10 lane'!AD79</f>
        <v>0</v>
      </c>
      <c r="S29" s="412">
        <f>'print 10 lane'!AE79</f>
        <v>0</v>
      </c>
      <c r="T29" s="411">
        <f>'print 10 lane'!AG79</f>
        <v>0</v>
      </c>
      <c r="U29" s="412">
        <f>'print 10 lane'!AH79</f>
        <v>0</v>
      </c>
      <c r="V29" s="411">
        <f>'print 10 lane'!AJ79</f>
        <v>0</v>
      </c>
      <c r="W29" s="413">
        <f>'print 10 lane'!AK79</f>
        <v>0</v>
      </c>
      <c r="X29" s="414"/>
      <c r="Y29" s="134"/>
    </row>
    <row r="30" spans="1:25" ht="20.25" customHeight="1" x14ac:dyDescent="0.25">
      <c r="A30" s="402"/>
      <c r="B30" s="404"/>
      <c r="C30" s="405" t="s">
        <v>4466</v>
      </c>
      <c r="D30" s="406">
        <f>'print 10 lane'!I82</f>
        <v>5.8287037037037042E-4</v>
      </c>
      <c r="E30" s="407">
        <f>'print 10 lane'!J82</f>
        <v>5</v>
      </c>
      <c r="F30" s="406">
        <f>'print 10 lane'!L82</f>
        <v>6.0682870370370372E-4</v>
      </c>
      <c r="G30" s="407">
        <f>'print 10 lane'!M82</f>
        <v>6</v>
      </c>
      <c r="H30" s="406">
        <f>'print 10 lane'!O82</f>
        <v>0</v>
      </c>
      <c r="I30" s="407">
        <f>'print 10 lane'!P82</f>
        <v>0</v>
      </c>
      <c r="J30" s="406">
        <f>'print 10 lane'!R82</f>
        <v>5.7696759259259257E-4</v>
      </c>
      <c r="K30" s="407">
        <f>'print 10 lane'!S82</f>
        <v>1</v>
      </c>
      <c r="L30" s="406">
        <f>'print 10 lane'!U82</f>
        <v>5.8101851851851858E-4</v>
      </c>
      <c r="M30" s="407">
        <f>'print 10 lane'!V82</f>
        <v>4</v>
      </c>
      <c r="N30" s="406">
        <f>'print 10 lane'!X82</f>
        <v>5.8090277777777773E-4</v>
      </c>
      <c r="O30" s="407">
        <f>'print 10 lane'!Y82</f>
        <v>3</v>
      </c>
      <c r="P30" s="406">
        <f>'print 10 lane'!AA82</f>
        <v>5.8032407407407414E-4</v>
      </c>
      <c r="Q30" s="407">
        <f>'print 10 lane'!AB82</f>
        <v>2</v>
      </c>
      <c r="R30" s="406">
        <f>'print 10 lane'!AD82</f>
        <v>0</v>
      </c>
      <c r="S30" s="407">
        <f>'print 10 lane'!AE82</f>
        <v>0</v>
      </c>
      <c r="T30" s="406">
        <f>'print 10 lane'!AG82</f>
        <v>0</v>
      </c>
      <c r="U30" s="407">
        <f>'print 10 lane'!AH82</f>
        <v>0</v>
      </c>
      <c r="V30" s="406">
        <f>'print 10 lane'!AJ82</f>
        <v>0</v>
      </c>
      <c r="W30" s="408">
        <f>'print 10 lane'!AK82</f>
        <v>0</v>
      </c>
      <c r="X30" s="414"/>
      <c r="Y30" s="134"/>
    </row>
    <row r="31" spans="1:25" ht="20.25" customHeight="1" x14ac:dyDescent="0.25">
      <c r="A31" s="402"/>
      <c r="B31" s="409"/>
      <c r="C31" s="410" t="s">
        <v>4467</v>
      </c>
      <c r="D31" s="411">
        <f>'print 10 lane'!I85</f>
        <v>0</v>
      </c>
      <c r="E31" s="412">
        <f>'print 10 lane'!J85</f>
        <v>0</v>
      </c>
      <c r="F31" s="411">
        <f>'print 10 lane'!L85</f>
        <v>4.9606481481481485E-4</v>
      </c>
      <c r="G31" s="412">
        <f>'print 10 lane'!M85</f>
        <v>1</v>
      </c>
      <c r="H31" s="411">
        <f>'print 10 lane'!O85</f>
        <v>6.1481481481481478E-4</v>
      </c>
      <c r="I31" s="412">
        <f>'print 10 lane'!P85</f>
        <v>5</v>
      </c>
      <c r="J31" s="411">
        <f>'print 10 lane'!R85</f>
        <v>5.7210648148148149E-4</v>
      </c>
      <c r="K31" s="412">
        <f>'print 10 lane'!S85</f>
        <v>4</v>
      </c>
      <c r="L31" s="411">
        <f>'print 10 lane'!U85</f>
        <v>5.1655092592592594E-4</v>
      </c>
      <c r="M31" s="412">
        <f>'print 10 lane'!V85</f>
        <v>2</v>
      </c>
      <c r="N31" s="411">
        <f>'print 10 lane'!X85</f>
        <v>5.7083333333333324E-4</v>
      </c>
      <c r="O31" s="412">
        <f>'print 10 lane'!Y85</f>
        <v>3</v>
      </c>
      <c r="P31" s="411">
        <f>'print 10 lane'!AA85</f>
        <v>6.1990740740740745E-4</v>
      </c>
      <c r="Q31" s="412">
        <f>'print 10 lane'!AB85</f>
        <v>6</v>
      </c>
      <c r="R31" s="411">
        <f>'print 10 lane'!AD85</f>
        <v>0</v>
      </c>
      <c r="S31" s="412">
        <f>'print 10 lane'!AE85</f>
        <v>0</v>
      </c>
      <c r="T31" s="411">
        <f>'print 10 lane'!AG85</f>
        <v>0</v>
      </c>
      <c r="U31" s="412">
        <f>'print 10 lane'!AH85</f>
        <v>0</v>
      </c>
      <c r="V31" s="411">
        <f>'print 10 lane'!AJ85</f>
        <v>0</v>
      </c>
      <c r="W31" s="413">
        <f>'print 10 lane'!AK85</f>
        <v>0</v>
      </c>
      <c r="X31" s="414"/>
      <c r="Y31" s="134"/>
    </row>
    <row r="32" spans="1:25" ht="20.25" customHeight="1" x14ac:dyDescent="0.25">
      <c r="A32" s="402"/>
      <c r="B32" s="404"/>
      <c r="C32" s="405" t="s">
        <v>4469</v>
      </c>
      <c r="D32" s="406">
        <f>'print 10 lane'!I88</f>
        <v>9.662037037037036E-4</v>
      </c>
      <c r="E32" s="407">
        <f>'print 10 lane'!J88</f>
        <v>4</v>
      </c>
      <c r="F32" s="406">
        <f>'print 10 lane'!L88</f>
        <v>1.0836805555555556E-3</v>
      </c>
      <c r="G32" s="407">
        <f>'print 10 lane'!M88</f>
        <v>7</v>
      </c>
      <c r="H32" s="406">
        <f>'print 10 lane'!O88</f>
        <v>9.8414351851851853E-4</v>
      </c>
      <c r="I32" s="407">
        <f>'print 10 lane'!P88</f>
        <v>5</v>
      </c>
      <c r="J32" s="406">
        <f>'print 10 lane'!R88</f>
        <v>9.0659722222222216E-4</v>
      </c>
      <c r="K32" s="407">
        <f>'print 10 lane'!S88</f>
        <v>1</v>
      </c>
      <c r="L32" s="406">
        <f>'print 10 lane'!U88</f>
        <v>9.0937499999999992E-4</v>
      </c>
      <c r="M32" s="407">
        <f>'print 10 lane'!V88</f>
        <v>2</v>
      </c>
      <c r="N32" s="406">
        <f>'print 10 lane'!X88</f>
        <v>9.300925925925926E-4</v>
      </c>
      <c r="O32" s="407">
        <f>'print 10 lane'!Y88</f>
        <v>3</v>
      </c>
      <c r="P32" s="406">
        <f>'print 10 lane'!AA88</f>
        <v>1.016087962962963E-3</v>
      </c>
      <c r="Q32" s="407">
        <f>'print 10 lane'!AB88</f>
        <v>6</v>
      </c>
      <c r="R32" s="406">
        <f>'print 10 lane'!AD88</f>
        <v>0</v>
      </c>
      <c r="S32" s="407">
        <f>'print 10 lane'!AE88</f>
        <v>0</v>
      </c>
      <c r="T32" s="406">
        <f>'print 10 lane'!AG88</f>
        <v>0</v>
      </c>
      <c r="U32" s="407">
        <f>'print 10 lane'!AH88</f>
        <v>0</v>
      </c>
      <c r="V32" s="406">
        <f>'print 10 lane'!AJ88</f>
        <v>0</v>
      </c>
      <c r="W32" s="408">
        <f>'print 10 lane'!AK88</f>
        <v>0</v>
      </c>
      <c r="X32" s="414"/>
      <c r="Y32" s="134"/>
    </row>
    <row r="33" spans="1:25" ht="20.25" customHeight="1" x14ac:dyDescent="0.25">
      <c r="A33" s="402"/>
      <c r="B33" s="409"/>
      <c r="C33" s="410" t="s">
        <v>4470</v>
      </c>
      <c r="D33" s="411">
        <f>'print 10 lane'!I91</f>
        <v>9.8692129629629629E-4</v>
      </c>
      <c r="E33" s="412">
        <f>'print 10 lane'!J91</f>
        <v>4</v>
      </c>
      <c r="F33" s="411">
        <f>'print 10 lane'!L91</f>
        <v>1.004976851851852E-3</v>
      </c>
      <c r="G33" s="412">
        <f>'print 10 lane'!M91</f>
        <v>5</v>
      </c>
      <c r="H33" s="411">
        <f>'print 10 lane'!O91</f>
        <v>9.1284722222222212E-4</v>
      </c>
      <c r="I33" s="412">
        <f>'print 10 lane'!P91</f>
        <v>2</v>
      </c>
      <c r="J33" s="411">
        <f>'print 10 lane'!R91</f>
        <v>1.0731481481481479E-3</v>
      </c>
      <c r="K33" s="412">
        <f>'print 10 lane'!S91</f>
        <v>6</v>
      </c>
      <c r="L33" s="411">
        <f>'print 10 lane'!U91</f>
        <v>1.2238425925925926E-3</v>
      </c>
      <c r="M33" s="412">
        <f>'print 10 lane'!V91</f>
        <v>7</v>
      </c>
      <c r="N33" s="411">
        <f>'print 10 lane'!X91</f>
        <v>9.4016203703703699E-4</v>
      </c>
      <c r="O33" s="412">
        <f>'print 10 lane'!Y91</f>
        <v>3</v>
      </c>
      <c r="P33" s="411">
        <f>'print 10 lane'!AA91</f>
        <v>8.3668981481481474E-4</v>
      </c>
      <c r="Q33" s="412">
        <f>'print 10 lane'!AB91</f>
        <v>1</v>
      </c>
      <c r="R33" s="411">
        <f>'print 10 lane'!AD91</f>
        <v>0</v>
      </c>
      <c r="S33" s="412">
        <f>'print 10 lane'!AE91</f>
        <v>0</v>
      </c>
      <c r="T33" s="411">
        <f>'print 10 lane'!AG91</f>
        <v>0</v>
      </c>
      <c r="U33" s="412">
        <f>'print 10 lane'!AH91</f>
        <v>0</v>
      </c>
      <c r="V33" s="411">
        <f>'print 10 lane'!AJ91</f>
        <v>0</v>
      </c>
      <c r="W33" s="413">
        <f>'print 10 lane'!AK91</f>
        <v>0</v>
      </c>
      <c r="X33" s="414"/>
      <c r="Y33" s="134"/>
    </row>
    <row r="34" spans="1:25" ht="20.25" customHeight="1" x14ac:dyDescent="0.25">
      <c r="A34" s="402"/>
      <c r="B34" s="404"/>
      <c r="C34" s="405" t="s">
        <v>4471</v>
      </c>
      <c r="D34" s="406">
        <f>'print 10 lane'!I94</f>
        <v>8.273148148148149E-4</v>
      </c>
      <c r="E34" s="407">
        <f>'print 10 lane'!J94</f>
        <v>7</v>
      </c>
      <c r="F34" s="406">
        <f>'print 10 lane'!L94</f>
        <v>7.3935185185185182E-4</v>
      </c>
      <c r="G34" s="407">
        <f>'print 10 lane'!M94</f>
        <v>2</v>
      </c>
      <c r="H34" s="406">
        <f>'print 10 lane'!O94</f>
        <v>7.7731481481481477E-4</v>
      </c>
      <c r="I34" s="407">
        <f>'print 10 lane'!P94</f>
        <v>5</v>
      </c>
      <c r="J34" s="406">
        <f>'print 10 lane'!R94</f>
        <v>7.6041666666666662E-4</v>
      </c>
      <c r="K34" s="407">
        <f>'print 10 lane'!S94</f>
        <v>4</v>
      </c>
      <c r="L34" s="406">
        <f>'print 10 lane'!U94</f>
        <v>7.3888888888888886E-4</v>
      </c>
      <c r="M34" s="407">
        <f>'print 10 lane'!V94</f>
        <v>1</v>
      </c>
      <c r="N34" s="406">
        <f>'print 10 lane'!X94</f>
        <v>7.5868055555555552E-4</v>
      </c>
      <c r="O34" s="407">
        <f>'print 10 lane'!Y94</f>
        <v>3</v>
      </c>
      <c r="P34" s="406">
        <f>'print 10 lane'!AA94</f>
        <v>8.0636574074074074E-4</v>
      </c>
      <c r="Q34" s="407">
        <f>'print 10 lane'!AB94</f>
        <v>6</v>
      </c>
      <c r="R34" s="406">
        <f>'print 10 lane'!AD94</f>
        <v>0</v>
      </c>
      <c r="S34" s="407">
        <f>'print 10 lane'!AE94</f>
        <v>0</v>
      </c>
      <c r="T34" s="406">
        <f>'print 10 lane'!AG94</f>
        <v>0</v>
      </c>
      <c r="U34" s="407">
        <f>'print 10 lane'!AH94</f>
        <v>0</v>
      </c>
      <c r="V34" s="406">
        <f>'print 10 lane'!AJ94</f>
        <v>0</v>
      </c>
      <c r="W34" s="408">
        <f>'print 10 lane'!AK94</f>
        <v>0</v>
      </c>
      <c r="X34" s="414"/>
      <c r="Y34" s="134"/>
    </row>
    <row r="35" spans="1:25" ht="20.25" customHeight="1" x14ac:dyDescent="0.25">
      <c r="A35" s="402"/>
      <c r="B35" s="409"/>
      <c r="C35" s="410" t="s">
        <v>4472</v>
      </c>
      <c r="D35" s="411">
        <f>'print 10 lane'!I97</f>
        <v>7.817129629629629E-4</v>
      </c>
      <c r="E35" s="412">
        <f>'print 10 lane'!J97</f>
        <v>6</v>
      </c>
      <c r="F35" s="411">
        <f>'print 10 lane'!L97</f>
        <v>7.4780092592592595E-4</v>
      </c>
      <c r="G35" s="412">
        <f>'print 10 lane'!M97</f>
        <v>4</v>
      </c>
      <c r="H35" s="411">
        <f>'print 10 lane'!O97</f>
        <v>7.6770833333333335E-4</v>
      </c>
      <c r="I35" s="412">
        <f>'print 10 lane'!P97</f>
        <v>5</v>
      </c>
      <c r="J35" s="411">
        <f>'print 10 lane'!R97</f>
        <v>6.8576388888888897E-4</v>
      </c>
      <c r="K35" s="412">
        <f>'print 10 lane'!S97</f>
        <v>2</v>
      </c>
      <c r="L35" s="411">
        <f>'print 10 lane'!U97</f>
        <v>6.3321759259259266E-4</v>
      </c>
      <c r="M35" s="412">
        <f>'print 10 lane'!V97</f>
        <v>1</v>
      </c>
      <c r="N35" s="411">
        <f>'print 10 lane'!X97</f>
        <v>0</v>
      </c>
      <c r="O35" s="412">
        <f>'print 10 lane'!Y97</f>
        <v>0</v>
      </c>
      <c r="P35" s="411">
        <f>'print 10 lane'!AA97</f>
        <v>7.2546296296296291E-4</v>
      </c>
      <c r="Q35" s="412">
        <f>'print 10 lane'!AB97</f>
        <v>3</v>
      </c>
      <c r="R35" s="411">
        <f>'print 10 lane'!AD97</f>
        <v>0</v>
      </c>
      <c r="S35" s="412">
        <f>'print 10 lane'!AE97</f>
        <v>0</v>
      </c>
      <c r="T35" s="411">
        <f>'print 10 lane'!AG97</f>
        <v>0</v>
      </c>
      <c r="U35" s="412">
        <f>'print 10 lane'!AH97</f>
        <v>0</v>
      </c>
      <c r="V35" s="411">
        <f>'print 10 lane'!AJ97</f>
        <v>0</v>
      </c>
      <c r="W35" s="413">
        <f>'print 10 lane'!AK97</f>
        <v>0</v>
      </c>
      <c r="X35" s="414"/>
      <c r="Y35" s="134"/>
    </row>
    <row r="36" spans="1:25" ht="20.25" customHeight="1" x14ac:dyDescent="0.25">
      <c r="A36" s="402"/>
      <c r="B36" s="404"/>
      <c r="C36" s="405" t="s">
        <v>4474</v>
      </c>
      <c r="D36" s="406">
        <f>'print 10 lane'!I100</f>
        <v>9.0185185185185192E-4</v>
      </c>
      <c r="E36" s="407">
        <f>'print 10 lane'!J100</f>
        <v>1</v>
      </c>
      <c r="F36" s="406">
        <f>'print 10 lane'!L100</f>
        <v>1.0266203703703702E-3</v>
      </c>
      <c r="G36" s="407">
        <f>'print 10 lane'!M100</f>
        <v>6</v>
      </c>
      <c r="H36" s="406">
        <f>'print 10 lane'!O100</f>
        <v>9.638888888888888E-4</v>
      </c>
      <c r="I36" s="407">
        <f>'print 10 lane'!P100</f>
        <v>3</v>
      </c>
      <c r="J36" s="406">
        <f>'print 10 lane'!R100</f>
        <v>9.4085648148148143E-4</v>
      </c>
      <c r="K36" s="407">
        <f>'print 10 lane'!S100</f>
        <v>2</v>
      </c>
      <c r="L36" s="406">
        <f>'print 10 lane'!U100</f>
        <v>9.7719907407407412E-4</v>
      </c>
      <c r="M36" s="407">
        <f>'print 10 lane'!V100</f>
        <v>4</v>
      </c>
      <c r="N36" s="406">
        <f>'print 10 lane'!X100</f>
        <v>9.8564814814814804E-4</v>
      </c>
      <c r="O36" s="407">
        <f>'print 10 lane'!Y100</f>
        <v>5</v>
      </c>
      <c r="P36" s="406">
        <f>'print 10 lane'!AA100</f>
        <v>1.0487268518518519E-3</v>
      </c>
      <c r="Q36" s="407">
        <f>'print 10 lane'!AB100</f>
        <v>7</v>
      </c>
      <c r="R36" s="406">
        <f>'print 10 lane'!AD100</f>
        <v>0</v>
      </c>
      <c r="S36" s="407">
        <f>'print 10 lane'!AE100</f>
        <v>0</v>
      </c>
      <c r="T36" s="406">
        <f>'print 10 lane'!AG100</f>
        <v>0</v>
      </c>
      <c r="U36" s="407">
        <f>'print 10 lane'!AH100</f>
        <v>0</v>
      </c>
      <c r="V36" s="406">
        <f>'print 10 lane'!AJ100</f>
        <v>0</v>
      </c>
      <c r="W36" s="408">
        <f>'print 10 lane'!AK100</f>
        <v>0</v>
      </c>
      <c r="X36" s="414"/>
      <c r="Y36" s="134"/>
    </row>
    <row r="37" spans="1:25" ht="20.25" customHeight="1" x14ac:dyDescent="0.25">
      <c r="A37" s="402"/>
      <c r="B37" s="409"/>
      <c r="C37" s="410" t="s">
        <v>4475</v>
      </c>
      <c r="D37" s="411">
        <f>'print 10 lane'!I103</f>
        <v>9.3692129629629627E-4</v>
      </c>
      <c r="E37" s="412">
        <f>'print 10 lane'!J103</f>
        <v>6</v>
      </c>
      <c r="F37" s="411">
        <f>'print 10 lane'!L103</f>
        <v>1.0325231481481481E-3</v>
      </c>
      <c r="G37" s="412">
        <f>'print 10 lane'!M103</f>
        <v>7</v>
      </c>
      <c r="H37" s="411">
        <f>'print 10 lane'!O103</f>
        <v>8.0763888888888888E-4</v>
      </c>
      <c r="I37" s="412">
        <f>'print 10 lane'!P103</f>
        <v>1</v>
      </c>
      <c r="J37" s="411">
        <f>'print 10 lane'!R103</f>
        <v>8.902777777777777E-4</v>
      </c>
      <c r="K37" s="412">
        <f>'print 10 lane'!S103</f>
        <v>4</v>
      </c>
      <c r="L37" s="411">
        <f>'print 10 lane'!U103</f>
        <v>8.2581018518518518E-4</v>
      </c>
      <c r="M37" s="412">
        <f>'print 10 lane'!V103</f>
        <v>2</v>
      </c>
      <c r="N37" s="411">
        <f>'print 10 lane'!X103</f>
        <v>8.2638888888888877E-4</v>
      </c>
      <c r="O37" s="412">
        <f>'print 10 lane'!Y103</f>
        <v>3</v>
      </c>
      <c r="P37" s="411">
        <f>'print 10 lane'!AA103</f>
        <v>9.0115740740740748E-4</v>
      </c>
      <c r="Q37" s="412">
        <f>'print 10 lane'!AB103</f>
        <v>5</v>
      </c>
      <c r="R37" s="411">
        <f>'print 10 lane'!AD103</f>
        <v>0</v>
      </c>
      <c r="S37" s="412">
        <f>'print 10 lane'!AE103</f>
        <v>0</v>
      </c>
      <c r="T37" s="411">
        <f>'print 10 lane'!AG103</f>
        <v>0</v>
      </c>
      <c r="U37" s="412">
        <f>'print 10 lane'!AH103</f>
        <v>0</v>
      </c>
      <c r="V37" s="411">
        <f>'print 10 lane'!AJ103</f>
        <v>0</v>
      </c>
      <c r="W37" s="413">
        <f>'print 10 lane'!AK103</f>
        <v>0</v>
      </c>
      <c r="X37" s="414"/>
      <c r="Y37" s="134"/>
    </row>
    <row r="38" spans="1:25" ht="20.25" customHeight="1" x14ac:dyDescent="0.25">
      <c r="A38" s="402"/>
      <c r="B38" s="404"/>
      <c r="C38" s="405" t="s">
        <v>4476</v>
      </c>
      <c r="D38" s="406">
        <f>'print 10 lane'!I106</f>
        <v>3.996527777777778E-4</v>
      </c>
      <c r="E38" s="407">
        <f>'print 10 lane'!J106</f>
        <v>1</v>
      </c>
      <c r="F38" s="406">
        <f>'print 10 lane'!L106</f>
        <v>4.4780092592592587E-4</v>
      </c>
      <c r="G38" s="407">
        <f>'print 10 lane'!M106</f>
        <v>6</v>
      </c>
      <c r="H38" s="406">
        <f>'print 10 lane'!O106</f>
        <v>4.3414351851851855E-4</v>
      </c>
      <c r="I38" s="407">
        <f>'print 10 lane'!P106</f>
        <v>4</v>
      </c>
      <c r="J38" s="406">
        <f>'print 10 lane'!R106</f>
        <v>4.1967592592592593E-4</v>
      </c>
      <c r="K38" s="407">
        <f>'print 10 lane'!S106</f>
        <v>2</v>
      </c>
      <c r="L38" s="406">
        <f>'print 10 lane'!U106</f>
        <v>4.2754629629629626E-4</v>
      </c>
      <c r="M38" s="407">
        <f>'print 10 lane'!V106</f>
        <v>3</v>
      </c>
      <c r="N38" s="406">
        <f>'print 10 lane'!X106</f>
        <v>4.7604166666666666E-4</v>
      </c>
      <c r="O38" s="407">
        <f>'print 10 lane'!Y106</f>
        <v>7</v>
      </c>
      <c r="P38" s="406">
        <f>'print 10 lane'!AA106</f>
        <v>4.4502314814814817E-4</v>
      </c>
      <c r="Q38" s="407">
        <f>'print 10 lane'!AB106</f>
        <v>5</v>
      </c>
      <c r="R38" s="406">
        <f>'print 10 lane'!AD106</f>
        <v>0</v>
      </c>
      <c r="S38" s="407">
        <f>'print 10 lane'!AE106</f>
        <v>0</v>
      </c>
      <c r="T38" s="406">
        <f>'print 10 lane'!AG106</f>
        <v>0</v>
      </c>
      <c r="U38" s="407">
        <f>'print 10 lane'!AH106</f>
        <v>0</v>
      </c>
      <c r="V38" s="406">
        <f>'print 10 lane'!AJ106</f>
        <v>0</v>
      </c>
      <c r="W38" s="408">
        <f>'print 10 lane'!AK106</f>
        <v>0</v>
      </c>
      <c r="X38" s="414"/>
      <c r="Y38" s="134"/>
    </row>
    <row r="39" spans="1:25" ht="20.25" customHeight="1" x14ac:dyDescent="0.25">
      <c r="A39" s="402"/>
      <c r="B39" s="409"/>
      <c r="C39" s="410" t="s">
        <v>4477</v>
      </c>
      <c r="D39" s="411">
        <f>'print 10 lane'!I109</f>
        <v>5.3078703703703697E-4</v>
      </c>
      <c r="E39" s="412">
        <f>'print 10 lane'!J109</f>
        <v>7</v>
      </c>
      <c r="F39" s="411">
        <f>'print 10 lane'!L109</f>
        <v>4.4502314814814817E-4</v>
      </c>
      <c r="G39" s="412">
        <f>'print 10 lane'!M109</f>
        <v>5</v>
      </c>
      <c r="H39" s="411">
        <f>'print 10 lane'!O109</f>
        <v>4.4016203703703708E-4</v>
      </c>
      <c r="I39" s="412">
        <f>'print 10 lane'!P109</f>
        <v>4</v>
      </c>
      <c r="J39" s="411">
        <f>'print 10 lane'!R109</f>
        <v>4.2395833333333332E-4</v>
      </c>
      <c r="K39" s="412">
        <f>'print 10 lane'!S109</f>
        <v>3</v>
      </c>
      <c r="L39" s="411">
        <f>'print 10 lane'!U109</f>
        <v>4.096064814814815E-4</v>
      </c>
      <c r="M39" s="412">
        <f>'print 10 lane'!V109</f>
        <v>1</v>
      </c>
      <c r="N39" s="411">
        <f>'print 10 lane'!X109</f>
        <v>4.0983796296296292E-4</v>
      </c>
      <c r="O39" s="412">
        <f>'print 10 lane'!Y109</f>
        <v>2</v>
      </c>
      <c r="P39" s="411">
        <f>'print 10 lane'!AA109</f>
        <v>5.0486111111111109E-4</v>
      </c>
      <c r="Q39" s="412">
        <f>'print 10 lane'!AB109</f>
        <v>6</v>
      </c>
      <c r="R39" s="411">
        <f>'print 10 lane'!AD109</f>
        <v>0</v>
      </c>
      <c r="S39" s="412">
        <f>'print 10 lane'!AE109</f>
        <v>0</v>
      </c>
      <c r="T39" s="411">
        <f>'print 10 lane'!AG109</f>
        <v>0</v>
      </c>
      <c r="U39" s="412">
        <f>'print 10 lane'!AH109</f>
        <v>0</v>
      </c>
      <c r="V39" s="411">
        <f>'print 10 lane'!AJ109</f>
        <v>0</v>
      </c>
      <c r="W39" s="413">
        <f>'print 10 lane'!AK109</f>
        <v>0</v>
      </c>
      <c r="X39" s="414"/>
      <c r="Y39" s="134"/>
    </row>
    <row r="40" spans="1:25" ht="20.25" customHeight="1" x14ac:dyDescent="0.25">
      <c r="A40" s="402"/>
      <c r="B40" s="404"/>
      <c r="C40" s="405" t="s">
        <v>4478</v>
      </c>
      <c r="D40" s="406">
        <f>'print 10 lane'!I112</f>
        <v>8.0532407407407408E-4</v>
      </c>
      <c r="E40" s="407">
        <f>'print 10 lane'!J112</f>
        <v>3</v>
      </c>
      <c r="F40" s="406">
        <f>'print 10 lane'!L112</f>
        <v>8.2650462962962962E-4</v>
      </c>
      <c r="G40" s="407">
        <f>'print 10 lane'!M112</f>
        <v>7</v>
      </c>
      <c r="H40" s="406">
        <f>'print 10 lane'!O112</f>
        <v>7.6724537037037039E-4</v>
      </c>
      <c r="I40" s="407">
        <f>'print 10 lane'!P112</f>
        <v>2</v>
      </c>
      <c r="J40" s="406">
        <f>'print 10 lane'!R112</f>
        <v>7.6041666666666662E-4</v>
      </c>
      <c r="K40" s="407">
        <f>'print 10 lane'!S112</f>
        <v>1</v>
      </c>
      <c r="L40" s="406">
        <f>'print 10 lane'!U112</f>
        <v>8.0844907407407395E-4</v>
      </c>
      <c r="M40" s="407">
        <f>'print 10 lane'!V112</f>
        <v>5</v>
      </c>
      <c r="N40" s="406">
        <f>'print 10 lane'!X112</f>
        <v>8.0833333333333321E-4</v>
      </c>
      <c r="O40" s="407">
        <f>'print 10 lane'!Y112</f>
        <v>4</v>
      </c>
      <c r="P40" s="406">
        <f>'print 10 lane'!AA112</f>
        <v>8.1724537037037041E-4</v>
      </c>
      <c r="Q40" s="407">
        <f>'print 10 lane'!AB112</f>
        <v>6</v>
      </c>
      <c r="R40" s="406">
        <f>'print 10 lane'!AD112</f>
        <v>0</v>
      </c>
      <c r="S40" s="407">
        <f>'print 10 lane'!AE112</f>
        <v>0</v>
      </c>
      <c r="T40" s="406">
        <f>'print 10 lane'!AG112</f>
        <v>0</v>
      </c>
      <c r="U40" s="407">
        <f>'print 10 lane'!AH112</f>
        <v>0</v>
      </c>
      <c r="V40" s="406">
        <f>'print 10 lane'!AJ112</f>
        <v>0</v>
      </c>
      <c r="W40" s="408">
        <f>'print 10 lane'!AK112</f>
        <v>0</v>
      </c>
      <c r="X40" s="414"/>
      <c r="Y40" s="134"/>
    </row>
    <row r="41" spans="1:25" ht="20.25" customHeight="1" x14ac:dyDescent="0.25">
      <c r="A41" s="402"/>
      <c r="B41" s="409"/>
      <c r="C41" s="410" t="s">
        <v>4479</v>
      </c>
      <c r="D41" s="411">
        <f>'print 10 lane'!I115</f>
        <v>7.5578703703703702E-4</v>
      </c>
      <c r="E41" s="412">
        <f>'print 10 lane'!J115</f>
        <v>3</v>
      </c>
      <c r="F41" s="411">
        <f>'print 10 lane'!L115</f>
        <v>7.6261574074074079E-4</v>
      </c>
      <c r="G41" s="412">
        <f>'print 10 lane'!M115</f>
        <v>4</v>
      </c>
      <c r="H41" s="411">
        <f>'print 10 lane'!O115</f>
        <v>7.693287037037036E-4</v>
      </c>
      <c r="I41" s="412">
        <f>'print 10 lane'!P115</f>
        <v>5</v>
      </c>
      <c r="J41" s="411">
        <f>'print 10 lane'!R115</f>
        <v>8.0902777777777787E-4</v>
      </c>
      <c r="K41" s="412">
        <f>'print 10 lane'!S115</f>
        <v>6</v>
      </c>
      <c r="L41" s="411">
        <f>'print 10 lane'!U115</f>
        <v>9.4976851851851852E-4</v>
      </c>
      <c r="M41" s="412">
        <f>'print 10 lane'!V115</f>
        <v>7</v>
      </c>
      <c r="N41" s="411">
        <f>'print 10 lane'!X115</f>
        <v>7.1898148148148158E-4</v>
      </c>
      <c r="O41" s="412">
        <f>'print 10 lane'!Y115</f>
        <v>1</v>
      </c>
      <c r="P41" s="411">
        <f>'print 10 lane'!AA115</f>
        <v>7.4050925925925933E-4</v>
      </c>
      <c r="Q41" s="412">
        <f>'print 10 lane'!AB115</f>
        <v>2</v>
      </c>
      <c r="R41" s="411">
        <f>'print 10 lane'!AD115</f>
        <v>0</v>
      </c>
      <c r="S41" s="412">
        <f>'print 10 lane'!AE115</f>
        <v>0</v>
      </c>
      <c r="T41" s="411">
        <f>'print 10 lane'!AG115</f>
        <v>0</v>
      </c>
      <c r="U41" s="412">
        <f>'print 10 lane'!AH115</f>
        <v>0</v>
      </c>
      <c r="V41" s="411">
        <f>'print 10 lane'!AJ115</f>
        <v>0</v>
      </c>
      <c r="W41" s="413">
        <f>'print 10 lane'!AK115</f>
        <v>0</v>
      </c>
      <c r="X41" s="414"/>
      <c r="Y41" s="134"/>
    </row>
    <row r="42" spans="1:25" ht="20.25" customHeight="1" x14ac:dyDescent="0.25">
      <c r="A42" s="402"/>
      <c r="B42" s="404"/>
      <c r="C42" s="405" t="s">
        <v>4480</v>
      </c>
      <c r="D42" s="406">
        <f>'print 10 lane'!I118</f>
        <v>1.0129629629629631E-3</v>
      </c>
      <c r="E42" s="407">
        <f>'print 10 lane'!J118</f>
        <v>5</v>
      </c>
      <c r="F42" s="406">
        <f>'print 10 lane'!L118</f>
        <v>1.0931712962962963E-3</v>
      </c>
      <c r="G42" s="407">
        <f>'print 10 lane'!M118</f>
        <v>7</v>
      </c>
      <c r="H42" s="406">
        <f>'print 10 lane'!O118</f>
        <v>9.5104166666666655E-4</v>
      </c>
      <c r="I42" s="407">
        <f>'print 10 lane'!P118</f>
        <v>2</v>
      </c>
      <c r="J42" s="406">
        <f>'print 10 lane'!R118</f>
        <v>1.0902777777777779E-3</v>
      </c>
      <c r="K42" s="407">
        <f>'print 10 lane'!S118</f>
        <v>6</v>
      </c>
      <c r="L42" s="406">
        <f>'print 10 lane'!U118</f>
        <v>9.3217592592592603E-4</v>
      </c>
      <c r="M42" s="407">
        <f>'print 10 lane'!V118</f>
        <v>1</v>
      </c>
      <c r="N42" s="406">
        <f>'print 10 lane'!X118</f>
        <v>9.9178240740740759E-4</v>
      </c>
      <c r="O42" s="407">
        <f>'print 10 lane'!Y118</f>
        <v>4</v>
      </c>
      <c r="P42" s="406">
        <f>'print 10 lane'!AA118</f>
        <v>9.6168981481481485E-4</v>
      </c>
      <c r="Q42" s="407">
        <f>'print 10 lane'!AB118</f>
        <v>3</v>
      </c>
      <c r="R42" s="406">
        <f>'print 10 lane'!AD118</f>
        <v>0</v>
      </c>
      <c r="S42" s="407">
        <f>'print 10 lane'!AE118</f>
        <v>0</v>
      </c>
      <c r="T42" s="406">
        <f>'print 10 lane'!AG118</f>
        <v>0</v>
      </c>
      <c r="U42" s="407">
        <f>'print 10 lane'!AH118</f>
        <v>0</v>
      </c>
      <c r="V42" s="406">
        <f>'print 10 lane'!AJ118</f>
        <v>0</v>
      </c>
      <c r="W42" s="408">
        <f>'print 10 lane'!AK118</f>
        <v>0</v>
      </c>
      <c r="X42" s="414"/>
      <c r="Y42" s="134"/>
    </row>
    <row r="43" spans="1:25" ht="20.25" customHeight="1" x14ac:dyDescent="0.25">
      <c r="A43" s="402"/>
      <c r="B43" s="409"/>
      <c r="C43" s="410" t="s">
        <v>4481</v>
      </c>
      <c r="D43" s="411">
        <f>'print 10 lane'!I121</f>
        <v>1.0069444444444444E-3</v>
      </c>
      <c r="E43" s="412">
        <f>'print 10 lane'!J121</f>
        <v>7</v>
      </c>
      <c r="F43" s="411">
        <f>'print 10 lane'!L121</f>
        <v>9.3819444444444451E-4</v>
      </c>
      <c r="G43" s="412">
        <f>'print 10 lane'!M121</f>
        <v>6</v>
      </c>
      <c r="H43" s="411">
        <f>'print 10 lane'!O121</f>
        <v>9.0844907407407411E-4</v>
      </c>
      <c r="I43" s="412">
        <f>'print 10 lane'!P121</f>
        <v>3</v>
      </c>
      <c r="J43" s="411">
        <f>'print 10 lane'!R121</f>
        <v>9.0567129629629635E-4</v>
      </c>
      <c r="K43" s="412">
        <f>'print 10 lane'!S121</f>
        <v>1</v>
      </c>
      <c r="L43" s="411">
        <f>'print 10 lane'!U121</f>
        <v>9.0636574074074068E-4</v>
      </c>
      <c r="M43" s="412">
        <f>'print 10 lane'!V121</f>
        <v>2</v>
      </c>
      <c r="N43" s="411">
        <f>'print 10 lane'!X121</f>
        <v>9.1944444444444452E-4</v>
      </c>
      <c r="O43" s="412">
        <f>'print 10 lane'!Y121</f>
        <v>5</v>
      </c>
      <c r="P43" s="411">
        <f>'print 10 lane'!AA121</f>
        <v>9.109953703703705E-4</v>
      </c>
      <c r="Q43" s="412">
        <f>'print 10 lane'!AB121</f>
        <v>4</v>
      </c>
      <c r="R43" s="411">
        <f>'print 10 lane'!AD121</f>
        <v>0</v>
      </c>
      <c r="S43" s="412">
        <f>'print 10 lane'!AE121</f>
        <v>0</v>
      </c>
      <c r="T43" s="411">
        <f>'print 10 lane'!AG121</f>
        <v>0</v>
      </c>
      <c r="U43" s="412">
        <f>'print 10 lane'!AH121</f>
        <v>0</v>
      </c>
      <c r="V43" s="411">
        <f>'print 10 lane'!AJ121</f>
        <v>0</v>
      </c>
      <c r="W43" s="413">
        <f>'print 10 lane'!AK121</f>
        <v>0</v>
      </c>
      <c r="X43" s="414"/>
      <c r="Y43" s="134"/>
    </row>
    <row r="44" spans="1:25" ht="20.25" customHeight="1" x14ac:dyDescent="0.25">
      <c r="A44" s="402"/>
      <c r="B44" s="404"/>
      <c r="C44" s="405" t="s">
        <v>4482</v>
      </c>
      <c r="D44" s="406">
        <f>'print 10 lane'!I124</f>
        <v>7.4201388888888884E-4</v>
      </c>
      <c r="E44" s="407">
        <f>'print 10 lane'!J124</f>
        <v>2</v>
      </c>
      <c r="F44" s="406">
        <f>'print 10 lane'!L124</f>
        <v>7.799768518518519E-4</v>
      </c>
      <c r="G44" s="407">
        <f>'print 10 lane'!M124</f>
        <v>7</v>
      </c>
      <c r="H44" s="406">
        <f>'print 10 lane'!O124</f>
        <v>7.7418981481481479E-4</v>
      </c>
      <c r="I44" s="407">
        <f>'print 10 lane'!P124</f>
        <v>6</v>
      </c>
      <c r="J44" s="406">
        <f>'print 10 lane'!R124</f>
        <v>7.6076388888888884E-4</v>
      </c>
      <c r="K44" s="407">
        <f>'print 10 lane'!S124</f>
        <v>3</v>
      </c>
      <c r="L44" s="406">
        <f>'print 10 lane'!U124</f>
        <v>7.618055555555555E-4</v>
      </c>
      <c r="M44" s="407">
        <f>'print 10 lane'!V124</f>
        <v>4</v>
      </c>
      <c r="N44" s="406">
        <f>'print 10 lane'!X124</f>
        <v>7.6412037037037041E-4</v>
      </c>
      <c r="O44" s="407">
        <f>'print 10 lane'!Y124</f>
        <v>5</v>
      </c>
      <c r="P44" s="406">
        <f>'print 10 lane'!AA124</f>
        <v>7.361111111111111E-4</v>
      </c>
      <c r="Q44" s="407">
        <f>'print 10 lane'!AB124</f>
        <v>1</v>
      </c>
      <c r="R44" s="406">
        <f>'print 10 lane'!AD124</f>
        <v>0</v>
      </c>
      <c r="S44" s="407">
        <f>'print 10 lane'!AE124</f>
        <v>0</v>
      </c>
      <c r="T44" s="406">
        <f>'print 10 lane'!AG124</f>
        <v>0</v>
      </c>
      <c r="U44" s="407">
        <f>'print 10 lane'!AH124</f>
        <v>0</v>
      </c>
      <c r="V44" s="406">
        <f>'print 10 lane'!AJ124</f>
        <v>0</v>
      </c>
      <c r="W44" s="408">
        <f>'print 10 lane'!AK124</f>
        <v>0</v>
      </c>
      <c r="X44" s="414"/>
      <c r="Y44" s="134"/>
    </row>
    <row r="45" spans="1:25" ht="20.25" customHeight="1" x14ac:dyDescent="0.25">
      <c r="A45" s="402"/>
      <c r="B45" s="409"/>
      <c r="C45" s="410" t="s">
        <v>4483</v>
      </c>
      <c r="D45" s="411">
        <f>'print 10 lane'!I127</f>
        <v>7.2094907407407405E-4</v>
      </c>
      <c r="E45" s="412">
        <f>'print 10 lane'!J127</f>
        <v>7</v>
      </c>
      <c r="F45" s="411">
        <f>'print 10 lane'!L127</f>
        <v>7.1099537037037041E-4</v>
      </c>
      <c r="G45" s="412">
        <f>'print 10 lane'!M127</f>
        <v>6</v>
      </c>
      <c r="H45" s="411">
        <f>'print 10 lane'!O127</f>
        <v>7.0335648148148145E-4</v>
      </c>
      <c r="I45" s="412">
        <f>'print 10 lane'!P127</f>
        <v>5</v>
      </c>
      <c r="J45" s="411">
        <f>'print 10 lane'!R127</f>
        <v>6.5474537037037031E-4</v>
      </c>
      <c r="K45" s="412">
        <f>'print 10 lane'!S127</f>
        <v>2</v>
      </c>
      <c r="L45" s="411">
        <f>'print 10 lane'!U127</f>
        <v>6.7881944444444446E-4</v>
      </c>
      <c r="M45" s="412">
        <f>'print 10 lane'!V127</f>
        <v>3</v>
      </c>
      <c r="N45" s="411">
        <f>'print 10 lane'!X127</f>
        <v>6.4444444444444445E-4</v>
      </c>
      <c r="O45" s="412">
        <f>'print 10 lane'!Y127</f>
        <v>1</v>
      </c>
      <c r="P45" s="411">
        <f>'print 10 lane'!AA127</f>
        <v>6.8449074074074072E-4</v>
      </c>
      <c r="Q45" s="412">
        <f>'print 10 lane'!AB127</f>
        <v>4</v>
      </c>
      <c r="R45" s="411">
        <f>'print 10 lane'!AD127</f>
        <v>0</v>
      </c>
      <c r="S45" s="412">
        <f>'print 10 lane'!AE127</f>
        <v>0</v>
      </c>
      <c r="T45" s="411">
        <f>'print 10 lane'!AG127</f>
        <v>0</v>
      </c>
      <c r="U45" s="412">
        <f>'print 10 lane'!AH127</f>
        <v>0</v>
      </c>
      <c r="V45" s="411">
        <f>'print 10 lane'!AJ127</f>
        <v>0</v>
      </c>
      <c r="W45" s="413">
        <f>'print 10 lane'!AK127</f>
        <v>0</v>
      </c>
      <c r="X45" s="414"/>
      <c r="Y45" s="134"/>
    </row>
    <row r="46" spans="1:25" ht="20.25" customHeight="1" x14ac:dyDescent="0.25">
      <c r="A46" s="402"/>
      <c r="B46" s="404"/>
      <c r="C46" s="405" t="s">
        <v>4484</v>
      </c>
      <c r="D46" s="406">
        <f>'print 10 lane'!I130</f>
        <v>2.0284722222222219E-3</v>
      </c>
      <c r="E46" s="407">
        <f>'print 10 lane'!J130</f>
        <v>1</v>
      </c>
      <c r="F46" s="406">
        <f>'print 10 lane'!L130</f>
        <v>2.1328703703703705E-3</v>
      </c>
      <c r="G46" s="407">
        <f>'print 10 lane'!M130</f>
        <v>4</v>
      </c>
      <c r="H46" s="406">
        <f>'print 10 lane'!O130</f>
        <v>0</v>
      </c>
      <c r="I46" s="407">
        <f>'print 10 lane'!P130</f>
        <v>0</v>
      </c>
      <c r="J46" s="406">
        <f>'print 10 lane'!R130</f>
        <v>2.0923611111111112E-3</v>
      </c>
      <c r="K46" s="407">
        <f>'print 10 lane'!S130</f>
        <v>2</v>
      </c>
      <c r="L46" s="406">
        <f>'print 10 lane'!U130</f>
        <v>2.1501157407407406E-3</v>
      </c>
      <c r="M46" s="407">
        <f>'print 10 lane'!V130</f>
        <v>5</v>
      </c>
      <c r="N46" s="406">
        <f>'print 10 lane'!X130</f>
        <v>2.2398148148148147E-3</v>
      </c>
      <c r="O46" s="407">
        <f>'print 10 lane'!Y130</f>
        <v>6</v>
      </c>
      <c r="P46" s="406">
        <f>'print 10 lane'!AA130</f>
        <v>2.1025462962962964E-3</v>
      </c>
      <c r="Q46" s="407">
        <f>'print 10 lane'!AB130</f>
        <v>3</v>
      </c>
      <c r="R46" s="406">
        <f>'print 10 lane'!AD130</f>
        <v>0</v>
      </c>
      <c r="S46" s="407">
        <f>'print 10 lane'!AE130</f>
        <v>0</v>
      </c>
      <c r="T46" s="406">
        <f>'print 10 lane'!AG130</f>
        <v>0</v>
      </c>
      <c r="U46" s="407">
        <f>'print 10 lane'!AH130</f>
        <v>0</v>
      </c>
      <c r="V46" s="406">
        <f>'print 10 lane'!AJ130</f>
        <v>0</v>
      </c>
      <c r="W46" s="408">
        <f>'print 10 lane'!AK130</f>
        <v>0</v>
      </c>
      <c r="X46" s="414"/>
      <c r="Y46" s="134"/>
    </row>
    <row r="47" spans="1:25" ht="20.25" customHeight="1" x14ac:dyDescent="0.25">
      <c r="A47" s="402"/>
      <c r="B47" s="409"/>
      <c r="C47" s="410" t="s">
        <v>4485</v>
      </c>
      <c r="D47" s="411">
        <f>'print 10 lane'!I132</f>
        <v>0</v>
      </c>
      <c r="E47" s="412">
        <f>'print 10 lane'!J132</f>
        <v>0</v>
      </c>
      <c r="F47" s="411">
        <f>'print 10 lane'!L132</f>
        <v>1.8879629629629628E-3</v>
      </c>
      <c r="G47" s="412">
        <f>'print 10 lane'!M132</f>
        <v>1</v>
      </c>
      <c r="H47" s="411">
        <f>'print 10 lane'!O132</f>
        <v>0</v>
      </c>
      <c r="I47" s="412">
        <f>'print 10 lane'!P132</f>
        <v>0</v>
      </c>
      <c r="J47" s="411">
        <f>'print 10 lane'!R132</f>
        <v>2.379050925925926E-3</v>
      </c>
      <c r="K47" s="412">
        <f>'print 10 lane'!S132</f>
        <v>3</v>
      </c>
      <c r="L47" s="411">
        <f>'print 10 lane'!U132</f>
        <v>2.0459490740740742E-3</v>
      </c>
      <c r="M47" s="412">
        <f>'print 10 lane'!V132</f>
        <v>2</v>
      </c>
      <c r="N47" s="411">
        <f>'print 10 lane'!X132</f>
        <v>0</v>
      </c>
      <c r="O47" s="412">
        <f>'print 10 lane'!Y132</f>
        <v>0</v>
      </c>
      <c r="P47" s="411">
        <f>'print 10 lane'!AA132</f>
        <v>0</v>
      </c>
      <c r="Q47" s="412">
        <f>'print 10 lane'!AB132</f>
        <v>0</v>
      </c>
      <c r="R47" s="411">
        <f>'print 10 lane'!AD132</f>
        <v>0</v>
      </c>
      <c r="S47" s="412">
        <f>'print 10 lane'!AE132</f>
        <v>0</v>
      </c>
      <c r="T47" s="411">
        <f>'print 10 lane'!AG132</f>
        <v>0</v>
      </c>
      <c r="U47" s="412">
        <f>'print 10 lane'!AH132</f>
        <v>0</v>
      </c>
      <c r="V47" s="411">
        <f>'print 10 lane'!AJ132</f>
        <v>0</v>
      </c>
      <c r="W47" s="413">
        <f>'print 10 lane'!AK132</f>
        <v>0</v>
      </c>
      <c r="X47" s="414"/>
      <c r="Y47" s="134"/>
    </row>
    <row r="48" spans="1:25" ht="20.25" customHeight="1" x14ac:dyDescent="0.25">
      <c r="A48" s="402"/>
      <c r="B48" s="404"/>
      <c r="C48" s="405" t="s">
        <v>4488</v>
      </c>
      <c r="D48" s="406">
        <f>'print 10 lane'!I134</f>
        <v>1.5287037037037038E-3</v>
      </c>
      <c r="E48" s="407">
        <f>'print 10 lane'!J134</f>
        <v>3</v>
      </c>
      <c r="F48" s="406">
        <f>'print 10 lane'!L134</f>
        <v>1.5825231481481482E-3</v>
      </c>
      <c r="G48" s="407">
        <f>'print 10 lane'!M134</f>
        <v>6</v>
      </c>
      <c r="H48" s="406">
        <f>'print 10 lane'!O134</f>
        <v>1.4799768518518519E-3</v>
      </c>
      <c r="I48" s="407">
        <f>'print 10 lane'!P134</f>
        <v>2</v>
      </c>
      <c r="J48" s="406">
        <f>'print 10 lane'!R134</f>
        <v>1.4490740740740742E-3</v>
      </c>
      <c r="K48" s="407">
        <f>'print 10 lane'!S134</f>
        <v>1</v>
      </c>
      <c r="L48" s="406">
        <f>'print 10 lane'!U134</f>
        <v>1.5416666666666669E-3</v>
      </c>
      <c r="M48" s="407">
        <f>'print 10 lane'!V134</f>
        <v>4</v>
      </c>
      <c r="N48" s="406">
        <f>'print 10 lane'!X134</f>
        <v>1.7312499999999999E-3</v>
      </c>
      <c r="O48" s="407">
        <f>'print 10 lane'!Y134</f>
        <v>7</v>
      </c>
      <c r="P48" s="406">
        <f>'print 10 lane'!AA134</f>
        <v>1.553587962962963E-3</v>
      </c>
      <c r="Q48" s="407">
        <f>'print 10 lane'!AB134</f>
        <v>5</v>
      </c>
      <c r="R48" s="406">
        <f>'print 10 lane'!AD134</f>
        <v>0</v>
      </c>
      <c r="S48" s="407">
        <f>'print 10 lane'!AE134</f>
        <v>0</v>
      </c>
      <c r="T48" s="406">
        <f>'print 10 lane'!AG134</f>
        <v>0</v>
      </c>
      <c r="U48" s="407">
        <f>'print 10 lane'!AH134</f>
        <v>0</v>
      </c>
      <c r="V48" s="406">
        <f>'print 10 lane'!AJ134</f>
        <v>0</v>
      </c>
      <c r="W48" s="408">
        <f>'print 10 lane'!AK134</f>
        <v>0</v>
      </c>
      <c r="X48" s="414"/>
      <c r="Y48" s="134"/>
    </row>
    <row r="49" spans="1:25" ht="20.25" customHeight="1" x14ac:dyDescent="0.25">
      <c r="A49" s="402"/>
      <c r="B49" s="409"/>
      <c r="C49" s="410" t="s">
        <v>4489</v>
      </c>
      <c r="D49" s="411">
        <f>'print 10 lane'!I136</f>
        <v>1.5355324074074073E-3</v>
      </c>
      <c r="E49" s="412">
        <f>'print 10 lane'!J136</f>
        <v>4</v>
      </c>
      <c r="F49" s="411">
        <f>'print 10 lane'!L136</f>
        <v>1.5901620370370368E-3</v>
      </c>
      <c r="G49" s="412">
        <f>'print 10 lane'!M136</f>
        <v>5</v>
      </c>
      <c r="H49" s="411">
        <f>'print 10 lane'!O136</f>
        <v>1.4519675925925926E-3</v>
      </c>
      <c r="I49" s="412">
        <f>'print 10 lane'!P136</f>
        <v>3</v>
      </c>
      <c r="J49" s="411">
        <f>'print 10 lane'!R136</f>
        <v>1.6111111111111109E-3</v>
      </c>
      <c r="K49" s="412">
        <f>'print 10 lane'!S136</f>
        <v>7</v>
      </c>
      <c r="L49" s="411">
        <f>'print 10 lane'!U136</f>
        <v>1.6079861111111112E-3</v>
      </c>
      <c r="M49" s="412">
        <f>'print 10 lane'!V136</f>
        <v>6</v>
      </c>
      <c r="N49" s="411">
        <f>'print 10 lane'!X136</f>
        <v>1.3805555555555557E-3</v>
      </c>
      <c r="O49" s="412">
        <f>'print 10 lane'!Y136</f>
        <v>1</v>
      </c>
      <c r="P49" s="411">
        <f>'print 10 lane'!AA136</f>
        <v>1.4348379629629631E-3</v>
      </c>
      <c r="Q49" s="412">
        <f>'print 10 lane'!AB136</f>
        <v>2</v>
      </c>
      <c r="R49" s="411">
        <f>'print 10 lane'!AD136</f>
        <v>0</v>
      </c>
      <c r="S49" s="412">
        <f>'print 10 lane'!AE136</f>
        <v>0</v>
      </c>
      <c r="T49" s="411">
        <f>'print 10 lane'!AG136</f>
        <v>0</v>
      </c>
      <c r="U49" s="412">
        <f>'print 10 lane'!AH136</f>
        <v>0</v>
      </c>
      <c r="V49" s="411">
        <f>'print 10 lane'!AJ136</f>
        <v>0</v>
      </c>
      <c r="W49" s="413">
        <f>'print 10 lane'!AK136</f>
        <v>0</v>
      </c>
      <c r="X49" s="414"/>
      <c r="Y49" s="134"/>
    </row>
    <row r="50" spans="1:25" ht="20.25" customHeight="1" x14ac:dyDescent="0.25">
      <c r="A50" s="402"/>
      <c r="B50" s="404"/>
      <c r="C50" s="405" t="s">
        <v>4490</v>
      </c>
      <c r="D50" s="406">
        <f>'print 10 lane'!I138</f>
        <v>1.663310185185185E-3</v>
      </c>
      <c r="E50" s="407">
        <f>'print 10 lane'!J138</f>
        <v>4</v>
      </c>
      <c r="F50" s="406">
        <f>'print 10 lane'!L138</f>
        <v>1.7428240740740739E-3</v>
      </c>
      <c r="G50" s="407">
        <f>'print 10 lane'!M138</f>
        <v>7</v>
      </c>
      <c r="H50" s="406">
        <f>'print 10 lane'!O138</f>
        <v>1.6858796296296294E-3</v>
      </c>
      <c r="I50" s="407">
        <f>'print 10 lane'!P138</f>
        <v>6</v>
      </c>
      <c r="J50" s="406">
        <f>'print 10 lane'!R138</f>
        <v>1.6114583333333334E-3</v>
      </c>
      <c r="K50" s="407">
        <f>'print 10 lane'!S138</f>
        <v>3</v>
      </c>
      <c r="L50" s="406">
        <f>'print 10 lane'!U138</f>
        <v>1.5557870370370372E-3</v>
      </c>
      <c r="M50" s="407">
        <f>'print 10 lane'!V138</f>
        <v>1</v>
      </c>
      <c r="N50" s="406">
        <f>'print 10 lane'!X138</f>
        <v>1.5972222222222221E-3</v>
      </c>
      <c r="O50" s="407">
        <f>'print 10 lane'!Y138</f>
        <v>2</v>
      </c>
      <c r="P50" s="406">
        <f>'print 10 lane'!AA138</f>
        <v>1.6804398148148149E-3</v>
      </c>
      <c r="Q50" s="407">
        <f>'print 10 lane'!AB138</f>
        <v>5</v>
      </c>
      <c r="R50" s="406">
        <f>'print 10 lane'!AD138</f>
        <v>0</v>
      </c>
      <c r="S50" s="407">
        <f>'print 10 lane'!AE138</f>
        <v>0</v>
      </c>
      <c r="T50" s="406">
        <f>'print 10 lane'!AG138</f>
        <v>0</v>
      </c>
      <c r="U50" s="407">
        <f>'print 10 lane'!AH138</f>
        <v>0</v>
      </c>
      <c r="V50" s="406">
        <f>'print 10 lane'!AJ138</f>
        <v>0</v>
      </c>
      <c r="W50" s="408">
        <f>'print 10 lane'!AK138</f>
        <v>0</v>
      </c>
      <c r="X50" s="414"/>
      <c r="Y50" s="134"/>
    </row>
    <row r="51" spans="1:25" ht="20.25" customHeight="1" x14ac:dyDescent="0.25">
      <c r="A51" s="402"/>
      <c r="B51" s="409"/>
      <c r="C51" s="410" t="s">
        <v>4491</v>
      </c>
      <c r="D51" s="411">
        <f>'print 10 lane'!I140</f>
        <v>1.7131944444444445E-3</v>
      </c>
      <c r="E51" s="412">
        <f>'print 10 lane'!J140</f>
        <v>6</v>
      </c>
      <c r="F51" s="411">
        <f>'print 10 lane'!L140</f>
        <v>1.6046296296296297E-3</v>
      </c>
      <c r="G51" s="412">
        <f>'print 10 lane'!M140</f>
        <v>4</v>
      </c>
      <c r="H51" s="411">
        <f>'print 10 lane'!O140</f>
        <v>1.612962962962963E-3</v>
      </c>
      <c r="I51" s="412">
        <f>'print 10 lane'!P140</f>
        <v>5</v>
      </c>
      <c r="J51" s="411">
        <f>'print 10 lane'!R140</f>
        <v>0</v>
      </c>
      <c r="K51" s="412">
        <f>'print 10 lane'!S140</f>
        <v>0</v>
      </c>
      <c r="L51" s="411">
        <f>'print 10 lane'!U140</f>
        <v>1.4068287037037038E-3</v>
      </c>
      <c r="M51" s="412">
        <f>'print 10 lane'!V140</f>
        <v>1</v>
      </c>
      <c r="N51" s="411">
        <f>'print 10 lane'!X140</f>
        <v>1.4570601851851854E-3</v>
      </c>
      <c r="O51" s="412">
        <f>'print 10 lane'!Y140</f>
        <v>2</v>
      </c>
      <c r="P51" s="411">
        <f>'print 10 lane'!AA140</f>
        <v>1.4971064814814814E-3</v>
      </c>
      <c r="Q51" s="412">
        <f>'print 10 lane'!AB140</f>
        <v>3</v>
      </c>
      <c r="R51" s="411">
        <f>'print 10 lane'!AD140</f>
        <v>0</v>
      </c>
      <c r="S51" s="412">
        <f>'print 10 lane'!AE140</f>
        <v>0</v>
      </c>
      <c r="T51" s="411">
        <f>'print 10 lane'!AG140</f>
        <v>0</v>
      </c>
      <c r="U51" s="412">
        <f>'print 10 lane'!AH140</f>
        <v>0</v>
      </c>
      <c r="V51" s="411">
        <f>'print 10 lane'!AJ140</f>
        <v>0</v>
      </c>
      <c r="W51" s="413">
        <f>'print 10 lane'!AK140</f>
        <v>0</v>
      </c>
      <c r="X51" s="414"/>
      <c r="Y51" s="134"/>
    </row>
    <row r="52" spans="1:25" ht="20.25" customHeight="1" x14ac:dyDescent="0.25">
      <c r="A52" s="402"/>
      <c r="B52" s="404"/>
      <c r="C52" s="405" t="s">
        <v>4493</v>
      </c>
      <c r="D52" s="406">
        <f>'print 10 lane'!I142</f>
        <v>1.4341435185185186E-3</v>
      </c>
      <c r="E52" s="407">
        <f>'print 10 lane'!J142</f>
        <v>4</v>
      </c>
      <c r="F52" s="406">
        <f>'print 10 lane'!L142</f>
        <v>1.5045138888888888E-3</v>
      </c>
      <c r="G52" s="407">
        <f>'print 10 lane'!M142</f>
        <v>7</v>
      </c>
      <c r="H52" s="406">
        <f>'print 10 lane'!O142</f>
        <v>1.4663194444444444E-3</v>
      </c>
      <c r="I52" s="407">
        <f>'print 10 lane'!P142</f>
        <v>6</v>
      </c>
      <c r="J52" s="406">
        <f>'print 10 lane'!R142</f>
        <v>1.3895833333333332E-3</v>
      </c>
      <c r="K52" s="407">
        <f>'print 10 lane'!S142</f>
        <v>3</v>
      </c>
      <c r="L52" s="406">
        <f>'print 10 lane'!U142</f>
        <v>1.387962962962963E-3</v>
      </c>
      <c r="M52" s="407">
        <f>'print 10 lane'!V142</f>
        <v>2</v>
      </c>
      <c r="N52" s="406">
        <f>'print 10 lane'!X142</f>
        <v>1.4398148148148148E-3</v>
      </c>
      <c r="O52" s="407">
        <f>'print 10 lane'!Y142</f>
        <v>5</v>
      </c>
      <c r="P52" s="406">
        <f>'print 10 lane'!AA142</f>
        <v>1.3795138888888887E-3</v>
      </c>
      <c r="Q52" s="407">
        <f>'print 10 lane'!AB142</f>
        <v>1</v>
      </c>
      <c r="R52" s="406">
        <f>'print 10 lane'!AD142</f>
        <v>0</v>
      </c>
      <c r="S52" s="407">
        <f>'print 10 lane'!AE142</f>
        <v>0</v>
      </c>
      <c r="T52" s="406">
        <f>'print 10 lane'!AG142</f>
        <v>0</v>
      </c>
      <c r="U52" s="407">
        <f>'print 10 lane'!AH142</f>
        <v>0</v>
      </c>
      <c r="V52" s="406">
        <f>'print 10 lane'!AJ142</f>
        <v>0</v>
      </c>
      <c r="W52" s="408">
        <f>'print 10 lane'!AK142</f>
        <v>0</v>
      </c>
      <c r="X52" s="414"/>
      <c r="Y52" s="134"/>
    </row>
    <row r="53" spans="1:25" ht="20.25" customHeight="1" x14ac:dyDescent="0.25">
      <c r="A53" s="402"/>
      <c r="B53" s="409"/>
      <c r="C53" s="410" t="s">
        <v>4494</v>
      </c>
      <c r="D53" s="411">
        <f>'print 10 lane'!I144</f>
        <v>1.3858796296296295E-3</v>
      </c>
      <c r="E53" s="412">
        <f>'print 10 lane'!J144</f>
        <v>7</v>
      </c>
      <c r="F53" s="411">
        <f>'print 10 lane'!L144</f>
        <v>1.3265046296296295E-3</v>
      </c>
      <c r="G53" s="412">
        <f>'print 10 lane'!M144</f>
        <v>6</v>
      </c>
      <c r="H53" s="411">
        <f>'print 10 lane'!O144</f>
        <v>1.3187499999999998E-3</v>
      </c>
      <c r="I53" s="412">
        <f>'print 10 lane'!P144</f>
        <v>5</v>
      </c>
      <c r="J53" s="411">
        <f>'print 10 lane'!R144</f>
        <v>1.2317129629629629E-3</v>
      </c>
      <c r="K53" s="412">
        <f>'print 10 lane'!S144</f>
        <v>2</v>
      </c>
      <c r="L53" s="411">
        <f>'print 10 lane'!U144</f>
        <v>1.2390046296296296E-3</v>
      </c>
      <c r="M53" s="412">
        <f>'print 10 lane'!V144</f>
        <v>3</v>
      </c>
      <c r="N53" s="411">
        <f>'print 10 lane'!X144</f>
        <v>1.2075231481481483E-3</v>
      </c>
      <c r="O53" s="412">
        <f>'print 10 lane'!Y144</f>
        <v>1</v>
      </c>
      <c r="P53" s="411">
        <f>'print 10 lane'!AA144</f>
        <v>1.2875E-3</v>
      </c>
      <c r="Q53" s="412">
        <f>'print 10 lane'!AB144</f>
        <v>4</v>
      </c>
      <c r="R53" s="411">
        <f>'print 10 lane'!AD144</f>
        <v>0</v>
      </c>
      <c r="S53" s="412">
        <f>'print 10 lane'!AE144</f>
        <v>0</v>
      </c>
      <c r="T53" s="411">
        <f>'print 10 lane'!AG144</f>
        <v>0</v>
      </c>
      <c r="U53" s="412">
        <f>'print 10 lane'!AH144</f>
        <v>0</v>
      </c>
      <c r="V53" s="411">
        <f>'print 10 lane'!AJ144</f>
        <v>0</v>
      </c>
      <c r="W53" s="413">
        <f>'print 10 lane'!AK144</f>
        <v>0</v>
      </c>
      <c r="X53" s="415"/>
      <c r="Y53" s="134"/>
    </row>
    <row r="54" spans="1:25" ht="20.25" customHeight="1" x14ac:dyDescent="0.25">
      <c r="A54" s="402"/>
      <c r="B54" s="404"/>
      <c r="C54" s="405" t="s">
        <v>4505</v>
      </c>
      <c r="D54" s="406">
        <f>'print 10 lane'!I146</f>
        <v>3.0379629629629628E-3</v>
      </c>
      <c r="E54" s="407">
        <f>'print 10 lane'!J146</f>
        <v>5</v>
      </c>
      <c r="F54" s="406">
        <f>'print 10 lane'!L146</f>
        <v>2.8525462962962962E-3</v>
      </c>
      <c r="G54" s="407">
        <f>'print 10 lane'!M146</f>
        <v>2</v>
      </c>
      <c r="H54" s="406">
        <f>'print 10 lane'!O146</f>
        <v>3.0815972222222221E-3</v>
      </c>
      <c r="I54" s="407">
        <f>'print 10 lane'!P146</f>
        <v>6</v>
      </c>
      <c r="J54" s="406">
        <f>'print 10 lane'!R146</f>
        <v>2.8396990740740739E-3</v>
      </c>
      <c r="K54" s="407">
        <f>'print 10 lane'!S146</f>
        <v>1</v>
      </c>
      <c r="L54" s="406">
        <f>'print 10 lane'!U146</f>
        <v>2.9663194444444446E-3</v>
      </c>
      <c r="M54" s="407">
        <f>'print 10 lane'!V146</f>
        <v>3</v>
      </c>
      <c r="N54" s="406">
        <f>'print 10 lane'!X146</f>
        <v>0</v>
      </c>
      <c r="O54" s="407">
        <f>'print 10 lane'!Y146</f>
        <v>0</v>
      </c>
      <c r="P54" s="406">
        <f>'print 10 lane'!AA146</f>
        <v>3.0082175925925923E-3</v>
      </c>
      <c r="Q54" s="407">
        <f>'print 10 lane'!AB146</f>
        <v>4</v>
      </c>
      <c r="R54" s="406">
        <f>'print 10 lane'!AD146</f>
        <v>0</v>
      </c>
      <c r="S54" s="407">
        <f>'print 10 lane'!AE146</f>
        <v>0</v>
      </c>
      <c r="T54" s="406">
        <f>'print 10 lane'!AG146</f>
        <v>0</v>
      </c>
      <c r="U54" s="407">
        <f>'print 10 lane'!AH146</f>
        <v>0</v>
      </c>
      <c r="V54" s="406">
        <f>'print 10 lane'!AJ146</f>
        <v>0</v>
      </c>
      <c r="W54" s="408">
        <f>'print 10 lane'!AK146</f>
        <v>0</v>
      </c>
      <c r="X54" s="416"/>
      <c r="Y54" s="134"/>
    </row>
    <row r="55" spans="1:25" ht="15" customHeight="1" x14ac:dyDescent="0.25">
      <c r="A55" s="417"/>
      <c r="B55" s="418"/>
      <c r="C55" s="419"/>
      <c r="D55" s="420"/>
      <c r="E55" s="421"/>
      <c r="F55" s="420"/>
      <c r="G55" s="421"/>
      <c r="H55" s="420"/>
      <c r="I55" s="421"/>
      <c r="J55" s="420"/>
      <c r="K55" s="421"/>
      <c r="L55" s="420"/>
      <c r="M55" s="421"/>
      <c r="N55" s="420"/>
      <c r="O55" s="421"/>
      <c r="P55" s="420"/>
      <c r="Q55" s="421"/>
      <c r="R55" s="420"/>
      <c r="S55" s="421"/>
      <c r="T55" s="420"/>
      <c r="U55" s="421"/>
      <c r="V55" s="420"/>
      <c r="W55" s="421"/>
      <c r="X55" s="422"/>
      <c r="Y55" s="134"/>
    </row>
    <row r="56" spans="1:25" ht="400.5" customHeight="1" x14ac:dyDescent="0.25">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row>
  </sheetData>
  <sheetProtection algorithmName="SHA-512" hashValue="UKs6Rj1Oe6e76VRucsY5IAD98e1IwwiRjUomxfwODwQVQt+48Veu6SZuMAErHWh9eL6HSlROOS/tmlQkoDoiBQ==" saltValue="e8Hal0QDcvXO8Uj3rDATYA==" spinCount="100000" sheet="1" objects="1" scenarios="1"/>
  <mergeCells count="25">
    <mergeCell ref="D1:E1"/>
    <mergeCell ref="F1:G1"/>
    <mergeCell ref="H1:W1"/>
    <mergeCell ref="B2:C3"/>
    <mergeCell ref="D2:E2"/>
    <mergeCell ref="F2:G2"/>
    <mergeCell ref="H2:I2"/>
    <mergeCell ref="J2:K2"/>
    <mergeCell ref="L2:M2"/>
    <mergeCell ref="N2:O2"/>
    <mergeCell ref="P2:Q2"/>
    <mergeCell ref="R2:S2"/>
    <mergeCell ref="T2:U2"/>
    <mergeCell ref="V2:W2"/>
    <mergeCell ref="D3:E3"/>
    <mergeCell ref="F3:G3"/>
    <mergeCell ref="R3:S3"/>
    <mergeCell ref="T3:U3"/>
    <mergeCell ref="V3:W3"/>
    <mergeCell ref="X4:X5"/>
    <mergeCell ref="H3:I3"/>
    <mergeCell ref="J3:K3"/>
    <mergeCell ref="L3:M3"/>
    <mergeCell ref="N3:O3"/>
    <mergeCell ref="P3:Q3"/>
  </mergeCells>
  <conditionalFormatting sqref="D1:F1">
    <cfRule type="cellIs" dxfId="221" priority="2" operator="greaterThan">
      <formula>0</formula>
    </cfRule>
  </conditionalFormatting>
  <conditionalFormatting sqref="D4:W4">
    <cfRule type="cellIs" dxfId="220" priority="6" operator="equal">
      <formula>0</formula>
    </cfRule>
  </conditionalFormatting>
  <conditionalFormatting sqref="D4:W54">
    <cfRule type="cellIs" dxfId="219" priority="7" operator="equal">
      <formula>0</formula>
    </cfRule>
  </conditionalFormatting>
  <conditionalFormatting sqref="D6:W6 D8:W8 D10:W10 D12:W12 D14:W14 D16:W16 D18:W18 D20:W20 D22:W22 D24:W24 D26:W26 D28:W28 D30:W30 D32:W32 D34:W34 D36:W36 D38:W38 D40:W40 D42:W42 D44:W44 D46:W46 D48:W48 D50:W50 D52:W52">
    <cfRule type="cellIs" dxfId="218" priority="5" operator="equal">
      <formula>0</formula>
    </cfRule>
  </conditionalFormatting>
  <conditionalFormatting sqref="F3:W3">
    <cfRule type="cellIs" dxfId="217" priority="4" operator="equal">
      <formula>0</formula>
    </cfRule>
  </conditionalFormatting>
  <conditionalFormatting sqref="H1">
    <cfRule type="cellIs" dxfId="216" priority="3" operator="greaterThan">
      <formula>0</formula>
    </cfRule>
  </conditionalFormatting>
  <hyperlinks>
    <hyperlink ref="D1" location="'Gala Setup'!H4" display="Gala _x000a_Setup" xr:uid="{00000000-0004-0000-0400-000000000000}"/>
    <hyperlink ref="F1" location="Recording!C32" display="Gala Recording" xr:uid="{00000000-0004-0000-0400-000001000000}"/>
  </hyperlinks>
  <printOptions horizontalCentered="1" verticalCentered="1"/>
  <pageMargins left="0.70833333333333304" right="0.70833333333333304" top="0.74791666666666701" bottom="0.74791666666666701" header="0.511811023622047" footer="0.511811023622047"/>
  <pageSetup paperSize="9" scale="71" orientation="landscape" horizontalDpi="300" verticalDpi="300" r:id="rId1"/>
  <rowBreaks count="1" manualBreakCount="1">
    <brk id="2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42"/>
  <sheetViews>
    <sheetView showRowColHeaders="0" zoomScale="80" zoomScaleNormal="80" workbookViewId="0">
      <pane ySplit="6" topLeftCell="A7" activePane="bottomLeft" state="frozen"/>
      <selection pane="bottomLeft" activeCell="E3" sqref="E3"/>
    </sheetView>
  </sheetViews>
  <sheetFormatPr defaultColWidth="8.6640625" defaultRowHeight="13.2" x14ac:dyDescent="0.25"/>
  <cols>
    <col min="1" max="1" width="3" customWidth="1"/>
    <col min="2" max="2" width="4.33203125" customWidth="1"/>
    <col min="3" max="3" width="39.109375" customWidth="1"/>
    <col min="4" max="4" width="0.109375" hidden="1" customWidth="1"/>
    <col min="5" max="5" width="17.6640625" hidden="1" customWidth="1"/>
    <col min="6" max="6" width="18.88671875" customWidth="1"/>
    <col min="7" max="8" width="16.5546875" hidden="1" customWidth="1"/>
    <col min="9" max="9" width="18.88671875" customWidth="1"/>
    <col min="10" max="10" width="0.109375" customWidth="1"/>
    <col min="11" max="11" width="16.88671875" hidden="1" customWidth="1"/>
    <col min="12" max="12" width="18.6640625" customWidth="1"/>
    <col min="13" max="13" width="16.6640625" hidden="1" customWidth="1"/>
    <col min="14" max="14" width="8.88671875" hidden="1" customWidth="1"/>
    <col min="15" max="15" width="18.6640625" customWidth="1"/>
    <col min="16" max="17" width="11.5546875" hidden="1" customWidth="1"/>
    <col min="18" max="18" width="18.6640625" customWidth="1"/>
    <col min="19" max="20" width="11.5546875" hidden="1" customWidth="1"/>
    <col min="21" max="21" width="18.6640625" customWidth="1"/>
    <col min="22" max="23" width="11.5546875" hidden="1" customWidth="1"/>
    <col min="24" max="24" width="18.6640625" customWidth="1"/>
    <col min="25" max="26" width="11.5546875" hidden="1" customWidth="1"/>
    <col min="27" max="27" width="18.6640625" customWidth="1"/>
    <col min="28" max="29" width="11.5546875" hidden="1" customWidth="1"/>
    <col min="30" max="30" width="18.6640625" customWidth="1"/>
    <col min="31" max="32" width="11.5546875" hidden="1" customWidth="1"/>
    <col min="33" max="33" width="18.6640625" customWidth="1"/>
    <col min="34" max="34" width="2.88671875" customWidth="1"/>
    <col min="35" max="35" width="105" customWidth="1"/>
  </cols>
  <sheetData>
    <row r="1" spans="1:35" ht="25.5" customHeight="1" x14ac:dyDescent="0.25">
      <c r="A1" s="400"/>
      <c r="B1" s="1174"/>
      <c r="C1" s="1174"/>
      <c r="D1" s="423"/>
      <c r="E1" s="423"/>
      <c r="F1" s="1175" t="s">
        <v>4506</v>
      </c>
      <c r="G1" s="424"/>
      <c r="H1" s="424"/>
      <c r="I1" s="1176" t="s">
        <v>4320</v>
      </c>
      <c r="J1" s="423"/>
      <c r="K1" s="423"/>
      <c r="L1" s="1177" t="str">
        <f>'Gala Setup'!$S$4</f>
        <v>NASL.2023 V6</v>
      </c>
      <c r="M1" s="1177"/>
      <c r="N1" s="1177"/>
      <c r="O1" s="1177"/>
      <c r="P1" s="1177"/>
      <c r="Q1" s="1177"/>
      <c r="R1" s="1177"/>
      <c r="S1" s="1177"/>
      <c r="T1" s="1177"/>
      <c r="U1" s="1177"/>
      <c r="V1" s="1177"/>
      <c r="W1" s="1177"/>
      <c r="X1" s="1177"/>
      <c r="Y1" s="1177"/>
      <c r="Z1" s="1177"/>
      <c r="AA1" s="1177"/>
      <c r="AB1" s="1177"/>
      <c r="AC1" s="1177"/>
      <c r="AD1" s="1177"/>
      <c r="AE1" s="1177"/>
      <c r="AF1" s="1177"/>
      <c r="AG1" s="1177"/>
      <c r="AH1" s="425"/>
      <c r="AI1" s="167"/>
    </row>
    <row r="2" spans="1:35" ht="22.5" customHeight="1" x14ac:dyDescent="0.3">
      <c r="A2" s="402"/>
      <c r="B2" s="1174"/>
      <c r="C2" s="1174"/>
      <c r="D2" s="426"/>
      <c r="E2" s="426"/>
      <c r="F2" s="1175"/>
      <c r="G2" s="424"/>
      <c r="H2" s="424"/>
      <c r="I2" s="1176"/>
      <c r="J2" s="427"/>
      <c r="K2" s="427"/>
      <c r="L2" s="1178" t="s">
        <v>4507</v>
      </c>
      <c r="M2" s="1178"/>
      <c r="N2" s="1178"/>
      <c r="O2" s="1178"/>
      <c r="P2" s="1178"/>
      <c r="Q2" s="1178"/>
      <c r="R2" s="1178"/>
      <c r="S2" s="1178"/>
      <c r="T2" s="1178"/>
      <c r="U2" s="1178"/>
      <c r="V2" s="1178"/>
      <c r="W2" s="1178"/>
      <c r="X2" s="1178"/>
      <c r="Y2" s="1178"/>
      <c r="Z2" s="1178"/>
      <c r="AA2" s="1178"/>
      <c r="AB2" s="1178"/>
      <c r="AC2" s="1178"/>
      <c r="AD2" s="1178"/>
      <c r="AE2" s="1178"/>
      <c r="AF2" s="1178"/>
      <c r="AG2" s="1178"/>
      <c r="AH2" s="166"/>
      <c r="AI2" s="167"/>
    </row>
    <row r="3" spans="1:35" ht="22.5" customHeight="1" x14ac:dyDescent="0.3">
      <c r="A3" s="402"/>
      <c r="B3" s="1174"/>
      <c r="C3" s="1174"/>
      <c r="D3" s="426"/>
      <c r="E3" s="426"/>
      <c r="F3" s="1175"/>
      <c r="G3" s="424"/>
      <c r="H3" s="424"/>
      <c r="I3" s="1176"/>
      <c r="J3" s="427"/>
      <c r="K3" s="427"/>
      <c r="L3" s="1178" t="s">
        <v>4508</v>
      </c>
      <c r="M3" s="1178"/>
      <c r="N3" s="1178"/>
      <c r="O3" s="1178"/>
      <c r="P3" s="1178"/>
      <c r="Q3" s="1178"/>
      <c r="R3" s="1178"/>
      <c r="S3" s="1178"/>
      <c r="T3" s="1178"/>
      <c r="U3" s="1178"/>
      <c r="V3" s="1178"/>
      <c r="W3" s="1178"/>
      <c r="X3" s="1178"/>
      <c r="Y3" s="1178"/>
      <c r="Z3" s="1178"/>
      <c r="AA3" s="1178"/>
      <c r="AB3" s="1178"/>
      <c r="AC3" s="1178"/>
      <c r="AD3" s="1178"/>
      <c r="AE3" s="1178"/>
      <c r="AF3" s="1178"/>
      <c r="AG3" s="1178"/>
      <c r="AH3" s="166"/>
      <c r="AI3" s="167"/>
    </row>
    <row r="4" spans="1:35" ht="33" customHeight="1" x14ac:dyDescent="0.3">
      <c r="A4" s="402"/>
      <c r="B4" s="1174"/>
      <c r="C4" s="1174"/>
      <c r="D4" s="426"/>
      <c r="E4" s="426"/>
      <c r="F4" s="428" t="str">
        <f>'Gala Setup'!P4</f>
        <v>HARINGEY AQUATICS</v>
      </c>
      <c r="G4" s="429"/>
      <c r="H4" s="429"/>
      <c r="I4" s="428" t="str">
        <f>'Gala Setup'!P5</f>
        <v>STEVENAGE</v>
      </c>
      <c r="J4" s="180"/>
      <c r="K4" s="180"/>
      <c r="L4" s="430" t="str">
        <f>'Gala Setup'!P6</f>
        <v>BORO OF BROXBOURNE</v>
      </c>
      <c r="M4" s="431"/>
      <c r="N4" s="431"/>
      <c r="O4" s="430" t="str">
        <f>'Gala Setup'!P7</f>
        <v>AYLESBURY</v>
      </c>
      <c r="P4" s="432"/>
      <c r="Q4" s="432"/>
      <c r="R4" s="430" t="str">
        <f>'Gala Setup'!P8</f>
        <v>BRAINTREE &amp; BOCKING</v>
      </c>
      <c r="S4" s="431"/>
      <c r="T4" s="431"/>
      <c r="U4" s="430" t="str">
        <f>'Gala Setup'!P9</f>
        <v>Bo of Harrow</v>
      </c>
      <c r="V4" s="432"/>
      <c r="W4" s="432"/>
      <c r="X4" s="430" t="str">
        <f>'Gala Setup'!P10</f>
        <v>Hillingdon 'B'</v>
      </c>
      <c r="Y4" s="431"/>
      <c r="Z4" s="431"/>
      <c r="AA4" s="430">
        <f>'Gala Setup'!P11</f>
        <v>0</v>
      </c>
      <c r="AB4" s="431"/>
      <c r="AC4" s="431"/>
      <c r="AD4" s="430">
        <f>'Gala Setup'!P12</f>
        <v>0</v>
      </c>
      <c r="AE4" s="431"/>
      <c r="AF4" s="431"/>
      <c r="AG4" s="430">
        <f>'Gala Setup'!P13</f>
        <v>0</v>
      </c>
      <c r="AH4" s="166"/>
      <c r="AI4" s="167"/>
    </row>
    <row r="5" spans="1:35" ht="18" customHeight="1" x14ac:dyDescent="0.25">
      <c r="A5" s="402"/>
      <c r="B5" s="1174"/>
      <c r="C5" s="1174"/>
      <c r="D5" s="426"/>
      <c r="E5" s="426"/>
      <c r="F5" s="433" t="s">
        <v>8</v>
      </c>
      <c r="G5" s="434"/>
      <c r="H5" s="434"/>
      <c r="I5" s="433" t="s">
        <v>4327</v>
      </c>
      <c r="J5" s="435" t="s">
        <v>4327</v>
      </c>
      <c r="K5" s="435" t="s">
        <v>4327</v>
      </c>
      <c r="L5" s="433" t="s">
        <v>4327</v>
      </c>
      <c r="M5" s="435" t="s">
        <v>4327</v>
      </c>
      <c r="N5" s="435" t="s">
        <v>4327</v>
      </c>
      <c r="O5" s="433" t="s">
        <v>4327</v>
      </c>
      <c r="P5" s="435" t="s">
        <v>4327</v>
      </c>
      <c r="Q5" s="435" t="s">
        <v>4327</v>
      </c>
      <c r="R5" s="433" t="s">
        <v>4327</v>
      </c>
      <c r="S5" s="435" t="s">
        <v>4327</v>
      </c>
      <c r="T5" s="435" t="s">
        <v>4327</v>
      </c>
      <c r="U5" s="433" t="s">
        <v>4327</v>
      </c>
      <c r="V5" s="435" t="s">
        <v>4327</v>
      </c>
      <c r="W5" s="435" t="s">
        <v>4327</v>
      </c>
      <c r="X5" s="433" t="s">
        <v>4327</v>
      </c>
      <c r="Y5" s="435" t="s">
        <v>4327</v>
      </c>
      <c r="Z5" s="435" t="s">
        <v>4327</v>
      </c>
      <c r="AA5" s="433" t="s">
        <v>4327</v>
      </c>
      <c r="AB5" s="435" t="s">
        <v>4327</v>
      </c>
      <c r="AC5" s="435" t="s">
        <v>4327</v>
      </c>
      <c r="AD5" s="433" t="s">
        <v>4327</v>
      </c>
      <c r="AE5" s="435" t="s">
        <v>4327</v>
      </c>
      <c r="AF5" s="435" t="s">
        <v>4327</v>
      </c>
      <c r="AG5" s="433" t="s">
        <v>4327</v>
      </c>
      <c r="AH5" s="166"/>
      <c r="AI5" s="167"/>
    </row>
    <row r="6" spans="1:35" ht="18.75" customHeight="1" x14ac:dyDescent="0.25">
      <c r="A6" s="402"/>
      <c r="B6" s="1174"/>
      <c r="C6" s="1174"/>
      <c r="D6" s="436" t="s">
        <v>4509</v>
      </c>
      <c r="E6" s="436" t="s">
        <v>4510</v>
      </c>
      <c r="F6" s="437">
        <f>'Gala Setup'!N4</f>
        <v>1</v>
      </c>
      <c r="G6" s="438" t="s">
        <v>4511</v>
      </c>
      <c r="H6" s="438" t="s">
        <v>4512</v>
      </c>
      <c r="I6" s="437">
        <f>'Gala Setup'!N5</f>
        <v>2</v>
      </c>
      <c r="J6" s="438">
        <f>'Gala Setup'!N6</f>
        <v>3</v>
      </c>
      <c r="K6" s="438" t="e">
        <f>'Gala Setup'!#REF!</f>
        <v>#REF!</v>
      </c>
      <c r="L6" s="437">
        <f>'Gala Setup'!N6</f>
        <v>3</v>
      </c>
      <c r="M6" s="438">
        <f>'Gala Setup'!V4</f>
        <v>0</v>
      </c>
      <c r="N6" s="438">
        <f>'Gala Setup'!X4</f>
        <v>0</v>
      </c>
      <c r="O6" s="437">
        <f>'Gala Setup'!N7</f>
        <v>4</v>
      </c>
      <c r="P6" s="438">
        <f>'Gala Setup'!Z4</f>
        <v>0</v>
      </c>
      <c r="Q6" s="438">
        <f>'Gala Setup'!AA4</f>
        <v>0</v>
      </c>
      <c r="R6" s="437">
        <f>'Gala Setup'!N8</f>
        <v>5</v>
      </c>
      <c r="S6" s="438">
        <f>'Gala Setup'!AC4</f>
        <v>0</v>
      </c>
      <c r="T6" s="438" t="str">
        <f>'Gala Setup'!AD4</f>
        <v>League</v>
      </c>
      <c r="U6" s="437">
        <f>'Gala Setup'!N9</f>
        <v>6</v>
      </c>
      <c r="V6" s="438" t="str">
        <f>'Gala Setup'!AF4</f>
        <v>DIVISION</v>
      </c>
      <c r="W6" s="438" t="str">
        <f>'Gala Setup'!AG4</f>
        <v>ONE</v>
      </c>
      <c r="X6" s="437">
        <f>'Gala Setup'!N10</f>
        <v>7</v>
      </c>
      <c r="Y6" s="438" t="str">
        <f>'Gala Setup'!AI4</f>
        <v>HARINGEY AQUATICS</v>
      </c>
      <c r="Z6" s="438">
        <f>'Gala Setup'!AJ4</f>
        <v>0</v>
      </c>
      <c r="AA6" s="437">
        <f>'Gala Setup'!N11</f>
        <v>0</v>
      </c>
      <c r="AB6" s="438" t="str">
        <f>'Gala Setup'!AL4</f>
        <v>6 LANES</v>
      </c>
      <c r="AC6" s="438" t="str">
        <f>'Gala Setup'!AM4</f>
        <v>8 LANES</v>
      </c>
      <c r="AD6" s="437">
        <f>'Gala Setup'!N12</f>
        <v>0</v>
      </c>
      <c r="AE6" s="438">
        <f>'Gala Setup'!AO4</f>
        <v>0</v>
      </c>
      <c r="AF6" s="438">
        <f>'Gala Setup'!AP4</f>
        <v>0</v>
      </c>
      <c r="AG6" s="437">
        <f>'Gala Setup'!N13</f>
        <v>0</v>
      </c>
      <c r="AH6" s="169"/>
      <c r="AI6" s="167"/>
    </row>
    <row r="7" spans="1:35" ht="21" customHeight="1" x14ac:dyDescent="0.25">
      <c r="A7" s="402"/>
      <c r="B7" s="439">
        <v>1</v>
      </c>
      <c r="C7" s="440" t="s">
        <v>4513</v>
      </c>
      <c r="D7" s="441" t="str">
        <f>'Team 1'!F4</f>
        <v>Bianca</v>
      </c>
      <c r="E7" s="441" t="str">
        <f>'Team 1'!G4</f>
        <v>Gomez-Velasco</v>
      </c>
      <c r="F7" s="442" t="str">
        <f t="shared" ref="F7:F40" si="0">CONCATENATE(D7, " ",E7)</f>
        <v>Bianca Gomez-Velasco</v>
      </c>
      <c r="G7" s="442" t="str">
        <f>'Team 2'!F4</f>
        <v>Sophie</v>
      </c>
      <c r="H7" s="442" t="str">
        <f>'Team 2'!G4</f>
        <v>Stelmach</v>
      </c>
      <c r="I7" s="442" t="str">
        <f t="shared" ref="I7:I40" si="1">CONCATENATE(G7, " ",H7)</f>
        <v>Sophie Stelmach</v>
      </c>
      <c r="J7" s="442" t="str">
        <f>'Team 3'!F4</f>
        <v>Hannah</v>
      </c>
      <c r="K7" s="442" t="str">
        <f>'Team 3'!G4</f>
        <v>Lovelock</v>
      </c>
      <c r="L7" s="442" t="str">
        <f t="shared" ref="L7:L40" si="2">CONCATENATE(J7, " ",K7)</f>
        <v>Hannah Lovelock</v>
      </c>
      <c r="M7" s="442" t="str">
        <f>'Team 4'!F4</f>
        <v>LIBBY</v>
      </c>
      <c r="N7" s="442" t="str">
        <f>'Team 4'!G4</f>
        <v>BLISSETT</v>
      </c>
      <c r="O7" s="442" t="str">
        <f t="shared" ref="O7:O40" si="3">CONCATENATE(M7, " ",N7)</f>
        <v>LIBBY BLISSETT</v>
      </c>
      <c r="P7" s="441" t="str">
        <f>'Team 5'!F4</f>
        <v>Isabelle</v>
      </c>
      <c r="Q7" s="441" t="str">
        <f>'Team 5'!G4</f>
        <v>Talbot</v>
      </c>
      <c r="R7" s="442" t="str">
        <f t="shared" ref="R7:R40" si="4">CONCATENATE(P7, " ",Q7)</f>
        <v>Isabelle Talbot</v>
      </c>
      <c r="S7" s="441" t="str">
        <f>'Team 6'!F4</f>
        <v xml:space="preserve">Alice </v>
      </c>
      <c r="T7" s="441" t="str">
        <f>'Team 6'!G4</f>
        <v>Sharrock</v>
      </c>
      <c r="U7" s="442" t="str">
        <f t="shared" ref="U7:U40" si="5">CONCATENATE(S7, " ",T7)</f>
        <v>Alice  Sharrock</v>
      </c>
      <c r="V7" s="441" t="str">
        <f>'Team 7'!F4</f>
        <v>Laura</v>
      </c>
      <c r="W7" s="441" t="str">
        <f>'Team 7'!G4</f>
        <v>Hibberd</v>
      </c>
      <c r="X7" s="442" t="str">
        <f t="shared" ref="X7:X40" si="6">CONCATENATE(V7, " ",W7)</f>
        <v>Laura Hibberd</v>
      </c>
      <c r="Y7" s="441">
        <f>'Team 8'!F4</f>
        <v>0</v>
      </c>
      <c r="Z7" s="441">
        <f>'Team 8'!G4</f>
        <v>0</v>
      </c>
      <c r="AA7" s="442" t="str">
        <f t="shared" ref="AA7:AA40" si="7">CONCATENATE(Y7, " ",Z7)</f>
        <v>0 0</v>
      </c>
      <c r="AB7" s="441">
        <f>'Team 9'!F4</f>
        <v>0</v>
      </c>
      <c r="AC7" s="441">
        <f>'Team 9'!G4</f>
        <v>0</v>
      </c>
      <c r="AD7" s="442" t="str">
        <f t="shared" ref="AD7:AD40" si="8">CONCATENATE(AB7, " ",AC7)</f>
        <v>0 0</v>
      </c>
      <c r="AE7" s="441">
        <f>'Team 10'!F4</f>
        <v>0</v>
      </c>
      <c r="AF7" s="441">
        <f>'Team 10'!G4</f>
        <v>0</v>
      </c>
      <c r="AG7" s="442" t="str">
        <f t="shared" ref="AG7:AG40" si="9">CONCATENATE(AE7, " ",AF7)</f>
        <v>0 0</v>
      </c>
      <c r="AH7" s="166"/>
      <c r="AI7" s="167"/>
    </row>
    <row r="8" spans="1:35" ht="21" customHeight="1" x14ac:dyDescent="0.25">
      <c r="A8" s="402"/>
      <c r="B8" s="439">
        <v>2</v>
      </c>
      <c r="C8" s="443" t="s">
        <v>4514</v>
      </c>
      <c r="D8" s="441" t="str">
        <f>'Team 1'!F5</f>
        <v>Zente</v>
      </c>
      <c r="E8" s="441" t="str">
        <f>'Team 1'!G5</f>
        <v>Buzsik</v>
      </c>
      <c r="F8" s="442" t="str">
        <f t="shared" si="0"/>
        <v>Zente Buzsik</v>
      </c>
      <c r="G8" s="442" t="str">
        <f>'Team 2'!F5</f>
        <v>Harry</v>
      </c>
      <c r="H8" s="442" t="str">
        <f>'Team 2'!G5</f>
        <v>Chapman</v>
      </c>
      <c r="I8" s="442" t="str">
        <f t="shared" si="1"/>
        <v>Harry Chapman</v>
      </c>
      <c r="J8" s="442" t="str">
        <f>'Team 3'!F5</f>
        <v>George</v>
      </c>
      <c r="K8" s="442" t="str">
        <f>'Team 3'!G5</f>
        <v>Lovelock</v>
      </c>
      <c r="L8" s="442" t="str">
        <f t="shared" si="2"/>
        <v>George Lovelock</v>
      </c>
      <c r="M8" s="442" t="str">
        <f>'Team 4'!F5</f>
        <v>ELLIS</v>
      </c>
      <c r="N8" s="442" t="str">
        <f>'Team 4'!G5</f>
        <v>BUNCE</v>
      </c>
      <c r="O8" s="442" t="str">
        <f t="shared" si="3"/>
        <v>ELLIS BUNCE</v>
      </c>
      <c r="P8" s="441" t="str">
        <f>'Team 5'!F5</f>
        <v>Albert</v>
      </c>
      <c r="Q8" s="441" t="str">
        <f>'Team 5'!G5</f>
        <v>Orley</v>
      </c>
      <c r="R8" s="442" t="str">
        <f t="shared" si="4"/>
        <v>Albert Orley</v>
      </c>
      <c r="S8" s="441" t="str">
        <f>'Team 6'!F5</f>
        <v>Razvan</v>
      </c>
      <c r="T8" s="441" t="str">
        <f>'Team 6'!G5</f>
        <v>Lembac</v>
      </c>
      <c r="U8" s="442" t="str">
        <f t="shared" si="5"/>
        <v>Razvan Lembac</v>
      </c>
      <c r="V8" s="441" t="str">
        <f>'Team 7'!F5</f>
        <v>Liam</v>
      </c>
      <c r="W8" s="441" t="str">
        <f>'Team 7'!G5</f>
        <v>Treanor</v>
      </c>
      <c r="X8" s="442" t="str">
        <f t="shared" si="6"/>
        <v>Liam Treanor</v>
      </c>
      <c r="Y8" s="441">
        <f>'Team 8'!F5</f>
        <v>0</v>
      </c>
      <c r="Z8" s="441">
        <f>'Team 8'!G5</f>
        <v>0</v>
      </c>
      <c r="AA8" s="442" t="str">
        <f t="shared" si="7"/>
        <v>0 0</v>
      </c>
      <c r="AB8" s="441">
        <f>'Team 9'!F5</f>
        <v>0</v>
      </c>
      <c r="AC8" s="441">
        <f>'Team 9'!G5</f>
        <v>0</v>
      </c>
      <c r="AD8" s="442" t="str">
        <f t="shared" si="8"/>
        <v>0 0</v>
      </c>
      <c r="AE8" s="441">
        <f>'Team 10'!F5</f>
        <v>0</v>
      </c>
      <c r="AF8" s="441">
        <f>'Team 10'!G5</f>
        <v>0</v>
      </c>
      <c r="AG8" s="442" t="str">
        <f t="shared" si="9"/>
        <v>0 0</v>
      </c>
      <c r="AH8" s="166"/>
      <c r="AI8" s="167"/>
    </row>
    <row r="9" spans="1:35" ht="21" customHeight="1" x14ac:dyDescent="0.25">
      <c r="A9" s="402"/>
      <c r="B9" s="439">
        <v>11</v>
      </c>
      <c r="C9" s="440" t="s">
        <v>4515</v>
      </c>
      <c r="D9" s="441" t="str">
        <f>'Team 1'!F38</f>
        <v>Eleanor</v>
      </c>
      <c r="E9" s="441" t="str">
        <f>'Team 1'!G38</f>
        <v>Skinner</v>
      </c>
      <c r="F9" s="442" t="str">
        <f t="shared" si="0"/>
        <v>Eleanor Skinner</v>
      </c>
      <c r="G9" s="442" t="str">
        <f>'Team 2'!F38</f>
        <v>Esmae</v>
      </c>
      <c r="H9" s="442" t="str">
        <f>'Team 2'!G38</f>
        <v>Green</v>
      </c>
      <c r="I9" s="442" t="str">
        <f t="shared" si="1"/>
        <v>Esmae Green</v>
      </c>
      <c r="J9" s="442" t="str">
        <f>'Team 3'!F38</f>
        <v>Hannah</v>
      </c>
      <c r="K9" s="442" t="str">
        <f>'Team 3'!G38</f>
        <v>Jounor</v>
      </c>
      <c r="L9" s="442" t="str">
        <f t="shared" si="2"/>
        <v>Hannah Jounor</v>
      </c>
      <c r="M9" s="442" t="str">
        <f>'Team 4'!F38</f>
        <v>CHELSEA</v>
      </c>
      <c r="N9" s="442" t="str">
        <f>'Team 4'!G38</f>
        <v>DARE</v>
      </c>
      <c r="O9" s="442" t="str">
        <f t="shared" si="3"/>
        <v>CHELSEA DARE</v>
      </c>
      <c r="P9" s="441" t="str">
        <f>'Team 5'!F38</f>
        <v>Maisie</v>
      </c>
      <c r="Q9" s="441" t="str">
        <f>'Team 5'!G38</f>
        <v>Cooper</v>
      </c>
      <c r="R9" s="442" t="str">
        <f t="shared" si="4"/>
        <v>Maisie Cooper</v>
      </c>
      <c r="S9" s="441" t="str">
        <f>'Team 6'!F38</f>
        <v>Mahika</v>
      </c>
      <c r="T9" s="441" t="str">
        <f>'Team 6'!G38</f>
        <v>Chandrashekar</v>
      </c>
      <c r="U9" s="442" t="str">
        <f t="shared" si="5"/>
        <v>Mahika Chandrashekar</v>
      </c>
      <c r="V9" s="441" t="str">
        <f>'Team 7'!F38</f>
        <v>Zara</v>
      </c>
      <c r="W9" s="441" t="str">
        <f>'Team 7'!G38</f>
        <v>Jobanputra</v>
      </c>
      <c r="X9" s="442" t="str">
        <f t="shared" si="6"/>
        <v>Zara Jobanputra</v>
      </c>
      <c r="Y9" s="441">
        <f>'Team 8'!F38</f>
        <v>0</v>
      </c>
      <c r="Z9" s="441">
        <f>'Team 8'!G38</f>
        <v>0</v>
      </c>
      <c r="AA9" s="442" t="str">
        <f t="shared" si="7"/>
        <v>0 0</v>
      </c>
      <c r="AB9" s="441">
        <f>'Team 9'!F38</f>
        <v>0</v>
      </c>
      <c r="AC9" s="441">
        <f>'Team 9'!G38</f>
        <v>0</v>
      </c>
      <c r="AD9" s="442" t="str">
        <f t="shared" si="8"/>
        <v>0 0</v>
      </c>
      <c r="AE9" s="441">
        <f>'Team 10'!F38</f>
        <v>0</v>
      </c>
      <c r="AF9" s="441">
        <f>'Team 10'!G38</f>
        <v>0</v>
      </c>
      <c r="AG9" s="442" t="str">
        <f t="shared" si="9"/>
        <v>0 0</v>
      </c>
      <c r="AH9" s="166"/>
      <c r="AI9" s="167"/>
    </row>
    <row r="10" spans="1:35" ht="21" customHeight="1" x14ac:dyDescent="0.25">
      <c r="A10" s="402"/>
      <c r="B10" s="439">
        <v>12</v>
      </c>
      <c r="C10" s="440" t="s">
        <v>4516</v>
      </c>
      <c r="D10" s="441" t="str">
        <f>'Team 1'!F39</f>
        <v>Leonardo</v>
      </c>
      <c r="E10" s="441" t="str">
        <f>'Team 1'!G39</f>
        <v>Goad</v>
      </c>
      <c r="F10" s="442" t="str">
        <f t="shared" si="0"/>
        <v>Leonardo Goad</v>
      </c>
      <c r="G10" s="442" t="str">
        <f>'Team 2'!F39</f>
        <v>James</v>
      </c>
      <c r="H10" s="442" t="str">
        <f>'Team 2'!G39</f>
        <v>Winter</v>
      </c>
      <c r="I10" s="442" t="str">
        <f t="shared" si="1"/>
        <v>James Winter</v>
      </c>
      <c r="J10" s="442" t="str">
        <f>'Team 3'!F39</f>
        <v xml:space="preserve">Liam </v>
      </c>
      <c r="K10" s="442" t="str">
        <f>'Team 3'!G39</f>
        <v>Thompson</v>
      </c>
      <c r="L10" s="442" t="str">
        <f t="shared" si="2"/>
        <v>Liam  Thompson</v>
      </c>
      <c r="M10" s="442" t="str">
        <f>'Team 4'!F39</f>
        <v>SIMON</v>
      </c>
      <c r="N10" s="442" t="str">
        <f>'Team 4'!G39</f>
        <v>ROSA</v>
      </c>
      <c r="O10" s="442" t="str">
        <f t="shared" si="3"/>
        <v>SIMON ROSA</v>
      </c>
      <c r="P10" s="441" t="str">
        <f>'Team 5'!F39</f>
        <v>Myron</v>
      </c>
      <c r="Q10" s="441" t="str">
        <f>'Team 5'!G39</f>
        <v>Young</v>
      </c>
      <c r="R10" s="442" t="str">
        <f t="shared" si="4"/>
        <v>Myron Young</v>
      </c>
      <c r="S10" s="441" t="str">
        <f>'Team 6'!F39</f>
        <v>Macsen</v>
      </c>
      <c r="T10" s="441" t="str">
        <f>'Team 6'!G39</f>
        <v>Roberts</v>
      </c>
      <c r="U10" s="442" t="str">
        <f t="shared" si="5"/>
        <v>Macsen Roberts</v>
      </c>
      <c r="V10" s="441" t="str">
        <f>'Team 7'!F39</f>
        <v>Christopher</v>
      </c>
      <c r="W10" s="441" t="str">
        <f>'Team 7'!G39</f>
        <v>Li Mow Ching</v>
      </c>
      <c r="X10" s="442" t="str">
        <f t="shared" si="6"/>
        <v>Christopher Li Mow Ching</v>
      </c>
      <c r="Y10" s="441">
        <f>'Team 8'!F39</f>
        <v>0</v>
      </c>
      <c r="Z10" s="441">
        <f>'Team 8'!G39</f>
        <v>0</v>
      </c>
      <c r="AA10" s="442" t="str">
        <f t="shared" si="7"/>
        <v>0 0</v>
      </c>
      <c r="AB10" s="441">
        <f>'Team 9'!F39</f>
        <v>0</v>
      </c>
      <c r="AC10" s="441">
        <f>'Team 9'!G39</f>
        <v>0</v>
      </c>
      <c r="AD10" s="442" t="str">
        <f t="shared" si="8"/>
        <v>0 0</v>
      </c>
      <c r="AE10" s="441">
        <f>'Team 10'!F39</f>
        <v>0</v>
      </c>
      <c r="AF10" s="441">
        <f>'Team 10'!G39</f>
        <v>0</v>
      </c>
      <c r="AG10" s="442" t="str">
        <f t="shared" si="9"/>
        <v>0 0</v>
      </c>
      <c r="AH10" s="166"/>
      <c r="AI10" s="167"/>
    </row>
    <row r="11" spans="1:35" ht="21" customHeight="1" x14ac:dyDescent="0.25">
      <c r="A11" s="402"/>
      <c r="B11" s="439">
        <v>13</v>
      </c>
      <c r="C11" s="440" t="s">
        <v>4517</v>
      </c>
      <c r="D11" s="441" t="str">
        <f>'Team 1'!F40</f>
        <v>Amy</v>
      </c>
      <c r="E11" s="441" t="str">
        <f>'Team 1'!G40</f>
        <v>Hanson</v>
      </c>
      <c r="F11" s="442" t="str">
        <f t="shared" si="0"/>
        <v>Amy Hanson</v>
      </c>
      <c r="G11" s="442" t="str">
        <f>'Team 2'!F40</f>
        <v>Ruby</v>
      </c>
      <c r="H11" s="442" t="str">
        <f>'Team 2'!G40</f>
        <v>Whitby</v>
      </c>
      <c r="I11" s="442" t="str">
        <f t="shared" si="1"/>
        <v>Ruby Whitby</v>
      </c>
      <c r="J11" s="442" t="str">
        <f>'Team 3'!F40</f>
        <v>Mia</v>
      </c>
      <c r="K11" s="442" t="str">
        <f>'Team 3'!G40</f>
        <v>Nelson</v>
      </c>
      <c r="L11" s="442" t="str">
        <f t="shared" si="2"/>
        <v>Mia Nelson</v>
      </c>
      <c r="M11" s="442" t="str">
        <f>'Team 4'!F40</f>
        <v>FRANCES</v>
      </c>
      <c r="N11" s="442" t="str">
        <f>'Team 4'!G40</f>
        <v>STARSMORE</v>
      </c>
      <c r="O11" s="442" t="str">
        <f t="shared" si="3"/>
        <v>FRANCES STARSMORE</v>
      </c>
      <c r="P11" s="441" t="str">
        <f>'Team 5'!F40</f>
        <v>Isabelle</v>
      </c>
      <c r="Q11" s="441" t="str">
        <f>'Team 5'!G40</f>
        <v>Reeve</v>
      </c>
      <c r="R11" s="442" t="str">
        <f t="shared" si="4"/>
        <v>Isabelle Reeve</v>
      </c>
      <c r="S11" s="441" t="str">
        <f>'Team 6'!F40</f>
        <v>Emma</v>
      </c>
      <c r="T11" s="441" t="str">
        <f>'Team 6'!G40</f>
        <v>Sum</v>
      </c>
      <c r="U11" s="442" t="str">
        <f t="shared" si="5"/>
        <v>Emma Sum</v>
      </c>
      <c r="V11" s="441" t="str">
        <f>'Team 7'!F40</f>
        <v>Mia</v>
      </c>
      <c r="W11" s="441" t="str">
        <f>'Team 7'!G40</f>
        <v>Curle</v>
      </c>
      <c r="X11" s="442" t="str">
        <f t="shared" si="6"/>
        <v>Mia Curle</v>
      </c>
      <c r="Y11" s="441">
        <f>'Team 8'!F40</f>
        <v>0</v>
      </c>
      <c r="Z11" s="441">
        <f>'Team 8'!G40</f>
        <v>0</v>
      </c>
      <c r="AA11" s="442" t="str">
        <f t="shared" si="7"/>
        <v>0 0</v>
      </c>
      <c r="AB11" s="441">
        <f>'Team 9'!F40</f>
        <v>0</v>
      </c>
      <c r="AC11" s="441">
        <f>'Team 9'!G40</f>
        <v>0</v>
      </c>
      <c r="AD11" s="442" t="str">
        <f t="shared" si="8"/>
        <v>0 0</v>
      </c>
      <c r="AE11" s="441">
        <f>'Team 10'!F40</f>
        <v>0</v>
      </c>
      <c r="AF11" s="441">
        <f>'Team 10'!G40</f>
        <v>0</v>
      </c>
      <c r="AG11" s="442" t="str">
        <f t="shared" si="9"/>
        <v>0 0</v>
      </c>
      <c r="AH11" s="166"/>
      <c r="AI11" s="167"/>
    </row>
    <row r="12" spans="1:35" ht="21" customHeight="1" x14ac:dyDescent="0.25">
      <c r="A12" s="402"/>
      <c r="B12" s="439">
        <v>14</v>
      </c>
      <c r="C12" s="440" t="s">
        <v>4518</v>
      </c>
      <c r="D12" s="441" t="str">
        <f>'Team 1'!F41</f>
        <v>Albert</v>
      </c>
      <c r="E12" s="441" t="str">
        <f>'Team 1'!G41</f>
        <v>Nezha</v>
      </c>
      <c r="F12" s="442" t="str">
        <f t="shared" si="0"/>
        <v>Albert Nezha</v>
      </c>
      <c r="G12" s="442" t="str">
        <f>'Team 2'!F41</f>
        <v>Kai Jun Wai</v>
      </c>
      <c r="H12" s="442" t="str">
        <f>'Team 2'!G41</f>
        <v>Cheung</v>
      </c>
      <c r="I12" s="442" t="str">
        <f t="shared" si="1"/>
        <v>Kai Jun Wai Cheung</v>
      </c>
      <c r="J12" s="442" t="str">
        <f>'Team 3'!F41</f>
        <v>Ryan</v>
      </c>
      <c r="K12" s="442" t="str">
        <f>'Team 3'!G41</f>
        <v>Wimpenny</v>
      </c>
      <c r="L12" s="442" t="str">
        <f t="shared" si="2"/>
        <v>Ryan Wimpenny</v>
      </c>
      <c r="M12" s="442" t="str">
        <f>'Team 4'!F41</f>
        <v>Samuel</v>
      </c>
      <c r="N12" s="442" t="str">
        <f>'Team 4'!G41</f>
        <v>Rosa</v>
      </c>
      <c r="O12" s="442" t="str">
        <f t="shared" si="3"/>
        <v>Samuel Rosa</v>
      </c>
      <c r="P12" s="441" t="str">
        <f>'Team 5'!F41</f>
        <v>Bradley</v>
      </c>
      <c r="Q12" s="441" t="str">
        <f>'Team 5'!G41</f>
        <v>Rawlinson</v>
      </c>
      <c r="R12" s="442" t="str">
        <f t="shared" si="4"/>
        <v>Bradley Rawlinson</v>
      </c>
      <c r="S12" s="441" t="str">
        <f>'Team 6'!F41</f>
        <v>Dylan</v>
      </c>
      <c r="T12" s="441" t="str">
        <f>'Team 6'!G41</f>
        <v>Roberts</v>
      </c>
      <c r="U12" s="442" t="str">
        <f t="shared" si="5"/>
        <v>Dylan Roberts</v>
      </c>
      <c r="V12" s="441" t="str">
        <f>'Team 7'!F41</f>
        <v>Advay</v>
      </c>
      <c r="W12" s="441" t="str">
        <f>'Team 7'!G41</f>
        <v>Bhatia</v>
      </c>
      <c r="X12" s="442" t="str">
        <f t="shared" si="6"/>
        <v>Advay Bhatia</v>
      </c>
      <c r="Y12" s="441">
        <f>'Team 8'!F41</f>
        <v>0</v>
      </c>
      <c r="Z12" s="441">
        <f>'Team 8'!G41</f>
        <v>0</v>
      </c>
      <c r="AA12" s="442" t="str">
        <f t="shared" si="7"/>
        <v>0 0</v>
      </c>
      <c r="AB12" s="441">
        <f>'Team 9'!F41</f>
        <v>0</v>
      </c>
      <c r="AC12" s="441">
        <f>'Team 9'!G41</f>
        <v>0</v>
      </c>
      <c r="AD12" s="442" t="str">
        <f t="shared" si="8"/>
        <v>0 0</v>
      </c>
      <c r="AE12" s="441">
        <f>'Team 10'!F41</f>
        <v>0</v>
      </c>
      <c r="AF12" s="441">
        <f>'Team 10'!G41</f>
        <v>0</v>
      </c>
      <c r="AG12" s="442" t="str">
        <f t="shared" si="9"/>
        <v>0 0</v>
      </c>
      <c r="AH12" s="166"/>
      <c r="AI12" s="167"/>
    </row>
    <row r="13" spans="1:35" ht="21" customHeight="1" x14ac:dyDescent="0.25">
      <c r="A13" s="402"/>
      <c r="B13" s="439">
        <v>15</v>
      </c>
      <c r="C13" s="440" t="s">
        <v>4519</v>
      </c>
      <c r="D13" s="441" t="str">
        <f>'Team 1'!F42</f>
        <v>Shreya</v>
      </c>
      <c r="E13" s="441" t="str">
        <f>'Team 1'!G42</f>
        <v>Bavishi</v>
      </c>
      <c r="F13" s="442" t="str">
        <f t="shared" si="0"/>
        <v>Shreya Bavishi</v>
      </c>
      <c r="G13" s="442" t="str">
        <f>'Team 2'!F42</f>
        <v>Daisy</v>
      </c>
      <c r="H13" s="442" t="str">
        <f>'Team 2'!G42</f>
        <v>Harradine</v>
      </c>
      <c r="I13" s="442" t="str">
        <f t="shared" si="1"/>
        <v>Daisy Harradine</v>
      </c>
      <c r="J13" s="442" t="str">
        <f>'Team 3'!F42</f>
        <v>Hannah</v>
      </c>
      <c r="K13" s="442" t="str">
        <f>'Team 3'!G42</f>
        <v>Lovelock</v>
      </c>
      <c r="L13" s="442" t="str">
        <f t="shared" si="2"/>
        <v>Hannah Lovelock</v>
      </c>
      <c r="M13" s="442" t="str">
        <f>'Team 4'!F42</f>
        <v>MEGAN</v>
      </c>
      <c r="N13" s="442" t="str">
        <f>'Team 4'!G42</f>
        <v>JOHNSON</v>
      </c>
      <c r="O13" s="442" t="str">
        <f t="shared" si="3"/>
        <v>MEGAN JOHNSON</v>
      </c>
      <c r="P13" s="441" t="str">
        <f>'Team 5'!F42</f>
        <v>Hollie</v>
      </c>
      <c r="Q13" s="441" t="str">
        <f>'Team 5'!G42</f>
        <v>Heighes</v>
      </c>
      <c r="R13" s="442" t="str">
        <f t="shared" si="4"/>
        <v>Hollie Heighes</v>
      </c>
      <c r="S13" s="441" t="str">
        <f>'Team 6'!F42</f>
        <v xml:space="preserve">Alice </v>
      </c>
      <c r="T13" s="441" t="str">
        <f>'Team 6'!G42</f>
        <v>Sharrock</v>
      </c>
      <c r="U13" s="442" t="str">
        <f t="shared" si="5"/>
        <v>Alice  Sharrock</v>
      </c>
      <c r="V13" s="441" t="str">
        <f>'Team 7'!F42</f>
        <v>Keanna</v>
      </c>
      <c r="W13" s="441" t="str">
        <f>'Team 7'!G42</f>
        <v>Roets</v>
      </c>
      <c r="X13" s="442" t="str">
        <f t="shared" si="6"/>
        <v>Keanna Roets</v>
      </c>
      <c r="Y13" s="441">
        <f>'Team 8'!F42</f>
        <v>0</v>
      </c>
      <c r="Z13" s="441">
        <f>'Team 8'!G42</f>
        <v>0</v>
      </c>
      <c r="AA13" s="442" t="str">
        <f t="shared" si="7"/>
        <v>0 0</v>
      </c>
      <c r="AB13" s="441">
        <f>'Team 9'!F42</f>
        <v>0</v>
      </c>
      <c r="AC13" s="441">
        <f>'Team 9'!G42</f>
        <v>0</v>
      </c>
      <c r="AD13" s="442" t="str">
        <f t="shared" si="8"/>
        <v>0 0</v>
      </c>
      <c r="AE13" s="441">
        <f>'Team 10'!F42</f>
        <v>0</v>
      </c>
      <c r="AF13" s="441">
        <f>'Team 10'!G42</f>
        <v>0</v>
      </c>
      <c r="AG13" s="442" t="str">
        <f t="shared" si="9"/>
        <v>0 0</v>
      </c>
      <c r="AH13" s="166"/>
      <c r="AI13" s="167"/>
    </row>
    <row r="14" spans="1:35" ht="21" customHeight="1" x14ac:dyDescent="0.25">
      <c r="A14" s="402"/>
      <c r="B14" s="439">
        <v>16</v>
      </c>
      <c r="C14" s="440" t="s">
        <v>4520</v>
      </c>
      <c r="D14" s="441" t="str">
        <f>'Team 1'!F43</f>
        <v>Zalan</v>
      </c>
      <c r="E14" s="441" t="str">
        <f>'Team 1'!G43</f>
        <v>Tornay</v>
      </c>
      <c r="F14" s="442" t="str">
        <f t="shared" si="0"/>
        <v>Zalan Tornay</v>
      </c>
      <c r="G14" s="442" t="str">
        <f>'Team 2'!F43</f>
        <v>Alexander</v>
      </c>
      <c r="H14" s="442" t="str">
        <f>'Team 2'!G43</f>
        <v>Gregory</v>
      </c>
      <c r="I14" s="442" t="str">
        <f t="shared" si="1"/>
        <v>Alexander Gregory</v>
      </c>
      <c r="J14" s="442" t="str">
        <f>'Team 3'!F43</f>
        <v>Alfie</v>
      </c>
      <c r="K14" s="442" t="str">
        <f>'Team 3'!G43</f>
        <v>Bullock</v>
      </c>
      <c r="L14" s="442" t="str">
        <f t="shared" si="2"/>
        <v>Alfie Bullock</v>
      </c>
      <c r="M14" s="442" t="str">
        <f>'Team 4'!F43</f>
        <v>CHARLES</v>
      </c>
      <c r="N14" s="442" t="str">
        <f>'Team 4'!G43</f>
        <v>RAINES</v>
      </c>
      <c r="O14" s="442" t="str">
        <f t="shared" si="3"/>
        <v>CHARLES RAINES</v>
      </c>
      <c r="P14" s="441" t="str">
        <f>'Team 5'!F43</f>
        <v>Albert</v>
      </c>
      <c r="Q14" s="441" t="str">
        <f>'Team 5'!G43</f>
        <v>Orley</v>
      </c>
      <c r="R14" s="442" t="str">
        <f t="shared" si="4"/>
        <v>Albert Orley</v>
      </c>
      <c r="S14" s="441" t="str">
        <f>'Team 6'!F43</f>
        <v>Louis</v>
      </c>
      <c r="T14" s="441" t="str">
        <f>'Team 6'!G43</f>
        <v>Waissman</v>
      </c>
      <c r="U14" s="442" t="str">
        <f t="shared" si="5"/>
        <v>Louis Waissman</v>
      </c>
      <c r="V14" s="441" t="str">
        <f>'Team 7'!F43</f>
        <v>Tsz Kwai</v>
      </c>
      <c r="W14" s="441" t="str">
        <f>'Team 7'!G43</f>
        <v>Chan</v>
      </c>
      <c r="X14" s="442" t="str">
        <f t="shared" si="6"/>
        <v>Tsz Kwai Chan</v>
      </c>
      <c r="Y14" s="441">
        <f>'Team 8'!F43</f>
        <v>0</v>
      </c>
      <c r="Z14" s="441">
        <f>'Team 8'!G43</f>
        <v>0</v>
      </c>
      <c r="AA14" s="442" t="str">
        <f t="shared" si="7"/>
        <v>0 0</v>
      </c>
      <c r="AB14" s="441">
        <f>'Team 9'!F43</f>
        <v>0</v>
      </c>
      <c r="AC14" s="441">
        <f>'Team 9'!G43</f>
        <v>0</v>
      </c>
      <c r="AD14" s="442" t="str">
        <f t="shared" si="8"/>
        <v>0 0</v>
      </c>
      <c r="AE14" s="441">
        <f>'Team 10'!F43</f>
        <v>0</v>
      </c>
      <c r="AF14" s="441">
        <f>'Team 10'!G43</f>
        <v>0</v>
      </c>
      <c r="AG14" s="442" t="str">
        <f t="shared" si="9"/>
        <v>0 0</v>
      </c>
      <c r="AH14" s="166"/>
      <c r="AI14" s="167"/>
    </row>
    <row r="15" spans="1:35" ht="21" customHeight="1" x14ac:dyDescent="0.25">
      <c r="A15" s="402"/>
      <c r="B15" s="439">
        <v>17</v>
      </c>
      <c r="C15" s="440" t="s">
        <v>4521</v>
      </c>
      <c r="D15" s="441" t="str">
        <f>'Team 1'!F44</f>
        <v>Maja</v>
      </c>
      <c r="E15" s="441" t="str">
        <f>'Team 1'!G44</f>
        <v>Grzybek</v>
      </c>
      <c r="F15" s="442" t="str">
        <f t="shared" si="0"/>
        <v>Maja Grzybek</v>
      </c>
      <c r="G15" s="442" t="str">
        <f>'Team 2'!F44</f>
        <v>Madeleine</v>
      </c>
      <c r="H15" s="442" t="str">
        <f>'Team 2'!G44</f>
        <v>Bailiss</v>
      </c>
      <c r="I15" s="442" t="str">
        <f t="shared" si="1"/>
        <v>Madeleine Bailiss</v>
      </c>
      <c r="J15" s="442" t="str">
        <f>'Team 3'!F44</f>
        <v>Sophie</v>
      </c>
      <c r="K15" s="442" t="str">
        <f>'Team 3'!G44</f>
        <v>Clark</v>
      </c>
      <c r="L15" s="442" t="str">
        <f t="shared" si="2"/>
        <v>Sophie Clark</v>
      </c>
      <c r="M15" s="442" t="str">
        <f>'Team 4'!F44</f>
        <v>LIBBY</v>
      </c>
      <c r="N15" s="442" t="str">
        <f>'Team 4'!G44</f>
        <v>BLISSETT</v>
      </c>
      <c r="O15" s="442" t="str">
        <f t="shared" si="3"/>
        <v>LIBBY BLISSETT</v>
      </c>
      <c r="P15" s="441" t="str">
        <f>'Team 5'!F44</f>
        <v>Kathryn</v>
      </c>
      <c r="Q15" s="441" t="str">
        <f>'Team 5'!G44</f>
        <v>Edwards</v>
      </c>
      <c r="R15" s="442" t="str">
        <f t="shared" si="4"/>
        <v>Kathryn Edwards</v>
      </c>
      <c r="S15" s="441" t="str">
        <f>'Team 6'!F44</f>
        <v>Laura</v>
      </c>
      <c r="T15" s="441" t="str">
        <f>'Team 6'!G44</f>
        <v>Leksander</v>
      </c>
      <c r="U15" s="442" t="str">
        <f t="shared" si="5"/>
        <v>Laura Leksander</v>
      </c>
      <c r="V15" s="441" t="str">
        <f>'Team 7'!F44</f>
        <v>Keira</v>
      </c>
      <c r="W15" s="441" t="str">
        <f>'Team 7'!G44</f>
        <v>Brannigan</v>
      </c>
      <c r="X15" s="442" t="str">
        <f t="shared" si="6"/>
        <v>Keira Brannigan</v>
      </c>
      <c r="Y15" s="441">
        <f>'Team 8'!F44</f>
        <v>0</v>
      </c>
      <c r="Z15" s="441">
        <f>'Team 8'!G44</f>
        <v>0</v>
      </c>
      <c r="AA15" s="442" t="str">
        <f t="shared" si="7"/>
        <v>0 0</v>
      </c>
      <c r="AB15" s="441">
        <f>'Team 9'!F44</f>
        <v>0</v>
      </c>
      <c r="AC15" s="441">
        <f>'Team 9'!G44</f>
        <v>0</v>
      </c>
      <c r="AD15" s="442" t="str">
        <f t="shared" si="8"/>
        <v>0 0</v>
      </c>
      <c r="AE15" s="441">
        <f>'Team 10'!F44</f>
        <v>0</v>
      </c>
      <c r="AF15" s="441">
        <f>'Team 10'!G44</f>
        <v>0</v>
      </c>
      <c r="AG15" s="442" t="str">
        <f t="shared" si="9"/>
        <v>0 0</v>
      </c>
      <c r="AH15" s="166"/>
      <c r="AI15" s="167"/>
    </row>
    <row r="16" spans="1:35" ht="21" customHeight="1" x14ac:dyDescent="0.25">
      <c r="A16" s="402"/>
      <c r="B16" s="439">
        <v>18</v>
      </c>
      <c r="C16" s="440" t="s">
        <v>4522</v>
      </c>
      <c r="D16" s="441">
        <f>'Team 1'!F45</f>
        <v>0</v>
      </c>
      <c r="E16" s="441">
        <f>'Team 1'!G45</f>
        <v>0</v>
      </c>
      <c r="F16" s="442" t="str">
        <f t="shared" si="0"/>
        <v>0 0</v>
      </c>
      <c r="G16" s="442" t="str">
        <f>'Team 2'!F45</f>
        <v>Samuel</v>
      </c>
      <c r="H16" s="442" t="str">
        <f>'Team 2'!G45</f>
        <v>Heraty</v>
      </c>
      <c r="I16" s="442" t="str">
        <f t="shared" si="1"/>
        <v>Samuel Heraty</v>
      </c>
      <c r="J16" s="442" t="str">
        <f>'Team 3'!F45</f>
        <v>Luke</v>
      </c>
      <c r="K16" s="442" t="str">
        <f>'Team 3'!G45</f>
        <v>Morley</v>
      </c>
      <c r="L16" s="442" t="str">
        <f t="shared" si="2"/>
        <v>Luke Morley</v>
      </c>
      <c r="M16" s="442" t="str">
        <f>'Team 4'!F45</f>
        <v>ELLIS</v>
      </c>
      <c r="N16" s="442" t="str">
        <f>'Team 4'!G45</f>
        <v>BUNCE</v>
      </c>
      <c r="O16" s="442" t="str">
        <f t="shared" si="3"/>
        <v>ELLIS BUNCE</v>
      </c>
      <c r="P16" s="441" t="str">
        <f>'Team 5'!F45</f>
        <v>Daniel</v>
      </c>
      <c r="Q16" s="441" t="str">
        <f>'Team 5'!G45</f>
        <v>Parker</v>
      </c>
      <c r="R16" s="442" t="str">
        <f t="shared" si="4"/>
        <v>Daniel Parker</v>
      </c>
      <c r="S16" s="441" t="str">
        <f>'Team 6'!F45</f>
        <v>Shanil</v>
      </c>
      <c r="T16" s="441" t="str">
        <f>'Team 6'!G45</f>
        <v>Ramaiya</v>
      </c>
      <c r="U16" s="442" t="str">
        <f t="shared" si="5"/>
        <v>Shanil Ramaiya</v>
      </c>
      <c r="V16" s="441" t="str">
        <f>'Team 7'!F45</f>
        <v>Liam</v>
      </c>
      <c r="W16" s="441" t="str">
        <f>'Team 7'!G45</f>
        <v>Treanor</v>
      </c>
      <c r="X16" s="442" t="str">
        <f t="shared" si="6"/>
        <v>Liam Treanor</v>
      </c>
      <c r="Y16" s="441">
        <f>'Team 8'!F45</f>
        <v>0</v>
      </c>
      <c r="Z16" s="441">
        <f>'Team 8'!G45</f>
        <v>0</v>
      </c>
      <c r="AA16" s="442" t="str">
        <f t="shared" si="7"/>
        <v>0 0</v>
      </c>
      <c r="AB16" s="441">
        <f>'Team 9'!F45</f>
        <v>0</v>
      </c>
      <c r="AC16" s="441">
        <f>'Team 9'!G45</f>
        <v>0</v>
      </c>
      <c r="AD16" s="442" t="str">
        <f t="shared" si="8"/>
        <v>0 0</v>
      </c>
      <c r="AE16" s="441">
        <f>'Team 10'!F45</f>
        <v>0</v>
      </c>
      <c r="AF16" s="441">
        <f>'Team 10'!G45</f>
        <v>0</v>
      </c>
      <c r="AG16" s="442" t="str">
        <f t="shared" si="9"/>
        <v>0 0</v>
      </c>
      <c r="AH16" s="166"/>
      <c r="AI16" s="167"/>
    </row>
    <row r="17" spans="1:35" ht="21" customHeight="1" x14ac:dyDescent="0.25">
      <c r="A17" s="402"/>
      <c r="B17" s="439">
        <v>19</v>
      </c>
      <c r="C17" s="440" t="s">
        <v>4523</v>
      </c>
      <c r="D17" s="441" t="str">
        <f>'Team 1'!F46</f>
        <v>Claudia</v>
      </c>
      <c r="E17" s="441" t="str">
        <f>'Team 1'!G46</f>
        <v>Savov</v>
      </c>
      <c r="F17" s="442" t="str">
        <f t="shared" si="0"/>
        <v>Claudia Savov</v>
      </c>
      <c r="G17" s="442" t="str">
        <f>'Team 2'!F46</f>
        <v>Maya</v>
      </c>
      <c r="H17" s="442" t="str">
        <f>'Team 2'!G46</f>
        <v>Wegner</v>
      </c>
      <c r="I17" s="442" t="str">
        <f t="shared" si="1"/>
        <v>Maya Wegner</v>
      </c>
      <c r="J17" s="442" t="str">
        <f>'Team 3'!F46</f>
        <v>Scarlett</v>
      </c>
      <c r="K17" s="442" t="str">
        <f>'Team 3'!G46</f>
        <v>Omand</v>
      </c>
      <c r="L17" s="442" t="str">
        <f t="shared" si="2"/>
        <v>Scarlett Omand</v>
      </c>
      <c r="M17" s="442" t="str">
        <f>'Team 4'!F46</f>
        <v>WILLOW</v>
      </c>
      <c r="N17" s="442" t="str">
        <f>'Team 4'!G46</f>
        <v>BROWNBRIDGE</v>
      </c>
      <c r="O17" s="442" t="str">
        <f t="shared" si="3"/>
        <v>WILLOW BROWNBRIDGE</v>
      </c>
      <c r="P17" s="441" t="str">
        <f>'Team 5'!F46</f>
        <v>Caoife</v>
      </c>
      <c r="Q17" s="441" t="str">
        <f>'Team 5'!G46</f>
        <v>Long</v>
      </c>
      <c r="R17" s="442" t="str">
        <f t="shared" si="4"/>
        <v>Caoife Long</v>
      </c>
      <c r="S17" s="441" t="str">
        <f>'Team 6'!F46</f>
        <v xml:space="preserve">Miraya </v>
      </c>
      <c r="T17" s="441" t="str">
        <f>'Team 6'!G46</f>
        <v>Patel</v>
      </c>
      <c r="U17" s="442" t="str">
        <f t="shared" si="5"/>
        <v>Miraya  Patel</v>
      </c>
      <c r="V17" s="441" t="str">
        <f>'Team 7'!F46</f>
        <v>Zara</v>
      </c>
      <c r="W17" s="441" t="str">
        <f>'Team 7'!G46</f>
        <v>Jobanputra</v>
      </c>
      <c r="X17" s="442" t="str">
        <f t="shared" si="6"/>
        <v>Zara Jobanputra</v>
      </c>
      <c r="Y17" s="441">
        <f>'Team 8'!F46</f>
        <v>0</v>
      </c>
      <c r="Z17" s="441">
        <f>'Team 8'!G46</f>
        <v>0</v>
      </c>
      <c r="AA17" s="442" t="str">
        <f t="shared" si="7"/>
        <v>0 0</v>
      </c>
      <c r="AB17" s="441">
        <f>'Team 9'!F46</f>
        <v>0</v>
      </c>
      <c r="AC17" s="441">
        <f>'Team 9'!G46</f>
        <v>0</v>
      </c>
      <c r="AD17" s="442" t="str">
        <f t="shared" si="8"/>
        <v>0 0</v>
      </c>
      <c r="AE17" s="441">
        <f>'Team 10'!F46</f>
        <v>0</v>
      </c>
      <c r="AF17" s="441">
        <f>'Team 10'!G46</f>
        <v>0</v>
      </c>
      <c r="AG17" s="442" t="str">
        <f t="shared" si="9"/>
        <v>0 0</v>
      </c>
      <c r="AH17" s="166"/>
      <c r="AI17" s="167"/>
    </row>
    <row r="18" spans="1:35" ht="21" customHeight="1" x14ac:dyDescent="0.25">
      <c r="A18" s="402"/>
      <c r="B18" s="439">
        <v>20</v>
      </c>
      <c r="C18" s="440" t="s">
        <v>4524</v>
      </c>
      <c r="D18" s="441" t="str">
        <f>'Team 1'!F47</f>
        <v>Kornel</v>
      </c>
      <c r="E18" s="441" t="str">
        <f>'Team 1'!G47</f>
        <v>Kern-Konyar</v>
      </c>
      <c r="F18" s="442" t="str">
        <f t="shared" si="0"/>
        <v>Kornel Kern-Konyar</v>
      </c>
      <c r="G18" s="442" t="str">
        <f>'Team 2'!F47</f>
        <v>James</v>
      </c>
      <c r="H18" s="442" t="str">
        <f>'Team 2'!G47</f>
        <v>Winter</v>
      </c>
      <c r="I18" s="442" t="str">
        <f t="shared" si="1"/>
        <v>James Winter</v>
      </c>
      <c r="J18" s="442" t="str">
        <f>'Team 3'!F47</f>
        <v>Maxwell</v>
      </c>
      <c r="K18" s="442" t="str">
        <f>'Team 3'!G47</f>
        <v>Croft</v>
      </c>
      <c r="L18" s="442" t="str">
        <f t="shared" si="2"/>
        <v>Maxwell Croft</v>
      </c>
      <c r="M18" s="442" t="str">
        <f>'Team 4'!F47</f>
        <v>SIMON</v>
      </c>
      <c r="N18" s="442" t="str">
        <f>'Team 4'!G47</f>
        <v>ROSA</v>
      </c>
      <c r="O18" s="442" t="str">
        <f t="shared" si="3"/>
        <v>SIMON ROSA</v>
      </c>
      <c r="P18" s="441" t="str">
        <f>'Team 5'!F47</f>
        <v>Myron</v>
      </c>
      <c r="Q18" s="441" t="str">
        <f>'Team 5'!G47</f>
        <v>Young</v>
      </c>
      <c r="R18" s="442" t="str">
        <f t="shared" si="4"/>
        <v>Myron Young</v>
      </c>
      <c r="S18" s="441" t="str">
        <f>'Team 6'!F47</f>
        <v>Mikhail</v>
      </c>
      <c r="T18" s="441" t="str">
        <f>'Team 6'!G47</f>
        <v>Fedorov</v>
      </c>
      <c r="U18" s="442" t="str">
        <f t="shared" si="5"/>
        <v>Mikhail Fedorov</v>
      </c>
      <c r="V18" s="441" t="str">
        <f>'Team 7'!F47</f>
        <v>Jai</v>
      </c>
      <c r="W18" s="441" t="str">
        <f>'Team 7'!G47</f>
        <v>Bhuwania</v>
      </c>
      <c r="X18" s="442" t="str">
        <f t="shared" si="6"/>
        <v>Jai Bhuwania</v>
      </c>
      <c r="Y18" s="441">
        <f>'Team 8'!F47</f>
        <v>0</v>
      </c>
      <c r="Z18" s="441">
        <f>'Team 8'!G47</f>
        <v>0</v>
      </c>
      <c r="AA18" s="442" t="str">
        <f t="shared" si="7"/>
        <v>0 0</v>
      </c>
      <c r="AB18" s="441">
        <f>'Team 9'!F47</f>
        <v>0</v>
      </c>
      <c r="AC18" s="441">
        <f>'Team 9'!G47</f>
        <v>0</v>
      </c>
      <c r="AD18" s="442" t="str">
        <f t="shared" si="8"/>
        <v>0 0</v>
      </c>
      <c r="AE18" s="441">
        <f>'Team 10'!F47</f>
        <v>0</v>
      </c>
      <c r="AF18" s="441">
        <f>'Team 10'!G47</f>
        <v>0</v>
      </c>
      <c r="AG18" s="442" t="str">
        <f t="shared" si="9"/>
        <v>0 0</v>
      </c>
      <c r="AH18" s="166"/>
      <c r="AI18" s="167"/>
    </row>
    <row r="19" spans="1:35" ht="21" customHeight="1" x14ac:dyDescent="0.25">
      <c r="A19" s="402"/>
      <c r="B19" s="439">
        <v>21</v>
      </c>
      <c r="C19" s="440" t="s">
        <v>4525</v>
      </c>
      <c r="D19" s="441" t="str">
        <f>'Team 1'!F48</f>
        <v>Ane</v>
      </c>
      <c r="E19" s="441" t="str">
        <f>'Team 1'!G48</f>
        <v>Pedraza-Eguia</v>
      </c>
      <c r="F19" s="442" t="str">
        <f t="shared" si="0"/>
        <v>Ane Pedraza-Eguia</v>
      </c>
      <c r="G19" s="442" t="str">
        <f>'Team 2'!F48</f>
        <v>Sophie</v>
      </c>
      <c r="H19" s="442" t="str">
        <f>'Team 2'!G48</f>
        <v>Heraty</v>
      </c>
      <c r="I19" s="442" t="str">
        <f t="shared" si="1"/>
        <v>Sophie Heraty</v>
      </c>
      <c r="J19" s="442" t="str">
        <f>'Team 3'!F48</f>
        <v>Maya</v>
      </c>
      <c r="K19" s="442" t="str">
        <f>'Team 3'!G48</f>
        <v>Robu</v>
      </c>
      <c r="L19" s="442" t="str">
        <f t="shared" si="2"/>
        <v>Maya Robu</v>
      </c>
      <c r="M19" s="442" t="str">
        <f>'Team 4'!F48</f>
        <v>FRANCES</v>
      </c>
      <c r="N19" s="442" t="str">
        <f>'Team 4'!G48</f>
        <v>STARSMORE</v>
      </c>
      <c r="O19" s="442" t="str">
        <f t="shared" si="3"/>
        <v>FRANCES STARSMORE</v>
      </c>
      <c r="P19" s="441" t="str">
        <f>'Team 5'!F48</f>
        <v>Orlagh</v>
      </c>
      <c r="Q19" s="441" t="str">
        <f>'Team 5'!G48</f>
        <v>Northgrave</v>
      </c>
      <c r="R19" s="442" t="str">
        <f t="shared" si="4"/>
        <v>Orlagh Northgrave</v>
      </c>
      <c r="S19" s="441" t="str">
        <f>'Team 6'!F48</f>
        <v xml:space="preserve">Polina </v>
      </c>
      <c r="T19" s="441" t="str">
        <f>'Team 6'!G48</f>
        <v>Fedorova</v>
      </c>
      <c r="U19" s="442" t="str">
        <f t="shared" si="5"/>
        <v>Polina  Fedorova</v>
      </c>
      <c r="V19" s="441" t="str">
        <f>'Team 7'!F48</f>
        <v>Jessica</v>
      </c>
      <c r="W19" s="441" t="str">
        <f>'Team 7'!G48</f>
        <v>Riach</v>
      </c>
      <c r="X19" s="442" t="str">
        <f t="shared" si="6"/>
        <v>Jessica Riach</v>
      </c>
      <c r="Y19" s="441">
        <f>'Team 8'!F48</f>
        <v>0</v>
      </c>
      <c r="Z19" s="441">
        <f>'Team 8'!G48</f>
        <v>0</v>
      </c>
      <c r="AA19" s="442" t="str">
        <f t="shared" si="7"/>
        <v>0 0</v>
      </c>
      <c r="AB19" s="441">
        <f>'Team 9'!F48</f>
        <v>0</v>
      </c>
      <c r="AC19" s="441">
        <f>'Team 9'!G48</f>
        <v>0</v>
      </c>
      <c r="AD19" s="442" t="str">
        <f t="shared" si="8"/>
        <v>0 0</v>
      </c>
      <c r="AE19" s="441">
        <f>'Team 10'!F48</f>
        <v>0</v>
      </c>
      <c r="AF19" s="441">
        <f>'Team 10'!G48</f>
        <v>0</v>
      </c>
      <c r="AG19" s="442" t="str">
        <f t="shared" si="9"/>
        <v>0 0</v>
      </c>
      <c r="AH19" s="166"/>
      <c r="AI19" s="167"/>
    </row>
    <row r="20" spans="1:35" ht="21" customHeight="1" x14ac:dyDescent="0.25">
      <c r="A20" s="402"/>
      <c r="B20" s="439">
        <v>22</v>
      </c>
      <c r="C20" s="440" t="s">
        <v>4526</v>
      </c>
      <c r="D20" s="441" t="str">
        <f>'Team 1'!F49</f>
        <v>Yigit</v>
      </c>
      <c r="E20" s="441" t="str">
        <f>'Team 1'!G49</f>
        <v>Ilhan</v>
      </c>
      <c r="F20" s="442" t="str">
        <f t="shared" si="0"/>
        <v>Yigit Ilhan</v>
      </c>
      <c r="G20" s="442" t="str">
        <f>'Team 2'!F49</f>
        <v>James</v>
      </c>
      <c r="H20" s="442" t="str">
        <f>'Team 2'!G49</f>
        <v>Winter</v>
      </c>
      <c r="I20" s="442" t="str">
        <f t="shared" si="1"/>
        <v>James Winter</v>
      </c>
      <c r="J20" s="442" t="str">
        <f>'Team 3'!F49</f>
        <v>Ryan</v>
      </c>
      <c r="K20" s="442" t="str">
        <f>'Team 3'!G49</f>
        <v>Wimpenny</v>
      </c>
      <c r="L20" s="442" t="str">
        <f t="shared" si="2"/>
        <v>Ryan Wimpenny</v>
      </c>
      <c r="M20" s="442" t="str">
        <f>'Team 4'!F49</f>
        <v>SAMUEL</v>
      </c>
      <c r="N20" s="442" t="str">
        <f>'Team 4'!G49</f>
        <v>ROSA</v>
      </c>
      <c r="O20" s="442" t="str">
        <f t="shared" si="3"/>
        <v>SAMUEL ROSA</v>
      </c>
      <c r="P20" s="441" t="str">
        <f>'Team 5'!F49</f>
        <v>Liam</v>
      </c>
      <c r="Q20" s="441" t="str">
        <f>'Team 5'!G49</f>
        <v>Hurst</v>
      </c>
      <c r="R20" s="442" t="str">
        <f t="shared" si="4"/>
        <v>Liam Hurst</v>
      </c>
      <c r="S20" s="441" t="str">
        <f>'Team 6'!F49</f>
        <v>Gert</v>
      </c>
      <c r="T20" s="441" t="str">
        <f>'Team 6'!G49</f>
        <v>Zeqiri</v>
      </c>
      <c r="U20" s="442" t="str">
        <f t="shared" si="5"/>
        <v>Gert Zeqiri</v>
      </c>
      <c r="V20" s="441" t="str">
        <f>'Team 7'!F49</f>
        <v>Advay</v>
      </c>
      <c r="W20" s="441" t="str">
        <f>'Team 7'!G49</f>
        <v>Bhatia</v>
      </c>
      <c r="X20" s="442" t="str">
        <f t="shared" si="6"/>
        <v>Advay Bhatia</v>
      </c>
      <c r="Y20" s="441">
        <f>'Team 8'!F49</f>
        <v>0</v>
      </c>
      <c r="Z20" s="441">
        <f>'Team 8'!G49</f>
        <v>0</v>
      </c>
      <c r="AA20" s="442" t="str">
        <f t="shared" si="7"/>
        <v>0 0</v>
      </c>
      <c r="AB20" s="441">
        <f>'Team 9'!F49</f>
        <v>0</v>
      </c>
      <c r="AC20" s="441">
        <f>'Team 9'!G49</f>
        <v>0</v>
      </c>
      <c r="AD20" s="442" t="str">
        <f t="shared" si="8"/>
        <v>0 0</v>
      </c>
      <c r="AE20" s="441">
        <f>'Team 10'!F49</f>
        <v>0</v>
      </c>
      <c r="AF20" s="441">
        <f>'Team 10'!G49</f>
        <v>0</v>
      </c>
      <c r="AG20" s="442" t="str">
        <f t="shared" si="9"/>
        <v>0 0</v>
      </c>
      <c r="AH20" s="166"/>
      <c r="AI20" s="167"/>
    </row>
    <row r="21" spans="1:35" ht="21" customHeight="1" x14ac:dyDescent="0.25">
      <c r="A21" s="402"/>
      <c r="B21" s="439">
        <v>23</v>
      </c>
      <c r="C21" s="440" t="s">
        <v>4527</v>
      </c>
      <c r="D21" s="441" t="str">
        <f>'Team 1'!F50</f>
        <v>Zoe</v>
      </c>
      <c r="E21" s="441" t="str">
        <f>'Team 1'!G50</f>
        <v>Panayi</v>
      </c>
      <c r="F21" s="442" t="str">
        <f t="shared" si="0"/>
        <v>Zoe Panayi</v>
      </c>
      <c r="G21" s="442" t="str">
        <f>'Team 2'!F50</f>
        <v>Charlotte</v>
      </c>
      <c r="H21" s="442" t="str">
        <f>'Team 2'!G50</f>
        <v>Lyon</v>
      </c>
      <c r="I21" s="442" t="str">
        <f t="shared" si="1"/>
        <v>Charlotte Lyon</v>
      </c>
      <c r="J21" s="442" t="str">
        <f>'Team 3'!F50</f>
        <v>Hannah</v>
      </c>
      <c r="K21" s="442" t="str">
        <f>'Team 3'!G50</f>
        <v>Lovelock</v>
      </c>
      <c r="L21" s="442" t="str">
        <f t="shared" si="2"/>
        <v>Hannah Lovelock</v>
      </c>
      <c r="M21" s="442" t="str">
        <f>'Team 4'!F50</f>
        <v>ANNABELLA</v>
      </c>
      <c r="N21" s="442" t="str">
        <f>'Team 4'!G50</f>
        <v>COJEEN</v>
      </c>
      <c r="O21" s="442" t="str">
        <f t="shared" si="3"/>
        <v>ANNABELLA COJEEN</v>
      </c>
      <c r="P21" s="441" t="str">
        <f>'Team 5'!F50</f>
        <v>Mia</v>
      </c>
      <c r="Q21" s="441" t="str">
        <f>'Team 5'!G50</f>
        <v>Macklin</v>
      </c>
      <c r="R21" s="442" t="str">
        <f t="shared" si="4"/>
        <v>Mia Macklin</v>
      </c>
      <c r="S21" s="441" t="str">
        <f>'Team 6'!F50</f>
        <v xml:space="preserve">Crina Stefania </v>
      </c>
      <c r="T21" s="441" t="str">
        <f>'Team 6'!G50</f>
        <v>Bostan</v>
      </c>
      <c r="U21" s="442" t="str">
        <f t="shared" si="5"/>
        <v>Crina Stefania  Bostan</v>
      </c>
      <c r="V21" s="441" t="str">
        <f>'Team 7'!F50</f>
        <v>Keira</v>
      </c>
      <c r="W21" s="441" t="str">
        <f>'Team 7'!G50</f>
        <v>Brannigan</v>
      </c>
      <c r="X21" s="442" t="str">
        <f t="shared" si="6"/>
        <v>Keira Brannigan</v>
      </c>
      <c r="Y21" s="441">
        <f>'Team 8'!F50</f>
        <v>0</v>
      </c>
      <c r="Z21" s="441">
        <f>'Team 8'!G50</f>
        <v>0</v>
      </c>
      <c r="AA21" s="442" t="str">
        <f t="shared" si="7"/>
        <v>0 0</v>
      </c>
      <c r="AB21" s="441">
        <f>'Team 9'!F50</f>
        <v>0</v>
      </c>
      <c r="AC21" s="441">
        <f>'Team 9'!G50</f>
        <v>0</v>
      </c>
      <c r="AD21" s="442" t="str">
        <f t="shared" si="8"/>
        <v>0 0</v>
      </c>
      <c r="AE21" s="441">
        <f>'Team 10'!F50</f>
        <v>0</v>
      </c>
      <c r="AF21" s="441">
        <f>'Team 10'!G50</f>
        <v>0</v>
      </c>
      <c r="AG21" s="442" t="str">
        <f t="shared" si="9"/>
        <v>0 0</v>
      </c>
      <c r="AH21" s="166"/>
      <c r="AI21" s="167"/>
    </row>
    <row r="22" spans="1:35" ht="21" customHeight="1" x14ac:dyDescent="0.25">
      <c r="A22" s="402"/>
      <c r="B22" s="439">
        <v>24</v>
      </c>
      <c r="C22" s="440" t="s">
        <v>4528</v>
      </c>
      <c r="D22" s="441">
        <f>'Team 1'!F51</f>
        <v>0</v>
      </c>
      <c r="E22" s="441">
        <f>'Team 1'!G51</f>
        <v>0</v>
      </c>
      <c r="F22" s="442" t="str">
        <f t="shared" si="0"/>
        <v>0 0</v>
      </c>
      <c r="G22" s="442" t="str">
        <f>'Team 2'!F51</f>
        <v>Oliver</v>
      </c>
      <c r="H22" s="442" t="str">
        <f>'Team 2'!G51</f>
        <v>Tubridy</v>
      </c>
      <c r="I22" s="442" t="str">
        <f t="shared" si="1"/>
        <v>Oliver Tubridy</v>
      </c>
      <c r="J22" s="442" t="str">
        <f>'Team 3'!F51</f>
        <v>Alfie</v>
      </c>
      <c r="K22" s="442" t="str">
        <f>'Team 3'!G51</f>
        <v>Bullock</v>
      </c>
      <c r="L22" s="442" t="str">
        <f t="shared" si="2"/>
        <v>Alfie Bullock</v>
      </c>
      <c r="M22" s="442" t="str">
        <f>'Team 4'!F51</f>
        <v>RAFI</v>
      </c>
      <c r="N22" s="442" t="str">
        <f>'Team 4'!G51</f>
        <v>GIBSON</v>
      </c>
      <c r="O22" s="442" t="str">
        <f t="shared" si="3"/>
        <v>RAFI GIBSON</v>
      </c>
      <c r="P22" s="441" t="str">
        <f>'Team 5'!F51</f>
        <v>Joshua</v>
      </c>
      <c r="Q22" s="441" t="str">
        <f>'Team 5'!G51</f>
        <v>Parker</v>
      </c>
      <c r="R22" s="442" t="str">
        <f t="shared" si="4"/>
        <v>Joshua Parker</v>
      </c>
      <c r="S22" s="441" t="str">
        <f>'Team 6'!F51</f>
        <v xml:space="preserve">Owen </v>
      </c>
      <c r="T22" s="441" t="str">
        <f>'Team 6'!G51</f>
        <v xml:space="preserve">Roberts </v>
      </c>
      <c r="U22" s="442" t="str">
        <f t="shared" si="5"/>
        <v xml:space="preserve">Owen  Roberts </v>
      </c>
      <c r="V22" s="441" t="str">
        <f>'Team 7'!F51</f>
        <v>Aaran</v>
      </c>
      <c r="W22" s="441" t="str">
        <f>'Team 7'!G51</f>
        <v>Parmar</v>
      </c>
      <c r="X22" s="442" t="str">
        <f t="shared" si="6"/>
        <v>Aaran Parmar</v>
      </c>
      <c r="Y22" s="441">
        <f>'Team 8'!F51</f>
        <v>0</v>
      </c>
      <c r="Z22" s="441">
        <f>'Team 8'!G51</f>
        <v>0</v>
      </c>
      <c r="AA22" s="442" t="str">
        <f t="shared" si="7"/>
        <v>0 0</v>
      </c>
      <c r="AB22" s="441">
        <f>'Team 9'!F51</f>
        <v>0</v>
      </c>
      <c r="AC22" s="441">
        <f>'Team 9'!G51</f>
        <v>0</v>
      </c>
      <c r="AD22" s="442" t="str">
        <f t="shared" si="8"/>
        <v>0 0</v>
      </c>
      <c r="AE22" s="441">
        <f>'Team 10'!F51</f>
        <v>0</v>
      </c>
      <c r="AF22" s="441">
        <f>'Team 10'!G51</f>
        <v>0</v>
      </c>
      <c r="AG22" s="442" t="str">
        <f t="shared" si="9"/>
        <v>0 0</v>
      </c>
      <c r="AH22" s="166"/>
      <c r="AI22" s="167"/>
    </row>
    <row r="23" spans="1:35" ht="21" customHeight="1" x14ac:dyDescent="0.25">
      <c r="A23" s="402"/>
      <c r="B23" s="439">
        <v>25</v>
      </c>
      <c r="C23" s="440" t="s">
        <v>4529</v>
      </c>
      <c r="D23" s="441" t="str">
        <f>'Team 1'!F52</f>
        <v>Isabel</v>
      </c>
      <c r="E23" s="441" t="str">
        <f>'Team 1'!G52</f>
        <v>Spyrou</v>
      </c>
      <c r="F23" s="442" t="str">
        <f t="shared" si="0"/>
        <v>Isabel Spyrou</v>
      </c>
      <c r="G23" s="442" t="str">
        <f>'Team 2'!F52</f>
        <v>Sophie</v>
      </c>
      <c r="H23" s="442" t="str">
        <f>'Team 2'!G52</f>
        <v>Lyon</v>
      </c>
      <c r="I23" s="442" t="str">
        <f t="shared" si="1"/>
        <v>Sophie Lyon</v>
      </c>
      <c r="J23" s="442" t="str">
        <f>'Team 3'!F52</f>
        <v>Grace</v>
      </c>
      <c r="K23" s="442" t="str">
        <f>'Team 3'!G52</f>
        <v>Sofokleous-Ames</v>
      </c>
      <c r="L23" s="442" t="str">
        <f t="shared" si="2"/>
        <v>Grace Sofokleous-Ames</v>
      </c>
      <c r="M23" s="442" t="str">
        <f>'Team 4'!F52</f>
        <v>MEGAN</v>
      </c>
      <c r="N23" s="442" t="str">
        <f>'Team 4'!G52</f>
        <v>JOHNSON</v>
      </c>
      <c r="O23" s="442" t="str">
        <f t="shared" si="3"/>
        <v>MEGAN JOHNSON</v>
      </c>
      <c r="P23" s="441" t="str">
        <f>'Team 5'!F52</f>
        <v>Isabelle</v>
      </c>
      <c r="Q23" s="441" t="str">
        <f>'Team 5'!G52</f>
        <v>Talbot</v>
      </c>
      <c r="R23" s="442" t="str">
        <f t="shared" si="4"/>
        <v>Isabelle Talbot</v>
      </c>
      <c r="S23" s="441" t="str">
        <f>'Team 6'!F52</f>
        <v>Hannah</v>
      </c>
      <c r="T23" s="441" t="str">
        <f>'Team 6'!G52</f>
        <v>Barrios</v>
      </c>
      <c r="U23" s="442" t="str">
        <f t="shared" si="5"/>
        <v>Hannah Barrios</v>
      </c>
      <c r="V23" s="441" t="str">
        <f>'Team 7'!F52</f>
        <v>Kayla</v>
      </c>
      <c r="W23" s="441" t="str">
        <f>'Team 7'!G52</f>
        <v>Van Zyl</v>
      </c>
      <c r="X23" s="442" t="str">
        <f t="shared" si="6"/>
        <v>Kayla Van Zyl</v>
      </c>
      <c r="Y23" s="441">
        <f>'Team 8'!F52</f>
        <v>0</v>
      </c>
      <c r="Z23" s="441">
        <f>'Team 8'!G52</f>
        <v>0</v>
      </c>
      <c r="AA23" s="442" t="str">
        <f t="shared" si="7"/>
        <v>0 0</v>
      </c>
      <c r="AB23" s="441">
        <f>'Team 9'!F52</f>
        <v>0</v>
      </c>
      <c r="AC23" s="441">
        <f>'Team 9'!G52</f>
        <v>0</v>
      </c>
      <c r="AD23" s="442" t="str">
        <f t="shared" si="8"/>
        <v>0 0</v>
      </c>
      <c r="AE23" s="441">
        <f>'Team 10'!F52</f>
        <v>0</v>
      </c>
      <c r="AF23" s="441">
        <f>'Team 10'!G52</f>
        <v>0</v>
      </c>
      <c r="AG23" s="442" t="str">
        <f t="shared" si="9"/>
        <v>0 0</v>
      </c>
      <c r="AH23" s="166"/>
      <c r="AI23" s="167"/>
    </row>
    <row r="24" spans="1:35" ht="21" customHeight="1" x14ac:dyDescent="0.25">
      <c r="A24" s="402"/>
      <c r="B24" s="439">
        <v>26</v>
      </c>
      <c r="C24" s="440" t="s">
        <v>4530</v>
      </c>
      <c r="D24" s="441" t="str">
        <f>'Team 1'!F53</f>
        <v>James</v>
      </c>
      <c r="E24" s="441" t="str">
        <f>'Team 1'!G53</f>
        <v>Smeaton</v>
      </c>
      <c r="F24" s="442" t="str">
        <f t="shared" si="0"/>
        <v>James Smeaton</v>
      </c>
      <c r="G24" s="442" t="str">
        <f>'Team 2'!F53</f>
        <v>Matthew</v>
      </c>
      <c r="H24" s="442" t="str">
        <f>'Team 2'!G53</f>
        <v>Costello</v>
      </c>
      <c r="I24" s="442" t="str">
        <f t="shared" si="1"/>
        <v>Matthew Costello</v>
      </c>
      <c r="J24" s="442" t="str">
        <f>'Team 3'!F53</f>
        <v>Charlie</v>
      </c>
      <c r="K24" s="442" t="str">
        <f>'Team 3'!G53</f>
        <v>Cropley</v>
      </c>
      <c r="L24" s="442" t="str">
        <f t="shared" si="2"/>
        <v>Charlie Cropley</v>
      </c>
      <c r="M24" s="442" t="str">
        <f>'Team 4'!F53</f>
        <v>MATTHEW</v>
      </c>
      <c r="N24" s="442" t="str">
        <f>'Team 4'!G53</f>
        <v>MASTERS</v>
      </c>
      <c r="O24" s="442" t="str">
        <f t="shared" si="3"/>
        <v>MATTHEW MASTERS</v>
      </c>
      <c r="P24" s="441" t="str">
        <f>'Team 5'!F53</f>
        <v>Jamie</v>
      </c>
      <c r="Q24" s="441" t="str">
        <f>'Team 5'!G53</f>
        <v>Hartnup</v>
      </c>
      <c r="R24" s="442" t="str">
        <f t="shared" si="4"/>
        <v>Jamie Hartnup</v>
      </c>
      <c r="S24" s="441" t="str">
        <f>'Team 6'!F53</f>
        <v>Owen</v>
      </c>
      <c r="T24" s="441" t="str">
        <f>'Team 6'!G53</f>
        <v>Roberts</v>
      </c>
      <c r="U24" s="442" t="str">
        <f t="shared" si="5"/>
        <v>Owen Roberts</v>
      </c>
      <c r="V24" s="441" t="str">
        <f>'Team 7'!F53</f>
        <v>Tsz Kwai</v>
      </c>
      <c r="W24" s="441" t="str">
        <f>'Team 7'!G53</f>
        <v>Chan</v>
      </c>
      <c r="X24" s="442" t="str">
        <f t="shared" si="6"/>
        <v>Tsz Kwai Chan</v>
      </c>
      <c r="Y24" s="441">
        <f>'Team 8'!F53</f>
        <v>0</v>
      </c>
      <c r="Z24" s="441">
        <f>'Team 8'!G53</f>
        <v>0</v>
      </c>
      <c r="AA24" s="442" t="str">
        <f t="shared" si="7"/>
        <v>0 0</v>
      </c>
      <c r="AB24" s="441">
        <f>'Team 9'!F53</f>
        <v>0</v>
      </c>
      <c r="AC24" s="441">
        <f>'Team 9'!G53</f>
        <v>0</v>
      </c>
      <c r="AD24" s="442" t="str">
        <f t="shared" si="8"/>
        <v>0 0</v>
      </c>
      <c r="AE24" s="441">
        <f>'Team 10'!F53</f>
        <v>0</v>
      </c>
      <c r="AF24" s="441">
        <f>'Team 10'!G53</f>
        <v>0</v>
      </c>
      <c r="AG24" s="442" t="str">
        <f t="shared" si="9"/>
        <v>0 0</v>
      </c>
      <c r="AH24" s="166"/>
      <c r="AI24" s="167"/>
    </row>
    <row r="25" spans="1:35" ht="21" customHeight="1" x14ac:dyDescent="0.25">
      <c r="A25" s="402"/>
      <c r="B25" s="439">
        <v>27</v>
      </c>
      <c r="C25" s="440" t="s">
        <v>4531</v>
      </c>
      <c r="D25" s="441" t="str">
        <f>'Team 1'!F54</f>
        <v>Ines</v>
      </c>
      <c r="E25" s="441" t="str">
        <f>'Team 1'!G54</f>
        <v>Puente</v>
      </c>
      <c r="F25" s="442" t="str">
        <f t="shared" si="0"/>
        <v>Ines Puente</v>
      </c>
      <c r="G25" s="442" t="str">
        <f>'Team 2'!F54</f>
        <v>Seren</v>
      </c>
      <c r="H25" s="442" t="str">
        <f>'Team 2'!G54</f>
        <v>Cooper</v>
      </c>
      <c r="I25" s="442" t="str">
        <f t="shared" si="1"/>
        <v>Seren Cooper</v>
      </c>
      <c r="J25" s="442" t="str">
        <f>'Team 3'!F54</f>
        <v>Hannah</v>
      </c>
      <c r="K25" s="442" t="str">
        <f>'Team 3'!G54</f>
        <v>Jounor</v>
      </c>
      <c r="L25" s="442" t="str">
        <f t="shared" si="2"/>
        <v>Hannah Jounor</v>
      </c>
      <c r="M25" s="442" t="str">
        <f>'Team 4'!F54</f>
        <v>MIA</v>
      </c>
      <c r="N25" s="442" t="str">
        <f>'Team 4'!G54</f>
        <v>ZUBCEVIC</v>
      </c>
      <c r="O25" s="442" t="str">
        <f t="shared" si="3"/>
        <v>MIA ZUBCEVIC</v>
      </c>
      <c r="P25" s="441" t="str">
        <f>'Team 5'!F54</f>
        <v>Caoife</v>
      </c>
      <c r="Q25" s="441" t="str">
        <f>'Team 5'!G54</f>
        <v>Long</v>
      </c>
      <c r="R25" s="442" t="str">
        <f t="shared" si="4"/>
        <v>Caoife Long</v>
      </c>
      <c r="S25" s="441" t="str">
        <f>'Team 6'!F54</f>
        <v xml:space="preserve">Miraya </v>
      </c>
      <c r="T25" s="441" t="str">
        <f>'Team 6'!G54</f>
        <v>Patel</v>
      </c>
      <c r="U25" s="442" t="str">
        <f t="shared" si="5"/>
        <v>Miraya  Patel</v>
      </c>
      <c r="V25" s="441" t="str">
        <f>'Team 7'!F54</f>
        <v>Lara</v>
      </c>
      <c r="W25" s="441" t="str">
        <f>'Team 7'!G54</f>
        <v>Shah</v>
      </c>
      <c r="X25" s="442" t="str">
        <f t="shared" si="6"/>
        <v>Lara Shah</v>
      </c>
      <c r="Y25" s="441">
        <f>'Team 8'!F54</f>
        <v>0</v>
      </c>
      <c r="Z25" s="441">
        <f>'Team 8'!G54</f>
        <v>0</v>
      </c>
      <c r="AA25" s="442" t="str">
        <f t="shared" si="7"/>
        <v>0 0</v>
      </c>
      <c r="AB25" s="441">
        <f>'Team 9'!F54</f>
        <v>0</v>
      </c>
      <c r="AC25" s="441">
        <f>'Team 9'!G54</f>
        <v>0</v>
      </c>
      <c r="AD25" s="442" t="str">
        <f t="shared" si="8"/>
        <v>0 0</v>
      </c>
      <c r="AE25" s="441">
        <f>'Team 10'!F54</f>
        <v>0</v>
      </c>
      <c r="AF25" s="441">
        <f>'Team 10'!G54</f>
        <v>0</v>
      </c>
      <c r="AG25" s="442" t="str">
        <f t="shared" si="9"/>
        <v>0 0</v>
      </c>
      <c r="AH25" s="166"/>
      <c r="AI25" s="167"/>
    </row>
    <row r="26" spans="1:35" ht="21" customHeight="1" x14ac:dyDescent="0.25">
      <c r="A26" s="402"/>
      <c r="B26" s="439">
        <v>28</v>
      </c>
      <c r="C26" s="440" t="s">
        <v>4532</v>
      </c>
      <c r="D26" s="441" t="str">
        <f>'Team 1'!F55</f>
        <v>Leonardo</v>
      </c>
      <c r="E26" s="441" t="str">
        <f>'Team 1'!G55</f>
        <v>Goad</v>
      </c>
      <c r="F26" s="442" t="str">
        <f t="shared" si="0"/>
        <v>Leonardo Goad</v>
      </c>
      <c r="G26" s="442" t="str">
        <f>'Team 2'!F55</f>
        <v>Kai Jun Wai</v>
      </c>
      <c r="H26" s="442" t="str">
        <f>'Team 2'!G55</f>
        <v>Cheung</v>
      </c>
      <c r="I26" s="442" t="str">
        <f t="shared" si="1"/>
        <v>Kai Jun Wai Cheung</v>
      </c>
      <c r="J26" s="442" t="str">
        <f>'Team 3'!F55</f>
        <v>Harry</v>
      </c>
      <c r="K26" s="442" t="str">
        <f>'Team 3'!G55</f>
        <v>Lythgoe</v>
      </c>
      <c r="L26" s="442" t="str">
        <f t="shared" si="2"/>
        <v>Harry Lythgoe</v>
      </c>
      <c r="M26" s="442" t="str">
        <f>'Team 4'!F55</f>
        <v>JAMES</v>
      </c>
      <c r="N26" s="442" t="str">
        <f>'Team 4'!G55</f>
        <v>MOHAMMED</v>
      </c>
      <c r="O26" s="442" t="str">
        <f t="shared" si="3"/>
        <v>JAMES MOHAMMED</v>
      </c>
      <c r="P26" s="441" t="str">
        <f>'Team 5'!F55</f>
        <v>Braden</v>
      </c>
      <c r="Q26" s="441" t="str">
        <f>'Team 5'!G55</f>
        <v>Barnacle</v>
      </c>
      <c r="R26" s="442" t="str">
        <f t="shared" si="4"/>
        <v>Braden Barnacle</v>
      </c>
      <c r="S26" s="441" t="str">
        <f>'Team 6'!F55</f>
        <v>Macsen</v>
      </c>
      <c r="T26" s="441" t="str">
        <f>'Team 6'!G55</f>
        <v>Roberts</v>
      </c>
      <c r="U26" s="442" t="str">
        <f t="shared" si="5"/>
        <v>Macsen Roberts</v>
      </c>
      <c r="V26" s="441" t="str">
        <f>'Team 7'!F55</f>
        <v>Christopher</v>
      </c>
      <c r="W26" s="441" t="str">
        <f>'Team 7'!G55</f>
        <v>Li Mow Ching</v>
      </c>
      <c r="X26" s="442" t="str">
        <f t="shared" si="6"/>
        <v>Christopher Li Mow Ching</v>
      </c>
      <c r="Y26" s="441">
        <f>'Team 8'!F55</f>
        <v>0</v>
      </c>
      <c r="Z26" s="441">
        <f>'Team 8'!G55</f>
        <v>0</v>
      </c>
      <c r="AA26" s="442" t="str">
        <f t="shared" si="7"/>
        <v>0 0</v>
      </c>
      <c r="AB26" s="441">
        <f>'Team 9'!F55</f>
        <v>0</v>
      </c>
      <c r="AC26" s="441">
        <f>'Team 9'!G55</f>
        <v>0</v>
      </c>
      <c r="AD26" s="442" t="str">
        <f t="shared" si="8"/>
        <v>0 0</v>
      </c>
      <c r="AE26" s="441">
        <f>'Team 10'!F55</f>
        <v>0</v>
      </c>
      <c r="AF26" s="441">
        <f>'Team 10'!G55</f>
        <v>0</v>
      </c>
      <c r="AG26" s="442" t="str">
        <f t="shared" si="9"/>
        <v>0 0</v>
      </c>
      <c r="AH26" s="166"/>
      <c r="AI26" s="167"/>
    </row>
    <row r="27" spans="1:35" ht="21" customHeight="1" x14ac:dyDescent="0.25">
      <c r="A27" s="402"/>
      <c r="B27" s="439">
        <v>29</v>
      </c>
      <c r="C27" s="440" t="s">
        <v>4533</v>
      </c>
      <c r="D27" s="441" t="str">
        <f>'Team 1'!F56</f>
        <v>Edanur</v>
      </c>
      <c r="E27" s="441" t="str">
        <f>'Team 1'!G56</f>
        <v>Yigit</v>
      </c>
      <c r="F27" s="442" t="str">
        <f t="shared" si="0"/>
        <v>Edanur Yigit</v>
      </c>
      <c r="G27" s="442" t="str">
        <f>'Team 2'!F56</f>
        <v>Jasmin</v>
      </c>
      <c r="H27" s="442" t="str">
        <f>'Team 2'!G56</f>
        <v>Hunt</v>
      </c>
      <c r="I27" s="442" t="str">
        <f t="shared" si="1"/>
        <v>Jasmin Hunt</v>
      </c>
      <c r="J27" s="442" t="str">
        <f>'Team 3'!F56</f>
        <v>Niamh</v>
      </c>
      <c r="K27" s="442" t="str">
        <f>'Team 3'!G56</f>
        <v>Holland</v>
      </c>
      <c r="L27" s="442" t="str">
        <f t="shared" si="2"/>
        <v>Niamh Holland</v>
      </c>
      <c r="M27" s="442" t="str">
        <f>'Team 4'!F56</f>
        <v>ISLA</v>
      </c>
      <c r="N27" s="442" t="str">
        <f>'Team 4'!G56</f>
        <v>MOHAMMED</v>
      </c>
      <c r="O27" s="442" t="str">
        <f t="shared" si="3"/>
        <v>ISLA MOHAMMED</v>
      </c>
      <c r="P27" s="441" t="str">
        <f>'Team 5'!F56</f>
        <v>Aimee</v>
      </c>
      <c r="Q27" s="441" t="str">
        <f>'Team 5'!G56</f>
        <v>Baker</v>
      </c>
      <c r="R27" s="442" t="str">
        <f t="shared" si="4"/>
        <v>Aimee Baker</v>
      </c>
      <c r="S27" s="441" t="str">
        <f>'Team 6'!F56</f>
        <v>Emma</v>
      </c>
      <c r="T27" s="441" t="str">
        <f>'Team 6'!G56</f>
        <v>Sum</v>
      </c>
      <c r="U27" s="442" t="str">
        <f t="shared" si="5"/>
        <v>Emma Sum</v>
      </c>
      <c r="V27" s="441" t="str">
        <f>'Team 7'!F56</f>
        <v>Mia</v>
      </c>
      <c r="W27" s="441" t="str">
        <f>'Team 7'!G56</f>
        <v>Curle</v>
      </c>
      <c r="X27" s="442" t="str">
        <f t="shared" si="6"/>
        <v>Mia Curle</v>
      </c>
      <c r="Y27" s="441">
        <f>'Team 8'!F56</f>
        <v>0</v>
      </c>
      <c r="Z27" s="441">
        <f>'Team 8'!G56</f>
        <v>0</v>
      </c>
      <c r="AA27" s="442" t="str">
        <f t="shared" si="7"/>
        <v>0 0</v>
      </c>
      <c r="AB27" s="441">
        <f>'Team 9'!F56</f>
        <v>0</v>
      </c>
      <c r="AC27" s="441">
        <f>'Team 9'!G56</f>
        <v>0</v>
      </c>
      <c r="AD27" s="442" t="str">
        <f t="shared" si="8"/>
        <v>0 0</v>
      </c>
      <c r="AE27" s="441">
        <f>'Team 10'!F56</f>
        <v>0</v>
      </c>
      <c r="AF27" s="441">
        <f>'Team 10'!G56</f>
        <v>0</v>
      </c>
      <c r="AG27" s="442" t="str">
        <f t="shared" si="9"/>
        <v>0 0</v>
      </c>
      <c r="AH27" s="166"/>
      <c r="AI27" s="167"/>
    </row>
    <row r="28" spans="1:35" ht="21" customHeight="1" x14ac:dyDescent="0.25">
      <c r="A28" s="402"/>
      <c r="B28" s="439">
        <v>30</v>
      </c>
      <c r="C28" s="440" t="s">
        <v>4534</v>
      </c>
      <c r="D28" s="441" t="str">
        <f>'Team 1'!F57</f>
        <v>Ned Peter</v>
      </c>
      <c r="E28" s="441" t="str">
        <f>'Team 1'!G57</f>
        <v>Andrews</v>
      </c>
      <c r="F28" s="442" t="str">
        <f t="shared" si="0"/>
        <v>Ned Peter Andrews</v>
      </c>
      <c r="G28" s="442" t="str">
        <f>'Team 2'!F57</f>
        <v>Oliver</v>
      </c>
      <c r="H28" s="442" t="str">
        <f>'Team 2'!G57</f>
        <v>Tubridy</v>
      </c>
      <c r="I28" s="442" t="str">
        <f t="shared" si="1"/>
        <v>Oliver Tubridy</v>
      </c>
      <c r="J28" s="442" t="str">
        <f>'Team 3'!F57</f>
        <v>Mikhail</v>
      </c>
      <c r="K28" s="442" t="str">
        <f>'Team 3'!G57</f>
        <v>Zharinov</v>
      </c>
      <c r="L28" s="442" t="str">
        <f t="shared" si="2"/>
        <v>Mikhail Zharinov</v>
      </c>
      <c r="M28" s="442" t="str">
        <f>'Team 4'!F57</f>
        <v>RILEY</v>
      </c>
      <c r="N28" s="442" t="str">
        <f>'Team 4'!G57</f>
        <v>BUNCE</v>
      </c>
      <c r="O28" s="442" t="str">
        <f t="shared" si="3"/>
        <v>RILEY BUNCE</v>
      </c>
      <c r="P28" s="441" t="str">
        <f>'Team 5'!F57</f>
        <v>Poyraz</v>
      </c>
      <c r="Q28" s="441" t="str">
        <f>'Team 5'!G57</f>
        <v>Akbiyik</v>
      </c>
      <c r="R28" s="442" t="str">
        <f t="shared" si="4"/>
        <v>Poyraz Akbiyik</v>
      </c>
      <c r="S28" s="441" t="str">
        <f>'Team 6'!F57</f>
        <v xml:space="preserve">Cosmin Ioan </v>
      </c>
      <c r="T28" s="441" t="str">
        <f>'Team 6'!G57</f>
        <v>Iojan</v>
      </c>
      <c r="U28" s="442" t="str">
        <f t="shared" si="5"/>
        <v>Cosmin Ioan  Iojan</v>
      </c>
      <c r="V28" s="441" t="str">
        <f>'Team 7'!F57</f>
        <v>Daniel</v>
      </c>
      <c r="W28" s="441" t="str">
        <f>'Team 7'!G57</f>
        <v>Celi</v>
      </c>
      <c r="X28" s="442" t="str">
        <f t="shared" si="6"/>
        <v>Daniel Celi</v>
      </c>
      <c r="Y28" s="441">
        <f>'Team 8'!F57</f>
        <v>0</v>
      </c>
      <c r="Z28" s="441">
        <f>'Team 8'!G57</f>
        <v>0</v>
      </c>
      <c r="AA28" s="442" t="str">
        <f t="shared" si="7"/>
        <v>0 0</v>
      </c>
      <c r="AB28" s="441">
        <f>'Team 9'!F57</f>
        <v>0</v>
      </c>
      <c r="AC28" s="441">
        <f>'Team 9'!G57</f>
        <v>0</v>
      </c>
      <c r="AD28" s="442" t="str">
        <f t="shared" si="8"/>
        <v>0 0</v>
      </c>
      <c r="AE28" s="441">
        <f>'Team 10'!F57</f>
        <v>0</v>
      </c>
      <c r="AF28" s="441">
        <f>'Team 10'!G57</f>
        <v>0</v>
      </c>
      <c r="AG28" s="442" t="str">
        <f t="shared" si="9"/>
        <v>0 0</v>
      </c>
      <c r="AH28" s="166"/>
      <c r="AI28" s="167"/>
    </row>
    <row r="29" spans="1:35" ht="21" customHeight="1" x14ac:dyDescent="0.25">
      <c r="A29" s="402"/>
      <c r="B29" s="439">
        <v>31</v>
      </c>
      <c r="C29" s="440" t="s">
        <v>4535</v>
      </c>
      <c r="D29" s="441" t="str">
        <f>'Team 1'!F58</f>
        <v>Emily</v>
      </c>
      <c r="E29" s="441" t="str">
        <f>'Team 1'!G58</f>
        <v>Hudszky</v>
      </c>
      <c r="F29" s="442" t="str">
        <f t="shared" si="0"/>
        <v>Emily Hudszky</v>
      </c>
      <c r="G29" s="442" t="str">
        <f>'Team 2'!F58</f>
        <v>Sophie</v>
      </c>
      <c r="H29" s="442" t="str">
        <f>'Team 2'!G58</f>
        <v>Stelmach</v>
      </c>
      <c r="I29" s="442" t="str">
        <f t="shared" si="1"/>
        <v>Sophie Stelmach</v>
      </c>
      <c r="J29" s="442" t="str">
        <f>'Team 3'!F58</f>
        <v>Isabel</v>
      </c>
      <c r="K29" s="442" t="str">
        <f>'Team 3'!G58</f>
        <v>Mullings</v>
      </c>
      <c r="L29" s="442" t="str">
        <f t="shared" si="2"/>
        <v>Isabel Mullings</v>
      </c>
      <c r="M29" s="442" t="str">
        <f>'Team 4'!F58</f>
        <v>ABIGAIL</v>
      </c>
      <c r="N29" s="442" t="str">
        <f>'Team 4'!G58</f>
        <v>JOHNSON</v>
      </c>
      <c r="O29" s="442" t="str">
        <f t="shared" si="3"/>
        <v>ABIGAIL JOHNSON</v>
      </c>
      <c r="P29" s="441" t="str">
        <f>'Team 5'!F58</f>
        <v>Mia</v>
      </c>
      <c r="Q29" s="441" t="str">
        <f>'Team 5'!G58</f>
        <v>Macklin</v>
      </c>
      <c r="R29" s="442" t="str">
        <f t="shared" si="4"/>
        <v>Mia Macklin</v>
      </c>
      <c r="S29" s="441" t="str">
        <f>'Team 6'!F58</f>
        <v xml:space="preserve">Alice </v>
      </c>
      <c r="T29" s="441" t="str">
        <f>'Team 6'!G58</f>
        <v>Sharrock</v>
      </c>
      <c r="U29" s="442" t="str">
        <f t="shared" si="5"/>
        <v>Alice  Sharrock</v>
      </c>
      <c r="V29" s="441" t="str">
        <f>'Team 7'!F58</f>
        <v>Jessica</v>
      </c>
      <c r="W29" s="441" t="str">
        <f>'Team 7'!G58</f>
        <v>Sharp</v>
      </c>
      <c r="X29" s="442" t="str">
        <f t="shared" si="6"/>
        <v>Jessica Sharp</v>
      </c>
      <c r="Y29" s="441">
        <f>'Team 8'!F58</f>
        <v>0</v>
      </c>
      <c r="Z29" s="441">
        <f>'Team 8'!G58</f>
        <v>0</v>
      </c>
      <c r="AA29" s="442" t="str">
        <f t="shared" si="7"/>
        <v>0 0</v>
      </c>
      <c r="AB29" s="441">
        <f>'Team 9'!F58</f>
        <v>0</v>
      </c>
      <c r="AC29" s="441">
        <f>'Team 9'!G58</f>
        <v>0</v>
      </c>
      <c r="AD29" s="442" t="str">
        <f t="shared" si="8"/>
        <v>0 0</v>
      </c>
      <c r="AE29" s="441">
        <f>'Team 10'!F58</f>
        <v>0</v>
      </c>
      <c r="AF29" s="441">
        <f>'Team 10'!G58</f>
        <v>0</v>
      </c>
      <c r="AG29" s="442" t="str">
        <f t="shared" si="9"/>
        <v>0 0</v>
      </c>
      <c r="AH29" s="166"/>
      <c r="AI29" s="167"/>
    </row>
    <row r="30" spans="1:35" ht="21" customHeight="1" x14ac:dyDescent="0.25">
      <c r="A30" s="402"/>
      <c r="B30" s="439">
        <v>32</v>
      </c>
      <c r="C30" s="440" t="s">
        <v>4536</v>
      </c>
      <c r="D30" s="441" t="str">
        <f>'Team 1'!F59</f>
        <v>Zalan</v>
      </c>
      <c r="E30" s="441" t="str">
        <f>'Team 1'!G59</f>
        <v>Tornay</v>
      </c>
      <c r="F30" s="442" t="str">
        <f t="shared" si="0"/>
        <v>Zalan Tornay</v>
      </c>
      <c r="G30" s="442" t="str">
        <f>'Team 2'!F59</f>
        <v>Daniel</v>
      </c>
      <c r="H30" s="442" t="str">
        <f>'Team 2'!G59</f>
        <v>Humphreys</v>
      </c>
      <c r="I30" s="442" t="str">
        <f t="shared" si="1"/>
        <v>Daniel Humphreys</v>
      </c>
      <c r="J30" s="442" t="str">
        <f>'Team 3'!F59</f>
        <v>Ewan</v>
      </c>
      <c r="K30" s="442" t="str">
        <f>'Team 3'!G59</f>
        <v>Thompson</v>
      </c>
      <c r="L30" s="442" t="str">
        <f t="shared" si="2"/>
        <v>Ewan Thompson</v>
      </c>
      <c r="M30" s="442" t="str">
        <f>'Team 4'!F59</f>
        <v>CHARLES</v>
      </c>
      <c r="N30" s="442" t="str">
        <f>'Team 4'!G59</f>
        <v>RAINES</v>
      </c>
      <c r="O30" s="442" t="str">
        <f t="shared" si="3"/>
        <v>CHARLES RAINES</v>
      </c>
      <c r="P30" s="441" t="str">
        <f>'Team 5'!F59</f>
        <v>Joshua</v>
      </c>
      <c r="Q30" s="441" t="str">
        <f>'Team 5'!G59</f>
        <v>Parker</v>
      </c>
      <c r="R30" s="442" t="str">
        <f t="shared" si="4"/>
        <v>Joshua Parker</v>
      </c>
      <c r="S30" s="441">
        <f>'Team 6'!F59</f>
        <v>0</v>
      </c>
      <c r="T30" s="441">
        <f>'Team 6'!G59</f>
        <v>0</v>
      </c>
      <c r="U30" s="442" t="str">
        <f t="shared" si="5"/>
        <v>0 0</v>
      </c>
      <c r="V30" s="441" t="str">
        <f>'Team 7'!F59</f>
        <v>Aaran</v>
      </c>
      <c r="W30" s="441" t="str">
        <f>'Team 7'!G59</f>
        <v>Parmar</v>
      </c>
      <c r="X30" s="442" t="str">
        <f t="shared" si="6"/>
        <v>Aaran Parmar</v>
      </c>
      <c r="Y30" s="441">
        <f>'Team 8'!F59</f>
        <v>0</v>
      </c>
      <c r="Z30" s="441">
        <f>'Team 8'!G59</f>
        <v>0</v>
      </c>
      <c r="AA30" s="442" t="str">
        <f t="shared" si="7"/>
        <v>0 0</v>
      </c>
      <c r="AB30" s="441">
        <f>'Team 9'!F59</f>
        <v>0</v>
      </c>
      <c r="AC30" s="441">
        <f>'Team 9'!G59</f>
        <v>0</v>
      </c>
      <c r="AD30" s="442" t="str">
        <f t="shared" si="8"/>
        <v>0 0</v>
      </c>
      <c r="AE30" s="441">
        <f>'Team 10'!F59</f>
        <v>0</v>
      </c>
      <c r="AF30" s="441">
        <f>'Team 10'!G59</f>
        <v>0</v>
      </c>
      <c r="AG30" s="442" t="str">
        <f t="shared" si="9"/>
        <v>0 0</v>
      </c>
      <c r="AH30" s="166"/>
      <c r="AI30" s="167"/>
    </row>
    <row r="31" spans="1:35" ht="21" customHeight="1" x14ac:dyDescent="0.25">
      <c r="A31" s="402"/>
      <c r="B31" s="439">
        <v>33</v>
      </c>
      <c r="C31" s="443" t="s">
        <v>4537</v>
      </c>
      <c r="D31" s="441" t="str">
        <f>'Team 1'!F60</f>
        <v>Bianca</v>
      </c>
      <c r="E31" s="441" t="str">
        <f>'Team 1'!G60</f>
        <v>Gomez-Velasco</v>
      </c>
      <c r="F31" s="442" t="str">
        <f t="shared" si="0"/>
        <v>Bianca Gomez-Velasco</v>
      </c>
      <c r="G31" s="442" t="str">
        <f>'Team 2'!F60</f>
        <v>Sophie</v>
      </c>
      <c r="H31" s="442" t="str">
        <f>'Team 2'!G60</f>
        <v>Lyon</v>
      </c>
      <c r="I31" s="442" t="str">
        <f t="shared" si="1"/>
        <v>Sophie Lyon</v>
      </c>
      <c r="J31" s="442" t="str">
        <f>'Team 3'!F60</f>
        <v>Mia</v>
      </c>
      <c r="K31" s="442" t="str">
        <f>'Team 3'!G60</f>
        <v>Nelson</v>
      </c>
      <c r="L31" s="442" t="str">
        <f t="shared" si="2"/>
        <v>Mia Nelson</v>
      </c>
      <c r="M31" s="442" t="str">
        <f>'Team 4'!F60</f>
        <v>AMBER</v>
      </c>
      <c r="N31" s="442" t="str">
        <f>'Team 4'!G60</f>
        <v>CURTIS</v>
      </c>
      <c r="O31" s="442" t="str">
        <f t="shared" si="3"/>
        <v>AMBER CURTIS</v>
      </c>
      <c r="P31" s="441" t="str">
        <f>'Team 5'!F60</f>
        <v>Marcie</v>
      </c>
      <c r="Q31" s="441" t="str">
        <f>'Team 5'!G60</f>
        <v>Aley</v>
      </c>
      <c r="R31" s="442" t="str">
        <f t="shared" si="4"/>
        <v>Marcie Aley</v>
      </c>
      <c r="S31" s="441" t="str">
        <f>'Team 6'!F60</f>
        <v xml:space="preserve">Mina </v>
      </c>
      <c r="T31" s="441" t="str">
        <f>'Team 6'!G60</f>
        <v>Safahe</v>
      </c>
      <c r="U31" s="442" t="str">
        <f t="shared" si="5"/>
        <v>Mina  Safahe</v>
      </c>
      <c r="V31" s="441" t="str">
        <f>'Team 7'!F60</f>
        <v>Julia</v>
      </c>
      <c r="W31" s="441" t="str">
        <f>'Team 7'!G60</f>
        <v>Ozen</v>
      </c>
      <c r="X31" s="442" t="str">
        <f t="shared" si="6"/>
        <v>Julia Ozen</v>
      </c>
      <c r="Y31" s="441">
        <f>'Team 8'!F60</f>
        <v>0</v>
      </c>
      <c r="Z31" s="441">
        <f>'Team 8'!G60</f>
        <v>0</v>
      </c>
      <c r="AA31" s="442" t="str">
        <f t="shared" si="7"/>
        <v>0 0</v>
      </c>
      <c r="AB31" s="441">
        <f>'Team 9'!F60</f>
        <v>0</v>
      </c>
      <c r="AC31" s="441">
        <f>'Team 9'!G60</f>
        <v>0</v>
      </c>
      <c r="AD31" s="442" t="str">
        <f t="shared" si="8"/>
        <v>0 0</v>
      </c>
      <c r="AE31" s="441">
        <f>'Team 10'!F60</f>
        <v>0</v>
      </c>
      <c r="AF31" s="441">
        <f>'Team 10'!G60</f>
        <v>0</v>
      </c>
      <c r="AG31" s="442" t="str">
        <f t="shared" si="9"/>
        <v>0 0</v>
      </c>
      <c r="AH31" s="166"/>
      <c r="AI31" s="167"/>
    </row>
    <row r="32" spans="1:35" ht="21" customHeight="1" x14ac:dyDescent="0.25">
      <c r="A32" s="402"/>
      <c r="B32" s="439">
        <v>34</v>
      </c>
      <c r="C32" s="443" t="s">
        <v>4538</v>
      </c>
      <c r="D32" s="441" t="str">
        <f>'Team 1'!F61</f>
        <v>Gabriel</v>
      </c>
      <c r="E32" s="441" t="str">
        <f>'Team 1'!G61</f>
        <v>Bhonsle</v>
      </c>
      <c r="F32" s="442" t="str">
        <f t="shared" si="0"/>
        <v>Gabriel Bhonsle</v>
      </c>
      <c r="G32" s="442" t="str">
        <f>'Team 2'!F61</f>
        <v>Daniel</v>
      </c>
      <c r="H32" s="442" t="str">
        <f>'Team 2'!G61</f>
        <v>Humphreys</v>
      </c>
      <c r="I32" s="442" t="str">
        <f t="shared" si="1"/>
        <v>Daniel Humphreys</v>
      </c>
      <c r="J32" s="442" t="str">
        <f>'Team 3'!F61</f>
        <v>George</v>
      </c>
      <c r="K32" s="442" t="str">
        <f>'Team 3'!G61</f>
        <v>Lovelock</v>
      </c>
      <c r="L32" s="442" t="str">
        <f t="shared" si="2"/>
        <v>George Lovelock</v>
      </c>
      <c r="M32" s="442" t="str">
        <f>'Team 4'!F61</f>
        <v>MAX</v>
      </c>
      <c r="N32" s="442" t="str">
        <f>'Team 4'!G61</f>
        <v>WALLER</v>
      </c>
      <c r="O32" s="442" t="str">
        <f t="shared" si="3"/>
        <v>MAX WALLER</v>
      </c>
      <c r="P32" s="441" t="str">
        <f>'Team 5'!F61</f>
        <v>Robert</v>
      </c>
      <c r="Q32" s="441" t="str">
        <f>'Team 5'!G61</f>
        <v>Elliston</v>
      </c>
      <c r="R32" s="442" t="str">
        <f t="shared" si="4"/>
        <v>Robert Elliston</v>
      </c>
      <c r="S32" s="441" t="str">
        <f>'Team 6'!F61</f>
        <v xml:space="preserve">Wiktor </v>
      </c>
      <c r="T32" s="441" t="str">
        <f>'Team 6'!G61</f>
        <v>Brejnak</v>
      </c>
      <c r="U32" s="442" t="str">
        <f t="shared" si="5"/>
        <v>Wiktor  Brejnak</v>
      </c>
      <c r="V32" s="441" t="str">
        <f>'Team 7'!F61</f>
        <v>Andrew</v>
      </c>
      <c r="W32" s="441" t="str">
        <f>'Team 7'!G61</f>
        <v>May</v>
      </c>
      <c r="X32" s="442" t="str">
        <f t="shared" si="6"/>
        <v>Andrew May</v>
      </c>
      <c r="Y32" s="441">
        <f>'Team 8'!F61</f>
        <v>0</v>
      </c>
      <c r="Z32" s="441">
        <f>'Team 8'!G61</f>
        <v>0</v>
      </c>
      <c r="AA32" s="442" t="str">
        <f t="shared" si="7"/>
        <v>0 0</v>
      </c>
      <c r="AB32" s="441">
        <f>'Team 9'!F61</f>
        <v>0</v>
      </c>
      <c r="AC32" s="441">
        <f>'Team 9'!G61</f>
        <v>0</v>
      </c>
      <c r="AD32" s="442" t="str">
        <f t="shared" si="8"/>
        <v>0 0</v>
      </c>
      <c r="AE32" s="441">
        <f>'Team 10'!F61</f>
        <v>0</v>
      </c>
      <c r="AF32" s="441">
        <f>'Team 10'!G61</f>
        <v>0</v>
      </c>
      <c r="AG32" s="442" t="str">
        <f t="shared" si="9"/>
        <v>0 0</v>
      </c>
      <c r="AH32" s="166"/>
      <c r="AI32" s="167"/>
    </row>
    <row r="33" spans="1:35" ht="21" customHeight="1" x14ac:dyDescent="0.25">
      <c r="A33" s="402"/>
      <c r="B33" s="439">
        <v>35</v>
      </c>
      <c r="C33" s="440" t="s">
        <v>4539</v>
      </c>
      <c r="D33" s="441" t="str">
        <f>'Team 1'!F62</f>
        <v>Claudia</v>
      </c>
      <c r="E33" s="441" t="str">
        <f>'Team 1'!G62</f>
        <v>Savov</v>
      </c>
      <c r="F33" s="442" t="str">
        <f t="shared" si="0"/>
        <v>Claudia Savov</v>
      </c>
      <c r="G33" s="442" t="str">
        <f>'Team 2'!F62</f>
        <v>Annabelle</v>
      </c>
      <c r="H33" s="442" t="str">
        <f>'Team 2'!G62</f>
        <v>Harris</v>
      </c>
      <c r="I33" s="442" t="str">
        <f t="shared" si="1"/>
        <v>Annabelle Harris</v>
      </c>
      <c r="J33" s="442" t="str">
        <f>'Team 3'!F62</f>
        <v>Scarlett</v>
      </c>
      <c r="K33" s="442" t="str">
        <f>'Team 3'!G62</f>
        <v>Omand</v>
      </c>
      <c r="L33" s="442" t="str">
        <f t="shared" si="2"/>
        <v>Scarlett Omand</v>
      </c>
      <c r="M33" s="442" t="str">
        <f>'Team 4'!F62</f>
        <v>CHELSEA</v>
      </c>
      <c r="N33" s="442" t="str">
        <f>'Team 4'!G62</f>
        <v>DARE</v>
      </c>
      <c r="O33" s="442" t="str">
        <f t="shared" si="3"/>
        <v>CHELSEA DARE</v>
      </c>
      <c r="P33" s="441" t="str">
        <f>'Team 5'!F62</f>
        <v>Maisie</v>
      </c>
      <c r="Q33" s="441" t="str">
        <f>'Team 5'!G62</f>
        <v>Cooper</v>
      </c>
      <c r="R33" s="442" t="str">
        <f t="shared" si="4"/>
        <v>Maisie Cooper</v>
      </c>
      <c r="S33" s="441" t="str">
        <f>'Team 6'!F62</f>
        <v>Mahika</v>
      </c>
      <c r="T33" s="441" t="str">
        <f>'Team 6'!G62</f>
        <v>Chandrashekar</v>
      </c>
      <c r="U33" s="442" t="str">
        <f t="shared" si="5"/>
        <v>Mahika Chandrashekar</v>
      </c>
      <c r="V33" s="441" t="str">
        <f>'Team 7'!F62</f>
        <v>Arabella</v>
      </c>
      <c r="W33" s="441" t="str">
        <f>'Team 7'!G62</f>
        <v>Connick</v>
      </c>
      <c r="X33" s="442" t="str">
        <f t="shared" si="6"/>
        <v>Arabella Connick</v>
      </c>
      <c r="Y33" s="441">
        <f>'Team 8'!F62</f>
        <v>0</v>
      </c>
      <c r="Z33" s="441">
        <f>'Team 8'!G62</f>
        <v>0</v>
      </c>
      <c r="AA33" s="442" t="str">
        <f t="shared" si="7"/>
        <v>0 0</v>
      </c>
      <c r="AB33" s="441">
        <f>'Team 9'!F62</f>
        <v>0</v>
      </c>
      <c r="AC33" s="441">
        <f>'Team 9'!G62</f>
        <v>0</v>
      </c>
      <c r="AD33" s="442" t="str">
        <f t="shared" si="8"/>
        <v>0 0</v>
      </c>
      <c r="AE33" s="441">
        <f>'Team 10'!F62</f>
        <v>0</v>
      </c>
      <c r="AF33" s="441">
        <f>'Team 10'!G62</f>
        <v>0</v>
      </c>
      <c r="AG33" s="442" t="str">
        <f t="shared" si="9"/>
        <v>0 0</v>
      </c>
      <c r="AH33" s="166"/>
      <c r="AI33" s="167"/>
    </row>
    <row r="34" spans="1:35" ht="21" customHeight="1" x14ac:dyDescent="0.25">
      <c r="A34" s="402"/>
      <c r="B34" s="439">
        <v>36</v>
      </c>
      <c r="C34" s="440" t="s">
        <v>4540</v>
      </c>
      <c r="D34" s="441" t="str">
        <f>'Team 1'!F63</f>
        <v>Kornel</v>
      </c>
      <c r="E34" s="441" t="str">
        <f>'Team 1'!G63</f>
        <v>Kern-Konyar</v>
      </c>
      <c r="F34" s="442" t="str">
        <f t="shared" si="0"/>
        <v>Kornel Kern-Konyar</v>
      </c>
      <c r="G34" s="442" t="str">
        <f>'Team 2'!F63</f>
        <v>Alex</v>
      </c>
      <c r="H34" s="442" t="str">
        <f>'Team 2'!G63</f>
        <v>Cash</v>
      </c>
      <c r="I34" s="442" t="str">
        <f t="shared" si="1"/>
        <v>Alex Cash</v>
      </c>
      <c r="J34" s="442" t="str">
        <f>'Team 3'!F63</f>
        <v>Fabio</v>
      </c>
      <c r="K34" s="442" t="str">
        <f>'Team 3'!G63</f>
        <v>Giambrone</v>
      </c>
      <c r="L34" s="442" t="str">
        <f t="shared" si="2"/>
        <v>Fabio Giambrone</v>
      </c>
      <c r="M34" s="442" t="str">
        <f>'Team 4'!F63</f>
        <v>JAMES</v>
      </c>
      <c r="N34" s="442" t="str">
        <f>'Team 4'!G63</f>
        <v>MOHAMMED</v>
      </c>
      <c r="O34" s="442" t="str">
        <f t="shared" si="3"/>
        <v>JAMES MOHAMMED</v>
      </c>
      <c r="P34" s="441" t="str">
        <f>'Team 5'!F63</f>
        <v>Braden</v>
      </c>
      <c r="Q34" s="441" t="str">
        <f>'Team 5'!G63</f>
        <v>Barnacle</v>
      </c>
      <c r="R34" s="442" t="str">
        <f t="shared" si="4"/>
        <v>Braden Barnacle</v>
      </c>
      <c r="S34" s="441" t="str">
        <f>'Team 6'!F63</f>
        <v>Mikhail</v>
      </c>
      <c r="T34" s="441" t="str">
        <f>'Team 6'!G63</f>
        <v>Fedorov</v>
      </c>
      <c r="U34" s="442" t="str">
        <f t="shared" si="5"/>
        <v>Mikhail Fedorov</v>
      </c>
      <c r="V34" s="441" t="str">
        <f>'Team 7'!F63</f>
        <v>Arush</v>
      </c>
      <c r="W34" s="441" t="str">
        <f>'Team 7'!G63</f>
        <v>Agarwal</v>
      </c>
      <c r="X34" s="442" t="str">
        <f t="shared" si="6"/>
        <v>Arush Agarwal</v>
      </c>
      <c r="Y34" s="441">
        <f>'Team 8'!F63</f>
        <v>0</v>
      </c>
      <c r="Z34" s="441">
        <f>'Team 8'!G63</f>
        <v>0</v>
      </c>
      <c r="AA34" s="442" t="str">
        <f t="shared" si="7"/>
        <v>0 0</v>
      </c>
      <c r="AB34" s="441">
        <f>'Team 9'!F63</f>
        <v>0</v>
      </c>
      <c r="AC34" s="441">
        <f>'Team 9'!G63</f>
        <v>0</v>
      </c>
      <c r="AD34" s="442" t="str">
        <f t="shared" si="8"/>
        <v>0 0</v>
      </c>
      <c r="AE34" s="441">
        <f>'Team 10'!F63</f>
        <v>0</v>
      </c>
      <c r="AF34" s="441">
        <f>'Team 10'!G63</f>
        <v>0</v>
      </c>
      <c r="AG34" s="442" t="str">
        <f t="shared" si="9"/>
        <v>0 0</v>
      </c>
      <c r="AH34" s="166"/>
      <c r="AI34" s="167"/>
    </row>
    <row r="35" spans="1:35" ht="21" customHeight="1" x14ac:dyDescent="0.25">
      <c r="A35" s="402"/>
      <c r="B35" s="439">
        <v>37</v>
      </c>
      <c r="C35" s="440" t="s">
        <v>4541</v>
      </c>
      <c r="D35" s="441" t="str">
        <f>'Team 1'!F64</f>
        <v>Amy</v>
      </c>
      <c r="E35" s="441" t="str">
        <f>'Team 1'!G64</f>
        <v>Hanson</v>
      </c>
      <c r="F35" s="442" t="str">
        <f t="shared" si="0"/>
        <v>Amy Hanson</v>
      </c>
      <c r="G35" s="442" t="str">
        <f>'Team 2'!F64</f>
        <v>Gracie</v>
      </c>
      <c r="H35" s="442" t="str">
        <f>'Team 2'!G64</f>
        <v>Fleming-Jacobs</v>
      </c>
      <c r="I35" s="442" t="str">
        <f t="shared" si="1"/>
        <v>Gracie Fleming-Jacobs</v>
      </c>
      <c r="J35" s="442" t="str">
        <f>'Team 3'!F64</f>
        <v>Mia</v>
      </c>
      <c r="K35" s="442" t="str">
        <f>'Team 3'!G64</f>
        <v>Nelson</v>
      </c>
      <c r="L35" s="442" t="str">
        <f t="shared" si="2"/>
        <v>Mia Nelson</v>
      </c>
      <c r="M35" s="442" t="str">
        <f>'Team 4'!F64</f>
        <v>ANNABELLA</v>
      </c>
      <c r="N35" s="442" t="str">
        <f>'Team 4'!G64</f>
        <v>COJEEN</v>
      </c>
      <c r="O35" s="442" t="str">
        <f t="shared" si="3"/>
        <v>ANNABELLA COJEEN</v>
      </c>
      <c r="P35" s="441" t="str">
        <f>'Team 5'!F64</f>
        <v>Aimee</v>
      </c>
      <c r="Q35" s="441" t="str">
        <f>'Team 5'!G64</f>
        <v>Baker</v>
      </c>
      <c r="R35" s="442" t="str">
        <f t="shared" si="4"/>
        <v>Aimee Baker</v>
      </c>
      <c r="S35" s="441" t="str">
        <f>'Team 6'!F64</f>
        <v>Polina</v>
      </c>
      <c r="T35" s="441" t="str">
        <f>'Team 6'!G64</f>
        <v>Fedorova</v>
      </c>
      <c r="U35" s="442" t="str">
        <f t="shared" si="5"/>
        <v>Polina Fedorova</v>
      </c>
      <c r="V35" s="441" t="str">
        <f>'Team 7'!F64</f>
        <v>Vaari</v>
      </c>
      <c r="W35" s="441" t="str">
        <f>'Team 7'!G64</f>
        <v>Mepani</v>
      </c>
      <c r="X35" s="442" t="str">
        <f t="shared" si="6"/>
        <v>Vaari Mepani</v>
      </c>
      <c r="Y35" s="441">
        <f>'Team 8'!F64</f>
        <v>0</v>
      </c>
      <c r="Z35" s="441">
        <f>'Team 8'!G64</f>
        <v>0</v>
      </c>
      <c r="AA35" s="442" t="str">
        <f t="shared" si="7"/>
        <v>0 0</v>
      </c>
      <c r="AB35" s="441">
        <f>'Team 9'!F64</f>
        <v>0</v>
      </c>
      <c r="AC35" s="441">
        <f>'Team 9'!G64</f>
        <v>0</v>
      </c>
      <c r="AD35" s="442" t="str">
        <f t="shared" si="8"/>
        <v>0 0</v>
      </c>
      <c r="AE35" s="441">
        <f>'Team 10'!F64</f>
        <v>0</v>
      </c>
      <c r="AF35" s="441">
        <f>'Team 10'!G64</f>
        <v>0</v>
      </c>
      <c r="AG35" s="442" t="str">
        <f t="shared" si="9"/>
        <v>0 0</v>
      </c>
      <c r="AH35" s="166"/>
      <c r="AI35" s="167"/>
    </row>
    <row r="36" spans="1:35" ht="21" customHeight="1" x14ac:dyDescent="0.25">
      <c r="A36" s="402"/>
      <c r="B36" s="439">
        <v>38</v>
      </c>
      <c r="C36" s="440" t="s">
        <v>4542</v>
      </c>
      <c r="D36" s="441" t="str">
        <f>'Team 1'!F65</f>
        <v>Yigit</v>
      </c>
      <c r="E36" s="441" t="str">
        <f>'Team 1'!G65</f>
        <v>Ilhan</v>
      </c>
      <c r="F36" s="442" t="str">
        <f t="shared" si="0"/>
        <v>Yigit Ilhan</v>
      </c>
      <c r="G36" s="442" t="str">
        <f>'Team 2'!F65</f>
        <v>Joseph</v>
      </c>
      <c r="H36" s="442" t="str">
        <f>'Team 2'!G65</f>
        <v>Bagshaw</v>
      </c>
      <c r="I36" s="442" t="str">
        <f t="shared" si="1"/>
        <v>Joseph Bagshaw</v>
      </c>
      <c r="J36" s="442" t="str">
        <f>'Team 3'!F65</f>
        <v>Mikhail</v>
      </c>
      <c r="K36" s="442" t="str">
        <f>'Team 3'!G65</f>
        <v>Zharinov</v>
      </c>
      <c r="L36" s="442" t="str">
        <f t="shared" si="2"/>
        <v>Mikhail Zharinov</v>
      </c>
      <c r="M36" s="442" t="str">
        <f>'Team 4'!F65</f>
        <v>RILEY</v>
      </c>
      <c r="N36" s="442" t="str">
        <f>'Team 4'!G65</f>
        <v>BUNCE</v>
      </c>
      <c r="O36" s="442" t="str">
        <f t="shared" si="3"/>
        <v>RILEY BUNCE</v>
      </c>
      <c r="P36" s="441" t="str">
        <f>'Team 5'!F65</f>
        <v>Mohammed</v>
      </c>
      <c r="Q36" s="441" t="str">
        <f>'Team 5'!G65</f>
        <v>Malek</v>
      </c>
      <c r="R36" s="442" t="str">
        <f t="shared" si="4"/>
        <v>Mohammed Malek</v>
      </c>
      <c r="S36" s="441" t="str">
        <f>'Team 6'!F65</f>
        <v xml:space="preserve">Gert </v>
      </c>
      <c r="T36" s="441" t="str">
        <f>'Team 6'!G65</f>
        <v>Zeqiri</v>
      </c>
      <c r="U36" s="442" t="str">
        <f t="shared" si="5"/>
        <v>Gert  Zeqiri</v>
      </c>
      <c r="V36" s="441" t="str">
        <f>'Team 7'!F65</f>
        <v>Daniel</v>
      </c>
      <c r="W36" s="441" t="str">
        <f>'Team 7'!G65</f>
        <v>Celi</v>
      </c>
      <c r="X36" s="442" t="str">
        <f t="shared" si="6"/>
        <v>Daniel Celi</v>
      </c>
      <c r="Y36" s="441">
        <f>'Team 8'!F65</f>
        <v>0</v>
      </c>
      <c r="Z36" s="441">
        <f>'Team 8'!G65</f>
        <v>0</v>
      </c>
      <c r="AA36" s="442" t="str">
        <f t="shared" si="7"/>
        <v>0 0</v>
      </c>
      <c r="AB36" s="441">
        <f>'Team 9'!F65</f>
        <v>0</v>
      </c>
      <c r="AC36" s="441">
        <f>'Team 9'!G65</f>
        <v>0</v>
      </c>
      <c r="AD36" s="442" t="str">
        <f t="shared" si="8"/>
        <v>0 0</v>
      </c>
      <c r="AE36" s="441">
        <f>'Team 10'!F65</f>
        <v>0</v>
      </c>
      <c r="AF36" s="441">
        <f>'Team 10'!G65</f>
        <v>0</v>
      </c>
      <c r="AG36" s="442" t="str">
        <f t="shared" si="9"/>
        <v>0 0</v>
      </c>
      <c r="AH36" s="166"/>
      <c r="AI36" s="167"/>
    </row>
    <row r="37" spans="1:35" ht="21" customHeight="1" x14ac:dyDescent="0.25">
      <c r="A37" s="402"/>
      <c r="B37" s="439">
        <v>39</v>
      </c>
      <c r="C37" s="440" t="s">
        <v>4543</v>
      </c>
      <c r="D37" s="441" t="str">
        <f>'Team 1'!F66</f>
        <v>Taisia</v>
      </c>
      <c r="E37" s="441" t="str">
        <f>'Team 1'!G66</f>
        <v>Flury</v>
      </c>
      <c r="F37" s="442" t="str">
        <f t="shared" si="0"/>
        <v>Taisia Flury</v>
      </c>
      <c r="G37" s="442" t="str">
        <f>'Team 2'!F66</f>
        <v>Daisy</v>
      </c>
      <c r="H37" s="442" t="str">
        <f>'Team 2'!G66</f>
        <v>Harradine</v>
      </c>
      <c r="I37" s="442" t="str">
        <f t="shared" si="1"/>
        <v>Daisy Harradine</v>
      </c>
      <c r="J37" s="442" t="str">
        <f>'Team 3'!F66</f>
        <v>Molly</v>
      </c>
      <c r="K37" s="442" t="str">
        <f>'Team 3'!G66</f>
        <v>Bartup</v>
      </c>
      <c r="L37" s="442" t="str">
        <f t="shared" si="2"/>
        <v>Molly Bartup</v>
      </c>
      <c r="M37" s="442" t="str">
        <f>'Team 4'!F66</f>
        <v>ZAHRA</v>
      </c>
      <c r="N37" s="442" t="str">
        <f>'Team 4'!G66</f>
        <v>WALLER</v>
      </c>
      <c r="O37" s="442" t="str">
        <f t="shared" si="3"/>
        <v>ZAHRA WALLER</v>
      </c>
      <c r="P37" s="441" t="str">
        <f>'Team 5'!F66</f>
        <v>Hollie</v>
      </c>
      <c r="Q37" s="441" t="str">
        <f>'Team 5'!G66</f>
        <v>Heighes</v>
      </c>
      <c r="R37" s="442" t="str">
        <f t="shared" si="4"/>
        <v>Hollie Heighes</v>
      </c>
      <c r="S37" s="441" t="str">
        <f>'Team 6'!F66</f>
        <v>Mina</v>
      </c>
      <c r="T37" s="441" t="str">
        <f>'Team 6'!G66</f>
        <v>Safahe</v>
      </c>
      <c r="U37" s="442" t="str">
        <f t="shared" si="5"/>
        <v>Mina Safahe</v>
      </c>
      <c r="V37" s="441" t="str">
        <f>'Team 7'!F66</f>
        <v>Keira</v>
      </c>
      <c r="W37" s="441" t="str">
        <f>'Team 7'!G66</f>
        <v>Brannigan</v>
      </c>
      <c r="X37" s="442" t="str">
        <f t="shared" si="6"/>
        <v>Keira Brannigan</v>
      </c>
      <c r="Y37" s="441">
        <f>'Team 8'!F66</f>
        <v>0</v>
      </c>
      <c r="Z37" s="441">
        <f>'Team 8'!G66</f>
        <v>0</v>
      </c>
      <c r="AA37" s="442" t="str">
        <f t="shared" si="7"/>
        <v>0 0</v>
      </c>
      <c r="AB37" s="441">
        <f>'Team 9'!F66</f>
        <v>0</v>
      </c>
      <c r="AC37" s="441">
        <f>'Team 9'!G66</f>
        <v>0</v>
      </c>
      <c r="AD37" s="442" t="str">
        <f t="shared" si="8"/>
        <v>0 0</v>
      </c>
      <c r="AE37" s="441">
        <f>'Team 10'!F66</f>
        <v>0</v>
      </c>
      <c r="AF37" s="441">
        <f>'Team 10'!G66</f>
        <v>0</v>
      </c>
      <c r="AG37" s="442" t="str">
        <f t="shared" si="9"/>
        <v>0 0</v>
      </c>
      <c r="AH37" s="444"/>
      <c r="AI37" s="167"/>
    </row>
    <row r="38" spans="1:35" ht="21" customHeight="1" x14ac:dyDescent="0.25">
      <c r="A38" s="402"/>
      <c r="B38" s="439">
        <v>40</v>
      </c>
      <c r="C38" s="440" t="s">
        <v>4544</v>
      </c>
      <c r="D38" s="441" t="str">
        <f>'Team 1'!F67</f>
        <v>Michael</v>
      </c>
      <c r="E38" s="441" t="str">
        <f>'Team 1'!G67</f>
        <v>Manassero</v>
      </c>
      <c r="F38" s="442" t="str">
        <f t="shared" si="0"/>
        <v>Michael Manassero</v>
      </c>
      <c r="G38" s="442" t="str">
        <f>'Team 2'!F67</f>
        <v>Samuel</v>
      </c>
      <c r="H38" s="442" t="str">
        <f>'Team 2'!G67</f>
        <v>Heraty</v>
      </c>
      <c r="I38" s="442" t="str">
        <f t="shared" si="1"/>
        <v>Samuel Heraty</v>
      </c>
      <c r="J38" s="442" t="str">
        <f>'Team 3'!F67</f>
        <v>Theo</v>
      </c>
      <c r="K38" s="442" t="str">
        <f>'Team 3'!G67</f>
        <v>Smith</v>
      </c>
      <c r="L38" s="442" t="str">
        <f t="shared" si="2"/>
        <v>Theo Smith</v>
      </c>
      <c r="M38" s="442" t="str">
        <f>'Team 4'!F67</f>
        <v>RAFI</v>
      </c>
      <c r="N38" s="442" t="str">
        <f>'Team 4'!G67</f>
        <v>GIBSON</v>
      </c>
      <c r="O38" s="442" t="str">
        <f t="shared" si="3"/>
        <v>RAFI GIBSON</v>
      </c>
      <c r="P38" s="441" t="str">
        <f>'Team 5'!F67</f>
        <v>Nathaniel</v>
      </c>
      <c r="Q38" s="441" t="str">
        <f>'Team 5'!G67</f>
        <v>Coburn</v>
      </c>
      <c r="R38" s="442" t="str">
        <f t="shared" si="4"/>
        <v>Nathaniel Coburn</v>
      </c>
      <c r="S38" s="441" t="str">
        <f>'Team 6'!F67</f>
        <v>Gabriel</v>
      </c>
      <c r="T38" s="441" t="str">
        <f>'Team 6'!G67</f>
        <v>Rebelo</v>
      </c>
      <c r="U38" s="442" t="str">
        <f t="shared" si="5"/>
        <v>Gabriel Rebelo</v>
      </c>
      <c r="V38" s="441" t="str">
        <f>'Team 7'!F67</f>
        <v>Advay</v>
      </c>
      <c r="W38" s="441" t="str">
        <f>'Team 7'!G67</f>
        <v>Bhatia</v>
      </c>
      <c r="X38" s="442" t="str">
        <f t="shared" si="6"/>
        <v>Advay Bhatia</v>
      </c>
      <c r="Y38" s="441">
        <f>'Team 8'!F67</f>
        <v>0</v>
      </c>
      <c r="Z38" s="441">
        <f>'Team 8'!G67</f>
        <v>0</v>
      </c>
      <c r="AA38" s="442" t="str">
        <f t="shared" si="7"/>
        <v>0 0</v>
      </c>
      <c r="AB38" s="441">
        <f>'Team 9'!F67</f>
        <v>0</v>
      </c>
      <c r="AC38" s="441">
        <f>'Team 9'!G67</f>
        <v>0</v>
      </c>
      <c r="AD38" s="442" t="str">
        <f t="shared" si="8"/>
        <v>0 0</v>
      </c>
      <c r="AE38" s="441">
        <f>'Team 10'!F67</f>
        <v>0</v>
      </c>
      <c r="AF38" s="441">
        <f>'Team 10'!G67</f>
        <v>0</v>
      </c>
      <c r="AG38" s="442" t="str">
        <f t="shared" si="9"/>
        <v>0 0</v>
      </c>
      <c r="AH38" s="445"/>
      <c r="AI38" s="167"/>
    </row>
    <row r="39" spans="1:35" ht="21" customHeight="1" x14ac:dyDescent="0.25">
      <c r="A39" s="402"/>
      <c r="B39" s="439">
        <v>41</v>
      </c>
      <c r="C39" s="440" t="s">
        <v>4545</v>
      </c>
      <c r="D39" s="441" t="str">
        <f>'Team 1'!F68</f>
        <v>Maja</v>
      </c>
      <c r="E39" s="441" t="str">
        <f>'Team 1'!G68</f>
        <v>Grzybek</v>
      </c>
      <c r="F39" s="442" t="str">
        <f t="shared" si="0"/>
        <v>Maja Grzybek</v>
      </c>
      <c r="G39" s="442" t="str">
        <f>'Team 2'!F68</f>
        <v>Madeleine</v>
      </c>
      <c r="H39" s="442" t="str">
        <f>'Team 2'!G68</f>
        <v>Bailiss</v>
      </c>
      <c r="I39" s="442" t="str">
        <f t="shared" si="1"/>
        <v>Madeleine Bailiss</v>
      </c>
      <c r="J39" s="442" t="str">
        <f>'Team 3'!F68</f>
        <v>Charlotte</v>
      </c>
      <c r="K39" s="442" t="str">
        <f>'Team 3'!G68</f>
        <v>Brakenbury</v>
      </c>
      <c r="L39" s="442" t="str">
        <f t="shared" si="2"/>
        <v>Charlotte Brakenbury</v>
      </c>
      <c r="M39" s="442" t="str">
        <f>'Team 4'!F68</f>
        <v>LUCY</v>
      </c>
      <c r="N39" s="442" t="str">
        <f>'Team 4'!G68</f>
        <v>BURNHAM</v>
      </c>
      <c r="O39" s="442" t="str">
        <f t="shared" si="3"/>
        <v>LUCY BURNHAM</v>
      </c>
      <c r="P39" s="441" t="str">
        <f>'Team 5'!F68</f>
        <v>Lily</v>
      </c>
      <c r="Q39" s="441" t="str">
        <f>'Team 5'!G68</f>
        <v>Threadgold</v>
      </c>
      <c r="R39" s="442" t="str">
        <f t="shared" si="4"/>
        <v>Lily Threadgold</v>
      </c>
      <c r="S39" s="441" t="str">
        <f>'Team 6'!F68</f>
        <v xml:space="preserve">Alice </v>
      </c>
      <c r="T39" s="441" t="str">
        <f>'Team 6'!G68</f>
        <v>Sharrock</v>
      </c>
      <c r="U39" s="442" t="str">
        <f t="shared" si="5"/>
        <v>Alice  Sharrock</v>
      </c>
      <c r="V39" s="441" t="str">
        <f>'Team 7'!F68</f>
        <v>Laura</v>
      </c>
      <c r="W39" s="441" t="str">
        <f>'Team 7'!G68</f>
        <v>Hibberd</v>
      </c>
      <c r="X39" s="442" t="str">
        <f t="shared" si="6"/>
        <v>Laura Hibberd</v>
      </c>
      <c r="Y39" s="441">
        <f>'Team 8'!F68</f>
        <v>0</v>
      </c>
      <c r="Z39" s="441">
        <f>'Team 8'!G68</f>
        <v>0</v>
      </c>
      <c r="AA39" s="442" t="str">
        <f t="shared" si="7"/>
        <v>0 0</v>
      </c>
      <c r="AB39" s="441">
        <f>'Team 9'!F68</f>
        <v>0</v>
      </c>
      <c r="AC39" s="441">
        <f>'Team 9'!G68</f>
        <v>0</v>
      </c>
      <c r="AD39" s="442" t="str">
        <f t="shared" si="8"/>
        <v>0 0</v>
      </c>
      <c r="AE39" s="441">
        <f>'Team 10'!F68</f>
        <v>0</v>
      </c>
      <c r="AF39" s="441">
        <f>'Team 10'!G68</f>
        <v>0</v>
      </c>
      <c r="AG39" s="442" t="str">
        <f t="shared" si="9"/>
        <v>0 0</v>
      </c>
      <c r="AH39" s="445"/>
      <c r="AI39" s="167"/>
    </row>
    <row r="40" spans="1:35" ht="21" customHeight="1" x14ac:dyDescent="0.25">
      <c r="A40" s="402"/>
      <c r="B40" s="439">
        <v>42</v>
      </c>
      <c r="C40" s="440" t="s">
        <v>4546</v>
      </c>
      <c r="D40" s="441" t="str">
        <f>'Team 1'!F69</f>
        <v>James</v>
      </c>
      <c r="E40" s="441" t="str">
        <f>'Team 1'!G69</f>
        <v>Smeaton</v>
      </c>
      <c r="F40" s="442" t="str">
        <f t="shared" si="0"/>
        <v>James Smeaton</v>
      </c>
      <c r="G40" s="442" t="str">
        <f>'Team 2'!F69</f>
        <v>Harry</v>
      </c>
      <c r="H40" s="442" t="str">
        <f>'Team 2'!G69</f>
        <v>Chapman</v>
      </c>
      <c r="I40" s="442" t="str">
        <f t="shared" si="1"/>
        <v>Harry Chapman</v>
      </c>
      <c r="J40" s="442" t="str">
        <f>'Team 3'!F69</f>
        <v>Luke</v>
      </c>
      <c r="K40" s="442" t="str">
        <f>'Team 3'!G69</f>
        <v>Morley</v>
      </c>
      <c r="L40" s="442" t="str">
        <f t="shared" si="2"/>
        <v>Luke Morley</v>
      </c>
      <c r="M40" s="442" t="str">
        <f>'Team 4'!F69</f>
        <v>MATTHEW</v>
      </c>
      <c r="N40" s="442" t="str">
        <f>'Team 4'!G69</f>
        <v>MASTERS</v>
      </c>
      <c r="O40" s="442" t="str">
        <f t="shared" si="3"/>
        <v>MATTHEW MASTERS</v>
      </c>
      <c r="P40" s="441" t="str">
        <f>'Team 5'!F69</f>
        <v>Robert</v>
      </c>
      <c r="Q40" s="441" t="str">
        <f>'Team 5'!G69</f>
        <v>Elliston</v>
      </c>
      <c r="R40" s="442" t="str">
        <f t="shared" si="4"/>
        <v>Robert Elliston</v>
      </c>
      <c r="S40" s="441" t="str">
        <f>'Team 6'!F69</f>
        <v>Razvan</v>
      </c>
      <c r="T40" s="441" t="str">
        <f>'Team 6'!G69</f>
        <v>Lembac</v>
      </c>
      <c r="U40" s="442" t="str">
        <f t="shared" si="5"/>
        <v>Razvan Lembac</v>
      </c>
      <c r="V40" s="441" t="str">
        <f>'Team 7'!F69</f>
        <v>Liam</v>
      </c>
      <c r="W40" s="441" t="str">
        <f>'Team 7'!G69</f>
        <v>Treanor</v>
      </c>
      <c r="X40" s="442" t="str">
        <f t="shared" si="6"/>
        <v>Liam Treanor</v>
      </c>
      <c r="Y40" s="441">
        <f>'Team 8'!F69</f>
        <v>0</v>
      </c>
      <c r="Z40" s="441">
        <f>'Team 8'!G69</f>
        <v>0</v>
      </c>
      <c r="AA40" s="442" t="str">
        <f t="shared" si="7"/>
        <v>0 0</v>
      </c>
      <c r="AB40" s="441">
        <f>'Team 9'!F69</f>
        <v>0</v>
      </c>
      <c r="AC40" s="441">
        <f>'Team 9'!G69</f>
        <v>0</v>
      </c>
      <c r="AD40" s="442" t="str">
        <f t="shared" si="8"/>
        <v>0 0</v>
      </c>
      <c r="AE40" s="441">
        <f>'Team 10'!F69</f>
        <v>0</v>
      </c>
      <c r="AF40" s="441">
        <f>'Team 10'!G69</f>
        <v>0</v>
      </c>
      <c r="AG40" s="442" t="str">
        <f t="shared" si="9"/>
        <v>0 0</v>
      </c>
      <c r="AH40" s="445"/>
      <c r="AI40" s="167"/>
    </row>
    <row r="41" spans="1:35" ht="13.5" customHeight="1" x14ac:dyDescent="0.25">
      <c r="A41" s="417"/>
      <c r="B41" s="446"/>
      <c r="C41" s="447"/>
      <c r="D41" s="447"/>
      <c r="E41" s="447"/>
      <c r="F41" s="447"/>
      <c r="G41" s="447"/>
      <c r="H41" s="447"/>
      <c r="I41" s="447"/>
      <c r="J41" s="447"/>
      <c r="K41" s="447"/>
      <c r="L41" s="447"/>
      <c r="M41" s="447"/>
      <c r="N41" s="447"/>
      <c r="O41" s="447"/>
      <c r="P41" s="447"/>
      <c r="Q41" s="447"/>
      <c r="R41" s="447"/>
      <c r="S41" s="447"/>
      <c r="T41" s="447"/>
      <c r="U41" s="447"/>
      <c r="V41" s="447"/>
      <c r="W41" s="447"/>
      <c r="X41" s="447"/>
      <c r="Y41" s="447"/>
      <c r="Z41" s="447"/>
      <c r="AA41" s="447"/>
      <c r="AB41" s="447"/>
      <c r="AC41" s="447"/>
      <c r="AD41" s="447"/>
      <c r="AE41" s="447"/>
      <c r="AF41" s="447"/>
      <c r="AG41" s="447"/>
      <c r="AH41" s="448"/>
      <c r="AI41" s="167"/>
    </row>
    <row r="42" spans="1:35" ht="390" customHeight="1" x14ac:dyDescent="0.25">
      <c r="A42" s="1173"/>
      <c r="B42" s="1173"/>
      <c r="C42" s="1173"/>
      <c r="D42" s="1173"/>
      <c r="E42" s="1173"/>
      <c r="F42" s="1173"/>
      <c r="G42" s="1173"/>
      <c r="H42" s="1173"/>
      <c r="I42" s="1173"/>
      <c r="J42" s="1173"/>
      <c r="K42" s="1173"/>
      <c r="L42" s="1173"/>
      <c r="M42" s="449"/>
      <c r="N42" s="449"/>
      <c r="O42" s="449"/>
      <c r="P42" s="449"/>
      <c r="Q42" s="449"/>
      <c r="R42" s="449"/>
      <c r="S42" s="449"/>
      <c r="T42" s="449"/>
      <c r="U42" s="449"/>
      <c r="V42" s="449"/>
      <c r="W42" s="449"/>
      <c r="X42" s="449"/>
      <c r="Y42" s="449"/>
      <c r="Z42" s="449"/>
      <c r="AA42" s="449"/>
      <c r="AB42" s="449"/>
      <c r="AC42" s="449"/>
      <c r="AD42" s="449"/>
      <c r="AE42" s="449"/>
      <c r="AF42" s="449"/>
      <c r="AG42" s="449"/>
      <c r="AH42" s="449"/>
      <c r="AI42" s="167"/>
    </row>
  </sheetData>
  <sheetProtection algorithmName="SHA-512" hashValue="Wa3bwgiRUNnoPsCNUB47fa+AoxFBUAfC/XAcgFqLCwHXtZety8C8D1DVJPkcY8xzgLbid2m8U3+/e2u9lPYLxQ==" saltValue="T0j6kyGWXiIvvCAocgjjQw==" spinCount="100000" sheet="1" autoFilter="0"/>
  <autoFilter ref="C6:AG40" xr:uid="{00000000-0009-0000-0000-000005000000}"/>
  <mergeCells count="7">
    <mergeCell ref="A42:L42"/>
    <mergeCell ref="B1:C6"/>
    <mergeCell ref="F1:F3"/>
    <mergeCell ref="I1:I3"/>
    <mergeCell ref="L1:AG1"/>
    <mergeCell ref="L2:AG2"/>
    <mergeCell ref="L3:AG3"/>
  </mergeCells>
  <conditionalFormatting sqref="F1:K2 G3:H3 J3:K3">
    <cfRule type="cellIs" dxfId="215" priority="2" operator="greaterThan">
      <formula>0</formula>
    </cfRule>
  </conditionalFormatting>
  <conditionalFormatting sqref="F7:AG40">
    <cfRule type="cellIs" dxfId="214" priority="5" operator="between">
      <formula>0</formula>
      <formula>"0 0"</formula>
    </cfRule>
  </conditionalFormatting>
  <conditionalFormatting sqref="G6:AG6">
    <cfRule type="cellIs" dxfId="213" priority="4" operator="equal">
      <formula>0</formula>
    </cfRule>
  </conditionalFormatting>
  <conditionalFormatting sqref="L2:L3">
    <cfRule type="cellIs" dxfId="212" priority="3" operator="greaterThan">
      <formula>0</formula>
    </cfRule>
  </conditionalFormatting>
  <hyperlinks>
    <hyperlink ref="F1" location="'Gala Setup'!G2" display="Gala _x000a_Set-up" xr:uid="{00000000-0004-0000-0500-000000000000}"/>
    <hyperlink ref="I1" location="Recording!Q25" display="Gala Recording" xr:uid="{00000000-0004-0000-0500-000001000000}"/>
  </hyperlinks>
  <printOptions horizontalCentered="1" verticalCentered="1"/>
  <pageMargins left="0.118055555555556" right="0.118055555555556" top="0.74791666666666701" bottom="0.74791666666666701" header="0.511811023622047" footer="0.511811023622047"/>
  <pageSetup paperSize="9" orientation="landscape" horizontalDpi="300" verticalDpi="300" r:id="rId1"/>
  <colBreaks count="1" manualBreakCount="1">
    <brk id="3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R159"/>
  <sheetViews>
    <sheetView showGridLines="0" showRowColHeaders="0" zoomScale="99" zoomScaleNormal="99" workbookViewId="0">
      <selection activeCell="G17" sqref="G17"/>
    </sheetView>
  </sheetViews>
  <sheetFormatPr defaultColWidth="8.88671875" defaultRowHeight="13.2" x14ac:dyDescent="0.25"/>
  <cols>
    <col min="1" max="1" width="2.6640625" style="441" customWidth="1"/>
    <col min="2" max="2" width="4.6640625" style="441" customWidth="1"/>
    <col min="3" max="3" width="24.6640625" style="441" customWidth="1"/>
    <col min="4" max="4" width="12.109375" style="441" customWidth="1"/>
    <col min="5" max="5" width="10.88671875" style="441" customWidth="1"/>
    <col min="6" max="6" width="1.6640625" style="441" customWidth="1"/>
    <col min="7" max="7" width="23.5546875" style="441" customWidth="1"/>
    <col min="8" max="8" width="7.5546875" style="441" customWidth="1"/>
    <col min="9" max="9" width="13.109375" style="441" hidden="1" customWidth="1"/>
    <col min="10" max="11" width="7.44140625" style="441" hidden="1" customWidth="1"/>
    <col min="12" max="13" width="8.6640625" style="441" customWidth="1"/>
    <col min="14" max="14" width="3" style="441" customWidth="1"/>
    <col min="15" max="15" width="3.88671875" style="441" customWidth="1"/>
    <col min="16" max="16" width="3" style="441" customWidth="1"/>
    <col min="17" max="17" width="3.88671875" style="441" customWidth="1"/>
    <col min="18" max="18" width="3" style="441" customWidth="1"/>
    <col min="19" max="19" width="7.33203125" style="441" customWidth="1"/>
    <col min="20" max="20" width="1.5546875" style="441" customWidth="1"/>
    <col min="21" max="21" width="9.88671875" style="441" customWidth="1"/>
    <col min="22" max="22" width="9.88671875" style="441" hidden="1" customWidth="1"/>
    <col min="23" max="23" width="29.5546875" style="441" customWidth="1"/>
    <col min="24" max="24" width="11.33203125" style="441" hidden="1" customWidth="1"/>
    <col min="25" max="25" width="9.6640625" style="441" customWidth="1"/>
    <col min="26" max="26" width="12" style="441" hidden="1" customWidth="1"/>
    <col min="27" max="27" width="8.88671875" style="441" hidden="1"/>
    <col min="28" max="28" width="8.109375" style="441" hidden="1" customWidth="1"/>
    <col min="29" max="29" width="5.33203125" style="441" hidden="1" customWidth="1"/>
    <col min="30" max="58" width="4" style="441" hidden="1" customWidth="1"/>
    <col min="59" max="59" width="6.109375" style="441" hidden="1" customWidth="1"/>
    <col min="60" max="60" width="6.6640625" style="441" hidden="1" customWidth="1"/>
    <col min="61" max="61" width="1.5546875" style="441" hidden="1" customWidth="1"/>
    <col min="62" max="62" width="2" style="441" hidden="1" customWidth="1"/>
    <col min="63" max="63" width="2.6640625" style="441" hidden="1" customWidth="1"/>
    <col min="64" max="64" width="9.6640625" style="441" customWidth="1"/>
    <col min="65" max="66" width="9.6640625" style="441" hidden="1" customWidth="1"/>
    <col min="67" max="67" width="9.5546875" style="441" customWidth="1"/>
    <col min="68" max="68" width="2" style="441" customWidth="1"/>
    <col min="69" max="69" width="9" style="441" customWidth="1"/>
    <col min="70" max="70" width="2.6640625" style="441" customWidth="1"/>
    <col min="71" max="71" width="99" style="441" customWidth="1"/>
    <col min="72" max="72" width="10" style="441" customWidth="1"/>
    <col min="73" max="73" width="4.33203125" style="441" customWidth="1"/>
    <col min="74" max="74" width="32.109375" style="441" customWidth="1"/>
    <col min="75" max="77" width="8" style="441" customWidth="1"/>
    <col min="78" max="78" width="5.109375" style="441" customWidth="1"/>
    <col min="79" max="80" width="9.6640625" style="441" customWidth="1"/>
    <col min="81" max="81" width="27" style="441" customWidth="1"/>
    <col min="82" max="82" width="9.6640625" style="441" customWidth="1"/>
    <col min="83" max="85" width="7.6640625" style="441" customWidth="1"/>
    <col min="86" max="86" width="3" style="441" customWidth="1"/>
    <col min="87" max="87" width="4.6640625" style="441" customWidth="1"/>
    <col min="88" max="88" width="3" style="441" customWidth="1"/>
    <col min="89" max="89" width="4.6640625" style="441" customWidth="1"/>
    <col min="90" max="90" width="3" style="441" customWidth="1"/>
    <col min="91" max="91" width="4.6640625" style="441" customWidth="1"/>
    <col min="92" max="92" width="1.44140625" style="441" customWidth="1"/>
    <col min="93" max="94" width="9.6640625" style="441" customWidth="1"/>
    <col min="95" max="95" width="8.6640625" style="441" customWidth="1"/>
    <col min="96" max="98" width="9.6640625" style="441" customWidth="1"/>
    <col min="99" max="99" width="6.5546875" style="441" customWidth="1"/>
    <col min="100" max="100" width="4.6640625" style="441" customWidth="1"/>
    <col min="101" max="101" width="16.33203125" style="441" customWidth="1"/>
    <col min="102" max="102" width="31.44140625" style="441" customWidth="1"/>
    <col min="103" max="103" width="4.6640625" style="441" customWidth="1"/>
    <col min="104" max="104" width="7.5546875" style="441" customWidth="1"/>
    <col min="105" max="106" width="9.109375" style="441" customWidth="1"/>
    <col min="107" max="136" width="4.88671875" style="441" customWidth="1"/>
    <col min="137" max="137" width="8.88671875" style="441"/>
    <col min="138" max="147" width="3.5546875" style="441" customWidth="1"/>
    <col min="148" max="167" width="4.6640625" style="441" customWidth="1"/>
    <col min="168" max="168" width="8.88671875" style="441"/>
    <col min="169" max="178" width="3.44140625" style="441" customWidth="1"/>
    <col min="179" max="198" width="4.33203125" style="441" customWidth="1"/>
    <col min="199" max="199" width="8.88671875" style="441"/>
    <col min="200" max="209" width="3.5546875" style="441" customWidth="1"/>
    <col min="210" max="229" width="4.33203125" style="441" customWidth="1"/>
    <col min="230" max="230" width="8.88671875" style="441"/>
    <col min="231" max="240" width="2.88671875" style="441" customWidth="1"/>
    <col min="241" max="260" width="5.109375" style="441" customWidth="1"/>
    <col min="261" max="261" width="7.6640625" style="441" customWidth="1"/>
    <col min="262" max="271" width="2.6640625" style="441" customWidth="1"/>
    <col min="272" max="291" width="5.109375" style="441" customWidth="1"/>
    <col min="292" max="292" width="6.5546875" style="441" customWidth="1"/>
    <col min="293" max="302" width="2.44140625" style="441" customWidth="1"/>
    <col min="303" max="322" width="5.109375" style="441" customWidth="1"/>
    <col min="323" max="323" width="7.44140625" style="441" customWidth="1"/>
    <col min="324" max="333" width="2.6640625" style="441" customWidth="1"/>
    <col min="334" max="353" width="5.109375" style="441" customWidth="1"/>
    <col min="354" max="354" width="6.6640625" style="441" customWidth="1"/>
    <col min="355" max="364" width="2.6640625" style="441" customWidth="1"/>
    <col min="365" max="384" width="5.109375" style="441" customWidth="1"/>
    <col min="385" max="385" width="6.6640625" style="441" customWidth="1"/>
    <col min="386" max="395" width="3.33203125" style="441" customWidth="1"/>
    <col min="396" max="415" width="5.109375" style="441" customWidth="1"/>
    <col min="416" max="416" width="6.88671875" style="441" customWidth="1"/>
    <col min="417" max="426" width="3.5546875" style="441" customWidth="1"/>
    <col min="427" max="446" width="5.109375" style="441" customWidth="1"/>
    <col min="447" max="447" width="7.109375" style="441" customWidth="1"/>
    <col min="448" max="448" width="18.5546875" style="441" customWidth="1"/>
    <col min="449" max="468" width="5.33203125" style="441" customWidth="1"/>
    <col min="469" max="471" width="8.88671875" style="441"/>
    <col min="472" max="472" width="9.109375" style="441" customWidth="1"/>
    <col min="473" max="486" width="8.88671875" style="441"/>
    <col min="487" max="487" width="23.5546875" style="441" customWidth="1"/>
    <col min="488" max="490" width="7.6640625" style="441" customWidth="1"/>
    <col min="491" max="491" width="3" style="441" customWidth="1"/>
    <col min="492" max="492" width="6.6640625" style="441" customWidth="1"/>
    <col min="493" max="493" width="3" style="441" customWidth="1"/>
    <col min="494" max="494" width="3.88671875" style="441" customWidth="1"/>
    <col min="495" max="495" width="3" style="441" customWidth="1"/>
    <col min="496" max="496" width="11.6640625" style="441" customWidth="1"/>
    <col min="497" max="497" width="9.88671875" style="441" customWidth="1"/>
    <col min="498" max="498" width="9.6640625" style="441" customWidth="1"/>
    <col min="499" max="499" width="10.44140625" style="441" customWidth="1"/>
    <col min="500" max="500" width="8.109375" style="441" hidden="1" customWidth="1"/>
    <col min="501" max="501" width="5.33203125" style="441" hidden="1" customWidth="1"/>
    <col min="502" max="530" width="4" style="441" hidden="1" customWidth="1"/>
    <col min="531" max="531" width="6.109375" style="441" hidden="1" customWidth="1"/>
    <col min="532" max="532" width="6.6640625" style="441" hidden="1" customWidth="1"/>
    <col min="533" max="534" width="4" style="441" hidden="1" customWidth="1"/>
    <col min="535" max="535" width="7.88671875" style="441" hidden="1" customWidth="1"/>
    <col min="536" max="536" width="19.44140625" style="441" customWidth="1"/>
    <col min="537" max="538" width="9.6640625" style="441" customWidth="1"/>
    <col min="539" max="16384" width="8.88671875" style="441"/>
  </cols>
  <sheetData>
    <row r="1" spans="1:538" ht="56.25" customHeight="1" x14ac:dyDescent="0.25">
      <c r="B1" s="1234" t="str">
        <f>'Gala Setup'!S4</f>
        <v>NASL.2023 V6</v>
      </c>
      <c r="C1" s="1234"/>
      <c r="D1" s="1234"/>
      <c r="E1" s="1234"/>
      <c r="F1" s="1235" t="str">
        <f>'Gala Setup'!H2</f>
        <v>National Arena Swimming League</v>
      </c>
      <c r="G1" s="1235"/>
      <c r="H1" s="1235"/>
      <c r="I1" s="1235"/>
      <c r="J1" s="1235"/>
      <c r="K1" s="1235"/>
      <c r="L1" s="1235"/>
      <c r="M1" s="1235"/>
      <c r="N1" s="1235"/>
      <c r="O1" s="1235"/>
      <c r="P1" s="1235"/>
      <c r="Q1" s="1235"/>
      <c r="R1" s="1235"/>
      <c r="S1" s="1235"/>
      <c r="T1" s="1235"/>
      <c r="U1" s="1235"/>
      <c r="V1" s="450"/>
      <c r="W1" s="1236">
        <f>BL3</f>
        <v>45269</v>
      </c>
      <c r="X1" s="1236"/>
      <c r="Y1" s="1236"/>
      <c r="Z1" s="1236"/>
      <c r="AA1" s="1236"/>
      <c r="AB1" s="1236"/>
      <c r="AC1" s="1236"/>
      <c r="AD1" s="1236"/>
      <c r="AE1" s="1236"/>
      <c r="AF1" s="1236"/>
      <c r="AG1" s="1236"/>
      <c r="AH1" s="1236"/>
      <c r="AI1" s="1236"/>
      <c r="AJ1" s="1236"/>
      <c r="AK1" s="1236"/>
      <c r="AL1" s="1236"/>
      <c r="AM1" s="1236"/>
      <c r="AN1" s="1236"/>
      <c r="AO1" s="1236"/>
      <c r="AP1" s="1236"/>
      <c r="AQ1" s="1236"/>
      <c r="AR1" s="1236"/>
      <c r="AS1" s="1236"/>
      <c r="AT1" s="1236"/>
      <c r="AU1" s="1236"/>
      <c r="AV1" s="1236"/>
      <c r="AW1" s="1236"/>
      <c r="AX1" s="1236"/>
      <c r="AY1" s="1236"/>
      <c r="AZ1" s="1236"/>
      <c r="BA1" s="1236"/>
      <c r="BB1" s="1236"/>
      <c r="BC1" s="1236"/>
      <c r="BD1" s="1236"/>
      <c r="BE1" s="1236"/>
      <c r="BF1" s="1236"/>
      <c r="BG1" s="1236"/>
      <c r="BH1" s="1236"/>
      <c r="BI1" s="1236"/>
      <c r="BJ1" s="1236"/>
      <c r="BK1" s="1236"/>
      <c r="BL1" s="1236"/>
      <c r="BM1" s="1236"/>
      <c r="BN1" s="1236"/>
      <c r="BO1" s="1236"/>
    </row>
    <row r="2" spans="1:538" ht="23.25" customHeight="1" x14ac:dyDescent="0.25">
      <c r="A2" s="451"/>
      <c r="B2" s="1237" t="s">
        <v>4547</v>
      </c>
      <c r="C2" s="1237"/>
      <c r="D2" s="1237"/>
      <c r="E2" s="1237"/>
      <c r="F2" s="452"/>
      <c r="G2" s="453" t="s">
        <v>11</v>
      </c>
      <c r="H2" s="1238" t="s">
        <v>13</v>
      </c>
      <c r="I2" s="1238"/>
      <c r="J2" s="1238"/>
      <c r="K2" s="1238"/>
      <c r="L2" s="1238"/>
      <c r="M2" s="1238" t="s">
        <v>4548</v>
      </c>
      <c r="N2" s="1238"/>
      <c r="O2" s="1238"/>
      <c r="P2" s="1239" t="s">
        <v>4549</v>
      </c>
      <c r="Q2" s="1239"/>
      <c r="R2" s="1239"/>
      <c r="S2" s="1239"/>
      <c r="T2" s="454"/>
      <c r="U2" s="1240" t="s">
        <v>4550</v>
      </c>
      <c r="V2" s="1240"/>
      <c r="W2" s="1240"/>
      <c r="X2" s="1240"/>
      <c r="Y2" s="1240"/>
      <c r="Z2" s="455"/>
      <c r="AA2" s="455"/>
      <c r="AB2" s="455"/>
      <c r="AC2" s="455"/>
      <c r="AD2" s="455"/>
      <c r="AE2" s="455"/>
      <c r="AF2" s="455"/>
      <c r="AG2" s="455"/>
      <c r="AH2" s="455"/>
      <c r="AI2" s="455"/>
      <c r="AJ2" s="455"/>
      <c r="AK2" s="455"/>
      <c r="AL2" s="455"/>
      <c r="AM2" s="455"/>
      <c r="AN2" s="455"/>
      <c r="AO2" s="455"/>
      <c r="AP2" s="455"/>
      <c r="AQ2" s="455"/>
      <c r="AR2" s="455"/>
      <c r="AS2" s="455"/>
      <c r="AT2" s="455"/>
      <c r="AU2" s="455"/>
      <c r="AV2" s="455"/>
      <c r="AW2" s="455"/>
      <c r="AX2" s="455"/>
      <c r="AY2" s="455"/>
      <c r="AZ2" s="455"/>
      <c r="BA2" s="455"/>
      <c r="BB2" s="455"/>
      <c r="BC2" s="455"/>
      <c r="BD2" s="455"/>
      <c r="BE2" s="455"/>
      <c r="BF2" s="455"/>
      <c r="BG2" s="455"/>
      <c r="BH2" s="455"/>
      <c r="BI2" s="455"/>
      <c r="BJ2" s="455"/>
      <c r="BK2" s="455"/>
      <c r="BL2" s="1241" t="s">
        <v>4551</v>
      </c>
      <c r="BM2" s="1241"/>
      <c r="BN2" s="1241"/>
      <c r="BO2" s="1241"/>
      <c r="BP2" s="1224"/>
      <c r="BQ2" s="1207" t="s">
        <v>4506</v>
      </c>
      <c r="BR2" s="456"/>
      <c r="BS2" s="457"/>
      <c r="BZ2" s="1225" t="s">
        <v>11</v>
      </c>
      <c r="CA2" s="1225"/>
      <c r="CB2" s="1225"/>
      <c r="CC2" s="458" t="s">
        <v>13</v>
      </c>
      <c r="CD2" s="11"/>
      <c r="CE2" s="1225" t="s">
        <v>4548</v>
      </c>
      <c r="CF2" s="1225"/>
      <c r="CG2" s="1225" t="s">
        <v>4549</v>
      </c>
      <c r="CH2" s="1225"/>
      <c r="CI2" s="1225" t="s">
        <v>4550</v>
      </c>
      <c r="CJ2" s="1225"/>
      <c r="CK2" s="1225"/>
      <c r="CL2" s="1225"/>
      <c r="CM2" s="1225"/>
      <c r="CN2" s="1225"/>
      <c r="CO2" s="1225"/>
      <c r="CP2" s="1225"/>
      <c r="CQ2" s="1225"/>
      <c r="CR2" s="1225" t="s">
        <v>4551</v>
      </c>
      <c r="CS2" s="1225"/>
      <c r="CT2" s="1225"/>
      <c r="CU2" s="459"/>
      <c r="CW2" s="28"/>
      <c r="CX2" s="28"/>
      <c r="CY2" s="28"/>
      <c r="CZ2" s="28"/>
      <c r="RR2" s="1228" t="s">
        <v>11</v>
      </c>
      <c r="RS2" s="1228"/>
      <c r="RT2" s="1210" t="s">
        <v>13</v>
      </c>
      <c r="RU2" s="1210"/>
      <c r="RV2" s="1210" t="s">
        <v>4548</v>
      </c>
      <c r="RW2" s="1210"/>
      <c r="RX2" s="1210"/>
      <c r="RY2" s="1210" t="s">
        <v>4549</v>
      </c>
      <c r="RZ2" s="1210"/>
      <c r="SA2" s="1210"/>
      <c r="SB2" s="1210"/>
      <c r="SC2" s="1210" t="s">
        <v>4550</v>
      </c>
      <c r="SD2" s="1210"/>
      <c r="SE2" s="1210"/>
      <c r="SF2" s="1210"/>
      <c r="SG2" s="1210"/>
      <c r="SH2" s="1210"/>
      <c r="SI2" s="1210"/>
      <c r="SJ2" s="1210"/>
      <c r="SK2" s="1210"/>
      <c r="SL2" s="1210"/>
      <c r="SM2" s="1210"/>
      <c r="SN2" s="1210"/>
      <c r="SO2" s="1210"/>
      <c r="SP2" s="1210"/>
      <c r="SQ2" s="1210"/>
      <c r="SR2" s="1210"/>
      <c r="SS2" s="1210"/>
      <c r="ST2" s="1210"/>
      <c r="SU2" s="1210"/>
      <c r="SV2" s="1210"/>
      <c r="SW2" s="1210"/>
      <c r="SX2" s="1210"/>
      <c r="SY2" s="1210"/>
      <c r="SZ2" s="1210"/>
      <c r="TA2" s="1210"/>
      <c r="TB2" s="1210"/>
      <c r="TC2" s="1210"/>
      <c r="TD2" s="1210"/>
      <c r="TE2" s="1210"/>
      <c r="TF2" s="1210"/>
      <c r="TG2" s="1210"/>
      <c r="TH2" s="1210"/>
      <c r="TI2" s="1210"/>
      <c r="TJ2" s="1210"/>
      <c r="TK2" s="1210"/>
      <c r="TL2" s="1210"/>
      <c r="TM2" s="1210"/>
      <c r="TN2" s="1210"/>
      <c r="TO2" s="1210"/>
      <c r="TP2" s="1210"/>
      <c r="TQ2" s="1211" t="s">
        <v>4551</v>
      </c>
      <c r="TR2" s="1211"/>
    </row>
    <row r="3" spans="1:538" ht="28.5" customHeight="1" x14ac:dyDescent="0.25">
      <c r="A3" s="451"/>
      <c r="B3" s="1237"/>
      <c r="C3" s="1237"/>
      <c r="D3" s="1237"/>
      <c r="E3" s="1237"/>
      <c r="F3" s="452"/>
      <c r="G3" s="460" t="str">
        <f>'Gala Setup'!H4</f>
        <v>LONDON</v>
      </c>
      <c r="H3" s="1212" t="str">
        <f>'Gala Setup'!J4</f>
        <v>ONE</v>
      </c>
      <c r="I3" s="1212"/>
      <c r="J3" s="1212"/>
      <c r="K3" s="1212"/>
      <c r="L3" s="1212"/>
      <c r="M3" s="1213" t="str">
        <f>'Gala Setup'!H5</f>
        <v>THREE</v>
      </c>
      <c r="N3" s="1213"/>
      <c r="O3" s="1213"/>
      <c r="P3" s="1214" t="str">
        <f>'Gala Setup'!J5</f>
        <v>TWO</v>
      </c>
      <c r="Q3" s="1214"/>
      <c r="R3" s="1214"/>
      <c r="S3" s="1214"/>
      <c r="T3" s="461"/>
      <c r="U3" s="1215" t="str">
        <f>'Gala Setup'!H6</f>
        <v>AQUA VALE S &amp; F CENTRE AYLESBURY</v>
      </c>
      <c r="V3" s="1215"/>
      <c r="W3" s="1215"/>
      <c r="X3" s="1215"/>
      <c r="Y3" s="1215"/>
      <c r="Z3" s="462"/>
      <c r="AA3" s="462"/>
      <c r="AB3" s="462"/>
      <c r="AC3" s="462"/>
      <c r="AD3" s="462"/>
      <c r="AE3" s="462"/>
      <c r="AF3" s="462"/>
      <c r="AG3" s="462"/>
      <c r="AH3" s="462"/>
      <c r="AI3" s="462"/>
      <c r="AJ3" s="462"/>
      <c r="AK3" s="462"/>
      <c r="AL3" s="462"/>
      <c r="AM3" s="462"/>
      <c r="AN3" s="462"/>
      <c r="AO3" s="462"/>
      <c r="AP3" s="462"/>
      <c r="AQ3" s="462"/>
      <c r="AR3" s="462"/>
      <c r="AS3" s="462"/>
      <c r="AT3" s="462"/>
      <c r="AU3" s="462"/>
      <c r="AV3" s="462"/>
      <c r="AW3" s="462"/>
      <c r="AX3" s="462"/>
      <c r="AY3" s="462"/>
      <c r="AZ3" s="462"/>
      <c r="BA3" s="462"/>
      <c r="BB3" s="462"/>
      <c r="BC3" s="462"/>
      <c r="BD3" s="462"/>
      <c r="BE3" s="462"/>
      <c r="BF3" s="462"/>
      <c r="BG3" s="462"/>
      <c r="BH3" s="462"/>
      <c r="BI3" s="462"/>
      <c r="BJ3" s="462"/>
      <c r="BK3" s="462"/>
      <c r="BL3" s="1216">
        <f>'Gala Setup'!H7</f>
        <v>45269</v>
      </c>
      <c r="BM3" s="1216"/>
      <c r="BN3" s="1216"/>
      <c r="BO3" s="1216"/>
      <c r="BP3" s="1224"/>
      <c r="BQ3" s="1207"/>
      <c r="BR3" s="456"/>
      <c r="BS3" s="457"/>
      <c r="BZ3" s="1217" t="str">
        <f>G3</f>
        <v>LONDON</v>
      </c>
      <c r="CA3" s="1217"/>
      <c r="CB3" s="1217"/>
      <c r="CC3" s="463" t="str">
        <f>H3</f>
        <v>ONE</v>
      </c>
      <c r="CD3" s="11"/>
      <c r="CE3" s="1217" t="e">
        <f>#REF!</f>
        <v>#REF!</v>
      </c>
      <c r="CF3" s="1217"/>
      <c r="CG3" s="1217" t="str">
        <f>P3</f>
        <v>TWO</v>
      </c>
      <c r="CH3" s="1217"/>
      <c r="CI3" s="1217" t="str">
        <f>U3</f>
        <v>AQUA VALE S &amp; F CENTRE AYLESBURY</v>
      </c>
      <c r="CJ3" s="1217"/>
      <c r="CK3" s="1217"/>
      <c r="CL3" s="1217"/>
      <c r="CM3" s="1217"/>
      <c r="CN3" s="1217"/>
      <c r="CO3" s="1217"/>
      <c r="CP3" s="1217"/>
      <c r="CQ3" s="1217"/>
      <c r="CR3" s="1218">
        <f>BL3</f>
        <v>45269</v>
      </c>
      <c r="CS3" s="1218"/>
      <c r="CT3" s="1218"/>
      <c r="CU3" s="464"/>
      <c r="CV3" s="28"/>
      <c r="CW3" s="28"/>
      <c r="CX3" s="28"/>
      <c r="CY3" s="28"/>
      <c r="CZ3" s="28"/>
      <c r="RR3" s="1219" t="str">
        <f>G3</f>
        <v>LONDON</v>
      </c>
      <c r="RS3" s="1219"/>
      <c r="RT3" s="1220" t="str">
        <f>H3</f>
        <v>ONE</v>
      </c>
      <c r="RU3" s="1220"/>
      <c r="RV3" s="1221" t="str">
        <f>M3</f>
        <v>THREE</v>
      </c>
      <c r="RW3" s="1221"/>
      <c r="RX3" s="1221"/>
      <c r="RY3" s="1220" t="str">
        <f>P3</f>
        <v>TWO</v>
      </c>
      <c r="RZ3" s="1220"/>
      <c r="SA3" s="1220"/>
      <c r="SB3" s="1220"/>
      <c r="SC3" s="1222" t="str">
        <f>U3</f>
        <v>AQUA VALE S &amp; F CENTRE AYLESBURY</v>
      </c>
      <c r="SD3" s="1222"/>
      <c r="SE3" s="1222"/>
      <c r="SF3" s="1222"/>
      <c r="SG3" s="1222"/>
      <c r="SH3" s="1222"/>
      <c r="SI3" s="1222"/>
      <c r="SJ3" s="1222"/>
      <c r="SK3" s="1222"/>
      <c r="SL3" s="1222"/>
      <c r="SM3" s="1222"/>
      <c r="SN3" s="1222"/>
      <c r="SO3" s="1222"/>
      <c r="SP3" s="1222"/>
      <c r="SQ3" s="1222"/>
      <c r="SR3" s="1222"/>
      <c r="SS3" s="1222"/>
      <c r="ST3" s="1222"/>
      <c r="SU3" s="1222"/>
      <c r="SV3" s="1222"/>
      <c r="SW3" s="1222"/>
      <c r="SX3" s="1222"/>
      <c r="SY3" s="1222"/>
      <c r="SZ3" s="1222"/>
      <c r="TA3" s="1222"/>
      <c r="TB3" s="1222"/>
      <c r="TC3" s="1222"/>
      <c r="TD3" s="1222"/>
      <c r="TE3" s="1222"/>
      <c r="TF3" s="1222"/>
      <c r="TG3" s="1222"/>
      <c r="TH3" s="1222"/>
      <c r="TI3" s="1222"/>
      <c r="TJ3" s="1222"/>
      <c r="TK3" s="1222"/>
      <c r="TL3" s="1222"/>
      <c r="TM3" s="1222"/>
      <c r="TN3" s="1222"/>
      <c r="TO3" s="1222"/>
      <c r="TP3" s="1222"/>
      <c r="TQ3" s="1223">
        <f>BL3</f>
        <v>45269</v>
      </c>
      <c r="TR3" s="1223"/>
    </row>
    <row r="4" spans="1:538" ht="39" hidden="1" customHeight="1" x14ac:dyDescent="0.25">
      <c r="A4" s="451"/>
      <c r="B4" s="1237"/>
      <c r="C4" s="1237"/>
      <c r="D4" s="1237"/>
      <c r="E4" s="1237"/>
      <c r="F4" s="452"/>
      <c r="H4" s="465"/>
      <c r="I4" s="465"/>
      <c r="J4" s="465"/>
      <c r="K4" s="465"/>
      <c r="L4" s="465"/>
      <c r="M4" s="465"/>
      <c r="N4" s="465"/>
      <c r="O4" s="465"/>
      <c r="P4" s="465"/>
      <c r="Q4" s="465"/>
      <c r="R4" s="465"/>
      <c r="S4" s="466"/>
      <c r="T4" s="467"/>
      <c r="V4" s="468"/>
      <c r="W4" s="468"/>
      <c r="X4" s="468"/>
      <c r="Y4" s="468"/>
      <c r="Z4" s="468"/>
      <c r="AA4" s="468"/>
      <c r="AB4" s="468"/>
      <c r="AC4" s="468"/>
      <c r="AD4" s="468"/>
      <c r="AE4" s="468"/>
      <c r="AF4" s="468"/>
      <c r="AG4" s="468"/>
      <c r="AH4" s="468"/>
      <c r="AI4" s="468"/>
      <c r="AJ4" s="468"/>
      <c r="AK4" s="468"/>
      <c r="AL4" s="468"/>
      <c r="AM4" s="468"/>
      <c r="AN4" s="468"/>
      <c r="AO4" s="468"/>
      <c r="AP4" s="468"/>
      <c r="AQ4" s="468"/>
      <c r="AR4" s="468"/>
      <c r="AS4" s="468"/>
      <c r="AT4" s="468"/>
      <c r="AU4" s="468"/>
      <c r="AV4" s="468"/>
      <c r="AW4" s="468"/>
      <c r="AX4" s="468"/>
      <c r="AY4" s="468"/>
      <c r="AZ4" s="468"/>
      <c r="BA4" s="468"/>
      <c r="BB4" s="468"/>
      <c r="BC4" s="468"/>
      <c r="BD4" s="468"/>
      <c r="BE4" s="468"/>
      <c r="BF4" s="468"/>
      <c r="BG4" s="468"/>
      <c r="BH4" s="468"/>
      <c r="BI4" s="468"/>
      <c r="BJ4" s="468"/>
      <c r="BK4" s="468"/>
      <c r="BL4" s="468"/>
      <c r="BM4" s="468"/>
      <c r="BN4" s="468"/>
      <c r="BO4" s="469"/>
      <c r="BP4" s="1224"/>
      <c r="BQ4" s="1209" t="s">
        <v>4552</v>
      </c>
      <c r="BR4" s="470"/>
      <c r="BS4" s="1229"/>
      <c r="BZ4" s="1230" t="s">
        <v>4553</v>
      </c>
      <c r="CA4" s="1230"/>
      <c r="CB4" s="1230"/>
      <c r="CC4" s="1231" t="s">
        <v>4554</v>
      </c>
      <c r="CD4" s="1231"/>
      <c r="CE4" s="1231"/>
      <c r="CF4" s="1231"/>
      <c r="CG4" s="1231"/>
      <c r="CH4" s="1231"/>
      <c r="CI4" s="1231"/>
      <c r="CJ4" s="1231"/>
      <c r="CK4" s="1231"/>
      <c r="CL4" s="1231"/>
      <c r="CM4" s="1231"/>
      <c r="CN4" s="472"/>
      <c r="CO4" s="1232" t="s">
        <v>4555</v>
      </c>
      <c r="CP4" s="1232"/>
      <c r="CQ4" s="1232"/>
      <c r="CR4" s="1232"/>
      <c r="CS4" s="1232"/>
      <c r="CT4" s="1232"/>
      <c r="CU4" s="464"/>
      <c r="CV4" s="28"/>
      <c r="CW4" s="28"/>
      <c r="CX4" s="28"/>
      <c r="CY4" s="28"/>
      <c r="CZ4" s="28"/>
      <c r="RR4" s="1233" t="s">
        <v>4554</v>
      </c>
      <c r="RS4" s="1233"/>
      <c r="RT4" s="1233"/>
      <c r="RU4" s="1233"/>
      <c r="RV4" s="1233"/>
      <c r="RW4" s="1233"/>
      <c r="RX4" s="1233"/>
      <c r="RY4" s="1233"/>
      <c r="RZ4" s="1233"/>
      <c r="SA4" s="1233"/>
      <c r="SB4" s="1233"/>
      <c r="SC4" s="1226" t="s">
        <v>4556</v>
      </c>
      <c r="SD4" s="1226"/>
      <c r="SE4" s="1226"/>
      <c r="SF4" s="1226"/>
      <c r="SG4" s="1226"/>
      <c r="SH4" s="1226"/>
      <c r="SI4" s="1226"/>
      <c r="SJ4" s="1226"/>
      <c r="SK4" s="1226"/>
      <c r="SL4" s="1226"/>
      <c r="SM4" s="1226"/>
      <c r="SN4" s="1226"/>
      <c r="SO4" s="1226"/>
      <c r="SP4" s="1226"/>
      <c r="SQ4" s="1226"/>
      <c r="SR4" s="1226"/>
      <c r="SS4" s="1226"/>
      <c r="ST4" s="1226"/>
      <c r="SU4" s="1226"/>
      <c r="SV4" s="1226"/>
      <c r="SW4" s="1226"/>
      <c r="SX4" s="1226"/>
      <c r="SY4" s="1226"/>
      <c r="SZ4" s="1226"/>
      <c r="TA4" s="1226"/>
      <c r="TB4" s="1226"/>
      <c r="TC4" s="1226"/>
      <c r="TD4" s="1226"/>
      <c r="TE4" s="1226"/>
      <c r="TF4" s="1226"/>
      <c r="TG4" s="1226"/>
      <c r="TH4" s="1226"/>
      <c r="TI4" s="1226"/>
      <c r="TJ4" s="1226"/>
      <c r="TK4" s="1226"/>
      <c r="TL4" s="1226"/>
      <c r="TM4" s="1226"/>
      <c r="TN4" s="1226"/>
      <c r="TO4" s="1226"/>
      <c r="TP4" s="1226"/>
      <c r="TQ4" s="1226"/>
      <c r="TR4" s="1226"/>
    </row>
    <row r="5" spans="1:538" ht="42.75" customHeight="1" x14ac:dyDescent="0.25">
      <c r="A5" s="451"/>
      <c r="B5" s="1237"/>
      <c r="C5" s="1237"/>
      <c r="D5" s="1237"/>
      <c r="E5" s="1237"/>
      <c r="F5" s="452"/>
      <c r="G5" s="1227" t="s">
        <v>4557</v>
      </c>
      <c r="H5" s="1227"/>
      <c r="I5" s="1227"/>
      <c r="J5" s="1227"/>
      <c r="K5" s="1227"/>
      <c r="L5" s="1227"/>
      <c r="M5" s="1227"/>
      <c r="N5" s="1227"/>
      <c r="O5" s="1227"/>
      <c r="P5" s="1227"/>
      <c r="Q5" s="1227"/>
      <c r="R5" s="1227"/>
      <c r="S5" s="1227"/>
      <c r="T5" s="467"/>
      <c r="U5" s="1227" t="s">
        <v>4558</v>
      </c>
      <c r="V5" s="1227"/>
      <c r="W5" s="1227"/>
      <c r="X5" s="1227"/>
      <c r="Y5" s="1227"/>
      <c r="Z5" s="1227"/>
      <c r="AA5" s="1227"/>
      <c r="AB5" s="1227"/>
      <c r="AC5" s="1227"/>
      <c r="AD5" s="1227"/>
      <c r="AE5" s="1227"/>
      <c r="AF5" s="1227"/>
      <c r="AG5" s="1227"/>
      <c r="AH5" s="1227"/>
      <c r="AI5" s="1227"/>
      <c r="AJ5" s="1227"/>
      <c r="AK5" s="1227"/>
      <c r="AL5" s="1227"/>
      <c r="AM5" s="1227"/>
      <c r="AN5" s="1227"/>
      <c r="AO5" s="1227"/>
      <c r="AP5" s="1227"/>
      <c r="AQ5" s="1227"/>
      <c r="AR5" s="1227"/>
      <c r="AS5" s="1227"/>
      <c r="AT5" s="1227"/>
      <c r="AU5" s="1227"/>
      <c r="AV5" s="1227"/>
      <c r="AW5" s="1227"/>
      <c r="AX5" s="1227"/>
      <c r="AY5" s="1227"/>
      <c r="AZ5" s="1227"/>
      <c r="BA5" s="1227"/>
      <c r="BB5" s="1227"/>
      <c r="BC5" s="1227"/>
      <c r="BD5" s="1227"/>
      <c r="BE5" s="1227"/>
      <c r="BF5" s="1227"/>
      <c r="BG5" s="1227"/>
      <c r="BH5" s="1227"/>
      <c r="BI5" s="1227"/>
      <c r="BJ5" s="1227"/>
      <c r="BK5" s="1227"/>
      <c r="BL5" s="1227"/>
      <c r="BM5" s="1227"/>
      <c r="BN5" s="1227"/>
      <c r="BO5" s="1227"/>
      <c r="BP5" s="1224"/>
      <c r="BQ5" s="1209"/>
      <c r="BR5" s="470"/>
      <c r="BS5" s="1229"/>
      <c r="BZ5" s="1230"/>
      <c r="CA5" s="1230"/>
      <c r="CB5" s="1230"/>
      <c r="CC5" s="1231"/>
      <c r="CD5" s="1231"/>
      <c r="CE5" s="1231"/>
      <c r="CF5" s="1231"/>
      <c r="CG5" s="1231"/>
      <c r="CH5" s="1231"/>
      <c r="CI5" s="1231"/>
      <c r="CJ5" s="1231"/>
      <c r="CK5" s="1231"/>
      <c r="CL5" s="1231"/>
      <c r="CM5" s="1231"/>
      <c r="CN5" s="473"/>
      <c r="CO5" s="1232"/>
      <c r="CP5" s="1232"/>
      <c r="CQ5" s="1232"/>
      <c r="CR5" s="1232"/>
      <c r="CS5" s="1232"/>
      <c r="CT5" s="1232"/>
      <c r="CU5" s="464"/>
      <c r="CV5" s="28"/>
      <c r="CW5" s="28"/>
      <c r="CX5" s="28"/>
      <c r="CY5" s="28"/>
      <c r="CZ5" s="28"/>
      <c r="RR5" s="1233"/>
      <c r="RS5" s="1233"/>
      <c r="RT5" s="1233"/>
      <c r="RU5" s="1233"/>
      <c r="RV5" s="1233"/>
      <c r="RW5" s="1233"/>
      <c r="RX5" s="1233"/>
      <c r="RY5" s="1233"/>
      <c r="RZ5" s="1233"/>
      <c r="SA5" s="1233"/>
      <c r="SB5" s="1233"/>
      <c r="SC5" s="1226"/>
      <c r="SD5" s="1226"/>
      <c r="SE5" s="1226"/>
      <c r="SF5" s="1226"/>
      <c r="SG5" s="1226"/>
      <c r="SH5" s="1226"/>
      <c r="SI5" s="1226"/>
      <c r="SJ5" s="1226"/>
      <c r="SK5" s="1226"/>
      <c r="SL5" s="1226"/>
      <c r="SM5" s="1226"/>
      <c r="SN5" s="1226"/>
      <c r="SO5" s="1226"/>
      <c r="SP5" s="1226"/>
      <c r="SQ5" s="1226"/>
      <c r="SR5" s="1226"/>
      <c r="SS5" s="1226"/>
      <c r="ST5" s="1226"/>
      <c r="SU5" s="1226"/>
      <c r="SV5" s="1226"/>
      <c r="SW5" s="1226"/>
      <c r="SX5" s="1226"/>
      <c r="SY5" s="1226"/>
      <c r="SZ5" s="1226"/>
      <c r="TA5" s="1226"/>
      <c r="TB5" s="1226"/>
      <c r="TC5" s="1226"/>
      <c r="TD5" s="1226"/>
      <c r="TE5" s="1226"/>
      <c r="TF5" s="1226"/>
      <c r="TG5" s="1226"/>
      <c r="TH5" s="1226"/>
      <c r="TI5" s="1226"/>
      <c r="TJ5" s="1226"/>
      <c r="TK5" s="1226"/>
      <c r="TL5" s="1226"/>
      <c r="TM5" s="1226"/>
      <c r="TN5" s="1226"/>
      <c r="TO5" s="1226"/>
      <c r="TP5" s="1226"/>
      <c r="TQ5" s="1226"/>
      <c r="TR5" s="1226"/>
    </row>
    <row r="6" spans="1:538" ht="53.25" customHeight="1" x14ac:dyDescent="0.3">
      <c r="A6" s="451"/>
      <c r="B6" s="1199" t="s">
        <v>4559</v>
      </c>
      <c r="C6" s="1199"/>
      <c r="D6" s="474" t="s">
        <v>4560</v>
      </c>
      <c r="E6" s="475" t="s">
        <v>4561</v>
      </c>
      <c r="F6" s="452"/>
      <c r="G6" s="476" t="s">
        <v>4406</v>
      </c>
      <c r="H6" s="477" t="s">
        <v>4562</v>
      </c>
      <c r="J6" s="478"/>
      <c r="K6" s="478"/>
      <c r="L6" s="479" t="s">
        <v>4563</v>
      </c>
      <c r="M6" s="479" t="s">
        <v>4564</v>
      </c>
      <c r="N6" s="1200" t="s">
        <v>4565</v>
      </c>
      <c r="O6" s="1200"/>
      <c r="P6" s="1200"/>
      <c r="Q6" s="1200"/>
      <c r="R6" s="1200"/>
      <c r="S6" s="1200"/>
      <c r="T6" s="467"/>
      <c r="U6" s="480" t="s">
        <v>4566</v>
      </c>
      <c r="V6" s="481"/>
      <c r="W6" s="482" t="s">
        <v>4567</v>
      </c>
      <c r="X6" s="483"/>
      <c r="Y6" s="484" t="s">
        <v>4568</v>
      </c>
      <c r="Z6" s="485"/>
      <c r="AA6" s="485"/>
      <c r="AB6" s="485"/>
      <c r="AC6" s="486"/>
      <c r="AD6" s="485"/>
      <c r="AE6" s="485"/>
      <c r="AF6" s="485"/>
      <c r="AG6" s="485"/>
      <c r="AH6" s="485"/>
      <c r="AI6" s="485"/>
      <c r="AJ6" s="485"/>
      <c r="AK6" s="485"/>
      <c r="AL6" s="485"/>
      <c r="AM6" s="485"/>
      <c r="AN6" s="485"/>
      <c r="AO6" s="485"/>
      <c r="AP6" s="485"/>
      <c r="AQ6" s="485"/>
      <c r="AR6" s="485"/>
      <c r="AS6" s="485"/>
      <c r="AT6" s="485"/>
      <c r="AU6" s="485"/>
      <c r="AV6" s="485"/>
      <c r="AW6" s="485"/>
      <c r="AX6" s="485"/>
      <c r="AY6" s="485"/>
      <c r="AZ6" s="485"/>
      <c r="BA6" s="485"/>
      <c r="BB6" s="485"/>
      <c r="BC6" s="485"/>
      <c r="BD6" s="485"/>
      <c r="BE6" s="485"/>
      <c r="BF6" s="485"/>
      <c r="BG6" s="485"/>
      <c r="BH6" s="485"/>
      <c r="BI6" s="485"/>
      <c r="BJ6" s="485"/>
      <c r="BK6" s="485"/>
      <c r="BL6" s="480" t="s">
        <v>4569</v>
      </c>
      <c r="BM6" s="1201" t="s">
        <v>4570</v>
      </c>
      <c r="BN6" s="1201"/>
      <c r="BO6" s="1201"/>
      <c r="BP6" s="1224"/>
      <c r="BQ6" s="487" t="s">
        <v>4571</v>
      </c>
      <c r="BR6" s="488"/>
      <c r="BS6" s="471"/>
      <c r="BZ6" s="489" t="s">
        <v>4572</v>
      </c>
      <c r="CA6" s="490" t="s">
        <v>4573</v>
      </c>
      <c r="CB6" s="491" t="s">
        <v>4574</v>
      </c>
      <c r="CC6" s="492" t="s">
        <v>4406</v>
      </c>
      <c r="CD6" s="493"/>
      <c r="CE6" s="494" t="s">
        <v>4563</v>
      </c>
      <c r="CF6" s="494" t="s">
        <v>4575</v>
      </c>
      <c r="CG6" s="494" t="s">
        <v>4576</v>
      </c>
      <c r="CH6" s="1202" t="s">
        <v>4577</v>
      </c>
      <c r="CI6" s="1202"/>
      <c r="CJ6" s="1202"/>
      <c r="CK6" s="1202"/>
      <c r="CL6" s="1202"/>
      <c r="CM6" s="1202"/>
      <c r="CN6" s="495"/>
      <c r="CO6" s="496" t="s">
        <v>4570</v>
      </c>
      <c r="CP6" s="497" t="s">
        <v>4578</v>
      </c>
      <c r="CQ6" s="498" t="s">
        <v>4579</v>
      </c>
      <c r="CR6" s="1203" t="s">
        <v>4406</v>
      </c>
      <c r="CS6" s="1203"/>
      <c r="CT6" s="1203"/>
      <c r="CU6" s="464"/>
      <c r="CV6" s="28"/>
      <c r="DA6" s="1" t="s">
        <v>4575</v>
      </c>
      <c r="DB6" s="1" t="s">
        <v>4580</v>
      </c>
      <c r="DC6" s="1204" t="s">
        <v>4581</v>
      </c>
      <c r="DD6" s="1204"/>
      <c r="DE6" s="1204"/>
      <c r="DF6" s="1204"/>
      <c r="DG6" s="1204"/>
      <c r="DH6" s="1204"/>
      <c r="DI6" s="1204"/>
      <c r="DJ6" s="1204"/>
      <c r="DK6" s="1204"/>
      <c r="DL6" s="1204"/>
      <c r="DM6" s="1204"/>
      <c r="DN6" s="1204"/>
      <c r="DO6" s="1204"/>
      <c r="DP6" s="1204"/>
      <c r="DQ6" s="1204"/>
      <c r="DR6" s="1204"/>
      <c r="DS6" s="1204"/>
      <c r="DT6" s="1204"/>
      <c r="DU6" s="1204"/>
      <c r="DV6" s="1204"/>
      <c r="DW6" s="1204"/>
      <c r="DX6" s="1204"/>
      <c r="DY6" s="1204"/>
      <c r="DZ6" s="1204"/>
      <c r="EA6" s="1204"/>
      <c r="EB6" s="1204"/>
      <c r="EC6" s="1204"/>
      <c r="ED6" s="1204"/>
      <c r="EE6" s="1204"/>
      <c r="EF6" s="1204"/>
      <c r="EG6" s="1" t="s">
        <v>4582</v>
      </c>
      <c r="EH6" s="1205" t="s">
        <v>4583</v>
      </c>
      <c r="EI6" s="1205"/>
      <c r="EJ6" s="1205"/>
      <c r="EK6" s="1205"/>
      <c r="EL6" s="1205"/>
      <c r="EM6" s="1205"/>
      <c r="EN6" s="1205"/>
      <c r="EO6" s="1205"/>
      <c r="EP6" s="1205"/>
      <c r="EQ6" s="1205"/>
      <c r="ER6" s="1205"/>
      <c r="ES6" s="1205"/>
      <c r="ET6" s="1205"/>
      <c r="EU6" s="1205"/>
      <c r="EV6" s="1205"/>
      <c r="EW6" s="1205"/>
      <c r="EX6" s="1205"/>
      <c r="EY6" s="1205"/>
      <c r="EZ6" s="1205"/>
      <c r="FA6" s="1205"/>
      <c r="FB6" s="1205"/>
      <c r="FC6" s="1205"/>
      <c r="FD6" s="1205"/>
      <c r="FE6" s="1205"/>
      <c r="FF6" s="1205"/>
      <c r="FG6" s="1205"/>
      <c r="FH6" s="1205"/>
      <c r="FI6" s="1205"/>
      <c r="FJ6" s="1205"/>
      <c r="FK6" s="1205"/>
      <c r="FL6" s="1" t="s">
        <v>4584</v>
      </c>
      <c r="FM6" s="1204" t="s">
        <v>4585</v>
      </c>
      <c r="FN6" s="1204"/>
      <c r="FO6" s="1204"/>
      <c r="FP6" s="1204"/>
      <c r="FQ6" s="1204"/>
      <c r="FR6" s="1204"/>
      <c r="FS6" s="1204"/>
      <c r="FT6" s="1204"/>
      <c r="FU6" s="1204"/>
      <c r="FV6" s="1204"/>
      <c r="FW6" s="1204"/>
      <c r="FX6" s="1204"/>
      <c r="FY6" s="1204"/>
      <c r="FZ6" s="1204"/>
      <c r="GA6" s="1204"/>
      <c r="GB6" s="1204"/>
      <c r="GC6" s="1204"/>
      <c r="GD6" s="1204"/>
      <c r="GE6" s="1204"/>
      <c r="GF6" s="1204"/>
      <c r="GG6" s="1204"/>
      <c r="GH6" s="1204"/>
      <c r="GI6" s="1204"/>
      <c r="GJ6" s="1204"/>
      <c r="GK6" s="1204"/>
      <c r="GL6" s="1204"/>
      <c r="GM6" s="1204"/>
      <c r="GN6" s="1204"/>
      <c r="GO6" s="1204"/>
      <c r="GP6" s="1204"/>
      <c r="GQ6" s="1" t="s">
        <v>4586</v>
      </c>
      <c r="GR6" s="1205" t="s">
        <v>4587</v>
      </c>
      <c r="GS6" s="1205"/>
      <c r="GT6" s="1205"/>
      <c r="GU6" s="1205"/>
      <c r="GV6" s="1205"/>
      <c r="GW6" s="1205"/>
      <c r="GX6" s="1205"/>
      <c r="GY6" s="1205"/>
      <c r="GZ6" s="1205"/>
      <c r="HA6" s="1205"/>
      <c r="HB6" s="1205"/>
      <c r="HC6" s="1205"/>
      <c r="HD6" s="1205"/>
      <c r="HE6" s="1205"/>
      <c r="HF6" s="1205"/>
      <c r="HG6" s="1205"/>
      <c r="HH6" s="1205"/>
      <c r="HI6" s="1205"/>
      <c r="HJ6" s="1205"/>
      <c r="HK6" s="1205"/>
      <c r="HL6" s="1205"/>
      <c r="HM6" s="1205"/>
      <c r="HN6" s="1205"/>
      <c r="HO6" s="1205"/>
      <c r="HP6" s="1205"/>
      <c r="HQ6" s="1205"/>
      <c r="HR6" s="1205"/>
      <c r="HS6" s="1205"/>
      <c r="HT6" s="1205"/>
      <c r="HU6" s="1205"/>
      <c r="HV6" s="499" t="s">
        <v>4588</v>
      </c>
      <c r="HW6" s="1196" t="s">
        <v>4589</v>
      </c>
      <c r="HX6" s="1196"/>
      <c r="HY6" s="1196"/>
      <c r="HZ6" s="1196"/>
      <c r="IA6" s="1196"/>
      <c r="IB6" s="1196"/>
      <c r="IC6" s="1196"/>
      <c r="ID6" s="1196"/>
      <c r="IE6" s="1196"/>
      <c r="IF6" s="1196"/>
      <c r="IG6" s="1196"/>
      <c r="IH6" s="1196"/>
      <c r="II6" s="1196"/>
      <c r="IJ6" s="1196"/>
      <c r="IK6" s="1196"/>
      <c r="IL6" s="1196"/>
      <c r="IM6" s="1196"/>
      <c r="IN6" s="1196"/>
      <c r="IO6" s="1196"/>
      <c r="IP6" s="1196"/>
      <c r="IQ6" s="1196"/>
      <c r="IR6" s="1196"/>
      <c r="IS6" s="1196"/>
      <c r="IT6" s="1196"/>
      <c r="IU6" s="1196"/>
      <c r="IV6" s="1196"/>
      <c r="IW6" s="1196"/>
      <c r="IX6" s="1196"/>
      <c r="IY6" s="1196"/>
      <c r="IZ6" s="1196"/>
      <c r="JA6" s="501" t="s">
        <v>4590</v>
      </c>
      <c r="JB6" s="1197" t="s">
        <v>4591</v>
      </c>
      <c r="JC6" s="1197"/>
      <c r="JD6" s="1197"/>
      <c r="JE6" s="1197"/>
      <c r="JF6" s="1197"/>
      <c r="JG6" s="1197"/>
      <c r="JH6" s="1197"/>
      <c r="JI6" s="1197"/>
      <c r="JJ6" s="1197"/>
      <c r="JK6" s="1197"/>
      <c r="JL6" s="1197"/>
      <c r="JM6" s="1197"/>
      <c r="JN6" s="1197"/>
      <c r="JO6" s="1197"/>
      <c r="JP6" s="1197"/>
      <c r="JQ6" s="1197"/>
      <c r="JR6" s="1197"/>
      <c r="JS6" s="1197"/>
      <c r="JT6" s="1197"/>
      <c r="JU6" s="1197"/>
      <c r="JV6" s="1197"/>
      <c r="JW6" s="1197"/>
      <c r="JX6" s="1197"/>
      <c r="JY6" s="1197"/>
      <c r="JZ6" s="1197"/>
      <c r="KA6" s="1197"/>
      <c r="KB6" s="1197"/>
      <c r="KC6" s="1197"/>
      <c r="KD6" s="1197"/>
      <c r="KE6" s="1197"/>
      <c r="KF6" s="501" t="s">
        <v>4592</v>
      </c>
      <c r="KG6" s="1197" t="s">
        <v>4593</v>
      </c>
      <c r="KH6" s="1197"/>
      <c r="KI6" s="1197"/>
      <c r="KJ6" s="1197"/>
      <c r="KK6" s="1197"/>
      <c r="KL6" s="1197"/>
      <c r="KM6" s="1197"/>
      <c r="KN6" s="1197"/>
      <c r="KO6" s="1197"/>
      <c r="KP6" s="1197"/>
      <c r="KQ6" s="1197"/>
      <c r="KR6" s="1197"/>
      <c r="KS6" s="1197"/>
      <c r="KT6" s="1197"/>
      <c r="KU6" s="1197"/>
      <c r="KV6" s="1197"/>
      <c r="KW6" s="1197"/>
      <c r="KX6" s="1197"/>
      <c r="KY6" s="1197"/>
      <c r="KZ6" s="1197"/>
      <c r="LA6" s="1197"/>
      <c r="LB6" s="1197"/>
      <c r="LC6" s="1197"/>
      <c r="LD6" s="1197"/>
      <c r="LE6" s="1197"/>
      <c r="LF6" s="1197"/>
      <c r="LG6" s="1197"/>
      <c r="LH6" s="1197"/>
      <c r="LI6" s="1197"/>
      <c r="LJ6" s="1197"/>
      <c r="LK6" s="501" t="s">
        <v>4594</v>
      </c>
      <c r="LL6" s="1197" t="s">
        <v>4595</v>
      </c>
      <c r="LM6" s="1197"/>
      <c r="LN6" s="1197"/>
      <c r="LO6" s="1197"/>
      <c r="LP6" s="1197"/>
      <c r="LQ6" s="1197"/>
      <c r="LR6" s="1197"/>
      <c r="LS6" s="1197"/>
      <c r="LT6" s="1197"/>
      <c r="LU6" s="1197"/>
      <c r="LV6" s="1197"/>
      <c r="LW6" s="1197"/>
      <c r="LX6" s="1197"/>
      <c r="LY6" s="1197"/>
      <c r="LZ6" s="1197"/>
      <c r="MA6" s="1197"/>
      <c r="MB6" s="1197"/>
      <c r="MC6" s="1197"/>
      <c r="MD6" s="1197"/>
      <c r="ME6" s="1197"/>
      <c r="MF6" s="1197"/>
      <c r="MG6" s="1197"/>
      <c r="MH6" s="1197"/>
      <c r="MI6" s="1197"/>
      <c r="MJ6" s="1197"/>
      <c r="MK6" s="1197"/>
      <c r="ML6" s="1197"/>
      <c r="MM6" s="1197"/>
      <c r="MN6" s="1197"/>
      <c r="MO6" s="1197"/>
      <c r="MP6" s="501" t="s">
        <v>4596</v>
      </c>
      <c r="MQ6" s="1197" t="s">
        <v>4597</v>
      </c>
      <c r="MR6" s="1197"/>
      <c r="MS6" s="1197"/>
      <c r="MT6" s="1197"/>
      <c r="MU6" s="1197"/>
      <c r="MV6" s="1197"/>
      <c r="MW6" s="1197"/>
      <c r="MX6" s="1197"/>
      <c r="MY6" s="1197"/>
      <c r="MZ6" s="1197"/>
      <c r="NA6" s="1197"/>
      <c r="NB6" s="1197"/>
      <c r="NC6" s="1197"/>
      <c r="ND6" s="1197"/>
      <c r="NE6" s="1197"/>
      <c r="NF6" s="1197"/>
      <c r="NG6" s="1197"/>
      <c r="NH6" s="1197"/>
      <c r="NI6" s="1197"/>
      <c r="NJ6" s="1197"/>
      <c r="NK6" s="1197"/>
      <c r="NL6" s="1197"/>
      <c r="NM6" s="1197"/>
      <c r="NN6" s="1197"/>
      <c r="NO6" s="1197"/>
      <c r="NP6" s="1197"/>
      <c r="NQ6" s="1197"/>
      <c r="NR6" s="1197"/>
      <c r="NS6" s="1197"/>
      <c r="NT6" s="1197"/>
      <c r="NU6" s="501" t="s">
        <v>4598</v>
      </c>
      <c r="NV6" s="1197" t="s">
        <v>4599</v>
      </c>
      <c r="NW6" s="1197"/>
      <c r="NX6" s="1197"/>
      <c r="NY6" s="1197"/>
      <c r="NZ6" s="1197"/>
      <c r="OA6" s="1197"/>
      <c r="OB6" s="1197"/>
      <c r="OC6" s="1197"/>
      <c r="OD6" s="1197"/>
      <c r="OE6" s="1197"/>
      <c r="OF6" s="1197"/>
      <c r="OG6" s="1197"/>
      <c r="OH6" s="1197"/>
      <c r="OI6" s="1197"/>
      <c r="OJ6" s="1197"/>
      <c r="OK6" s="1197"/>
      <c r="OL6" s="1197"/>
      <c r="OM6" s="1197"/>
      <c r="ON6" s="1197"/>
      <c r="OO6" s="1197"/>
      <c r="OP6" s="1197"/>
      <c r="OQ6" s="1197"/>
      <c r="OR6" s="1197"/>
      <c r="OS6" s="1197"/>
      <c r="OT6" s="1197"/>
      <c r="OU6" s="1197"/>
      <c r="OV6" s="1197"/>
      <c r="OW6" s="1197"/>
      <c r="OX6" s="1197"/>
      <c r="OY6" s="1197"/>
      <c r="OZ6" s="501" t="s">
        <v>4600</v>
      </c>
      <c r="PA6" s="1197" t="s">
        <v>4601</v>
      </c>
      <c r="PB6" s="1197"/>
      <c r="PC6" s="1197"/>
      <c r="PD6" s="1197"/>
      <c r="PE6" s="1197"/>
      <c r="PF6" s="1197"/>
      <c r="PG6" s="1197"/>
      <c r="PH6" s="1197"/>
      <c r="PI6" s="1197"/>
      <c r="PJ6" s="1197"/>
      <c r="PK6" s="1197"/>
      <c r="PL6" s="1197"/>
      <c r="PM6" s="1197"/>
      <c r="PN6" s="1197"/>
      <c r="PO6" s="1197"/>
      <c r="PP6" s="1197"/>
      <c r="PQ6" s="1197"/>
      <c r="PR6" s="1197"/>
      <c r="PS6" s="1197"/>
      <c r="PT6" s="1197"/>
      <c r="PU6" s="1197"/>
      <c r="PV6" s="1197"/>
      <c r="PW6" s="1197"/>
      <c r="PX6" s="1197"/>
      <c r="PY6" s="1197"/>
      <c r="PZ6" s="1197"/>
      <c r="QA6" s="1197"/>
      <c r="QB6" s="1197"/>
      <c r="QC6" s="1197"/>
      <c r="QD6" s="1197"/>
      <c r="QE6" s="501"/>
      <c r="RR6" s="502" t="s">
        <v>4572</v>
      </c>
      <c r="RS6" s="1198" t="s">
        <v>4406</v>
      </c>
      <c r="RT6" s="1198"/>
      <c r="RU6" s="1198"/>
      <c r="RV6" s="1198"/>
      <c r="RW6" s="1070" t="s">
        <v>4562</v>
      </c>
      <c r="RX6" s="1070"/>
      <c r="RY6" s="1070" t="s">
        <v>4563</v>
      </c>
      <c r="RZ6" s="1070"/>
      <c r="SA6" s="1070"/>
      <c r="SB6" s="503" t="s">
        <v>4602</v>
      </c>
      <c r="SC6" s="504" t="s">
        <v>4566</v>
      </c>
      <c r="SD6" s="505" t="s">
        <v>4603</v>
      </c>
      <c r="SE6" s="505" t="s">
        <v>4604</v>
      </c>
      <c r="SF6" s="506"/>
      <c r="SG6" s="506"/>
      <c r="SH6" s="506"/>
      <c r="SI6" s="506"/>
      <c r="SJ6" s="506"/>
      <c r="SK6" s="506"/>
      <c r="SL6" s="506"/>
      <c r="SM6" s="506"/>
      <c r="SN6" s="506"/>
      <c r="SO6" s="506"/>
      <c r="SP6" s="506"/>
      <c r="SQ6" s="506"/>
      <c r="SR6" s="506"/>
      <c r="SS6" s="506"/>
      <c r="ST6" s="506"/>
      <c r="SU6" s="506"/>
      <c r="SV6" s="506"/>
      <c r="SW6" s="506"/>
      <c r="SX6" s="506"/>
      <c r="SY6" s="506"/>
      <c r="SZ6" s="506"/>
      <c r="TA6" s="506"/>
      <c r="TB6" s="506"/>
      <c r="TC6" s="506"/>
      <c r="TD6" s="506"/>
      <c r="TE6" s="506"/>
      <c r="TF6" s="506"/>
      <c r="TG6" s="506"/>
      <c r="TH6" s="506"/>
      <c r="TI6" s="506"/>
      <c r="TJ6" s="506"/>
      <c r="TK6" s="506"/>
      <c r="TL6" s="506"/>
      <c r="TM6" s="506"/>
      <c r="TN6" s="506"/>
      <c r="TO6" s="506"/>
      <c r="TP6" s="1194" t="s">
        <v>4406</v>
      </c>
      <c r="TQ6" s="1194"/>
      <c r="TR6" s="1194"/>
    </row>
    <row r="7" spans="1:538" ht="53.25" hidden="1" customHeight="1" x14ac:dyDescent="0.3">
      <c r="A7" s="451"/>
      <c r="B7" s="28"/>
      <c r="C7" s="28"/>
      <c r="D7" s="508"/>
      <c r="E7" s="508"/>
      <c r="F7" s="452"/>
      <c r="G7" s="476"/>
      <c r="H7" s="477"/>
      <c r="J7" s="478"/>
      <c r="K7" s="478"/>
      <c r="L7" s="479"/>
      <c r="M7" s="477"/>
      <c r="N7" s="1200"/>
      <c r="O7" s="1200"/>
      <c r="P7" s="1200"/>
      <c r="Q7" s="1200"/>
      <c r="R7" s="1200"/>
      <c r="S7" s="1200"/>
      <c r="T7" s="467"/>
      <c r="U7" s="56"/>
      <c r="V7" s="28"/>
      <c r="W7" s="509"/>
      <c r="Y7" s="509"/>
      <c r="BL7" s="509"/>
      <c r="BM7" s="1195" t="str">
        <f t="shared" ref="BM7:BM16" si="0">C17</f>
        <v>HARINGEY AQUATICS</v>
      </c>
      <c r="BN7" s="1195"/>
      <c r="BO7" s="1195"/>
      <c r="BP7" s="1224"/>
      <c r="BQ7" s="510"/>
      <c r="BR7" s="511"/>
      <c r="BS7" s="471"/>
      <c r="BZ7" s="512"/>
      <c r="CA7" s="490"/>
      <c r="CB7" s="491"/>
      <c r="CC7" s="513"/>
      <c r="CD7" s="493"/>
      <c r="CE7" s="494"/>
      <c r="CF7" s="494"/>
      <c r="CG7" s="494"/>
      <c r="CH7" s="514"/>
      <c r="CI7" s="514"/>
      <c r="CJ7" s="514"/>
      <c r="CK7" s="514"/>
      <c r="CL7" s="514"/>
      <c r="CM7" s="515"/>
      <c r="CN7" s="495"/>
      <c r="CO7" s="496"/>
      <c r="CP7" s="497"/>
      <c r="CQ7" s="498"/>
      <c r="CR7" s="516"/>
      <c r="CS7" s="517"/>
      <c r="CT7" s="518"/>
      <c r="CU7" s="464"/>
      <c r="CV7" s="28"/>
      <c r="DA7" s="477"/>
      <c r="DB7" s="477"/>
      <c r="DC7" s="519"/>
      <c r="DD7" s="519"/>
      <c r="DE7" s="519"/>
      <c r="DF7" s="519"/>
      <c r="DG7" s="519"/>
      <c r="DH7" s="519"/>
      <c r="DI7" s="519"/>
      <c r="DJ7" s="519"/>
      <c r="DK7" s="519"/>
      <c r="DL7" s="519"/>
      <c r="DM7" s="519"/>
      <c r="DN7" s="519"/>
      <c r="DO7" s="519"/>
      <c r="DP7" s="519"/>
      <c r="DQ7" s="519"/>
      <c r="DR7" s="519"/>
      <c r="DS7" s="519"/>
      <c r="DT7" s="519"/>
      <c r="DU7" s="519"/>
      <c r="DV7" s="519"/>
      <c r="DW7" s="519"/>
      <c r="DX7" s="519"/>
      <c r="DY7" s="519"/>
      <c r="DZ7" s="519"/>
      <c r="EA7" s="519"/>
      <c r="EB7" s="519"/>
      <c r="EC7" s="519"/>
      <c r="ED7" s="519"/>
      <c r="EE7" s="519"/>
      <c r="EF7" s="519"/>
      <c r="EG7" s="477"/>
      <c r="EH7" s="520"/>
      <c r="EI7" s="520"/>
      <c r="EJ7" s="520"/>
      <c r="EK7" s="520"/>
      <c r="EL7" s="520"/>
      <c r="EM7" s="520"/>
      <c r="EN7" s="520"/>
      <c r="EO7" s="520"/>
      <c r="EP7" s="520"/>
      <c r="EQ7" s="520"/>
      <c r="ER7" s="520"/>
      <c r="ES7" s="520"/>
      <c r="ET7" s="520"/>
      <c r="EU7" s="520"/>
      <c r="EV7" s="520"/>
      <c r="EW7" s="520"/>
      <c r="EX7" s="520"/>
      <c r="EY7" s="520"/>
      <c r="EZ7" s="520"/>
      <c r="FA7" s="520"/>
      <c r="FB7" s="520"/>
      <c r="FC7" s="520"/>
      <c r="FD7" s="520"/>
      <c r="FE7" s="520"/>
      <c r="FF7" s="520"/>
      <c r="FG7" s="520"/>
      <c r="FH7" s="520"/>
      <c r="FI7" s="520"/>
      <c r="FJ7" s="520"/>
      <c r="FK7" s="520"/>
      <c r="FL7" s="477"/>
      <c r="FM7" s="519"/>
      <c r="FN7" s="519"/>
      <c r="FO7" s="519"/>
      <c r="FP7" s="519"/>
      <c r="FQ7" s="519"/>
      <c r="FR7" s="519"/>
      <c r="FS7" s="519"/>
      <c r="FT7" s="519"/>
      <c r="FU7" s="519"/>
      <c r="FV7" s="519"/>
      <c r="FW7" s="519"/>
      <c r="FX7" s="519"/>
      <c r="FY7" s="519"/>
      <c r="FZ7" s="519"/>
      <c r="GA7" s="519"/>
      <c r="GB7" s="519"/>
      <c r="GC7" s="519"/>
      <c r="GD7" s="519"/>
      <c r="GE7" s="519"/>
      <c r="GF7" s="519"/>
      <c r="GG7" s="519"/>
      <c r="GH7" s="519"/>
      <c r="GI7" s="519"/>
      <c r="GJ7" s="519"/>
      <c r="GK7" s="519"/>
      <c r="GL7" s="519"/>
      <c r="GM7" s="519"/>
      <c r="GN7" s="519"/>
      <c r="GO7" s="519"/>
      <c r="GP7" s="519"/>
      <c r="GQ7" s="477"/>
      <c r="GR7" s="520"/>
      <c r="GS7" s="520"/>
      <c r="GT7" s="520"/>
      <c r="GU7" s="520"/>
      <c r="GV7" s="520"/>
      <c r="GW7" s="520"/>
      <c r="GX7" s="520"/>
      <c r="GY7" s="520"/>
      <c r="GZ7" s="520"/>
      <c r="HA7" s="520"/>
      <c r="HB7" s="520"/>
      <c r="HC7" s="520"/>
      <c r="HD7" s="520"/>
      <c r="HE7" s="520"/>
      <c r="HF7" s="520"/>
      <c r="HG7" s="520"/>
      <c r="HH7" s="520"/>
      <c r="HI7" s="520"/>
      <c r="HJ7" s="520"/>
      <c r="HK7" s="520"/>
      <c r="HL7" s="520"/>
      <c r="HM7" s="520"/>
      <c r="HN7" s="520"/>
      <c r="HO7" s="520"/>
      <c r="HP7" s="520"/>
      <c r="HQ7" s="520"/>
      <c r="HR7" s="520"/>
      <c r="HS7" s="520"/>
      <c r="HT7" s="520"/>
      <c r="HU7" s="520"/>
      <c r="HV7" s="521"/>
      <c r="HW7" s="500"/>
      <c r="HX7" s="501"/>
      <c r="HY7" s="501"/>
      <c r="HZ7" s="501"/>
      <c r="IA7" s="501"/>
      <c r="IB7" s="501"/>
      <c r="IC7" s="501"/>
      <c r="ID7" s="501"/>
      <c r="IE7" s="501"/>
      <c r="IF7" s="501"/>
      <c r="IG7" s="501"/>
      <c r="IH7" s="501"/>
      <c r="II7" s="501"/>
      <c r="IJ7" s="501"/>
      <c r="IK7" s="501"/>
      <c r="IL7" s="501"/>
      <c r="IM7" s="501"/>
      <c r="IN7" s="501"/>
      <c r="IO7" s="501"/>
      <c r="IP7" s="501"/>
      <c r="IQ7" s="501"/>
      <c r="IR7" s="501"/>
      <c r="IS7" s="501"/>
      <c r="IT7" s="501"/>
      <c r="IU7" s="501"/>
      <c r="IV7" s="501"/>
      <c r="IW7" s="501"/>
      <c r="IX7" s="501"/>
      <c r="IY7" s="501"/>
      <c r="IZ7" s="501"/>
      <c r="JA7" s="501"/>
      <c r="JB7" s="501"/>
      <c r="JC7" s="501"/>
      <c r="JD7" s="501"/>
      <c r="JE7" s="501"/>
      <c r="JF7" s="501"/>
      <c r="JG7" s="501"/>
      <c r="JH7" s="501"/>
      <c r="JI7" s="501"/>
      <c r="JJ7" s="501"/>
      <c r="JK7" s="501"/>
      <c r="JL7" s="501"/>
      <c r="JM7" s="501"/>
      <c r="JN7" s="501"/>
      <c r="JO7" s="501"/>
      <c r="JP7" s="501"/>
      <c r="JQ7" s="501"/>
      <c r="JR7" s="501"/>
      <c r="JS7" s="501"/>
      <c r="JT7" s="501"/>
      <c r="JU7" s="501"/>
      <c r="JV7" s="501"/>
      <c r="JW7" s="501"/>
      <c r="JX7" s="501"/>
      <c r="JY7" s="501"/>
      <c r="JZ7" s="501"/>
      <c r="KA7" s="501"/>
      <c r="KB7" s="501"/>
      <c r="KC7" s="501"/>
      <c r="KD7" s="501"/>
      <c r="KE7" s="501"/>
      <c r="KF7" s="501"/>
      <c r="KG7" s="501"/>
      <c r="KH7" s="501"/>
      <c r="KI7" s="501"/>
      <c r="KJ7" s="501"/>
      <c r="KK7" s="501"/>
      <c r="KL7" s="501"/>
      <c r="KM7" s="501"/>
      <c r="KN7" s="501"/>
      <c r="KO7" s="501"/>
      <c r="KP7" s="501"/>
      <c r="KQ7" s="501"/>
      <c r="KR7" s="501"/>
      <c r="KS7" s="501"/>
      <c r="KT7" s="501"/>
      <c r="KU7" s="501"/>
      <c r="KV7" s="501"/>
      <c r="KW7" s="501"/>
      <c r="KX7" s="501"/>
      <c r="KY7" s="501"/>
      <c r="KZ7" s="501"/>
      <c r="LA7" s="501"/>
      <c r="LB7" s="501"/>
      <c r="LC7" s="501"/>
      <c r="LD7" s="501"/>
      <c r="LE7" s="501"/>
      <c r="LF7" s="501"/>
      <c r="LG7" s="501"/>
      <c r="LH7" s="501"/>
      <c r="LI7" s="501"/>
      <c r="LJ7" s="501"/>
      <c r="LK7" s="501"/>
      <c r="LL7" s="501"/>
      <c r="LM7" s="501"/>
      <c r="LN7" s="501"/>
      <c r="LO7" s="501"/>
      <c r="LP7" s="501"/>
      <c r="LQ7" s="501"/>
      <c r="LR7" s="501"/>
      <c r="LS7" s="501"/>
      <c r="LT7" s="501"/>
      <c r="LU7" s="501"/>
      <c r="LV7" s="501"/>
      <c r="LW7" s="501"/>
      <c r="LX7" s="501"/>
      <c r="LY7" s="501"/>
      <c r="LZ7" s="501"/>
      <c r="MA7" s="501"/>
      <c r="MB7" s="501"/>
      <c r="MC7" s="501"/>
      <c r="MD7" s="501"/>
      <c r="ME7" s="501"/>
      <c r="MF7" s="501"/>
      <c r="MG7" s="501"/>
      <c r="MH7" s="501"/>
      <c r="MI7" s="501"/>
      <c r="MJ7" s="501"/>
      <c r="MK7" s="501"/>
      <c r="ML7" s="501"/>
      <c r="MM7" s="501"/>
      <c r="MN7" s="501"/>
      <c r="MO7" s="501"/>
      <c r="MP7" s="501"/>
      <c r="MQ7" s="501"/>
      <c r="MR7" s="501"/>
      <c r="MS7" s="501"/>
      <c r="MT7" s="501"/>
      <c r="MU7" s="501"/>
      <c r="MV7" s="501"/>
      <c r="MW7" s="501"/>
      <c r="MX7" s="501"/>
      <c r="MY7" s="501"/>
      <c r="MZ7" s="501"/>
      <c r="NA7" s="501"/>
      <c r="NB7" s="501"/>
      <c r="NC7" s="501"/>
      <c r="ND7" s="501"/>
      <c r="NE7" s="501"/>
      <c r="NF7" s="501"/>
      <c r="NG7" s="501"/>
      <c r="NH7" s="501"/>
      <c r="NI7" s="501"/>
      <c r="NJ7" s="501"/>
      <c r="NK7" s="501"/>
      <c r="NL7" s="501"/>
      <c r="NM7" s="501"/>
      <c r="NN7" s="501"/>
      <c r="NO7" s="501"/>
      <c r="NP7" s="501"/>
      <c r="NQ7" s="501"/>
      <c r="NR7" s="501"/>
      <c r="NS7" s="501"/>
      <c r="NT7" s="501"/>
      <c r="NU7" s="501"/>
      <c r="NV7" s="501"/>
      <c r="NW7" s="501"/>
      <c r="NX7" s="501"/>
      <c r="NY7" s="501"/>
      <c r="NZ7" s="501"/>
      <c r="OA7" s="501"/>
      <c r="OB7" s="501"/>
      <c r="OC7" s="501"/>
      <c r="OD7" s="501"/>
      <c r="OE7" s="501"/>
      <c r="OF7" s="501"/>
      <c r="OG7" s="501"/>
      <c r="OH7" s="501"/>
      <c r="OI7" s="501"/>
      <c r="OJ7" s="501"/>
      <c r="OK7" s="501"/>
      <c r="OL7" s="501"/>
      <c r="OM7" s="501"/>
      <c r="ON7" s="501"/>
      <c r="OO7" s="501"/>
      <c r="OP7" s="501"/>
      <c r="OQ7" s="501"/>
      <c r="OR7" s="501"/>
      <c r="OS7" s="501"/>
      <c r="OT7" s="501"/>
      <c r="OU7" s="501"/>
      <c r="OV7" s="501"/>
      <c r="OW7" s="501"/>
      <c r="OX7" s="501"/>
      <c r="OY7" s="501"/>
      <c r="OZ7" s="501"/>
      <c r="PA7" s="501"/>
      <c r="PB7" s="501"/>
      <c r="PC7" s="501"/>
      <c r="PD7" s="501"/>
      <c r="PE7" s="501"/>
      <c r="PF7" s="501"/>
      <c r="PG7" s="501"/>
      <c r="PH7" s="501"/>
      <c r="PI7" s="501"/>
      <c r="PJ7" s="501"/>
      <c r="PK7" s="501"/>
      <c r="PL7" s="501"/>
      <c r="PM7" s="501"/>
      <c r="PN7" s="501"/>
      <c r="PO7" s="501"/>
      <c r="PP7" s="501"/>
      <c r="PQ7" s="501"/>
      <c r="PR7" s="501"/>
      <c r="PS7" s="501"/>
      <c r="PT7" s="501"/>
      <c r="PU7" s="501"/>
      <c r="PV7" s="501"/>
      <c r="PW7" s="501"/>
      <c r="PX7" s="501"/>
      <c r="PY7" s="501"/>
      <c r="PZ7" s="501"/>
      <c r="QA7" s="501"/>
      <c r="QB7" s="501"/>
      <c r="QC7" s="501"/>
      <c r="QD7" s="501"/>
      <c r="QE7" s="501"/>
      <c r="RR7" s="502"/>
      <c r="RS7" s="64"/>
      <c r="RT7" s="64"/>
      <c r="RU7" s="64"/>
      <c r="RV7" s="64"/>
      <c r="RW7" s="1"/>
      <c r="RX7" s="1"/>
      <c r="RY7" s="1"/>
      <c r="RZ7" s="1"/>
      <c r="SA7" s="1"/>
      <c r="SB7" s="503"/>
      <c r="SC7" s="504"/>
      <c r="SD7" s="505"/>
      <c r="SE7" s="505"/>
      <c r="SF7" s="506"/>
      <c r="SG7" s="506"/>
      <c r="SH7" s="506"/>
      <c r="SI7" s="506"/>
      <c r="SJ7" s="506"/>
      <c r="SK7" s="506"/>
      <c r="SL7" s="506"/>
      <c r="SM7" s="506"/>
      <c r="SN7" s="506"/>
      <c r="SO7" s="506"/>
      <c r="SP7" s="506"/>
      <c r="SQ7" s="506"/>
      <c r="SR7" s="506"/>
      <c r="SS7" s="506"/>
      <c r="ST7" s="506"/>
      <c r="SU7" s="506"/>
      <c r="SV7" s="506"/>
      <c r="SW7" s="506"/>
      <c r="SX7" s="506"/>
      <c r="SY7" s="506"/>
      <c r="SZ7" s="506"/>
      <c r="TA7" s="506"/>
      <c r="TB7" s="506"/>
      <c r="TC7" s="506"/>
      <c r="TD7" s="506"/>
      <c r="TE7" s="506"/>
      <c r="TF7" s="506"/>
      <c r="TG7" s="506"/>
      <c r="TH7" s="506"/>
      <c r="TI7" s="506"/>
      <c r="TJ7" s="506"/>
      <c r="TK7" s="506"/>
      <c r="TL7" s="506"/>
      <c r="TM7" s="506"/>
      <c r="TN7" s="506"/>
      <c r="TO7" s="506"/>
      <c r="TP7" s="522"/>
      <c r="TQ7" s="522"/>
      <c r="TR7" s="507"/>
    </row>
    <row r="8" spans="1:538" ht="53.25" hidden="1" customHeight="1" x14ac:dyDescent="0.3">
      <c r="A8" s="451"/>
      <c r="B8" s="28"/>
      <c r="C8" s="28"/>
      <c r="D8" s="508"/>
      <c r="E8" s="508"/>
      <c r="F8" s="452"/>
      <c r="G8" s="476"/>
      <c r="H8" s="477"/>
      <c r="J8" s="478"/>
      <c r="K8" s="478"/>
      <c r="L8" s="479"/>
      <c r="M8" s="477"/>
      <c r="N8" s="1200"/>
      <c r="O8" s="1200"/>
      <c r="P8" s="1200"/>
      <c r="Q8" s="1200"/>
      <c r="R8" s="1200"/>
      <c r="S8" s="1200"/>
      <c r="T8" s="467"/>
      <c r="U8" s="56"/>
      <c r="V8" s="28"/>
      <c r="W8" s="509"/>
      <c r="Y8" s="509"/>
      <c r="BL8" s="509"/>
      <c r="BM8" s="1195" t="str">
        <f t="shared" si="0"/>
        <v>STEVENAGE</v>
      </c>
      <c r="BN8" s="1195"/>
      <c r="BO8" s="1195"/>
      <c r="BP8" s="1224"/>
      <c r="BQ8" s="510"/>
      <c r="BR8" s="511"/>
      <c r="BS8" s="471"/>
      <c r="BZ8" s="512"/>
      <c r="CA8" s="490"/>
      <c r="CB8" s="491"/>
      <c r="CC8" s="513"/>
      <c r="CD8" s="493"/>
      <c r="CE8" s="494"/>
      <c r="CF8" s="494"/>
      <c r="CG8" s="494"/>
      <c r="CH8" s="514"/>
      <c r="CI8" s="514"/>
      <c r="CJ8" s="514"/>
      <c r="CK8" s="514"/>
      <c r="CL8" s="514"/>
      <c r="CM8" s="515"/>
      <c r="CN8" s="495"/>
      <c r="CO8" s="496"/>
      <c r="CP8" s="497"/>
      <c r="CQ8" s="498"/>
      <c r="CR8" s="516"/>
      <c r="CS8" s="517"/>
      <c r="CT8" s="518"/>
      <c r="CU8" s="464"/>
      <c r="CV8" s="28"/>
      <c r="DA8" s="477"/>
      <c r="DB8" s="477"/>
      <c r="DC8" s="519"/>
      <c r="DD8" s="519"/>
      <c r="DE8" s="519"/>
      <c r="DF8" s="519"/>
      <c r="DG8" s="519"/>
      <c r="DH8" s="519"/>
      <c r="DI8" s="519"/>
      <c r="DJ8" s="519"/>
      <c r="DK8" s="519"/>
      <c r="DL8" s="519"/>
      <c r="DM8" s="519"/>
      <c r="DN8" s="519"/>
      <c r="DO8" s="519"/>
      <c r="DP8" s="519"/>
      <c r="DQ8" s="519"/>
      <c r="DR8" s="519"/>
      <c r="DS8" s="519"/>
      <c r="DT8" s="519"/>
      <c r="DU8" s="519"/>
      <c r="DV8" s="519"/>
      <c r="DW8" s="519"/>
      <c r="DX8" s="519"/>
      <c r="DY8" s="519"/>
      <c r="DZ8" s="519"/>
      <c r="EA8" s="519"/>
      <c r="EB8" s="519"/>
      <c r="EC8" s="519"/>
      <c r="ED8" s="519"/>
      <c r="EE8" s="519"/>
      <c r="EF8" s="519"/>
      <c r="EG8" s="477"/>
      <c r="EH8" s="520"/>
      <c r="EI8" s="520"/>
      <c r="EJ8" s="520"/>
      <c r="EK8" s="520"/>
      <c r="EL8" s="520"/>
      <c r="EM8" s="520"/>
      <c r="EN8" s="520"/>
      <c r="EO8" s="520"/>
      <c r="EP8" s="520"/>
      <c r="EQ8" s="520"/>
      <c r="ER8" s="520"/>
      <c r="ES8" s="520"/>
      <c r="ET8" s="520"/>
      <c r="EU8" s="520"/>
      <c r="EV8" s="520"/>
      <c r="EW8" s="520"/>
      <c r="EX8" s="520"/>
      <c r="EY8" s="520"/>
      <c r="EZ8" s="520"/>
      <c r="FA8" s="520"/>
      <c r="FB8" s="520"/>
      <c r="FC8" s="520"/>
      <c r="FD8" s="520"/>
      <c r="FE8" s="520"/>
      <c r="FF8" s="520"/>
      <c r="FG8" s="520"/>
      <c r="FH8" s="520"/>
      <c r="FI8" s="520"/>
      <c r="FJ8" s="520"/>
      <c r="FK8" s="520"/>
      <c r="FL8" s="477"/>
      <c r="FM8" s="519"/>
      <c r="FN8" s="519"/>
      <c r="FO8" s="519"/>
      <c r="FP8" s="519"/>
      <c r="FQ8" s="519"/>
      <c r="FR8" s="519"/>
      <c r="FS8" s="519"/>
      <c r="FT8" s="519"/>
      <c r="FU8" s="519"/>
      <c r="FV8" s="519"/>
      <c r="FW8" s="519"/>
      <c r="FX8" s="519"/>
      <c r="FY8" s="519"/>
      <c r="FZ8" s="519"/>
      <c r="GA8" s="519"/>
      <c r="GB8" s="519"/>
      <c r="GC8" s="519"/>
      <c r="GD8" s="519"/>
      <c r="GE8" s="519"/>
      <c r="GF8" s="519"/>
      <c r="GG8" s="519"/>
      <c r="GH8" s="519"/>
      <c r="GI8" s="519"/>
      <c r="GJ8" s="519"/>
      <c r="GK8" s="519"/>
      <c r="GL8" s="519"/>
      <c r="GM8" s="519"/>
      <c r="GN8" s="519"/>
      <c r="GO8" s="519"/>
      <c r="GP8" s="519"/>
      <c r="GQ8" s="477"/>
      <c r="GR8" s="520"/>
      <c r="GS8" s="520"/>
      <c r="GT8" s="520"/>
      <c r="GU8" s="520"/>
      <c r="GV8" s="520"/>
      <c r="GW8" s="520"/>
      <c r="GX8" s="520"/>
      <c r="GY8" s="520"/>
      <c r="GZ8" s="520"/>
      <c r="HA8" s="520"/>
      <c r="HB8" s="520"/>
      <c r="HC8" s="520"/>
      <c r="HD8" s="520"/>
      <c r="HE8" s="520"/>
      <c r="HF8" s="520"/>
      <c r="HG8" s="520"/>
      <c r="HH8" s="520"/>
      <c r="HI8" s="520"/>
      <c r="HJ8" s="520"/>
      <c r="HK8" s="520"/>
      <c r="HL8" s="520"/>
      <c r="HM8" s="520"/>
      <c r="HN8" s="520"/>
      <c r="HO8" s="520"/>
      <c r="HP8" s="520"/>
      <c r="HQ8" s="520"/>
      <c r="HR8" s="520"/>
      <c r="HS8" s="520"/>
      <c r="HT8" s="520"/>
      <c r="HU8" s="520"/>
      <c r="HV8" s="521"/>
      <c r="HW8" s="500"/>
      <c r="HX8" s="501"/>
      <c r="HY8" s="501"/>
      <c r="HZ8" s="501"/>
      <c r="IA8" s="501"/>
      <c r="IB8" s="501"/>
      <c r="IC8" s="501"/>
      <c r="ID8" s="501"/>
      <c r="IE8" s="501"/>
      <c r="IF8" s="501"/>
      <c r="IG8" s="501"/>
      <c r="IH8" s="501"/>
      <c r="II8" s="501"/>
      <c r="IJ8" s="501"/>
      <c r="IK8" s="501"/>
      <c r="IL8" s="501"/>
      <c r="IM8" s="501"/>
      <c r="IN8" s="501"/>
      <c r="IO8" s="501"/>
      <c r="IP8" s="501"/>
      <c r="IQ8" s="501"/>
      <c r="IR8" s="501"/>
      <c r="IS8" s="501"/>
      <c r="IT8" s="501"/>
      <c r="IU8" s="501"/>
      <c r="IV8" s="501"/>
      <c r="IW8" s="501"/>
      <c r="IX8" s="501"/>
      <c r="IY8" s="501"/>
      <c r="IZ8" s="501"/>
      <c r="JA8" s="501"/>
      <c r="JB8" s="501"/>
      <c r="JC8" s="501"/>
      <c r="JD8" s="501"/>
      <c r="JE8" s="501"/>
      <c r="JF8" s="501"/>
      <c r="JG8" s="501"/>
      <c r="JH8" s="501"/>
      <c r="JI8" s="501"/>
      <c r="JJ8" s="501"/>
      <c r="JK8" s="501"/>
      <c r="JL8" s="501"/>
      <c r="JM8" s="501"/>
      <c r="JN8" s="501"/>
      <c r="JO8" s="501"/>
      <c r="JP8" s="501"/>
      <c r="JQ8" s="501"/>
      <c r="JR8" s="501"/>
      <c r="JS8" s="501"/>
      <c r="JT8" s="501"/>
      <c r="JU8" s="501"/>
      <c r="JV8" s="501"/>
      <c r="JW8" s="501"/>
      <c r="JX8" s="501"/>
      <c r="JY8" s="501"/>
      <c r="JZ8" s="501"/>
      <c r="KA8" s="501"/>
      <c r="KB8" s="501"/>
      <c r="KC8" s="501"/>
      <c r="KD8" s="501"/>
      <c r="KE8" s="501"/>
      <c r="KF8" s="501"/>
      <c r="KG8" s="501"/>
      <c r="KH8" s="501"/>
      <c r="KI8" s="501"/>
      <c r="KJ8" s="501"/>
      <c r="KK8" s="501"/>
      <c r="KL8" s="501"/>
      <c r="KM8" s="501"/>
      <c r="KN8" s="501"/>
      <c r="KO8" s="501"/>
      <c r="KP8" s="501"/>
      <c r="KQ8" s="501"/>
      <c r="KR8" s="501"/>
      <c r="KS8" s="501"/>
      <c r="KT8" s="501"/>
      <c r="KU8" s="501"/>
      <c r="KV8" s="501"/>
      <c r="KW8" s="501"/>
      <c r="KX8" s="501"/>
      <c r="KY8" s="501"/>
      <c r="KZ8" s="501"/>
      <c r="LA8" s="501"/>
      <c r="LB8" s="501"/>
      <c r="LC8" s="501"/>
      <c r="LD8" s="501"/>
      <c r="LE8" s="501"/>
      <c r="LF8" s="501"/>
      <c r="LG8" s="501"/>
      <c r="LH8" s="501"/>
      <c r="LI8" s="501"/>
      <c r="LJ8" s="501"/>
      <c r="LK8" s="501"/>
      <c r="LL8" s="501"/>
      <c r="LM8" s="501"/>
      <c r="LN8" s="501"/>
      <c r="LO8" s="501"/>
      <c r="LP8" s="501"/>
      <c r="LQ8" s="501"/>
      <c r="LR8" s="501"/>
      <c r="LS8" s="501"/>
      <c r="LT8" s="501"/>
      <c r="LU8" s="501"/>
      <c r="LV8" s="501"/>
      <c r="LW8" s="501"/>
      <c r="LX8" s="501"/>
      <c r="LY8" s="501"/>
      <c r="LZ8" s="501"/>
      <c r="MA8" s="501"/>
      <c r="MB8" s="501"/>
      <c r="MC8" s="501"/>
      <c r="MD8" s="501"/>
      <c r="ME8" s="501"/>
      <c r="MF8" s="501"/>
      <c r="MG8" s="501"/>
      <c r="MH8" s="501"/>
      <c r="MI8" s="501"/>
      <c r="MJ8" s="501"/>
      <c r="MK8" s="501"/>
      <c r="ML8" s="501"/>
      <c r="MM8" s="501"/>
      <c r="MN8" s="501"/>
      <c r="MO8" s="501"/>
      <c r="MP8" s="501"/>
      <c r="MQ8" s="501"/>
      <c r="MR8" s="501"/>
      <c r="MS8" s="501"/>
      <c r="MT8" s="501"/>
      <c r="MU8" s="501"/>
      <c r="MV8" s="501"/>
      <c r="MW8" s="501"/>
      <c r="MX8" s="501"/>
      <c r="MY8" s="501"/>
      <c r="MZ8" s="501"/>
      <c r="NA8" s="501"/>
      <c r="NB8" s="501"/>
      <c r="NC8" s="501"/>
      <c r="ND8" s="501"/>
      <c r="NE8" s="501"/>
      <c r="NF8" s="501"/>
      <c r="NG8" s="501"/>
      <c r="NH8" s="501"/>
      <c r="NI8" s="501"/>
      <c r="NJ8" s="501"/>
      <c r="NK8" s="501"/>
      <c r="NL8" s="501"/>
      <c r="NM8" s="501"/>
      <c r="NN8" s="501"/>
      <c r="NO8" s="501"/>
      <c r="NP8" s="501"/>
      <c r="NQ8" s="501"/>
      <c r="NR8" s="501"/>
      <c r="NS8" s="501"/>
      <c r="NT8" s="501"/>
      <c r="NU8" s="501"/>
      <c r="NV8" s="501"/>
      <c r="NW8" s="501"/>
      <c r="NX8" s="501"/>
      <c r="NY8" s="501"/>
      <c r="NZ8" s="501"/>
      <c r="OA8" s="501"/>
      <c r="OB8" s="501"/>
      <c r="OC8" s="501"/>
      <c r="OD8" s="501"/>
      <c r="OE8" s="501"/>
      <c r="OF8" s="501"/>
      <c r="OG8" s="501"/>
      <c r="OH8" s="501"/>
      <c r="OI8" s="501"/>
      <c r="OJ8" s="501"/>
      <c r="OK8" s="501"/>
      <c r="OL8" s="501"/>
      <c r="OM8" s="501"/>
      <c r="ON8" s="501"/>
      <c r="OO8" s="501"/>
      <c r="OP8" s="501"/>
      <c r="OQ8" s="501"/>
      <c r="OR8" s="501"/>
      <c r="OS8" s="501"/>
      <c r="OT8" s="501"/>
      <c r="OU8" s="501"/>
      <c r="OV8" s="501"/>
      <c r="OW8" s="501"/>
      <c r="OX8" s="501"/>
      <c r="OY8" s="501"/>
      <c r="OZ8" s="501"/>
      <c r="PA8" s="501"/>
      <c r="PB8" s="501"/>
      <c r="PC8" s="501"/>
      <c r="PD8" s="501"/>
      <c r="PE8" s="501"/>
      <c r="PF8" s="501"/>
      <c r="PG8" s="501"/>
      <c r="PH8" s="501"/>
      <c r="PI8" s="501"/>
      <c r="PJ8" s="501"/>
      <c r="PK8" s="501"/>
      <c r="PL8" s="501"/>
      <c r="PM8" s="501"/>
      <c r="PN8" s="501"/>
      <c r="PO8" s="501"/>
      <c r="PP8" s="501"/>
      <c r="PQ8" s="501"/>
      <c r="PR8" s="501"/>
      <c r="PS8" s="501"/>
      <c r="PT8" s="501"/>
      <c r="PU8" s="501"/>
      <c r="PV8" s="501"/>
      <c r="PW8" s="501"/>
      <c r="PX8" s="501"/>
      <c r="PY8" s="501"/>
      <c r="PZ8" s="501"/>
      <c r="QA8" s="501"/>
      <c r="QB8" s="501"/>
      <c r="QC8" s="501"/>
      <c r="QD8" s="501"/>
      <c r="QE8" s="501"/>
      <c r="RR8" s="502"/>
      <c r="RS8" s="64"/>
      <c r="RT8" s="64"/>
      <c r="RU8" s="64"/>
      <c r="RV8" s="64"/>
      <c r="RW8" s="1"/>
      <c r="RX8" s="1"/>
      <c r="RY8" s="1"/>
      <c r="RZ8" s="1"/>
      <c r="SA8" s="1"/>
      <c r="SB8" s="503"/>
      <c r="SC8" s="504"/>
      <c r="SD8" s="505"/>
      <c r="SE8" s="505"/>
      <c r="SF8" s="506"/>
      <c r="SG8" s="506"/>
      <c r="SH8" s="506"/>
      <c r="SI8" s="506"/>
      <c r="SJ8" s="506"/>
      <c r="SK8" s="506"/>
      <c r="SL8" s="506"/>
      <c r="SM8" s="506"/>
      <c r="SN8" s="506"/>
      <c r="SO8" s="506"/>
      <c r="SP8" s="506"/>
      <c r="SQ8" s="506"/>
      <c r="SR8" s="506"/>
      <c r="SS8" s="506"/>
      <c r="ST8" s="506"/>
      <c r="SU8" s="506"/>
      <c r="SV8" s="506"/>
      <c r="SW8" s="506"/>
      <c r="SX8" s="506"/>
      <c r="SY8" s="506"/>
      <c r="SZ8" s="506"/>
      <c r="TA8" s="506"/>
      <c r="TB8" s="506"/>
      <c r="TC8" s="506"/>
      <c r="TD8" s="506"/>
      <c r="TE8" s="506"/>
      <c r="TF8" s="506"/>
      <c r="TG8" s="506"/>
      <c r="TH8" s="506"/>
      <c r="TI8" s="506"/>
      <c r="TJ8" s="506"/>
      <c r="TK8" s="506"/>
      <c r="TL8" s="506"/>
      <c r="TM8" s="506"/>
      <c r="TN8" s="506"/>
      <c r="TO8" s="506"/>
      <c r="TP8" s="522"/>
      <c r="TQ8" s="522"/>
      <c r="TR8" s="507"/>
    </row>
    <row r="9" spans="1:538" ht="53.25" hidden="1" customHeight="1" x14ac:dyDescent="0.3">
      <c r="A9" s="451"/>
      <c r="B9" s="28"/>
      <c r="C9" s="28"/>
      <c r="D9" s="508"/>
      <c r="E9" s="508"/>
      <c r="F9" s="452"/>
      <c r="G9" s="476"/>
      <c r="H9" s="477"/>
      <c r="J9" s="478"/>
      <c r="K9" s="478"/>
      <c r="L9" s="479"/>
      <c r="M9" s="477"/>
      <c r="N9" s="1200"/>
      <c r="O9" s="1200"/>
      <c r="P9" s="1200"/>
      <c r="Q9" s="1200"/>
      <c r="R9" s="1200"/>
      <c r="S9" s="1200"/>
      <c r="T9" s="467"/>
      <c r="U9" s="56"/>
      <c r="V9" s="28"/>
      <c r="W9" s="509"/>
      <c r="Y9" s="509"/>
      <c r="BL9" s="509"/>
      <c r="BM9" s="1195" t="str">
        <f t="shared" si="0"/>
        <v>BORO OF BROXBOURNE</v>
      </c>
      <c r="BN9" s="1195"/>
      <c r="BO9" s="1195"/>
      <c r="BP9" s="1224"/>
      <c r="BQ9" s="510"/>
      <c r="BR9" s="511"/>
      <c r="BS9" s="471"/>
      <c r="BZ9" s="512"/>
      <c r="CA9" s="490"/>
      <c r="CB9" s="491"/>
      <c r="CC9" s="513"/>
      <c r="CD9" s="493"/>
      <c r="CE9" s="494"/>
      <c r="CF9" s="494"/>
      <c r="CG9" s="494"/>
      <c r="CH9" s="514"/>
      <c r="CI9" s="514"/>
      <c r="CJ9" s="514"/>
      <c r="CK9" s="514"/>
      <c r="CL9" s="514"/>
      <c r="CM9" s="515"/>
      <c r="CN9" s="495"/>
      <c r="CO9" s="496"/>
      <c r="CP9" s="497"/>
      <c r="CQ9" s="498"/>
      <c r="CR9" s="516"/>
      <c r="CS9" s="517"/>
      <c r="CT9" s="518"/>
      <c r="CU9" s="464"/>
      <c r="CV9" s="28"/>
      <c r="DA9" s="477"/>
      <c r="DB9" s="477"/>
      <c r="DC9" s="519"/>
      <c r="DD9" s="519"/>
      <c r="DE9" s="519"/>
      <c r="DF9" s="519"/>
      <c r="DG9" s="519"/>
      <c r="DH9" s="519"/>
      <c r="DI9" s="519"/>
      <c r="DJ9" s="519"/>
      <c r="DK9" s="519"/>
      <c r="DL9" s="519"/>
      <c r="DM9" s="519"/>
      <c r="DN9" s="519"/>
      <c r="DO9" s="519"/>
      <c r="DP9" s="519"/>
      <c r="DQ9" s="519"/>
      <c r="DR9" s="519"/>
      <c r="DS9" s="519"/>
      <c r="DT9" s="519"/>
      <c r="DU9" s="519"/>
      <c r="DV9" s="519"/>
      <c r="DW9" s="519"/>
      <c r="DX9" s="519"/>
      <c r="DY9" s="519"/>
      <c r="DZ9" s="519"/>
      <c r="EA9" s="519"/>
      <c r="EB9" s="519"/>
      <c r="EC9" s="519"/>
      <c r="ED9" s="519"/>
      <c r="EE9" s="519"/>
      <c r="EF9" s="519"/>
      <c r="EG9" s="477"/>
      <c r="EH9" s="520"/>
      <c r="EI9" s="520"/>
      <c r="EJ9" s="520"/>
      <c r="EK9" s="520"/>
      <c r="EL9" s="520"/>
      <c r="EM9" s="520"/>
      <c r="EN9" s="520"/>
      <c r="EO9" s="520"/>
      <c r="EP9" s="520"/>
      <c r="EQ9" s="520"/>
      <c r="ER9" s="520"/>
      <c r="ES9" s="520"/>
      <c r="ET9" s="520"/>
      <c r="EU9" s="520"/>
      <c r="EV9" s="520"/>
      <c r="EW9" s="520"/>
      <c r="EX9" s="520"/>
      <c r="EY9" s="520"/>
      <c r="EZ9" s="520"/>
      <c r="FA9" s="520"/>
      <c r="FB9" s="520"/>
      <c r="FC9" s="520"/>
      <c r="FD9" s="520"/>
      <c r="FE9" s="520"/>
      <c r="FF9" s="520"/>
      <c r="FG9" s="520"/>
      <c r="FH9" s="520"/>
      <c r="FI9" s="520"/>
      <c r="FJ9" s="520"/>
      <c r="FK9" s="520"/>
      <c r="FL9" s="477"/>
      <c r="FM9" s="519"/>
      <c r="FN9" s="519"/>
      <c r="FO9" s="519"/>
      <c r="FP9" s="519"/>
      <c r="FQ9" s="519"/>
      <c r="FR9" s="519"/>
      <c r="FS9" s="519"/>
      <c r="FT9" s="519"/>
      <c r="FU9" s="519"/>
      <c r="FV9" s="519"/>
      <c r="FW9" s="519"/>
      <c r="FX9" s="519"/>
      <c r="FY9" s="519"/>
      <c r="FZ9" s="519"/>
      <c r="GA9" s="519"/>
      <c r="GB9" s="519"/>
      <c r="GC9" s="519"/>
      <c r="GD9" s="519"/>
      <c r="GE9" s="519"/>
      <c r="GF9" s="519"/>
      <c r="GG9" s="519"/>
      <c r="GH9" s="519"/>
      <c r="GI9" s="519"/>
      <c r="GJ9" s="519"/>
      <c r="GK9" s="519"/>
      <c r="GL9" s="519"/>
      <c r="GM9" s="519"/>
      <c r="GN9" s="519"/>
      <c r="GO9" s="519"/>
      <c r="GP9" s="519"/>
      <c r="GQ9" s="477"/>
      <c r="GR9" s="520"/>
      <c r="GS9" s="520"/>
      <c r="GT9" s="520"/>
      <c r="GU9" s="520"/>
      <c r="GV9" s="520"/>
      <c r="GW9" s="520"/>
      <c r="GX9" s="520"/>
      <c r="GY9" s="520"/>
      <c r="GZ9" s="520"/>
      <c r="HA9" s="520"/>
      <c r="HB9" s="520"/>
      <c r="HC9" s="520"/>
      <c r="HD9" s="520"/>
      <c r="HE9" s="520"/>
      <c r="HF9" s="520"/>
      <c r="HG9" s="520"/>
      <c r="HH9" s="520"/>
      <c r="HI9" s="520"/>
      <c r="HJ9" s="520"/>
      <c r="HK9" s="520"/>
      <c r="HL9" s="520"/>
      <c r="HM9" s="520"/>
      <c r="HN9" s="520"/>
      <c r="HO9" s="520"/>
      <c r="HP9" s="520"/>
      <c r="HQ9" s="520"/>
      <c r="HR9" s="520"/>
      <c r="HS9" s="520"/>
      <c r="HT9" s="520"/>
      <c r="HU9" s="520"/>
      <c r="HV9" s="521"/>
      <c r="HW9" s="500"/>
      <c r="HX9" s="501"/>
      <c r="HY9" s="501"/>
      <c r="HZ9" s="501"/>
      <c r="IA9" s="501"/>
      <c r="IB9" s="501"/>
      <c r="IC9" s="501"/>
      <c r="ID9" s="501"/>
      <c r="IE9" s="501"/>
      <c r="IF9" s="501"/>
      <c r="IG9" s="501"/>
      <c r="IH9" s="501"/>
      <c r="II9" s="501"/>
      <c r="IJ9" s="501"/>
      <c r="IK9" s="501"/>
      <c r="IL9" s="501"/>
      <c r="IM9" s="501"/>
      <c r="IN9" s="501"/>
      <c r="IO9" s="501"/>
      <c r="IP9" s="501"/>
      <c r="IQ9" s="501"/>
      <c r="IR9" s="501"/>
      <c r="IS9" s="501"/>
      <c r="IT9" s="501"/>
      <c r="IU9" s="501"/>
      <c r="IV9" s="501"/>
      <c r="IW9" s="501"/>
      <c r="IX9" s="501"/>
      <c r="IY9" s="501"/>
      <c r="IZ9" s="501"/>
      <c r="JA9" s="501"/>
      <c r="JB9" s="501"/>
      <c r="JC9" s="501"/>
      <c r="JD9" s="501"/>
      <c r="JE9" s="501"/>
      <c r="JF9" s="501"/>
      <c r="JG9" s="501"/>
      <c r="JH9" s="501"/>
      <c r="JI9" s="501"/>
      <c r="JJ9" s="501"/>
      <c r="JK9" s="501"/>
      <c r="JL9" s="501"/>
      <c r="JM9" s="501"/>
      <c r="JN9" s="501"/>
      <c r="JO9" s="501"/>
      <c r="JP9" s="501"/>
      <c r="JQ9" s="501"/>
      <c r="JR9" s="501"/>
      <c r="JS9" s="501"/>
      <c r="JT9" s="501"/>
      <c r="JU9" s="501"/>
      <c r="JV9" s="501"/>
      <c r="JW9" s="501"/>
      <c r="JX9" s="501"/>
      <c r="JY9" s="501"/>
      <c r="JZ9" s="501"/>
      <c r="KA9" s="501"/>
      <c r="KB9" s="501"/>
      <c r="KC9" s="501"/>
      <c r="KD9" s="501"/>
      <c r="KE9" s="501"/>
      <c r="KF9" s="501"/>
      <c r="KG9" s="501"/>
      <c r="KH9" s="501"/>
      <c r="KI9" s="501"/>
      <c r="KJ9" s="501"/>
      <c r="KK9" s="501"/>
      <c r="KL9" s="501"/>
      <c r="KM9" s="501"/>
      <c r="KN9" s="501"/>
      <c r="KO9" s="501"/>
      <c r="KP9" s="501"/>
      <c r="KQ9" s="501"/>
      <c r="KR9" s="501"/>
      <c r="KS9" s="501"/>
      <c r="KT9" s="501"/>
      <c r="KU9" s="501"/>
      <c r="KV9" s="501"/>
      <c r="KW9" s="501"/>
      <c r="KX9" s="501"/>
      <c r="KY9" s="501"/>
      <c r="KZ9" s="501"/>
      <c r="LA9" s="501"/>
      <c r="LB9" s="501"/>
      <c r="LC9" s="501"/>
      <c r="LD9" s="501"/>
      <c r="LE9" s="501"/>
      <c r="LF9" s="501"/>
      <c r="LG9" s="501"/>
      <c r="LH9" s="501"/>
      <c r="LI9" s="501"/>
      <c r="LJ9" s="501"/>
      <c r="LK9" s="501"/>
      <c r="LL9" s="501"/>
      <c r="LM9" s="501"/>
      <c r="LN9" s="501"/>
      <c r="LO9" s="501"/>
      <c r="LP9" s="501"/>
      <c r="LQ9" s="501"/>
      <c r="LR9" s="501"/>
      <c r="LS9" s="501"/>
      <c r="LT9" s="501"/>
      <c r="LU9" s="501"/>
      <c r="LV9" s="501"/>
      <c r="LW9" s="501"/>
      <c r="LX9" s="501"/>
      <c r="LY9" s="501"/>
      <c r="LZ9" s="501"/>
      <c r="MA9" s="501"/>
      <c r="MB9" s="501"/>
      <c r="MC9" s="501"/>
      <c r="MD9" s="501"/>
      <c r="ME9" s="501"/>
      <c r="MF9" s="501"/>
      <c r="MG9" s="501"/>
      <c r="MH9" s="501"/>
      <c r="MI9" s="501"/>
      <c r="MJ9" s="501"/>
      <c r="MK9" s="501"/>
      <c r="ML9" s="501"/>
      <c r="MM9" s="501"/>
      <c r="MN9" s="501"/>
      <c r="MO9" s="501"/>
      <c r="MP9" s="501"/>
      <c r="MQ9" s="501"/>
      <c r="MR9" s="501"/>
      <c r="MS9" s="501"/>
      <c r="MT9" s="501"/>
      <c r="MU9" s="501"/>
      <c r="MV9" s="501"/>
      <c r="MW9" s="501"/>
      <c r="MX9" s="501"/>
      <c r="MY9" s="501"/>
      <c r="MZ9" s="501"/>
      <c r="NA9" s="501"/>
      <c r="NB9" s="501"/>
      <c r="NC9" s="501"/>
      <c r="ND9" s="501"/>
      <c r="NE9" s="501"/>
      <c r="NF9" s="501"/>
      <c r="NG9" s="501"/>
      <c r="NH9" s="501"/>
      <c r="NI9" s="501"/>
      <c r="NJ9" s="501"/>
      <c r="NK9" s="501"/>
      <c r="NL9" s="501"/>
      <c r="NM9" s="501"/>
      <c r="NN9" s="501"/>
      <c r="NO9" s="501"/>
      <c r="NP9" s="501"/>
      <c r="NQ9" s="501"/>
      <c r="NR9" s="501"/>
      <c r="NS9" s="501"/>
      <c r="NT9" s="501"/>
      <c r="NU9" s="501"/>
      <c r="NV9" s="501"/>
      <c r="NW9" s="501"/>
      <c r="NX9" s="501"/>
      <c r="NY9" s="501"/>
      <c r="NZ9" s="501"/>
      <c r="OA9" s="501"/>
      <c r="OB9" s="501"/>
      <c r="OC9" s="501"/>
      <c r="OD9" s="501"/>
      <c r="OE9" s="501"/>
      <c r="OF9" s="501"/>
      <c r="OG9" s="501"/>
      <c r="OH9" s="501"/>
      <c r="OI9" s="501"/>
      <c r="OJ9" s="501"/>
      <c r="OK9" s="501"/>
      <c r="OL9" s="501"/>
      <c r="OM9" s="501"/>
      <c r="ON9" s="501"/>
      <c r="OO9" s="501"/>
      <c r="OP9" s="501"/>
      <c r="OQ9" s="501"/>
      <c r="OR9" s="501"/>
      <c r="OS9" s="501"/>
      <c r="OT9" s="501"/>
      <c r="OU9" s="501"/>
      <c r="OV9" s="501"/>
      <c r="OW9" s="501"/>
      <c r="OX9" s="501"/>
      <c r="OY9" s="501"/>
      <c r="OZ9" s="501"/>
      <c r="PA9" s="501"/>
      <c r="PB9" s="501"/>
      <c r="PC9" s="501"/>
      <c r="PD9" s="501"/>
      <c r="PE9" s="501"/>
      <c r="PF9" s="501"/>
      <c r="PG9" s="501"/>
      <c r="PH9" s="501"/>
      <c r="PI9" s="501"/>
      <c r="PJ9" s="501"/>
      <c r="PK9" s="501"/>
      <c r="PL9" s="501"/>
      <c r="PM9" s="501"/>
      <c r="PN9" s="501"/>
      <c r="PO9" s="501"/>
      <c r="PP9" s="501"/>
      <c r="PQ9" s="501"/>
      <c r="PR9" s="501"/>
      <c r="PS9" s="501"/>
      <c r="PT9" s="501"/>
      <c r="PU9" s="501"/>
      <c r="PV9" s="501"/>
      <c r="PW9" s="501"/>
      <c r="PX9" s="501"/>
      <c r="PY9" s="501"/>
      <c r="PZ9" s="501"/>
      <c r="QA9" s="501"/>
      <c r="QB9" s="501"/>
      <c r="QC9" s="501"/>
      <c r="QD9" s="501"/>
      <c r="QE9" s="501"/>
      <c r="RR9" s="502"/>
      <c r="RS9" s="64"/>
      <c r="RT9" s="64"/>
      <c r="RU9" s="64"/>
      <c r="RV9" s="64"/>
      <c r="RW9" s="1"/>
      <c r="RX9" s="1"/>
      <c r="RY9" s="1"/>
      <c r="RZ9" s="1"/>
      <c r="SA9" s="1"/>
      <c r="SB9" s="503"/>
      <c r="SC9" s="504"/>
      <c r="SD9" s="505"/>
      <c r="SE9" s="505"/>
      <c r="SF9" s="506"/>
      <c r="SG9" s="506"/>
      <c r="SH9" s="506"/>
      <c r="SI9" s="506"/>
      <c r="SJ9" s="506"/>
      <c r="SK9" s="506"/>
      <c r="SL9" s="506"/>
      <c r="SM9" s="506"/>
      <c r="SN9" s="506"/>
      <c r="SO9" s="506"/>
      <c r="SP9" s="506"/>
      <c r="SQ9" s="506"/>
      <c r="SR9" s="506"/>
      <c r="SS9" s="506"/>
      <c r="ST9" s="506"/>
      <c r="SU9" s="506"/>
      <c r="SV9" s="506"/>
      <c r="SW9" s="506"/>
      <c r="SX9" s="506"/>
      <c r="SY9" s="506"/>
      <c r="SZ9" s="506"/>
      <c r="TA9" s="506"/>
      <c r="TB9" s="506"/>
      <c r="TC9" s="506"/>
      <c r="TD9" s="506"/>
      <c r="TE9" s="506"/>
      <c r="TF9" s="506"/>
      <c r="TG9" s="506"/>
      <c r="TH9" s="506"/>
      <c r="TI9" s="506"/>
      <c r="TJ9" s="506"/>
      <c r="TK9" s="506"/>
      <c r="TL9" s="506"/>
      <c r="TM9" s="506"/>
      <c r="TN9" s="506"/>
      <c r="TO9" s="506"/>
      <c r="TP9" s="522"/>
      <c r="TQ9" s="522"/>
      <c r="TR9" s="507"/>
    </row>
    <row r="10" spans="1:538" ht="53.25" hidden="1" customHeight="1" x14ac:dyDescent="0.3">
      <c r="A10" s="451"/>
      <c r="B10" s="28"/>
      <c r="C10" s="28"/>
      <c r="D10" s="508"/>
      <c r="E10" s="508"/>
      <c r="F10" s="452"/>
      <c r="G10" s="476"/>
      <c r="H10" s="477"/>
      <c r="J10" s="478"/>
      <c r="K10" s="478"/>
      <c r="L10" s="479"/>
      <c r="M10" s="477"/>
      <c r="N10" s="1200"/>
      <c r="O10" s="1200"/>
      <c r="P10" s="1200"/>
      <c r="Q10" s="1200"/>
      <c r="R10" s="1200"/>
      <c r="S10" s="1200"/>
      <c r="T10" s="467"/>
      <c r="U10" s="56"/>
      <c r="V10" s="28"/>
      <c r="W10" s="509"/>
      <c r="Y10" s="509"/>
      <c r="BL10" s="509"/>
      <c r="BM10" s="1195" t="str">
        <f t="shared" si="0"/>
        <v>AYLESBURY</v>
      </c>
      <c r="BN10" s="1195"/>
      <c r="BO10" s="1195"/>
      <c r="BP10" s="1224"/>
      <c r="BQ10" s="510"/>
      <c r="BR10" s="511"/>
      <c r="BS10" s="471"/>
      <c r="BZ10" s="512"/>
      <c r="CA10" s="490"/>
      <c r="CB10" s="491"/>
      <c r="CC10" s="513"/>
      <c r="CD10" s="493"/>
      <c r="CE10" s="494"/>
      <c r="CF10" s="494"/>
      <c r="CG10" s="494"/>
      <c r="CH10" s="514"/>
      <c r="CI10" s="514"/>
      <c r="CJ10" s="514"/>
      <c r="CK10" s="514"/>
      <c r="CL10" s="514"/>
      <c r="CM10" s="515"/>
      <c r="CN10" s="495"/>
      <c r="CO10" s="496"/>
      <c r="CP10" s="497"/>
      <c r="CQ10" s="498"/>
      <c r="CR10" s="516"/>
      <c r="CS10" s="517"/>
      <c r="CT10" s="518"/>
      <c r="CU10" s="464"/>
      <c r="CV10" s="28"/>
      <c r="DA10" s="477"/>
      <c r="DB10" s="477"/>
      <c r="DC10" s="519"/>
      <c r="DD10" s="519"/>
      <c r="DE10" s="519"/>
      <c r="DF10" s="519"/>
      <c r="DG10" s="519"/>
      <c r="DH10" s="519"/>
      <c r="DI10" s="519"/>
      <c r="DJ10" s="519"/>
      <c r="DK10" s="519"/>
      <c r="DL10" s="519"/>
      <c r="DM10" s="519"/>
      <c r="DN10" s="519"/>
      <c r="DO10" s="519"/>
      <c r="DP10" s="519"/>
      <c r="DQ10" s="519"/>
      <c r="DR10" s="519"/>
      <c r="DS10" s="519"/>
      <c r="DT10" s="519"/>
      <c r="DU10" s="519"/>
      <c r="DV10" s="519"/>
      <c r="DW10" s="519"/>
      <c r="DX10" s="519"/>
      <c r="DY10" s="519"/>
      <c r="DZ10" s="519"/>
      <c r="EA10" s="519"/>
      <c r="EB10" s="519"/>
      <c r="EC10" s="519"/>
      <c r="ED10" s="519"/>
      <c r="EE10" s="519"/>
      <c r="EF10" s="519"/>
      <c r="EG10" s="477"/>
      <c r="EH10" s="520"/>
      <c r="EI10" s="520"/>
      <c r="EJ10" s="520"/>
      <c r="EK10" s="520"/>
      <c r="EL10" s="520"/>
      <c r="EM10" s="520"/>
      <c r="EN10" s="520"/>
      <c r="EO10" s="520"/>
      <c r="EP10" s="520"/>
      <c r="EQ10" s="520"/>
      <c r="ER10" s="520"/>
      <c r="ES10" s="520"/>
      <c r="ET10" s="520"/>
      <c r="EU10" s="520"/>
      <c r="EV10" s="520"/>
      <c r="EW10" s="520"/>
      <c r="EX10" s="520"/>
      <c r="EY10" s="520"/>
      <c r="EZ10" s="520"/>
      <c r="FA10" s="520"/>
      <c r="FB10" s="520"/>
      <c r="FC10" s="520"/>
      <c r="FD10" s="520"/>
      <c r="FE10" s="520"/>
      <c r="FF10" s="520"/>
      <c r="FG10" s="520"/>
      <c r="FH10" s="520"/>
      <c r="FI10" s="520"/>
      <c r="FJ10" s="520"/>
      <c r="FK10" s="520"/>
      <c r="FL10" s="477"/>
      <c r="FM10" s="519"/>
      <c r="FN10" s="519"/>
      <c r="FO10" s="519"/>
      <c r="FP10" s="519"/>
      <c r="FQ10" s="519"/>
      <c r="FR10" s="519"/>
      <c r="FS10" s="519"/>
      <c r="FT10" s="519"/>
      <c r="FU10" s="519"/>
      <c r="FV10" s="519"/>
      <c r="FW10" s="519"/>
      <c r="FX10" s="519"/>
      <c r="FY10" s="519"/>
      <c r="FZ10" s="519"/>
      <c r="GA10" s="519"/>
      <c r="GB10" s="519"/>
      <c r="GC10" s="519"/>
      <c r="GD10" s="519"/>
      <c r="GE10" s="519"/>
      <c r="GF10" s="519"/>
      <c r="GG10" s="519"/>
      <c r="GH10" s="519"/>
      <c r="GI10" s="519"/>
      <c r="GJ10" s="519"/>
      <c r="GK10" s="519"/>
      <c r="GL10" s="519"/>
      <c r="GM10" s="519"/>
      <c r="GN10" s="519"/>
      <c r="GO10" s="519"/>
      <c r="GP10" s="519"/>
      <c r="GQ10" s="477"/>
      <c r="GR10" s="520"/>
      <c r="GS10" s="520"/>
      <c r="GT10" s="520"/>
      <c r="GU10" s="520"/>
      <c r="GV10" s="520"/>
      <c r="GW10" s="520"/>
      <c r="GX10" s="520"/>
      <c r="GY10" s="520"/>
      <c r="GZ10" s="520"/>
      <c r="HA10" s="520"/>
      <c r="HB10" s="520"/>
      <c r="HC10" s="520"/>
      <c r="HD10" s="520"/>
      <c r="HE10" s="520"/>
      <c r="HF10" s="520"/>
      <c r="HG10" s="520"/>
      <c r="HH10" s="520"/>
      <c r="HI10" s="520"/>
      <c r="HJ10" s="520"/>
      <c r="HK10" s="520"/>
      <c r="HL10" s="520"/>
      <c r="HM10" s="520"/>
      <c r="HN10" s="520"/>
      <c r="HO10" s="520"/>
      <c r="HP10" s="520"/>
      <c r="HQ10" s="520"/>
      <c r="HR10" s="520"/>
      <c r="HS10" s="520"/>
      <c r="HT10" s="520"/>
      <c r="HU10" s="520"/>
      <c r="HV10" s="521"/>
      <c r="HW10" s="500"/>
      <c r="HX10" s="501"/>
      <c r="HY10" s="501"/>
      <c r="HZ10" s="501"/>
      <c r="IA10" s="501"/>
      <c r="IB10" s="501"/>
      <c r="IC10" s="501"/>
      <c r="ID10" s="501"/>
      <c r="IE10" s="501"/>
      <c r="IF10" s="501"/>
      <c r="IG10" s="501"/>
      <c r="IH10" s="501"/>
      <c r="II10" s="501"/>
      <c r="IJ10" s="501"/>
      <c r="IK10" s="501"/>
      <c r="IL10" s="501"/>
      <c r="IM10" s="501"/>
      <c r="IN10" s="501"/>
      <c r="IO10" s="501"/>
      <c r="IP10" s="501"/>
      <c r="IQ10" s="501"/>
      <c r="IR10" s="501"/>
      <c r="IS10" s="501"/>
      <c r="IT10" s="501"/>
      <c r="IU10" s="501"/>
      <c r="IV10" s="501"/>
      <c r="IW10" s="501"/>
      <c r="IX10" s="501"/>
      <c r="IY10" s="501"/>
      <c r="IZ10" s="501"/>
      <c r="JA10" s="501"/>
      <c r="JB10" s="501"/>
      <c r="JC10" s="501"/>
      <c r="JD10" s="501"/>
      <c r="JE10" s="501"/>
      <c r="JF10" s="501"/>
      <c r="JG10" s="501"/>
      <c r="JH10" s="501"/>
      <c r="JI10" s="501"/>
      <c r="JJ10" s="501"/>
      <c r="JK10" s="501"/>
      <c r="JL10" s="501"/>
      <c r="JM10" s="501"/>
      <c r="JN10" s="501"/>
      <c r="JO10" s="501"/>
      <c r="JP10" s="501"/>
      <c r="JQ10" s="501"/>
      <c r="JR10" s="501"/>
      <c r="JS10" s="501"/>
      <c r="JT10" s="501"/>
      <c r="JU10" s="501"/>
      <c r="JV10" s="501"/>
      <c r="JW10" s="501"/>
      <c r="JX10" s="501"/>
      <c r="JY10" s="501"/>
      <c r="JZ10" s="501"/>
      <c r="KA10" s="501"/>
      <c r="KB10" s="501"/>
      <c r="KC10" s="501"/>
      <c r="KD10" s="501"/>
      <c r="KE10" s="501"/>
      <c r="KF10" s="501"/>
      <c r="KG10" s="501"/>
      <c r="KH10" s="501"/>
      <c r="KI10" s="501"/>
      <c r="KJ10" s="501"/>
      <c r="KK10" s="501"/>
      <c r="KL10" s="501"/>
      <c r="KM10" s="501"/>
      <c r="KN10" s="501"/>
      <c r="KO10" s="501"/>
      <c r="KP10" s="501"/>
      <c r="KQ10" s="501"/>
      <c r="KR10" s="501"/>
      <c r="KS10" s="501"/>
      <c r="KT10" s="501"/>
      <c r="KU10" s="501"/>
      <c r="KV10" s="501"/>
      <c r="KW10" s="501"/>
      <c r="KX10" s="501"/>
      <c r="KY10" s="501"/>
      <c r="KZ10" s="501"/>
      <c r="LA10" s="501"/>
      <c r="LB10" s="501"/>
      <c r="LC10" s="501"/>
      <c r="LD10" s="501"/>
      <c r="LE10" s="501"/>
      <c r="LF10" s="501"/>
      <c r="LG10" s="501"/>
      <c r="LH10" s="501"/>
      <c r="LI10" s="501"/>
      <c r="LJ10" s="501"/>
      <c r="LK10" s="501"/>
      <c r="LL10" s="501"/>
      <c r="LM10" s="501"/>
      <c r="LN10" s="501"/>
      <c r="LO10" s="501"/>
      <c r="LP10" s="501"/>
      <c r="LQ10" s="501"/>
      <c r="LR10" s="501"/>
      <c r="LS10" s="501"/>
      <c r="LT10" s="501"/>
      <c r="LU10" s="501"/>
      <c r="LV10" s="501"/>
      <c r="LW10" s="501"/>
      <c r="LX10" s="501"/>
      <c r="LY10" s="501"/>
      <c r="LZ10" s="501"/>
      <c r="MA10" s="501"/>
      <c r="MB10" s="501"/>
      <c r="MC10" s="501"/>
      <c r="MD10" s="501"/>
      <c r="ME10" s="501"/>
      <c r="MF10" s="501"/>
      <c r="MG10" s="501"/>
      <c r="MH10" s="501"/>
      <c r="MI10" s="501"/>
      <c r="MJ10" s="501"/>
      <c r="MK10" s="501"/>
      <c r="ML10" s="501"/>
      <c r="MM10" s="501"/>
      <c r="MN10" s="501"/>
      <c r="MO10" s="501"/>
      <c r="MP10" s="501"/>
      <c r="MQ10" s="501"/>
      <c r="MR10" s="501"/>
      <c r="MS10" s="501"/>
      <c r="MT10" s="501"/>
      <c r="MU10" s="501"/>
      <c r="MV10" s="501"/>
      <c r="MW10" s="501"/>
      <c r="MX10" s="501"/>
      <c r="MY10" s="501"/>
      <c r="MZ10" s="501"/>
      <c r="NA10" s="501"/>
      <c r="NB10" s="501"/>
      <c r="NC10" s="501"/>
      <c r="ND10" s="501"/>
      <c r="NE10" s="501"/>
      <c r="NF10" s="501"/>
      <c r="NG10" s="501"/>
      <c r="NH10" s="501"/>
      <c r="NI10" s="501"/>
      <c r="NJ10" s="501"/>
      <c r="NK10" s="501"/>
      <c r="NL10" s="501"/>
      <c r="NM10" s="501"/>
      <c r="NN10" s="501"/>
      <c r="NO10" s="501"/>
      <c r="NP10" s="501"/>
      <c r="NQ10" s="501"/>
      <c r="NR10" s="501"/>
      <c r="NS10" s="501"/>
      <c r="NT10" s="501"/>
      <c r="NU10" s="501"/>
      <c r="NV10" s="501"/>
      <c r="NW10" s="501"/>
      <c r="NX10" s="501"/>
      <c r="NY10" s="501"/>
      <c r="NZ10" s="501"/>
      <c r="OA10" s="501"/>
      <c r="OB10" s="501"/>
      <c r="OC10" s="501"/>
      <c r="OD10" s="501"/>
      <c r="OE10" s="501"/>
      <c r="OF10" s="501"/>
      <c r="OG10" s="501"/>
      <c r="OH10" s="501"/>
      <c r="OI10" s="501"/>
      <c r="OJ10" s="501"/>
      <c r="OK10" s="501"/>
      <c r="OL10" s="501"/>
      <c r="OM10" s="501"/>
      <c r="ON10" s="501"/>
      <c r="OO10" s="501"/>
      <c r="OP10" s="501"/>
      <c r="OQ10" s="501"/>
      <c r="OR10" s="501"/>
      <c r="OS10" s="501"/>
      <c r="OT10" s="501"/>
      <c r="OU10" s="501"/>
      <c r="OV10" s="501"/>
      <c r="OW10" s="501"/>
      <c r="OX10" s="501"/>
      <c r="OY10" s="501"/>
      <c r="OZ10" s="501"/>
      <c r="PA10" s="501"/>
      <c r="PB10" s="501"/>
      <c r="PC10" s="501"/>
      <c r="PD10" s="501"/>
      <c r="PE10" s="501"/>
      <c r="PF10" s="501"/>
      <c r="PG10" s="501"/>
      <c r="PH10" s="501"/>
      <c r="PI10" s="501"/>
      <c r="PJ10" s="501"/>
      <c r="PK10" s="501"/>
      <c r="PL10" s="501"/>
      <c r="PM10" s="501"/>
      <c r="PN10" s="501"/>
      <c r="PO10" s="501"/>
      <c r="PP10" s="501"/>
      <c r="PQ10" s="501"/>
      <c r="PR10" s="501"/>
      <c r="PS10" s="501"/>
      <c r="PT10" s="501"/>
      <c r="PU10" s="501"/>
      <c r="PV10" s="501"/>
      <c r="PW10" s="501"/>
      <c r="PX10" s="501"/>
      <c r="PY10" s="501"/>
      <c r="PZ10" s="501"/>
      <c r="QA10" s="501"/>
      <c r="QB10" s="501"/>
      <c r="QC10" s="501"/>
      <c r="QD10" s="501"/>
      <c r="QE10" s="501"/>
      <c r="RR10" s="502"/>
      <c r="RS10" s="64"/>
      <c r="RT10" s="64"/>
      <c r="RU10" s="64"/>
      <c r="RV10" s="64"/>
      <c r="RW10" s="1"/>
      <c r="RX10" s="1"/>
      <c r="RY10" s="1"/>
      <c r="RZ10" s="1"/>
      <c r="SA10" s="1"/>
      <c r="SB10" s="503"/>
      <c r="SC10" s="504"/>
      <c r="SD10" s="505"/>
      <c r="SE10" s="505"/>
      <c r="SF10" s="506"/>
      <c r="SG10" s="506"/>
      <c r="SH10" s="506"/>
      <c r="SI10" s="506"/>
      <c r="SJ10" s="506"/>
      <c r="SK10" s="506"/>
      <c r="SL10" s="506"/>
      <c r="SM10" s="506"/>
      <c r="SN10" s="506"/>
      <c r="SO10" s="506"/>
      <c r="SP10" s="506"/>
      <c r="SQ10" s="506"/>
      <c r="SR10" s="506"/>
      <c r="SS10" s="506"/>
      <c r="ST10" s="506"/>
      <c r="SU10" s="506"/>
      <c r="SV10" s="506"/>
      <c r="SW10" s="506"/>
      <c r="SX10" s="506"/>
      <c r="SY10" s="506"/>
      <c r="SZ10" s="506"/>
      <c r="TA10" s="506"/>
      <c r="TB10" s="506"/>
      <c r="TC10" s="506"/>
      <c r="TD10" s="506"/>
      <c r="TE10" s="506"/>
      <c r="TF10" s="506"/>
      <c r="TG10" s="506"/>
      <c r="TH10" s="506"/>
      <c r="TI10" s="506"/>
      <c r="TJ10" s="506"/>
      <c r="TK10" s="506"/>
      <c r="TL10" s="506"/>
      <c r="TM10" s="506"/>
      <c r="TN10" s="506"/>
      <c r="TO10" s="506"/>
      <c r="TP10" s="522"/>
      <c r="TQ10" s="522"/>
      <c r="TR10" s="507"/>
    </row>
    <row r="11" spans="1:538" ht="53.25" hidden="1" customHeight="1" x14ac:dyDescent="0.3">
      <c r="A11" s="451"/>
      <c r="B11" s="28"/>
      <c r="C11" s="28"/>
      <c r="D11" s="508"/>
      <c r="E11" s="508"/>
      <c r="F11" s="452"/>
      <c r="G11" s="476"/>
      <c r="H11" s="477"/>
      <c r="J11" s="478"/>
      <c r="K11" s="478"/>
      <c r="L11" s="479"/>
      <c r="M11" s="477"/>
      <c r="N11" s="1200"/>
      <c r="O11" s="1200"/>
      <c r="P11" s="1200"/>
      <c r="Q11" s="1200"/>
      <c r="R11" s="1200"/>
      <c r="S11" s="1200"/>
      <c r="T11" s="467"/>
      <c r="U11" s="56"/>
      <c r="V11" s="28"/>
      <c r="W11" s="509"/>
      <c r="Y11" s="509"/>
      <c r="BL11" s="509"/>
      <c r="BM11" s="1195" t="str">
        <f t="shared" si="0"/>
        <v>BRAINTREE &amp; BOCKING</v>
      </c>
      <c r="BN11" s="1195"/>
      <c r="BO11" s="1195"/>
      <c r="BP11" s="1224"/>
      <c r="BQ11" s="510"/>
      <c r="BR11" s="511"/>
      <c r="BS11" s="471"/>
      <c r="BZ11" s="512"/>
      <c r="CA11" s="490"/>
      <c r="CB11" s="491"/>
      <c r="CC11" s="513"/>
      <c r="CD11" s="493"/>
      <c r="CE11" s="494"/>
      <c r="CF11" s="494"/>
      <c r="CG11" s="494"/>
      <c r="CH11" s="514"/>
      <c r="CI11" s="514"/>
      <c r="CJ11" s="514"/>
      <c r="CK11" s="514"/>
      <c r="CL11" s="514"/>
      <c r="CM11" s="515"/>
      <c r="CN11" s="495"/>
      <c r="CO11" s="496"/>
      <c r="CP11" s="497"/>
      <c r="CQ11" s="498"/>
      <c r="CR11" s="516"/>
      <c r="CS11" s="517"/>
      <c r="CT11" s="518"/>
      <c r="CU11" s="464"/>
      <c r="CV11" s="28"/>
      <c r="DA11" s="477"/>
      <c r="DB11" s="477"/>
      <c r="DC11" s="519"/>
      <c r="DD11" s="519"/>
      <c r="DE11" s="519"/>
      <c r="DF11" s="519"/>
      <c r="DG11" s="519"/>
      <c r="DH11" s="519"/>
      <c r="DI11" s="519"/>
      <c r="DJ11" s="519"/>
      <c r="DK11" s="519"/>
      <c r="DL11" s="519"/>
      <c r="DM11" s="519"/>
      <c r="DN11" s="519"/>
      <c r="DO11" s="519"/>
      <c r="DP11" s="519"/>
      <c r="DQ11" s="519"/>
      <c r="DR11" s="519"/>
      <c r="DS11" s="519"/>
      <c r="DT11" s="519"/>
      <c r="DU11" s="519"/>
      <c r="DV11" s="519"/>
      <c r="DW11" s="519"/>
      <c r="DX11" s="519"/>
      <c r="DY11" s="519"/>
      <c r="DZ11" s="519"/>
      <c r="EA11" s="519"/>
      <c r="EB11" s="519"/>
      <c r="EC11" s="519"/>
      <c r="ED11" s="519"/>
      <c r="EE11" s="519"/>
      <c r="EF11" s="519"/>
      <c r="EG11" s="477"/>
      <c r="EH11" s="520"/>
      <c r="EI11" s="520"/>
      <c r="EJ11" s="520"/>
      <c r="EK11" s="520"/>
      <c r="EL11" s="520"/>
      <c r="EM11" s="520"/>
      <c r="EN11" s="520"/>
      <c r="EO11" s="520"/>
      <c r="EP11" s="520"/>
      <c r="EQ11" s="520"/>
      <c r="ER11" s="520"/>
      <c r="ES11" s="520"/>
      <c r="ET11" s="520"/>
      <c r="EU11" s="520"/>
      <c r="EV11" s="520"/>
      <c r="EW11" s="520"/>
      <c r="EX11" s="520"/>
      <c r="EY11" s="520"/>
      <c r="EZ11" s="520"/>
      <c r="FA11" s="520"/>
      <c r="FB11" s="520"/>
      <c r="FC11" s="520"/>
      <c r="FD11" s="520"/>
      <c r="FE11" s="520"/>
      <c r="FF11" s="520"/>
      <c r="FG11" s="520"/>
      <c r="FH11" s="520"/>
      <c r="FI11" s="520"/>
      <c r="FJ11" s="520"/>
      <c r="FK11" s="520"/>
      <c r="FL11" s="477"/>
      <c r="FM11" s="519"/>
      <c r="FN11" s="519"/>
      <c r="FO11" s="519"/>
      <c r="FP11" s="519"/>
      <c r="FQ11" s="519"/>
      <c r="FR11" s="519"/>
      <c r="FS11" s="519"/>
      <c r="FT11" s="519"/>
      <c r="FU11" s="519"/>
      <c r="FV11" s="519"/>
      <c r="FW11" s="519"/>
      <c r="FX11" s="519"/>
      <c r="FY11" s="519"/>
      <c r="FZ11" s="519"/>
      <c r="GA11" s="519"/>
      <c r="GB11" s="519"/>
      <c r="GC11" s="519"/>
      <c r="GD11" s="519"/>
      <c r="GE11" s="519"/>
      <c r="GF11" s="519"/>
      <c r="GG11" s="519"/>
      <c r="GH11" s="519"/>
      <c r="GI11" s="519"/>
      <c r="GJ11" s="519"/>
      <c r="GK11" s="519"/>
      <c r="GL11" s="519"/>
      <c r="GM11" s="519"/>
      <c r="GN11" s="519"/>
      <c r="GO11" s="519"/>
      <c r="GP11" s="519"/>
      <c r="GQ11" s="477"/>
      <c r="GR11" s="520"/>
      <c r="GS11" s="520"/>
      <c r="GT11" s="520"/>
      <c r="GU11" s="520"/>
      <c r="GV11" s="520"/>
      <c r="GW11" s="520"/>
      <c r="GX11" s="520"/>
      <c r="GY11" s="520"/>
      <c r="GZ11" s="520"/>
      <c r="HA11" s="520"/>
      <c r="HB11" s="520"/>
      <c r="HC11" s="520"/>
      <c r="HD11" s="520"/>
      <c r="HE11" s="520"/>
      <c r="HF11" s="520"/>
      <c r="HG11" s="520"/>
      <c r="HH11" s="520"/>
      <c r="HI11" s="520"/>
      <c r="HJ11" s="520"/>
      <c r="HK11" s="520"/>
      <c r="HL11" s="520"/>
      <c r="HM11" s="520"/>
      <c r="HN11" s="520"/>
      <c r="HO11" s="520"/>
      <c r="HP11" s="520"/>
      <c r="HQ11" s="520"/>
      <c r="HR11" s="520"/>
      <c r="HS11" s="520"/>
      <c r="HT11" s="520"/>
      <c r="HU11" s="520"/>
      <c r="HV11" s="521"/>
      <c r="HW11" s="500"/>
      <c r="HX11" s="501"/>
      <c r="HY11" s="501"/>
      <c r="HZ11" s="501"/>
      <c r="IA11" s="501"/>
      <c r="IB11" s="501"/>
      <c r="IC11" s="501"/>
      <c r="ID11" s="501"/>
      <c r="IE11" s="501"/>
      <c r="IF11" s="501"/>
      <c r="IG11" s="501"/>
      <c r="IH11" s="501"/>
      <c r="II11" s="501"/>
      <c r="IJ11" s="501"/>
      <c r="IK11" s="501"/>
      <c r="IL11" s="501"/>
      <c r="IM11" s="501"/>
      <c r="IN11" s="501"/>
      <c r="IO11" s="501"/>
      <c r="IP11" s="501"/>
      <c r="IQ11" s="501"/>
      <c r="IR11" s="501"/>
      <c r="IS11" s="501"/>
      <c r="IT11" s="501"/>
      <c r="IU11" s="501"/>
      <c r="IV11" s="501"/>
      <c r="IW11" s="501"/>
      <c r="IX11" s="501"/>
      <c r="IY11" s="501"/>
      <c r="IZ11" s="501"/>
      <c r="JA11" s="501"/>
      <c r="JB11" s="501"/>
      <c r="JC11" s="501"/>
      <c r="JD11" s="501"/>
      <c r="JE11" s="501"/>
      <c r="JF11" s="501"/>
      <c r="JG11" s="501"/>
      <c r="JH11" s="501"/>
      <c r="JI11" s="501"/>
      <c r="JJ11" s="501"/>
      <c r="JK11" s="501"/>
      <c r="JL11" s="501"/>
      <c r="JM11" s="501"/>
      <c r="JN11" s="501"/>
      <c r="JO11" s="501"/>
      <c r="JP11" s="501"/>
      <c r="JQ11" s="501"/>
      <c r="JR11" s="501"/>
      <c r="JS11" s="501"/>
      <c r="JT11" s="501"/>
      <c r="JU11" s="501"/>
      <c r="JV11" s="501"/>
      <c r="JW11" s="501"/>
      <c r="JX11" s="501"/>
      <c r="JY11" s="501"/>
      <c r="JZ11" s="501"/>
      <c r="KA11" s="501"/>
      <c r="KB11" s="501"/>
      <c r="KC11" s="501"/>
      <c r="KD11" s="501"/>
      <c r="KE11" s="501"/>
      <c r="KF11" s="501"/>
      <c r="KG11" s="501"/>
      <c r="KH11" s="501"/>
      <c r="KI11" s="501"/>
      <c r="KJ11" s="501"/>
      <c r="KK11" s="501"/>
      <c r="KL11" s="501"/>
      <c r="KM11" s="501"/>
      <c r="KN11" s="501"/>
      <c r="KO11" s="501"/>
      <c r="KP11" s="501"/>
      <c r="KQ11" s="501"/>
      <c r="KR11" s="501"/>
      <c r="KS11" s="501"/>
      <c r="KT11" s="501"/>
      <c r="KU11" s="501"/>
      <c r="KV11" s="501"/>
      <c r="KW11" s="501"/>
      <c r="KX11" s="501"/>
      <c r="KY11" s="501"/>
      <c r="KZ11" s="501"/>
      <c r="LA11" s="501"/>
      <c r="LB11" s="501"/>
      <c r="LC11" s="501"/>
      <c r="LD11" s="501"/>
      <c r="LE11" s="501"/>
      <c r="LF11" s="501"/>
      <c r="LG11" s="501"/>
      <c r="LH11" s="501"/>
      <c r="LI11" s="501"/>
      <c r="LJ11" s="501"/>
      <c r="LK11" s="501"/>
      <c r="LL11" s="501"/>
      <c r="LM11" s="501"/>
      <c r="LN11" s="501"/>
      <c r="LO11" s="501"/>
      <c r="LP11" s="501"/>
      <c r="LQ11" s="501"/>
      <c r="LR11" s="501"/>
      <c r="LS11" s="501"/>
      <c r="LT11" s="501"/>
      <c r="LU11" s="501"/>
      <c r="LV11" s="501"/>
      <c r="LW11" s="501"/>
      <c r="LX11" s="501"/>
      <c r="LY11" s="501"/>
      <c r="LZ11" s="501"/>
      <c r="MA11" s="501"/>
      <c r="MB11" s="501"/>
      <c r="MC11" s="501"/>
      <c r="MD11" s="501"/>
      <c r="ME11" s="501"/>
      <c r="MF11" s="501"/>
      <c r="MG11" s="501"/>
      <c r="MH11" s="501"/>
      <c r="MI11" s="501"/>
      <c r="MJ11" s="501"/>
      <c r="MK11" s="501"/>
      <c r="ML11" s="501"/>
      <c r="MM11" s="501"/>
      <c r="MN11" s="501"/>
      <c r="MO11" s="501"/>
      <c r="MP11" s="501"/>
      <c r="MQ11" s="501"/>
      <c r="MR11" s="501"/>
      <c r="MS11" s="501"/>
      <c r="MT11" s="501"/>
      <c r="MU11" s="501"/>
      <c r="MV11" s="501"/>
      <c r="MW11" s="501"/>
      <c r="MX11" s="501"/>
      <c r="MY11" s="501"/>
      <c r="MZ11" s="501"/>
      <c r="NA11" s="501"/>
      <c r="NB11" s="501"/>
      <c r="NC11" s="501"/>
      <c r="ND11" s="501"/>
      <c r="NE11" s="501"/>
      <c r="NF11" s="501"/>
      <c r="NG11" s="501"/>
      <c r="NH11" s="501"/>
      <c r="NI11" s="501"/>
      <c r="NJ11" s="501"/>
      <c r="NK11" s="501"/>
      <c r="NL11" s="501"/>
      <c r="NM11" s="501"/>
      <c r="NN11" s="501"/>
      <c r="NO11" s="501"/>
      <c r="NP11" s="501"/>
      <c r="NQ11" s="501"/>
      <c r="NR11" s="501"/>
      <c r="NS11" s="501"/>
      <c r="NT11" s="501"/>
      <c r="NU11" s="501"/>
      <c r="NV11" s="501"/>
      <c r="NW11" s="501"/>
      <c r="NX11" s="501"/>
      <c r="NY11" s="501"/>
      <c r="NZ11" s="501"/>
      <c r="OA11" s="501"/>
      <c r="OB11" s="501"/>
      <c r="OC11" s="501"/>
      <c r="OD11" s="501"/>
      <c r="OE11" s="501"/>
      <c r="OF11" s="501"/>
      <c r="OG11" s="501"/>
      <c r="OH11" s="501"/>
      <c r="OI11" s="501"/>
      <c r="OJ11" s="501"/>
      <c r="OK11" s="501"/>
      <c r="OL11" s="501"/>
      <c r="OM11" s="501"/>
      <c r="ON11" s="501"/>
      <c r="OO11" s="501"/>
      <c r="OP11" s="501"/>
      <c r="OQ11" s="501"/>
      <c r="OR11" s="501"/>
      <c r="OS11" s="501"/>
      <c r="OT11" s="501"/>
      <c r="OU11" s="501"/>
      <c r="OV11" s="501"/>
      <c r="OW11" s="501"/>
      <c r="OX11" s="501"/>
      <c r="OY11" s="501"/>
      <c r="OZ11" s="501"/>
      <c r="PA11" s="501"/>
      <c r="PB11" s="501"/>
      <c r="PC11" s="501"/>
      <c r="PD11" s="501"/>
      <c r="PE11" s="501"/>
      <c r="PF11" s="501"/>
      <c r="PG11" s="501"/>
      <c r="PH11" s="501"/>
      <c r="PI11" s="501"/>
      <c r="PJ11" s="501"/>
      <c r="PK11" s="501"/>
      <c r="PL11" s="501"/>
      <c r="PM11" s="501"/>
      <c r="PN11" s="501"/>
      <c r="PO11" s="501"/>
      <c r="PP11" s="501"/>
      <c r="PQ11" s="501"/>
      <c r="PR11" s="501"/>
      <c r="PS11" s="501"/>
      <c r="PT11" s="501"/>
      <c r="PU11" s="501"/>
      <c r="PV11" s="501"/>
      <c r="PW11" s="501"/>
      <c r="PX11" s="501"/>
      <c r="PY11" s="501"/>
      <c r="PZ11" s="501"/>
      <c r="QA11" s="501"/>
      <c r="QB11" s="501"/>
      <c r="QC11" s="501"/>
      <c r="QD11" s="501"/>
      <c r="QE11" s="501"/>
      <c r="RR11" s="502"/>
      <c r="RS11" s="64"/>
      <c r="RT11" s="64"/>
      <c r="RU11" s="64"/>
      <c r="RV11" s="64"/>
      <c r="RW11" s="1"/>
      <c r="RX11" s="1"/>
      <c r="RY11" s="1"/>
      <c r="RZ11" s="1"/>
      <c r="SA11" s="1"/>
      <c r="SB11" s="503"/>
      <c r="SC11" s="504"/>
      <c r="SD11" s="505"/>
      <c r="SE11" s="505"/>
      <c r="SF11" s="506"/>
      <c r="SG11" s="506"/>
      <c r="SH11" s="506"/>
      <c r="SI11" s="506"/>
      <c r="SJ11" s="506"/>
      <c r="SK11" s="506"/>
      <c r="SL11" s="506"/>
      <c r="SM11" s="506"/>
      <c r="SN11" s="506"/>
      <c r="SO11" s="506"/>
      <c r="SP11" s="506"/>
      <c r="SQ11" s="506"/>
      <c r="SR11" s="506"/>
      <c r="SS11" s="506"/>
      <c r="ST11" s="506"/>
      <c r="SU11" s="506"/>
      <c r="SV11" s="506"/>
      <c r="SW11" s="506"/>
      <c r="SX11" s="506"/>
      <c r="SY11" s="506"/>
      <c r="SZ11" s="506"/>
      <c r="TA11" s="506"/>
      <c r="TB11" s="506"/>
      <c r="TC11" s="506"/>
      <c r="TD11" s="506"/>
      <c r="TE11" s="506"/>
      <c r="TF11" s="506"/>
      <c r="TG11" s="506"/>
      <c r="TH11" s="506"/>
      <c r="TI11" s="506"/>
      <c r="TJ11" s="506"/>
      <c r="TK11" s="506"/>
      <c r="TL11" s="506"/>
      <c r="TM11" s="506"/>
      <c r="TN11" s="506"/>
      <c r="TO11" s="506"/>
      <c r="TP11" s="522"/>
      <c r="TQ11" s="522"/>
      <c r="TR11" s="507"/>
    </row>
    <row r="12" spans="1:538" ht="53.25" hidden="1" customHeight="1" x14ac:dyDescent="0.3">
      <c r="A12" s="451"/>
      <c r="B12" s="28"/>
      <c r="C12" s="28"/>
      <c r="D12" s="508"/>
      <c r="E12" s="508"/>
      <c r="F12" s="452"/>
      <c r="G12" s="476"/>
      <c r="H12" s="477"/>
      <c r="J12" s="478"/>
      <c r="K12" s="478"/>
      <c r="L12" s="479"/>
      <c r="M12" s="477"/>
      <c r="N12" s="1200"/>
      <c r="O12" s="1200"/>
      <c r="P12" s="1200"/>
      <c r="Q12" s="1200"/>
      <c r="R12" s="1200"/>
      <c r="S12" s="1200"/>
      <c r="T12" s="467"/>
      <c r="U12" s="56"/>
      <c r="V12" s="28"/>
      <c r="W12" s="509"/>
      <c r="Y12" s="509"/>
      <c r="BL12" s="509"/>
      <c r="BM12" s="1195" t="str">
        <f t="shared" si="0"/>
        <v>Bo of Harrow</v>
      </c>
      <c r="BN12" s="1195"/>
      <c r="BO12" s="1195"/>
      <c r="BP12" s="1224"/>
      <c r="BQ12" s="510"/>
      <c r="BR12" s="511"/>
      <c r="BS12" s="471"/>
      <c r="BZ12" s="512"/>
      <c r="CA12" s="490"/>
      <c r="CB12" s="491"/>
      <c r="CC12" s="513"/>
      <c r="CD12" s="493"/>
      <c r="CE12" s="494"/>
      <c r="CF12" s="494"/>
      <c r="CG12" s="494"/>
      <c r="CH12" s="514"/>
      <c r="CI12" s="514"/>
      <c r="CJ12" s="514"/>
      <c r="CK12" s="514"/>
      <c r="CL12" s="514"/>
      <c r="CM12" s="515"/>
      <c r="CN12" s="495"/>
      <c r="CO12" s="496"/>
      <c r="CP12" s="497"/>
      <c r="CQ12" s="498"/>
      <c r="CR12" s="516"/>
      <c r="CS12" s="517"/>
      <c r="CT12" s="518"/>
      <c r="CU12" s="464"/>
      <c r="CV12" s="28"/>
      <c r="DA12" s="477"/>
      <c r="DB12" s="477"/>
      <c r="DC12" s="519"/>
      <c r="DD12" s="519"/>
      <c r="DE12" s="519"/>
      <c r="DF12" s="519"/>
      <c r="DG12" s="519"/>
      <c r="DH12" s="519"/>
      <c r="DI12" s="519"/>
      <c r="DJ12" s="519"/>
      <c r="DK12" s="519"/>
      <c r="DL12" s="519"/>
      <c r="DM12" s="519"/>
      <c r="DN12" s="519"/>
      <c r="DO12" s="519"/>
      <c r="DP12" s="519"/>
      <c r="DQ12" s="519"/>
      <c r="DR12" s="519"/>
      <c r="DS12" s="519"/>
      <c r="DT12" s="519"/>
      <c r="DU12" s="519"/>
      <c r="DV12" s="519"/>
      <c r="DW12" s="519"/>
      <c r="DX12" s="519"/>
      <c r="DY12" s="519"/>
      <c r="DZ12" s="519"/>
      <c r="EA12" s="519"/>
      <c r="EB12" s="519"/>
      <c r="EC12" s="519"/>
      <c r="ED12" s="519"/>
      <c r="EE12" s="519"/>
      <c r="EF12" s="519"/>
      <c r="EG12" s="477"/>
      <c r="EH12" s="520"/>
      <c r="EI12" s="520"/>
      <c r="EJ12" s="520"/>
      <c r="EK12" s="520"/>
      <c r="EL12" s="520"/>
      <c r="EM12" s="520"/>
      <c r="EN12" s="520"/>
      <c r="EO12" s="520"/>
      <c r="EP12" s="520"/>
      <c r="EQ12" s="520"/>
      <c r="ER12" s="520"/>
      <c r="ES12" s="520"/>
      <c r="ET12" s="520"/>
      <c r="EU12" s="520"/>
      <c r="EV12" s="520"/>
      <c r="EW12" s="520"/>
      <c r="EX12" s="520"/>
      <c r="EY12" s="520"/>
      <c r="EZ12" s="520"/>
      <c r="FA12" s="520"/>
      <c r="FB12" s="520"/>
      <c r="FC12" s="520"/>
      <c r="FD12" s="520"/>
      <c r="FE12" s="520"/>
      <c r="FF12" s="520"/>
      <c r="FG12" s="520"/>
      <c r="FH12" s="520"/>
      <c r="FI12" s="520"/>
      <c r="FJ12" s="520"/>
      <c r="FK12" s="520"/>
      <c r="FL12" s="477"/>
      <c r="FM12" s="519"/>
      <c r="FN12" s="519"/>
      <c r="FO12" s="519"/>
      <c r="FP12" s="519"/>
      <c r="FQ12" s="519"/>
      <c r="FR12" s="519"/>
      <c r="FS12" s="519"/>
      <c r="FT12" s="519"/>
      <c r="FU12" s="519"/>
      <c r="FV12" s="519"/>
      <c r="FW12" s="519"/>
      <c r="FX12" s="519"/>
      <c r="FY12" s="519"/>
      <c r="FZ12" s="519"/>
      <c r="GA12" s="519"/>
      <c r="GB12" s="519"/>
      <c r="GC12" s="519"/>
      <c r="GD12" s="519"/>
      <c r="GE12" s="519"/>
      <c r="GF12" s="519"/>
      <c r="GG12" s="519"/>
      <c r="GH12" s="519"/>
      <c r="GI12" s="519"/>
      <c r="GJ12" s="519"/>
      <c r="GK12" s="519"/>
      <c r="GL12" s="519"/>
      <c r="GM12" s="519"/>
      <c r="GN12" s="519"/>
      <c r="GO12" s="519"/>
      <c r="GP12" s="519"/>
      <c r="GQ12" s="477"/>
      <c r="GR12" s="520"/>
      <c r="GS12" s="520"/>
      <c r="GT12" s="520"/>
      <c r="GU12" s="520"/>
      <c r="GV12" s="520"/>
      <c r="GW12" s="520"/>
      <c r="GX12" s="520"/>
      <c r="GY12" s="520"/>
      <c r="GZ12" s="520"/>
      <c r="HA12" s="520"/>
      <c r="HB12" s="520"/>
      <c r="HC12" s="520"/>
      <c r="HD12" s="520"/>
      <c r="HE12" s="520"/>
      <c r="HF12" s="520"/>
      <c r="HG12" s="520"/>
      <c r="HH12" s="520"/>
      <c r="HI12" s="520"/>
      <c r="HJ12" s="520"/>
      <c r="HK12" s="520"/>
      <c r="HL12" s="520"/>
      <c r="HM12" s="520"/>
      <c r="HN12" s="520"/>
      <c r="HO12" s="520"/>
      <c r="HP12" s="520"/>
      <c r="HQ12" s="520"/>
      <c r="HR12" s="520"/>
      <c r="HS12" s="520"/>
      <c r="HT12" s="520"/>
      <c r="HU12" s="520"/>
      <c r="HV12" s="521"/>
      <c r="HW12" s="500"/>
      <c r="HX12" s="501"/>
      <c r="HY12" s="501"/>
      <c r="HZ12" s="501"/>
      <c r="IA12" s="501"/>
      <c r="IB12" s="501"/>
      <c r="IC12" s="501"/>
      <c r="ID12" s="501"/>
      <c r="IE12" s="501"/>
      <c r="IF12" s="501"/>
      <c r="IG12" s="501"/>
      <c r="IH12" s="501"/>
      <c r="II12" s="501"/>
      <c r="IJ12" s="501"/>
      <c r="IK12" s="501"/>
      <c r="IL12" s="501"/>
      <c r="IM12" s="501"/>
      <c r="IN12" s="501"/>
      <c r="IO12" s="501"/>
      <c r="IP12" s="501"/>
      <c r="IQ12" s="501"/>
      <c r="IR12" s="501"/>
      <c r="IS12" s="501"/>
      <c r="IT12" s="501"/>
      <c r="IU12" s="501"/>
      <c r="IV12" s="501"/>
      <c r="IW12" s="501"/>
      <c r="IX12" s="501"/>
      <c r="IY12" s="501"/>
      <c r="IZ12" s="501"/>
      <c r="JA12" s="501"/>
      <c r="JB12" s="501"/>
      <c r="JC12" s="501"/>
      <c r="JD12" s="501"/>
      <c r="JE12" s="501"/>
      <c r="JF12" s="501"/>
      <c r="JG12" s="501"/>
      <c r="JH12" s="501"/>
      <c r="JI12" s="501"/>
      <c r="JJ12" s="501"/>
      <c r="JK12" s="501"/>
      <c r="JL12" s="501"/>
      <c r="JM12" s="501"/>
      <c r="JN12" s="501"/>
      <c r="JO12" s="501"/>
      <c r="JP12" s="501"/>
      <c r="JQ12" s="501"/>
      <c r="JR12" s="501"/>
      <c r="JS12" s="501"/>
      <c r="JT12" s="501"/>
      <c r="JU12" s="501"/>
      <c r="JV12" s="501"/>
      <c r="JW12" s="501"/>
      <c r="JX12" s="501"/>
      <c r="JY12" s="501"/>
      <c r="JZ12" s="501"/>
      <c r="KA12" s="501"/>
      <c r="KB12" s="501"/>
      <c r="KC12" s="501"/>
      <c r="KD12" s="501"/>
      <c r="KE12" s="501"/>
      <c r="KF12" s="501"/>
      <c r="KG12" s="501"/>
      <c r="KH12" s="501"/>
      <c r="KI12" s="501"/>
      <c r="KJ12" s="501"/>
      <c r="KK12" s="501"/>
      <c r="KL12" s="501"/>
      <c r="KM12" s="501"/>
      <c r="KN12" s="501"/>
      <c r="KO12" s="501"/>
      <c r="KP12" s="501"/>
      <c r="KQ12" s="501"/>
      <c r="KR12" s="501"/>
      <c r="KS12" s="501"/>
      <c r="KT12" s="501"/>
      <c r="KU12" s="501"/>
      <c r="KV12" s="501"/>
      <c r="KW12" s="501"/>
      <c r="KX12" s="501"/>
      <c r="KY12" s="501"/>
      <c r="KZ12" s="501"/>
      <c r="LA12" s="501"/>
      <c r="LB12" s="501"/>
      <c r="LC12" s="501"/>
      <c r="LD12" s="501"/>
      <c r="LE12" s="501"/>
      <c r="LF12" s="501"/>
      <c r="LG12" s="501"/>
      <c r="LH12" s="501"/>
      <c r="LI12" s="501"/>
      <c r="LJ12" s="501"/>
      <c r="LK12" s="501"/>
      <c r="LL12" s="501"/>
      <c r="LM12" s="501"/>
      <c r="LN12" s="501"/>
      <c r="LO12" s="501"/>
      <c r="LP12" s="501"/>
      <c r="LQ12" s="501"/>
      <c r="LR12" s="501"/>
      <c r="LS12" s="501"/>
      <c r="LT12" s="501"/>
      <c r="LU12" s="501"/>
      <c r="LV12" s="501"/>
      <c r="LW12" s="501"/>
      <c r="LX12" s="501"/>
      <c r="LY12" s="501"/>
      <c r="LZ12" s="501"/>
      <c r="MA12" s="501"/>
      <c r="MB12" s="501"/>
      <c r="MC12" s="501"/>
      <c r="MD12" s="501"/>
      <c r="ME12" s="501"/>
      <c r="MF12" s="501"/>
      <c r="MG12" s="501"/>
      <c r="MH12" s="501"/>
      <c r="MI12" s="501"/>
      <c r="MJ12" s="501"/>
      <c r="MK12" s="501"/>
      <c r="ML12" s="501"/>
      <c r="MM12" s="501"/>
      <c r="MN12" s="501"/>
      <c r="MO12" s="501"/>
      <c r="MP12" s="501"/>
      <c r="MQ12" s="501"/>
      <c r="MR12" s="501"/>
      <c r="MS12" s="501"/>
      <c r="MT12" s="501"/>
      <c r="MU12" s="501"/>
      <c r="MV12" s="501"/>
      <c r="MW12" s="501"/>
      <c r="MX12" s="501"/>
      <c r="MY12" s="501"/>
      <c r="MZ12" s="501"/>
      <c r="NA12" s="501"/>
      <c r="NB12" s="501"/>
      <c r="NC12" s="501"/>
      <c r="ND12" s="501"/>
      <c r="NE12" s="501"/>
      <c r="NF12" s="501"/>
      <c r="NG12" s="501"/>
      <c r="NH12" s="501"/>
      <c r="NI12" s="501"/>
      <c r="NJ12" s="501"/>
      <c r="NK12" s="501"/>
      <c r="NL12" s="501"/>
      <c r="NM12" s="501"/>
      <c r="NN12" s="501"/>
      <c r="NO12" s="501"/>
      <c r="NP12" s="501"/>
      <c r="NQ12" s="501"/>
      <c r="NR12" s="501"/>
      <c r="NS12" s="501"/>
      <c r="NT12" s="501"/>
      <c r="NU12" s="501"/>
      <c r="NV12" s="501"/>
      <c r="NW12" s="501"/>
      <c r="NX12" s="501"/>
      <c r="NY12" s="501"/>
      <c r="NZ12" s="501"/>
      <c r="OA12" s="501"/>
      <c r="OB12" s="501"/>
      <c r="OC12" s="501"/>
      <c r="OD12" s="501"/>
      <c r="OE12" s="501"/>
      <c r="OF12" s="501"/>
      <c r="OG12" s="501"/>
      <c r="OH12" s="501"/>
      <c r="OI12" s="501"/>
      <c r="OJ12" s="501"/>
      <c r="OK12" s="501"/>
      <c r="OL12" s="501"/>
      <c r="OM12" s="501"/>
      <c r="ON12" s="501"/>
      <c r="OO12" s="501"/>
      <c r="OP12" s="501"/>
      <c r="OQ12" s="501"/>
      <c r="OR12" s="501"/>
      <c r="OS12" s="501"/>
      <c r="OT12" s="501"/>
      <c r="OU12" s="501"/>
      <c r="OV12" s="501"/>
      <c r="OW12" s="501"/>
      <c r="OX12" s="501"/>
      <c r="OY12" s="501"/>
      <c r="OZ12" s="501"/>
      <c r="PA12" s="501"/>
      <c r="PB12" s="501"/>
      <c r="PC12" s="501"/>
      <c r="PD12" s="501"/>
      <c r="PE12" s="501"/>
      <c r="PF12" s="501"/>
      <c r="PG12" s="501"/>
      <c r="PH12" s="501"/>
      <c r="PI12" s="501"/>
      <c r="PJ12" s="501"/>
      <c r="PK12" s="501"/>
      <c r="PL12" s="501"/>
      <c r="PM12" s="501"/>
      <c r="PN12" s="501"/>
      <c r="PO12" s="501"/>
      <c r="PP12" s="501"/>
      <c r="PQ12" s="501"/>
      <c r="PR12" s="501"/>
      <c r="PS12" s="501"/>
      <c r="PT12" s="501"/>
      <c r="PU12" s="501"/>
      <c r="PV12" s="501"/>
      <c r="PW12" s="501"/>
      <c r="PX12" s="501"/>
      <c r="PY12" s="501"/>
      <c r="PZ12" s="501"/>
      <c r="QA12" s="501"/>
      <c r="QB12" s="501"/>
      <c r="QC12" s="501"/>
      <c r="QD12" s="501"/>
      <c r="QE12" s="501"/>
      <c r="RR12" s="502"/>
      <c r="RS12" s="64"/>
      <c r="RT12" s="64"/>
      <c r="RU12" s="64"/>
      <c r="RV12" s="64"/>
      <c r="RW12" s="1"/>
      <c r="RX12" s="1"/>
      <c r="RY12" s="1"/>
      <c r="RZ12" s="1"/>
      <c r="SA12" s="1"/>
      <c r="SB12" s="503"/>
      <c r="SC12" s="504"/>
      <c r="SD12" s="505"/>
      <c r="SE12" s="505"/>
      <c r="SF12" s="506"/>
      <c r="SG12" s="506"/>
      <c r="SH12" s="506"/>
      <c r="SI12" s="506"/>
      <c r="SJ12" s="506"/>
      <c r="SK12" s="506"/>
      <c r="SL12" s="506"/>
      <c r="SM12" s="506"/>
      <c r="SN12" s="506"/>
      <c r="SO12" s="506"/>
      <c r="SP12" s="506"/>
      <c r="SQ12" s="506"/>
      <c r="SR12" s="506"/>
      <c r="SS12" s="506"/>
      <c r="ST12" s="506"/>
      <c r="SU12" s="506"/>
      <c r="SV12" s="506"/>
      <c r="SW12" s="506"/>
      <c r="SX12" s="506"/>
      <c r="SY12" s="506"/>
      <c r="SZ12" s="506"/>
      <c r="TA12" s="506"/>
      <c r="TB12" s="506"/>
      <c r="TC12" s="506"/>
      <c r="TD12" s="506"/>
      <c r="TE12" s="506"/>
      <c r="TF12" s="506"/>
      <c r="TG12" s="506"/>
      <c r="TH12" s="506"/>
      <c r="TI12" s="506"/>
      <c r="TJ12" s="506"/>
      <c r="TK12" s="506"/>
      <c r="TL12" s="506"/>
      <c r="TM12" s="506"/>
      <c r="TN12" s="506"/>
      <c r="TO12" s="506"/>
      <c r="TP12" s="522"/>
      <c r="TQ12" s="522"/>
      <c r="TR12" s="507"/>
    </row>
    <row r="13" spans="1:538" ht="53.25" hidden="1" customHeight="1" x14ac:dyDescent="0.3">
      <c r="A13" s="451"/>
      <c r="B13" s="28"/>
      <c r="C13" s="28"/>
      <c r="D13" s="508"/>
      <c r="E13" s="508"/>
      <c r="F13" s="452"/>
      <c r="G13" s="476"/>
      <c r="H13" s="477"/>
      <c r="J13" s="478"/>
      <c r="K13" s="478"/>
      <c r="L13" s="479"/>
      <c r="M13" s="477"/>
      <c r="N13" s="1200"/>
      <c r="O13" s="1200"/>
      <c r="P13" s="1200"/>
      <c r="Q13" s="1200"/>
      <c r="R13" s="1200"/>
      <c r="S13" s="1200"/>
      <c r="T13" s="467"/>
      <c r="U13" s="56"/>
      <c r="V13" s="28"/>
      <c r="W13" s="509"/>
      <c r="Y13" s="509"/>
      <c r="BL13" s="509"/>
      <c r="BM13" s="1195" t="str">
        <f t="shared" si="0"/>
        <v>Hillingdon 'B'</v>
      </c>
      <c r="BN13" s="1195"/>
      <c r="BO13" s="1195"/>
      <c r="BP13" s="1224"/>
      <c r="BQ13" s="510"/>
      <c r="BR13" s="511"/>
      <c r="BS13" s="471"/>
      <c r="BZ13" s="512"/>
      <c r="CA13" s="490"/>
      <c r="CB13" s="491"/>
      <c r="CC13" s="513"/>
      <c r="CD13" s="493"/>
      <c r="CE13" s="494"/>
      <c r="CF13" s="494"/>
      <c r="CG13" s="494"/>
      <c r="CH13" s="514"/>
      <c r="CI13" s="514"/>
      <c r="CJ13" s="514"/>
      <c r="CK13" s="514"/>
      <c r="CL13" s="514"/>
      <c r="CM13" s="515"/>
      <c r="CN13" s="495"/>
      <c r="CO13" s="496"/>
      <c r="CP13" s="497"/>
      <c r="CQ13" s="498"/>
      <c r="CR13" s="516"/>
      <c r="CS13" s="517"/>
      <c r="CT13" s="518"/>
      <c r="CU13" s="464"/>
      <c r="CV13" s="28"/>
      <c r="DA13" s="477"/>
      <c r="DB13" s="477"/>
      <c r="DC13" s="519"/>
      <c r="DD13" s="519"/>
      <c r="DE13" s="519"/>
      <c r="DF13" s="519"/>
      <c r="DG13" s="519"/>
      <c r="DH13" s="519"/>
      <c r="DI13" s="519"/>
      <c r="DJ13" s="519"/>
      <c r="DK13" s="519"/>
      <c r="DL13" s="519"/>
      <c r="DM13" s="519"/>
      <c r="DN13" s="519"/>
      <c r="DO13" s="519"/>
      <c r="DP13" s="519"/>
      <c r="DQ13" s="519"/>
      <c r="DR13" s="519"/>
      <c r="DS13" s="519"/>
      <c r="DT13" s="519"/>
      <c r="DU13" s="519"/>
      <c r="DV13" s="519"/>
      <c r="DW13" s="519"/>
      <c r="DX13" s="519"/>
      <c r="DY13" s="519"/>
      <c r="DZ13" s="519"/>
      <c r="EA13" s="519"/>
      <c r="EB13" s="519"/>
      <c r="EC13" s="519"/>
      <c r="ED13" s="519"/>
      <c r="EE13" s="519"/>
      <c r="EF13" s="519"/>
      <c r="EG13" s="477"/>
      <c r="EH13" s="520"/>
      <c r="EI13" s="520"/>
      <c r="EJ13" s="520"/>
      <c r="EK13" s="520"/>
      <c r="EL13" s="520"/>
      <c r="EM13" s="520"/>
      <c r="EN13" s="520"/>
      <c r="EO13" s="520"/>
      <c r="EP13" s="520"/>
      <c r="EQ13" s="520"/>
      <c r="ER13" s="520"/>
      <c r="ES13" s="520"/>
      <c r="ET13" s="520"/>
      <c r="EU13" s="520"/>
      <c r="EV13" s="520"/>
      <c r="EW13" s="520"/>
      <c r="EX13" s="520"/>
      <c r="EY13" s="520"/>
      <c r="EZ13" s="520"/>
      <c r="FA13" s="520"/>
      <c r="FB13" s="520"/>
      <c r="FC13" s="520"/>
      <c r="FD13" s="520"/>
      <c r="FE13" s="520"/>
      <c r="FF13" s="520"/>
      <c r="FG13" s="520"/>
      <c r="FH13" s="520"/>
      <c r="FI13" s="520"/>
      <c r="FJ13" s="520"/>
      <c r="FK13" s="520"/>
      <c r="FL13" s="477"/>
      <c r="FM13" s="519"/>
      <c r="FN13" s="519"/>
      <c r="FO13" s="519"/>
      <c r="FP13" s="519"/>
      <c r="FQ13" s="519"/>
      <c r="FR13" s="519"/>
      <c r="FS13" s="519"/>
      <c r="FT13" s="519"/>
      <c r="FU13" s="519"/>
      <c r="FV13" s="519"/>
      <c r="FW13" s="519"/>
      <c r="FX13" s="519"/>
      <c r="FY13" s="519"/>
      <c r="FZ13" s="519"/>
      <c r="GA13" s="519"/>
      <c r="GB13" s="519"/>
      <c r="GC13" s="519"/>
      <c r="GD13" s="519"/>
      <c r="GE13" s="519"/>
      <c r="GF13" s="519"/>
      <c r="GG13" s="519"/>
      <c r="GH13" s="519"/>
      <c r="GI13" s="519"/>
      <c r="GJ13" s="519"/>
      <c r="GK13" s="519"/>
      <c r="GL13" s="519"/>
      <c r="GM13" s="519"/>
      <c r="GN13" s="519"/>
      <c r="GO13" s="519"/>
      <c r="GP13" s="519"/>
      <c r="GQ13" s="477"/>
      <c r="GR13" s="520"/>
      <c r="GS13" s="520"/>
      <c r="GT13" s="520"/>
      <c r="GU13" s="520"/>
      <c r="GV13" s="520"/>
      <c r="GW13" s="520"/>
      <c r="GX13" s="520"/>
      <c r="GY13" s="520"/>
      <c r="GZ13" s="520"/>
      <c r="HA13" s="520"/>
      <c r="HB13" s="520"/>
      <c r="HC13" s="520"/>
      <c r="HD13" s="520"/>
      <c r="HE13" s="520"/>
      <c r="HF13" s="520"/>
      <c r="HG13" s="520"/>
      <c r="HH13" s="520"/>
      <c r="HI13" s="520"/>
      <c r="HJ13" s="520"/>
      <c r="HK13" s="520"/>
      <c r="HL13" s="520"/>
      <c r="HM13" s="520"/>
      <c r="HN13" s="520"/>
      <c r="HO13" s="520"/>
      <c r="HP13" s="520"/>
      <c r="HQ13" s="520"/>
      <c r="HR13" s="520"/>
      <c r="HS13" s="520"/>
      <c r="HT13" s="520"/>
      <c r="HU13" s="520"/>
      <c r="HV13" s="521"/>
      <c r="HW13" s="500"/>
      <c r="HX13" s="501"/>
      <c r="HY13" s="501"/>
      <c r="HZ13" s="501"/>
      <c r="IA13" s="501"/>
      <c r="IB13" s="501"/>
      <c r="IC13" s="501"/>
      <c r="ID13" s="501"/>
      <c r="IE13" s="501"/>
      <c r="IF13" s="501"/>
      <c r="IG13" s="501"/>
      <c r="IH13" s="501"/>
      <c r="II13" s="501"/>
      <c r="IJ13" s="501"/>
      <c r="IK13" s="501"/>
      <c r="IL13" s="501"/>
      <c r="IM13" s="501"/>
      <c r="IN13" s="501"/>
      <c r="IO13" s="501"/>
      <c r="IP13" s="501"/>
      <c r="IQ13" s="501"/>
      <c r="IR13" s="501"/>
      <c r="IS13" s="501"/>
      <c r="IT13" s="501"/>
      <c r="IU13" s="501"/>
      <c r="IV13" s="501"/>
      <c r="IW13" s="501"/>
      <c r="IX13" s="501"/>
      <c r="IY13" s="501"/>
      <c r="IZ13" s="501"/>
      <c r="JA13" s="501"/>
      <c r="JB13" s="501"/>
      <c r="JC13" s="501"/>
      <c r="JD13" s="501"/>
      <c r="JE13" s="501"/>
      <c r="JF13" s="501"/>
      <c r="JG13" s="501"/>
      <c r="JH13" s="501"/>
      <c r="JI13" s="501"/>
      <c r="JJ13" s="501"/>
      <c r="JK13" s="501"/>
      <c r="JL13" s="501"/>
      <c r="JM13" s="501"/>
      <c r="JN13" s="501"/>
      <c r="JO13" s="501"/>
      <c r="JP13" s="501"/>
      <c r="JQ13" s="501"/>
      <c r="JR13" s="501"/>
      <c r="JS13" s="501"/>
      <c r="JT13" s="501"/>
      <c r="JU13" s="501"/>
      <c r="JV13" s="501"/>
      <c r="JW13" s="501"/>
      <c r="JX13" s="501"/>
      <c r="JY13" s="501"/>
      <c r="JZ13" s="501"/>
      <c r="KA13" s="501"/>
      <c r="KB13" s="501"/>
      <c r="KC13" s="501"/>
      <c r="KD13" s="501"/>
      <c r="KE13" s="501"/>
      <c r="KF13" s="501"/>
      <c r="KG13" s="501"/>
      <c r="KH13" s="501"/>
      <c r="KI13" s="501"/>
      <c r="KJ13" s="501"/>
      <c r="KK13" s="501"/>
      <c r="KL13" s="501"/>
      <c r="KM13" s="501"/>
      <c r="KN13" s="501"/>
      <c r="KO13" s="501"/>
      <c r="KP13" s="501"/>
      <c r="KQ13" s="501"/>
      <c r="KR13" s="501"/>
      <c r="KS13" s="501"/>
      <c r="KT13" s="501"/>
      <c r="KU13" s="501"/>
      <c r="KV13" s="501"/>
      <c r="KW13" s="501"/>
      <c r="KX13" s="501"/>
      <c r="KY13" s="501"/>
      <c r="KZ13" s="501"/>
      <c r="LA13" s="501"/>
      <c r="LB13" s="501"/>
      <c r="LC13" s="501"/>
      <c r="LD13" s="501"/>
      <c r="LE13" s="501"/>
      <c r="LF13" s="501"/>
      <c r="LG13" s="501"/>
      <c r="LH13" s="501"/>
      <c r="LI13" s="501"/>
      <c r="LJ13" s="501"/>
      <c r="LK13" s="501"/>
      <c r="LL13" s="501"/>
      <c r="LM13" s="501"/>
      <c r="LN13" s="501"/>
      <c r="LO13" s="501"/>
      <c r="LP13" s="501"/>
      <c r="LQ13" s="501"/>
      <c r="LR13" s="501"/>
      <c r="LS13" s="501"/>
      <c r="LT13" s="501"/>
      <c r="LU13" s="501"/>
      <c r="LV13" s="501"/>
      <c r="LW13" s="501"/>
      <c r="LX13" s="501"/>
      <c r="LY13" s="501"/>
      <c r="LZ13" s="501"/>
      <c r="MA13" s="501"/>
      <c r="MB13" s="501"/>
      <c r="MC13" s="501"/>
      <c r="MD13" s="501"/>
      <c r="ME13" s="501"/>
      <c r="MF13" s="501"/>
      <c r="MG13" s="501"/>
      <c r="MH13" s="501"/>
      <c r="MI13" s="501"/>
      <c r="MJ13" s="501"/>
      <c r="MK13" s="501"/>
      <c r="ML13" s="501"/>
      <c r="MM13" s="501"/>
      <c r="MN13" s="501"/>
      <c r="MO13" s="501"/>
      <c r="MP13" s="501"/>
      <c r="MQ13" s="501"/>
      <c r="MR13" s="501"/>
      <c r="MS13" s="501"/>
      <c r="MT13" s="501"/>
      <c r="MU13" s="501"/>
      <c r="MV13" s="501"/>
      <c r="MW13" s="501"/>
      <c r="MX13" s="501"/>
      <c r="MY13" s="501"/>
      <c r="MZ13" s="501"/>
      <c r="NA13" s="501"/>
      <c r="NB13" s="501"/>
      <c r="NC13" s="501"/>
      <c r="ND13" s="501"/>
      <c r="NE13" s="501"/>
      <c r="NF13" s="501"/>
      <c r="NG13" s="501"/>
      <c r="NH13" s="501"/>
      <c r="NI13" s="501"/>
      <c r="NJ13" s="501"/>
      <c r="NK13" s="501"/>
      <c r="NL13" s="501"/>
      <c r="NM13" s="501"/>
      <c r="NN13" s="501"/>
      <c r="NO13" s="501"/>
      <c r="NP13" s="501"/>
      <c r="NQ13" s="501"/>
      <c r="NR13" s="501"/>
      <c r="NS13" s="501"/>
      <c r="NT13" s="501"/>
      <c r="NU13" s="501"/>
      <c r="NV13" s="501"/>
      <c r="NW13" s="501"/>
      <c r="NX13" s="501"/>
      <c r="NY13" s="501"/>
      <c r="NZ13" s="501"/>
      <c r="OA13" s="501"/>
      <c r="OB13" s="501"/>
      <c r="OC13" s="501"/>
      <c r="OD13" s="501"/>
      <c r="OE13" s="501"/>
      <c r="OF13" s="501"/>
      <c r="OG13" s="501"/>
      <c r="OH13" s="501"/>
      <c r="OI13" s="501"/>
      <c r="OJ13" s="501"/>
      <c r="OK13" s="501"/>
      <c r="OL13" s="501"/>
      <c r="OM13" s="501"/>
      <c r="ON13" s="501"/>
      <c r="OO13" s="501"/>
      <c r="OP13" s="501"/>
      <c r="OQ13" s="501"/>
      <c r="OR13" s="501"/>
      <c r="OS13" s="501"/>
      <c r="OT13" s="501"/>
      <c r="OU13" s="501"/>
      <c r="OV13" s="501"/>
      <c r="OW13" s="501"/>
      <c r="OX13" s="501"/>
      <c r="OY13" s="501"/>
      <c r="OZ13" s="501"/>
      <c r="PA13" s="501"/>
      <c r="PB13" s="501"/>
      <c r="PC13" s="501"/>
      <c r="PD13" s="501"/>
      <c r="PE13" s="501"/>
      <c r="PF13" s="501"/>
      <c r="PG13" s="501"/>
      <c r="PH13" s="501"/>
      <c r="PI13" s="501"/>
      <c r="PJ13" s="501"/>
      <c r="PK13" s="501"/>
      <c r="PL13" s="501"/>
      <c r="PM13" s="501"/>
      <c r="PN13" s="501"/>
      <c r="PO13" s="501"/>
      <c r="PP13" s="501"/>
      <c r="PQ13" s="501"/>
      <c r="PR13" s="501"/>
      <c r="PS13" s="501"/>
      <c r="PT13" s="501"/>
      <c r="PU13" s="501"/>
      <c r="PV13" s="501"/>
      <c r="PW13" s="501"/>
      <c r="PX13" s="501"/>
      <c r="PY13" s="501"/>
      <c r="PZ13" s="501"/>
      <c r="QA13" s="501"/>
      <c r="QB13" s="501"/>
      <c r="QC13" s="501"/>
      <c r="QD13" s="501"/>
      <c r="QE13" s="501"/>
      <c r="RR13" s="502"/>
      <c r="RS13" s="64"/>
      <c r="RT13" s="64"/>
      <c r="RU13" s="64"/>
      <c r="RV13" s="64"/>
      <c r="RW13" s="1"/>
      <c r="RX13" s="1"/>
      <c r="RY13" s="1"/>
      <c r="RZ13" s="1"/>
      <c r="SA13" s="1"/>
      <c r="SB13" s="503"/>
      <c r="SC13" s="504"/>
      <c r="SD13" s="505"/>
      <c r="SE13" s="505"/>
      <c r="SF13" s="506"/>
      <c r="SG13" s="506"/>
      <c r="SH13" s="506"/>
      <c r="SI13" s="506"/>
      <c r="SJ13" s="506"/>
      <c r="SK13" s="506"/>
      <c r="SL13" s="506"/>
      <c r="SM13" s="506"/>
      <c r="SN13" s="506"/>
      <c r="SO13" s="506"/>
      <c r="SP13" s="506"/>
      <c r="SQ13" s="506"/>
      <c r="SR13" s="506"/>
      <c r="SS13" s="506"/>
      <c r="ST13" s="506"/>
      <c r="SU13" s="506"/>
      <c r="SV13" s="506"/>
      <c r="SW13" s="506"/>
      <c r="SX13" s="506"/>
      <c r="SY13" s="506"/>
      <c r="SZ13" s="506"/>
      <c r="TA13" s="506"/>
      <c r="TB13" s="506"/>
      <c r="TC13" s="506"/>
      <c r="TD13" s="506"/>
      <c r="TE13" s="506"/>
      <c r="TF13" s="506"/>
      <c r="TG13" s="506"/>
      <c r="TH13" s="506"/>
      <c r="TI13" s="506"/>
      <c r="TJ13" s="506"/>
      <c r="TK13" s="506"/>
      <c r="TL13" s="506"/>
      <c r="TM13" s="506"/>
      <c r="TN13" s="506"/>
      <c r="TO13" s="506"/>
      <c r="TP13" s="522"/>
      <c r="TQ13" s="522"/>
      <c r="TR13" s="507"/>
    </row>
    <row r="14" spans="1:538" ht="53.25" hidden="1" customHeight="1" x14ac:dyDescent="0.3">
      <c r="A14" s="451"/>
      <c r="B14" s="28"/>
      <c r="C14" s="28"/>
      <c r="D14" s="508"/>
      <c r="E14" s="508"/>
      <c r="F14" s="452"/>
      <c r="G14" s="476"/>
      <c r="H14" s="477"/>
      <c r="J14" s="478"/>
      <c r="K14" s="478"/>
      <c r="L14" s="479"/>
      <c r="M14" s="477"/>
      <c r="N14" s="1200"/>
      <c r="O14" s="1200"/>
      <c r="P14" s="1200"/>
      <c r="Q14" s="1200"/>
      <c r="R14" s="1200"/>
      <c r="S14" s="1200"/>
      <c r="T14" s="467"/>
      <c r="U14" s="56"/>
      <c r="V14" s="28"/>
      <c r="W14" s="509"/>
      <c r="Y14" s="509"/>
      <c r="BL14" s="509"/>
      <c r="BM14" s="1195">
        <f t="shared" si="0"/>
        <v>0</v>
      </c>
      <c r="BN14" s="1195"/>
      <c r="BO14" s="1195"/>
      <c r="BP14" s="1224"/>
      <c r="BQ14" s="510"/>
      <c r="BR14" s="511"/>
      <c r="BS14" s="471"/>
      <c r="BZ14" s="512"/>
      <c r="CA14" s="490"/>
      <c r="CB14" s="491"/>
      <c r="CC14" s="513"/>
      <c r="CD14" s="493"/>
      <c r="CE14" s="494"/>
      <c r="CF14" s="494"/>
      <c r="CG14" s="494"/>
      <c r="CH14" s="514"/>
      <c r="CI14" s="514"/>
      <c r="CJ14" s="514"/>
      <c r="CK14" s="514"/>
      <c r="CL14" s="514"/>
      <c r="CM14" s="515"/>
      <c r="CN14" s="495"/>
      <c r="CO14" s="496"/>
      <c r="CP14" s="497"/>
      <c r="CQ14" s="498"/>
      <c r="CR14" s="516"/>
      <c r="CS14" s="517"/>
      <c r="CT14" s="518"/>
      <c r="CU14" s="464"/>
      <c r="CV14" s="28"/>
      <c r="DA14" s="477"/>
      <c r="DB14" s="477"/>
      <c r="DC14" s="519"/>
      <c r="DD14" s="519"/>
      <c r="DE14" s="519"/>
      <c r="DF14" s="519"/>
      <c r="DG14" s="519"/>
      <c r="DH14" s="519"/>
      <c r="DI14" s="519"/>
      <c r="DJ14" s="519"/>
      <c r="DK14" s="519"/>
      <c r="DL14" s="519"/>
      <c r="DM14" s="519"/>
      <c r="DN14" s="519"/>
      <c r="DO14" s="519"/>
      <c r="DP14" s="519"/>
      <c r="DQ14" s="519"/>
      <c r="DR14" s="519"/>
      <c r="DS14" s="519"/>
      <c r="DT14" s="519"/>
      <c r="DU14" s="519"/>
      <c r="DV14" s="519"/>
      <c r="DW14" s="519"/>
      <c r="DX14" s="519"/>
      <c r="DY14" s="519"/>
      <c r="DZ14" s="519"/>
      <c r="EA14" s="519"/>
      <c r="EB14" s="519"/>
      <c r="EC14" s="519"/>
      <c r="ED14" s="519"/>
      <c r="EE14" s="519"/>
      <c r="EF14" s="519"/>
      <c r="EG14" s="477"/>
      <c r="EH14" s="520"/>
      <c r="EI14" s="520"/>
      <c r="EJ14" s="520"/>
      <c r="EK14" s="520"/>
      <c r="EL14" s="520"/>
      <c r="EM14" s="520"/>
      <c r="EN14" s="520"/>
      <c r="EO14" s="520"/>
      <c r="EP14" s="520"/>
      <c r="EQ14" s="520"/>
      <c r="ER14" s="520"/>
      <c r="ES14" s="520"/>
      <c r="ET14" s="520"/>
      <c r="EU14" s="520"/>
      <c r="EV14" s="520"/>
      <c r="EW14" s="520"/>
      <c r="EX14" s="520"/>
      <c r="EY14" s="520"/>
      <c r="EZ14" s="520"/>
      <c r="FA14" s="520"/>
      <c r="FB14" s="520"/>
      <c r="FC14" s="520"/>
      <c r="FD14" s="520"/>
      <c r="FE14" s="520"/>
      <c r="FF14" s="520"/>
      <c r="FG14" s="520"/>
      <c r="FH14" s="520"/>
      <c r="FI14" s="520"/>
      <c r="FJ14" s="520"/>
      <c r="FK14" s="520"/>
      <c r="FL14" s="477"/>
      <c r="FM14" s="519"/>
      <c r="FN14" s="519"/>
      <c r="FO14" s="519"/>
      <c r="FP14" s="519"/>
      <c r="FQ14" s="519"/>
      <c r="FR14" s="519"/>
      <c r="FS14" s="519"/>
      <c r="FT14" s="519"/>
      <c r="FU14" s="519"/>
      <c r="FV14" s="519"/>
      <c r="FW14" s="519"/>
      <c r="FX14" s="519"/>
      <c r="FY14" s="519"/>
      <c r="FZ14" s="519"/>
      <c r="GA14" s="519"/>
      <c r="GB14" s="519"/>
      <c r="GC14" s="519"/>
      <c r="GD14" s="519"/>
      <c r="GE14" s="519"/>
      <c r="GF14" s="519"/>
      <c r="GG14" s="519"/>
      <c r="GH14" s="519"/>
      <c r="GI14" s="519"/>
      <c r="GJ14" s="519"/>
      <c r="GK14" s="519"/>
      <c r="GL14" s="519"/>
      <c r="GM14" s="519"/>
      <c r="GN14" s="519"/>
      <c r="GO14" s="519"/>
      <c r="GP14" s="519"/>
      <c r="GQ14" s="477"/>
      <c r="GR14" s="520"/>
      <c r="GS14" s="520"/>
      <c r="GT14" s="520"/>
      <c r="GU14" s="520"/>
      <c r="GV14" s="520"/>
      <c r="GW14" s="520"/>
      <c r="GX14" s="520"/>
      <c r="GY14" s="520"/>
      <c r="GZ14" s="520"/>
      <c r="HA14" s="520"/>
      <c r="HB14" s="520"/>
      <c r="HC14" s="520"/>
      <c r="HD14" s="520"/>
      <c r="HE14" s="520"/>
      <c r="HF14" s="520"/>
      <c r="HG14" s="520"/>
      <c r="HH14" s="520"/>
      <c r="HI14" s="520"/>
      <c r="HJ14" s="520"/>
      <c r="HK14" s="520"/>
      <c r="HL14" s="520"/>
      <c r="HM14" s="520"/>
      <c r="HN14" s="520"/>
      <c r="HO14" s="520"/>
      <c r="HP14" s="520"/>
      <c r="HQ14" s="520"/>
      <c r="HR14" s="520"/>
      <c r="HS14" s="520"/>
      <c r="HT14" s="520"/>
      <c r="HU14" s="520"/>
      <c r="HV14" s="521"/>
      <c r="HW14" s="500"/>
      <c r="HX14" s="501"/>
      <c r="HY14" s="501"/>
      <c r="HZ14" s="501"/>
      <c r="IA14" s="501"/>
      <c r="IB14" s="501"/>
      <c r="IC14" s="501"/>
      <c r="ID14" s="501"/>
      <c r="IE14" s="501"/>
      <c r="IF14" s="501"/>
      <c r="IG14" s="501"/>
      <c r="IH14" s="501"/>
      <c r="II14" s="501"/>
      <c r="IJ14" s="501"/>
      <c r="IK14" s="501"/>
      <c r="IL14" s="501"/>
      <c r="IM14" s="501"/>
      <c r="IN14" s="501"/>
      <c r="IO14" s="501"/>
      <c r="IP14" s="501"/>
      <c r="IQ14" s="501"/>
      <c r="IR14" s="501"/>
      <c r="IS14" s="501"/>
      <c r="IT14" s="501"/>
      <c r="IU14" s="501"/>
      <c r="IV14" s="501"/>
      <c r="IW14" s="501"/>
      <c r="IX14" s="501"/>
      <c r="IY14" s="501"/>
      <c r="IZ14" s="501"/>
      <c r="JA14" s="501"/>
      <c r="JB14" s="501"/>
      <c r="JC14" s="501"/>
      <c r="JD14" s="501"/>
      <c r="JE14" s="501"/>
      <c r="JF14" s="501"/>
      <c r="JG14" s="501"/>
      <c r="JH14" s="501"/>
      <c r="JI14" s="501"/>
      <c r="JJ14" s="501"/>
      <c r="JK14" s="501"/>
      <c r="JL14" s="501"/>
      <c r="JM14" s="501"/>
      <c r="JN14" s="501"/>
      <c r="JO14" s="501"/>
      <c r="JP14" s="501"/>
      <c r="JQ14" s="501"/>
      <c r="JR14" s="501"/>
      <c r="JS14" s="501"/>
      <c r="JT14" s="501"/>
      <c r="JU14" s="501"/>
      <c r="JV14" s="501"/>
      <c r="JW14" s="501"/>
      <c r="JX14" s="501"/>
      <c r="JY14" s="501"/>
      <c r="JZ14" s="501"/>
      <c r="KA14" s="501"/>
      <c r="KB14" s="501"/>
      <c r="KC14" s="501"/>
      <c r="KD14" s="501"/>
      <c r="KE14" s="501"/>
      <c r="KF14" s="501"/>
      <c r="KG14" s="501"/>
      <c r="KH14" s="501"/>
      <c r="KI14" s="501"/>
      <c r="KJ14" s="501"/>
      <c r="KK14" s="501"/>
      <c r="KL14" s="501"/>
      <c r="KM14" s="501"/>
      <c r="KN14" s="501"/>
      <c r="KO14" s="501"/>
      <c r="KP14" s="501"/>
      <c r="KQ14" s="501"/>
      <c r="KR14" s="501"/>
      <c r="KS14" s="501"/>
      <c r="KT14" s="501"/>
      <c r="KU14" s="501"/>
      <c r="KV14" s="501"/>
      <c r="KW14" s="501"/>
      <c r="KX14" s="501"/>
      <c r="KY14" s="501"/>
      <c r="KZ14" s="501"/>
      <c r="LA14" s="501"/>
      <c r="LB14" s="501"/>
      <c r="LC14" s="501"/>
      <c r="LD14" s="501"/>
      <c r="LE14" s="501"/>
      <c r="LF14" s="501"/>
      <c r="LG14" s="501"/>
      <c r="LH14" s="501"/>
      <c r="LI14" s="501"/>
      <c r="LJ14" s="501"/>
      <c r="LK14" s="501"/>
      <c r="LL14" s="501"/>
      <c r="LM14" s="501"/>
      <c r="LN14" s="501"/>
      <c r="LO14" s="501"/>
      <c r="LP14" s="501"/>
      <c r="LQ14" s="501"/>
      <c r="LR14" s="501"/>
      <c r="LS14" s="501"/>
      <c r="LT14" s="501"/>
      <c r="LU14" s="501"/>
      <c r="LV14" s="501"/>
      <c r="LW14" s="501"/>
      <c r="LX14" s="501"/>
      <c r="LY14" s="501"/>
      <c r="LZ14" s="501"/>
      <c r="MA14" s="501"/>
      <c r="MB14" s="501"/>
      <c r="MC14" s="501"/>
      <c r="MD14" s="501"/>
      <c r="ME14" s="501"/>
      <c r="MF14" s="501"/>
      <c r="MG14" s="501"/>
      <c r="MH14" s="501"/>
      <c r="MI14" s="501"/>
      <c r="MJ14" s="501"/>
      <c r="MK14" s="501"/>
      <c r="ML14" s="501"/>
      <c r="MM14" s="501"/>
      <c r="MN14" s="501"/>
      <c r="MO14" s="501"/>
      <c r="MP14" s="501"/>
      <c r="MQ14" s="501"/>
      <c r="MR14" s="501"/>
      <c r="MS14" s="501"/>
      <c r="MT14" s="501"/>
      <c r="MU14" s="501"/>
      <c r="MV14" s="501"/>
      <c r="MW14" s="501"/>
      <c r="MX14" s="501"/>
      <c r="MY14" s="501"/>
      <c r="MZ14" s="501"/>
      <c r="NA14" s="501"/>
      <c r="NB14" s="501"/>
      <c r="NC14" s="501"/>
      <c r="ND14" s="501"/>
      <c r="NE14" s="501"/>
      <c r="NF14" s="501"/>
      <c r="NG14" s="501"/>
      <c r="NH14" s="501"/>
      <c r="NI14" s="501"/>
      <c r="NJ14" s="501"/>
      <c r="NK14" s="501"/>
      <c r="NL14" s="501"/>
      <c r="NM14" s="501"/>
      <c r="NN14" s="501"/>
      <c r="NO14" s="501"/>
      <c r="NP14" s="501"/>
      <c r="NQ14" s="501"/>
      <c r="NR14" s="501"/>
      <c r="NS14" s="501"/>
      <c r="NT14" s="501"/>
      <c r="NU14" s="501"/>
      <c r="NV14" s="501"/>
      <c r="NW14" s="501"/>
      <c r="NX14" s="501"/>
      <c r="NY14" s="501"/>
      <c r="NZ14" s="501"/>
      <c r="OA14" s="501"/>
      <c r="OB14" s="501"/>
      <c r="OC14" s="501"/>
      <c r="OD14" s="501"/>
      <c r="OE14" s="501"/>
      <c r="OF14" s="501"/>
      <c r="OG14" s="501"/>
      <c r="OH14" s="501"/>
      <c r="OI14" s="501"/>
      <c r="OJ14" s="501"/>
      <c r="OK14" s="501"/>
      <c r="OL14" s="501"/>
      <c r="OM14" s="501"/>
      <c r="ON14" s="501"/>
      <c r="OO14" s="501"/>
      <c r="OP14" s="501"/>
      <c r="OQ14" s="501"/>
      <c r="OR14" s="501"/>
      <c r="OS14" s="501"/>
      <c r="OT14" s="501"/>
      <c r="OU14" s="501"/>
      <c r="OV14" s="501"/>
      <c r="OW14" s="501"/>
      <c r="OX14" s="501"/>
      <c r="OY14" s="501"/>
      <c r="OZ14" s="501"/>
      <c r="PA14" s="501"/>
      <c r="PB14" s="501"/>
      <c r="PC14" s="501"/>
      <c r="PD14" s="501"/>
      <c r="PE14" s="501"/>
      <c r="PF14" s="501"/>
      <c r="PG14" s="501"/>
      <c r="PH14" s="501"/>
      <c r="PI14" s="501"/>
      <c r="PJ14" s="501"/>
      <c r="PK14" s="501"/>
      <c r="PL14" s="501"/>
      <c r="PM14" s="501"/>
      <c r="PN14" s="501"/>
      <c r="PO14" s="501"/>
      <c r="PP14" s="501"/>
      <c r="PQ14" s="501"/>
      <c r="PR14" s="501"/>
      <c r="PS14" s="501"/>
      <c r="PT14" s="501"/>
      <c r="PU14" s="501"/>
      <c r="PV14" s="501"/>
      <c r="PW14" s="501"/>
      <c r="PX14" s="501"/>
      <c r="PY14" s="501"/>
      <c r="PZ14" s="501"/>
      <c r="QA14" s="501"/>
      <c r="QB14" s="501"/>
      <c r="QC14" s="501"/>
      <c r="QD14" s="501"/>
      <c r="QE14" s="501"/>
      <c r="RR14" s="502"/>
      <c r="RS14" s="64"/>
      <c r="RT14" s="64"/>
      <c r="RU14" s="64"/>
      <c r="RV14" s="64"/>
      <c r="RW14" s="1"/>
      <c r="RX14" s="1"/>
      <c r="RY14" s="1"/>
      <c r="RZ14" s="1"/>
      <c r="SA14" s="1"/>
      <c r="SB14" s="503"/>
      <c r="SC14" s="504"/>
      <c r="SD14" s="505"/>
      <c r="SE14" s="505"/>
      <c r="SF14" s="506"/>
      <c r="SG14" s="506"/>
      <c r="SH14" s="506"/>
      <c r="SI14" s="506"/>
      <c r="SJ14" s="506"/>
      <c r="SK14" s="506"/>
      <c r="SL14" s="506"/>
      <c r="SM14" s="506"/>
      <c r="SN14" s="506"/>
      <c r="SO14" s="506"/>
      <c r="SP14" s="506"/>
      <c r="SQ14" s="506"/>
      <c r="SR14" s="506"/>
      <c r="SS14" s="506"/>
      <c r="ST14" s="506"/>
      <c r="SU14" s="506"/>
      <c r="SV14" s="506"/>
      <c r="SW14" s="506"/>
      <c r="SX14" s="506"/>
      <c r="SY14" s="506"/>
      <c r="SZ14" s="506"/>
      <c r="TA14" s="506"/>
      <c r="TB14" s="506"/>
      <c r="TC14" s="506"/>
      <c r="TD14" s="506"/>
      <c r="TE14" s="506"/>
      <c r="TF14" s="506"/>
      <c r="TG14" s="506"/>
      <c r="TH14" s="506"/>
      <c r="TI14" s="506"/>
      <c r="TJ14" s="506"/>
      <c r="TK14" s="506"/>
      <c r="TL14" s="506"/>
      <c r="TM14" s="506"/>
      <c r="TN14" s="506"/>
      <c r="TO14" s="506"/>
      <c r="TP14" s="522"/>
      <c r="TQ14" s="522"/>
      <c r="TR14" s="507"/>
    </row>
    <row r="15" spans="1:538" ht="53.25" hidden="1" customHeight="1" x14ac:dyDescent="0.3">
      <c r="A15" s="451"/>
      <c r="B15" s="28"/>
      <c r="C15" s="28"/>
      <c r="D15" s="508"/>
      <c r="E15" s="508"/>
      <c r="F15" s="452"/>
      <c r="G15" s="476"/>
      <c r="H15" s="477"/>
      <c r="J15" s="478"/>
      <c r="K15" s="478"/>
      <c r="L15" s="479"/>
      <c r="M15" s="477"/>
      <c r="N15" s="1200"/>
      <c r="O15" s="1200"/>
      <c r="P15" s="1200"/>
      <c r="Q15" s="1200"/>
      <c r="R15" s="1200"/>
      <c r="S15" s="1200"/>
      <c r="T15" s="467"/>
      <c r="U15" s="56"/>
      <c r="V15" s="28"/>
      <c r="W15" s="509"/>
      <c r="Y15" s="509"/>
      <c r="BL15" s="509"/>
      <c r="BM15" s="1195">
        <f t="shared" si="0"/>
        <v>0</v>
      </c>
      <c r="BN15" s="1195"/>
      <c r="BO15" s="1195"/>
      <c r="BP15" s="1224"/>
      <c r="BQ15" s="510"/>
      <c r="BR15" s="511"/>
      <c r="BS15" s="471"/>
      <c r="BZ15" s="512"/>
      <c r="CA15" s="490"/>
      <c r="CB15" s="491"/>
      <c r="CC15" s="513"/>
      <c r="CD15" s="493"/>
      <c r="CE15" s="494"/>
      <c r="CF15" s="494"/>
      <c r="CG15" s="494"/>
      <c r="CH15" s="514"/>
      <c r="CI15" s="514"/>
      <c r="CJ15" s="514"/>
      <c r="CK15" s="514"/>
      <c r="CL15" s="514"/>
      <c r="CM15" s="515"/>
      <c r="CN15" s="495"/>
      <c r="CO15" s="496"/>
      <c r="CP15" s="497"/>
      <c r="CQ15" s="498"/>
      <c r="CR15" s="516"/>
      <c r="CS15" s="517"/>
      <c r="CT15" s="518"/>
      <c r="CU15" s="464"/>
      <c r="CV15" s="28"/>
      <c r="DA15" s="477"/>
      <c r="DB15" s="477"/>
      <c r="DC15" s="519"/>
      <c r="DD15" s="519"/>
      <c r="DE15" s="519"/>
      <c r="DF15" s="519"/>
      <c r="DG15" s="519"/>
      <c r="DH15" s="519"/>
      <c r="DI15" s="519"/>
      <c r="DJ15" s="519"/>
      <c r="DK15" s="519"/>
      <c r="DL15" s="519"/>
      <c r="DM15" s="519"/>
      <c r="DN15" s="519"/>
      <c r="DO15" s="519"/>
      <c r="DP15" s="519"/>
      <c r="DQ15" s="519"/>
      <c r="DR15" s="519"/>
      <c r="DS15" s="519"/>
      <c r="DT15" s="519"/>
      <c r="DU15" s="519"/>
      <c r="DV15" s="519"/>
      <c r="DW15" s="519"/>
      <c r="DX15" s="519"/>
      <c r="DY15" s="519"/>
      <c r="DZ15" s="519"/>
      <c r="EA15" s="519"/>
      <c r="EB15" s="519"/>
      <c r="EC15" s="519"/>
      <c r="ED15" s="519"/>
      <c r="EE15" s="519"/>
      <c r="EF15" s="519"/>
      <c r="EG15" s="477"/>
      <c r="EH15" s="520"/>
      <c r="EI15" s="520"/>
      <c r="EJ15" s="520"/>
      <c r="EK15" s="520"/>
      <c r="EL15" s="520"/>
      <c r="EM15" s="520"/>
      <c r="EN15" s="520"/>
      <c r="EO15" s="520"/>
      <c r="EP15" s="520"/>
      <c r="EQ15" s="520"/>
      <c r="ER15" s="520"/>
      <c r="ES15" s="520"/>
      <c r="ET15" s="520"/>
      <c r="EU15" s="520"/>
      <c r="EV15" s="520"/>
      <c r="EW15" s="520"/>
      <c r="EX15" s="520"/>
      <c r="EY15" s="520"/>
      <c r="EZ15" s="520"/>
      <c r="FA15" s="520"/>
      <c r="FB15" s="520"/>
      <c r="FC15" s="520"/>
      <c r="FD15" s="520"/>
      <c r="FE15" s="520"/>
      <c r="FF15" s="520"/>
      <c r="FG15" s="520"/>
      <c r="FH15" s="520"/>
      <c r="FI15" s="520"/>
      <c r="FJ15" s="520"/>
      <c r="FK15" s="520"/>
      <c r="FL15" s="477"/>
      <c r="FM15" s="519"/>
      <c r="FN15" s="519"/>
      <c r="FO15" s="519"/>
      <c r="FP15" s="519"/>
      <c r="FQ15" s="519"/>
      <c r="FR15" s="519"/>
      <c r="FS15" s="519"/>
      <c r="FT15" s="519"/>
      <c r="FU15" s="519"/>
      <c r="FV15" s="519"/>
      <c r="FW15" s="519"/>
      <c r="FX15" s="519"/>
      <c r="FY15" s="519"/>
      <c r="FZ15" s="519"/>
      <c r="GA15" s="519"/>
      <c r="GB15" s="519"/>
      <c r="GC15" s="519"/>
      <c r="GD15" s="519"/>
      <c r="GE15" s="519"/>
      <c r="GF15" s="519"/>
      <c r="GG15" s="519"/>
      <c r="GH15" s="519"/>
      <c r="GI15" s="519"/>
      <c r="GJ15" s="519"/>
      <c r="GK15" s="519"/>
      <c r="GL15" s="519"/>
      <c r="GM15" s="519"/>
      <c r="GN15" s="519"/>
      <c r="GO15" s="519"/>
      <c r="GP15" s="519"/>
      <c r="GQ15" s="477"/>
      <c r="GR15" s="520"/>
      <c r="GS15" s="520"/>
      <c r="GT15" s="520"/>
      <c r="GU15" s="520"/>
      <c r="GV15" s="520"/>
      <c r="GW15" s="520"/>
      <c r="GX15" s="520"/>
      <c r="GY15" s="520"/>
      <c r="GZ15" s="520"/>
      <c r="HA15" s="520"/>
      <c r="HB15" s="520"/>
      <c r="HC15" s="520"/>
      <c r="HD15" s="520"/>
      <c r="HE15" s="520"/>
      <c r="HF15" s="520"/>
      <c r="HG15" s="520"/>
      <c r="HH15" s="520"/>
      <c r="HI15" s="520"/>
      <c r="HJ15" s="520"/>
      <c r="HK15" s="520"/>
      <c r="HL15" s="520"/>
      <c r="HM15" s="520"/>
      <c r="HN15" s="520"/>
      <c r="HO15" s="520"/>
      <c r="HP15" s="520"/>
      <c r="HQ15" s="520"/>
      <c r="HR15" s="520"/>
      <c r="HS15" s="520"/>
      <c r="HT15" s="520"/>
      <c r="HU15" s="520"/>
      <c r="HV15" s="521"/>
      <c r="HW15" s="500"/>
      <c r="HX15" s="501"/>
      <c r="HY15" s="501"/>
      <c r="HZ15" s="501"/>
      <c r="IA15" s="501"/>
      <c r="IB15" s="501"/>
      <c r="IC15" s="501"/>
      <c r="ID15" s="501"/>
      <c r="IE15" s="501"/>
      <c r="IF15" s="501"/>
      <c r="IG15" s="501"/>
      <c r="IH15" s="501"/>
      <c r="II15" s="501"/>
      <c r="IJ15" s="501"/>
      <c r="IK15" s="501"/>
      <c r="IL15" s="501"/>
      <c r="IM15" s="501"/>
      <c r="IN15" s="501"/>
      <c r="IO15" s="501"/>
      <c r="IP15" s="501"/>
      <c r="IQ15" s="501"/>
      <c r="IR15" s="501"/>
      <c r="IS15" s="501"/>
      <c r="IT15" s="501"/>
      <c r="IU15" s="501"/>
      <c r="IV15" s="501"/>
      <c r="IW15" s="501"/>
      <c r="IX15" s="501"/>
      <c r="IY15" s="501"/>
      <c r="IZ15" s="501"/>
      <c r="JA15" s="501"/>
      <c r="JB15" s="501"/>
      <c r="JC15" s="501"/>
      <c r="JD15" s="501"/>
      <c r="JE15" s="501"/>
      <c r="JF15" s="501"/>
      <c r="JG15" s="501"/>
      <c r="JH15" s="501"/>
      <c r="JI15" s="501"/>
      <c r="JJ15" s="501"/>
      <c r="JK15" s="501"/>
      <c r="JL15" s="501"/>
      <c r="JM15" s="501"/>
      <c r="JN15" s="501"/>
      <c r="JO15" s="501"/>
      <c r="JP15" s="501"/>
      <c r="JQ15" s="501"/>
      <c r="JR15" s="501"/>
      <c r="JS15" s="501"/>
      <c r="JT15" s="501"/>
      <c r="JU15" s="501"/>
      <c r="JV15" s="501"/>
      <c r="JW15" s="501"/>
      <c r="JX15" s="501"/>
      <c r="JY15" s="501"/>
      <c r="JZ15" s="501"/>
      <c r="KA15" s="501"/>
      <c r="KB15" s="501"/>
      <c r="KC15" s="501"/>
      <c r="KD15" s="501"/>
      <c r="KE15" s="501"/>
      <c r="KF15" s="501"/>
      <c r="KG15" s="501"/>
      <c r="KH15" s="501"/>
      <c r="KI15" s="501"/>
      <c r="KJ15" s="501"/>
      <c r="KK15" s="501"/>
      <c r="KL15" s="501"/>
      <c r="KM15" s="501"/>
      <c r="KN15" s="501"/>
      <c r="KO15" s="501"/>
      <c r="KP15" s="501"/>
      <c r="KQ15" s="501"/>
      <c r="KR15" s="501"/>
      <c r="KS15" s="501"/>
      <c r="KT15" s="501"/>
      <c r="KU15" s="501"/>
      <c r="KV15" s="501"/>
      <c r="KW15" s="501"/>
      <c r="KX15" s="501"/>
      <c r="KY15" s="501"/>
      <c r="KZ15" s="501"/>
      <c r="LA15" s="501"/>
      <c r="LB15" s="501"/>
      <c r="LC15" s="501"/>
      <c r="LD15" s="501"/>
      <c r="LE15" s="501"/>
      <c r="LF15" s="501"/>
      <c r="LG15" s="501"/>
      <c r="LH15" s="501"/>
      <c r="LI15" s="501"/>
      <c r="LJ15" s="501"/>
      <c r="LK15" s="501"/>
      <c r="LL15" s="501"/>
      <c r="LM15" s="501"/>
      <c r="LN15" s="501"/>
      <c r="LO15" s="501"/>
      <c r="LP15" s="501"/>
      <c r="LQ15" s="501"/>
      <c r="LR15" s="501"/>
      <c r="LS15" s="501"/>
      <c r="LT15" s="501"/>
      <c r="LU15" s="501"/>
      <c r="LV15" s="501"/>
      <c r="LW15" s="501"/>
      <c r="LX15" s="501"/>
      <c r="LY15" s="501"/>
      <c r="LZ15" s="501"/>
      <c r="MA15" s="501"/>
      <c r="MB15" s="501"/>
      <c r="MC15" s="501"/>
      <c r="MD15" s="501"/>
      <c r="ME15" s="501"/>
      <c r="MF15" s="501"/>
      <c r="MG15" s="501"/>
      <c r="MH15" s="501"/>
      <c r="MI15" s="501"/>
      <c r="MJ15" s="501"/>
      <c r="MK15" s="501"/>
      <c r="ML15" s="501"/>
      <c r="MM15" s="501"/>
      <c r="MN15" s="501"/>
      <c r="MO15" s="501"/>
      <c r="MP15" s="501"/>
      <c r="MQ15" s="501"/>
      <c r="MR15" s="501"/>
      <c r="MS15" s="501"/>
      <c r="MT15" s="501"/>
      <c r="MU15" s="501"/>
      <c r="MV15" s="501"/>
      <c r="MW15" s="501"/>
      <c r="MX15" s="501"/>
      <c r="MY15" s="501"/>
      <c r="MZ15" s="501"/>
      <c r="NA15" s="501"/>
      <c r="NB15" s="501"/>
      <c r="NC15" s="501"/>
      <c r="ND15" s="501"/>
      <c r="NE15" s="501"/>
      <c r="NF15" s="501"/>
      <c r="NG15" s="501"/>
      <c r="NH15" s="501"/>
      <c r="NI15" s="501"/>
      <c r="NJ15" s="501"/>
      <c r="NK15" s="501"/>
      <c r="NL15" s="501"/>
      <c r="NM15" s="501"/>
      <c r="NN15" s="501"/>
      <c r="NO15" s="501"/>
      <c r="NP15" s="501"/>
      <c r="NQ15" s="501"/>
      <c r="NR15" s="501"/>
      <c r="NS15" s="501"/>
      <c r="NT15" s="501"/>
      <c r="NU15" s="501"/>
      <c r="NV15" s="501"/>
      <c r="NW15" s="501"/>
      <c r="NX15" s="501"/>
      <c r="NY15" s="501"/>
      <c r="NZ15" s="501"/>
      <c r="OA15" s="501"/>
      <c r="OB15" s="501"/>
      <c r="OC15" s="501"/>
      <c r="OD15" s="501"/>
      <c r="OE15" s="501"/>
      <c r="OF15" s="501"/>
      <c r="OG15" s="501"/>
      <c r="OH15" s="501"/>
      <c r="OI15" s="501"/>
      <c r="OJ15" s="501"/>
      <c r="OK15" s="501"/>
      <c r="OL15" s="501"/>
      <c r="OM15" s="501"/>
      <c r="ON15" s="501"/>
      <c r="OO15" s="501"/>
      <c r="OP15" s="501"/>
      <c r="OQ15" s="501"/>
      <c r="OR15" s="501"/>
      <c r="OS15" s="501"/>
      <c r="OT15" s="501"/>
      <c r="OU15" s="501"/>
      <c r="OV15" s="501"/>
      <c r="OW15" s="501"/>
      <c r="OX15" s="501"/>
      <c r="OY15" s="501"/>
      <c r="OZ15" s="501"/>
      <c r="PA15" s="501"/>
      <c r="PB15" s="501"/>
      <c r="PC15" s="501"/>
      <c r="PD15" s="501"/>
      <c r="PE15" s="501"/>
      <c r="PF15" s="501"/>
      <c r="PG15" s="501"/>
      <c r="PH15" s="501"/>
      <c r="PI15" s="501"/>
      <c r="PJ15" s="501"/>
      <c r="PK15" s="501"/>
      <c r="PL15" s="501"/>
      <c r="PM15" s="501"/>
      <c r="PN15" s="501"/>
      <c r="PO15" s="501"/>
      <c r="PP15" s="501"/>
      <c r="PQ15" s="501"/>
      <c r="PR15" s="501"/>
      <c r="PS15" s="501"/>
      <c r="PT15" s="501"/>
      <c r="PU15" s="501"/>
      <c r="PV15" s="501"/>
      <c r="PW15" s="501"/>
      <c r="PX15" s="501"/>
      <c r="PY15" s="501"/>
      <c r="PZ15" s="501"/>
      <c r="QA15" s="501"/>
      <c r="QB15" s="501"/>
      <c r="QC15" s="501"/>
      <c r="QD15" s="501"/>
      <c r="QE15" s="501"/>
      <c r="RR15" s="502"/>
      <c r="RS15" s="64"/>
      <c r="RT15" s="64"/>
      <c r="RU15" s="64"/>
      <c r="RV15" s="64"/>
      <c r="RW15" s="1"/>
      <c r="RX15" s="1"/>
      <c r="RY15" s="1"/>
      <c r="RZ15" s="1"/>
      <c r="SA15" s="1"/>
      <c r="SB15" s="503"/>
      <c r="SC15" s="504"/>
      <c r="SD15" s="505"/>
      <c r="SE15" s="505"/>
      <c r="SF15" s="506"/>
      <c r="SG15" s="506"/>
      <c r="SH15" s="506"/>
      <c r="SI15" s="506"/>
      <c r="SJ15" s="506"/>
      <c r="SK15" s="506"/>
      <c r="SL15" s="506"/>
      <c r="SM15" s="506"/>
      <c r="SN15" s="506"/>
      <c r="SO15" s="506"/>
      <c r="SP15" s="506"/>
      <c r="SQ15" s="506"/>
      <c r="SR15" s="506"/>
      <c r="SS15" s="506"/>
      <c r="ST15" s="506"/>
      <c r="SU15" s="506"/>
      <c r="SV15" s="506"/>
      <c r="SW15" s="506"/>
      <c r="SX15" s="506"/>
      <c r="SY15" s="506"/>
      <c r="SZ15" s="506"/>
      <c r="TA15" s="506"/>
      <c r="TB15" s="506"/>
      <c r="TC15" s="506"/>
      <c r="TD15" s="506"/>
      <c r="TE15" s="506"/>
      <c r="TF15" s="506"/>
      <c r="TG15" s="506"/>
      <c r="TH15" s="506"/>
      <c r="TI15" s="506"/>
      <c r="TJ15" s="506"/>
      <c r="TK15" s="506"/>
      <c r="TL15" s="506"/>
      <c r="TM15" s="506"/>
      <c r="TN15" s="506"/>
      <c r="TO15" s="506"/>
      <c r="TP15" s="522"/>
      <c r="TQ15" s="522"/>
      <c r="TR15" s="507"/>
    </row>
    <row r="16" spans="1:538" ht="53.25" hidden="1" customHeight="1" x14ac:dyDescent="0.3">
      <c r="A16" s="451"/>
      <c r="B16" s="28"/>
      <c r="C16" s="28"/>
      <c r="D16" s="508"/>
      <c r="E16" s="508"/>
      <c r="F16" s="452"/>
      <c r="G16" s="476"/>
      <c r="H16" s="477"/>
      <c r="J16" s="478"/>
      <c r="K16" s="478"/>
      <c r="L16" s="479"/>
      <c r="M16" s="477"/>
      <c r="N16" s="1200"/>
      <c r="O16" s="1200"/>
      <c r="P16" s="1200"/>
      <c r="Q16" s="1200"/>
      <c r="R16" s="1200"/>
      <c r="S16" s="1200"/>
      <c r="T16" s="467"/>
      <c r="U16" s="56"/>
      <c r="V16" s="28"/>
      <c r="W16" s="509"/>
      <c r="Y16" s="509"/>
      <c r="BL16" s="509"/>
      <c r="BM16" s="1195">
        <f t="shared" si="0"/>
        <v>0</v>
      </c>
      <c r="BN16" s="1195"/>
      <c r="BO16" s="1195"/>
      <c r="BP16" s="1224"/>
      <c r="BQ16" s="510"/>
      <c r="BR16" s="511"/>
      <c r="BS16" s="471"/>
      <c r="BZ16" s="512"/>
      <c r="CA16" s="490"/>
      <c r="CB16" s="491"/>
      <c r="CC16" s="513"/>
      <c r="CD16" s="493"/>
      <c r="CE16" s="494"/>
      <c r="CF16" s="494"/>
      <c r="CG16" s="494"/>
      <c r="CH16" s="514"/>
      <c r="CI16" s="514"/>
      <c r="CJ16" s="514"/>
      <c r="CK16" s="514"/>
      <c r="CL16" s="514"/>
      <c r="CM16" s="515"/>
      <c r="CN16" s="495"/>
      <c r="CO16" s="496"/>
      <c r="CP16" s="497"/>
      <c r="CQ16" s="498"/>
      <c r="CR16" s="516"/>
      <c r="CS16" s="517"/>
      <c r="CT16" s="518"/>
      <c r="CU16" s="464"/>
      <c r="CV16" s="28"/>
      <c r="DA16" s="477"/>
      <c r="DB16" s="477"/>
      <c r="DC16" s="519"/>
      <c r="DD16" s="519"/>
      <c r="DE16" s="519"/>
      <c r="DF16" s="519"/>
      <c r="DG16" s="519"/>
      <c r="DH16" s="519"/>
      <c r="DI16" s="519"/>
      <c r="DJ16" s="519"/>
      <c r="DK16" s="519"/>
      <c r="DL16" s="519"/>
      <c r="DM16" s="519"/>
      <c r="DN16" s="519"/>
      <c r="DO16" s="519"/>
      <c r="DP16" s="519"/>
      <c r="DQ16" s="519"/>
      <c r="DR16" s="519"/>
      <c r="DS16" s="519"/>
      <c r="DT16" s="519"/>
      <c r="DU16" s="519"/>
      <c r="DV16" s="519"/>
      <c r="DW16" s="519"/>
      <c r="DX16" s="519"/>
      <c r="DY16" s="519"/>
      <c r="DZ16" s="519"/>
      <c r="EA16" s="519"/>
      <c r="EB16" s="519"/>
      <c r="EC16" s="519"/>
      <c r="ED16" s="519"/>
      <c r="EE16" s="519"/>
      <c r="EF16" s="519"/>
      <c r="EG16" s="477"/>
      <c r="EH16" s="520"/>
      <c r="EI16" s="520"/>
      <c r="EJ16" s="520"/>
      <c r="EK16" s="520"/>
      <c r="EL16" s="520"/>
      <c r="EM16" s="520"/>
      <c r="EN16" s="520"/>
      <c r="EO16" s="520"/>
      <c r="EP16" s="520"/>
      <c r="EQ16" s="520"/>
      <c r="ER16" s="520"/>
      <c r="ES16" s="520"/>
      <c r="ET16" s="520"/>
      <c r="EU16" s="520"/>
      <c r="EV16" s="520"/>
      <c r="EW16" s="520"/>
      <c r="EX16" s="520"/>
      <c r="EY16" s="520"/>
      <c r="EZ16" s="520"/>
      <c r="FA16" s="520"/>
      <c r="FB16" s="520"/>
      <c r="FC16" s="520"/>
      <c r="FD16" s="520"/>
      <c r="FE16" s="520"/>
      <c r="FF16" s="520"/>
      <c r="FG16" s="520"/>
      <c r="FH16" s="520"/>
      <c r="FI16" s="520"/>
      <c r="FJ16" s="520"/>
      <c r="FK16" s="520"/>
      <c r="FL16" s="477"/>
      <c r="FM16" s="519"/>
      <c r="FN16" s="519"/>
      <c r="FO16" s="519"/>
      <c r="FP16" s="519"/>
      <c r="FQ16" s="519"/>
      <c r="FR16" s="519"/>
      <c r="FS16" s="519"/>
      <c r="FT16" s="519"/>
      <c r="FU16" s="519"/>
      <c r="FV16" s="519"/>
      <c r="FW16" s="519"/>
      <c r="FX16" s="519"/>
      <c r="FY16" s="519"/>
      <c r="FZ16" s="519"/>
      <c r="GA16" s="519"/>
      <c r="GB16" s="519"/>
      <c r="GC16" s="519"/>
      <c r="GD16" s="519"/>
      <c r="GE16" s="519"/>
      <c r="GF16" s="519"/>
      <c r="GG16" s="519"/>
      <c r="GH16" s="519"/>
      <c r="GI16" s="519"/>
      <c r="GJ16" s="519"/>
      <c r="GK16" s="519"/>
      <c r="GL16" s="519"/>
      <c r="GM16" s="519"/>
      <c r="GN16" s="519"/>
      <c r="GO16" s="519"/>
      <c r="GP16" s="519"/>
      <c r="GQ16" s="477"/>
      <c r="GR16" s="520"/>
      <c r="GS16" s="520"/>
      <c r="GT16" s="520"/>
      <c r="GU16" s="520"/>
      <c r="GV16" s="520"/>
      <c r="GW16" s="520"/>
      <c r="GX16" s="520"/>
      <c r="GY16" s="520"/>
      <c r="GZ16" s="520"/>
      <c r="HA16" s="520"/>
      <c r="HB16" s="520"/>
      <c r="HC16" s="520"/>
      <c r="HD16" s="520"/>
      <c r="HE16" s="520"/>
      <c r="HF16" s="520"/>
      <c r="HG16" s="520"/>
      <c r="HH16" s="520"/>
      <c r="HI16" s="520"/>
      <c r="HJ16" s="520"/>
      <c r="HK16" s="520"/>
      <c r="HL16" s="520"/>
      <c r="HM16" s="520"/>
      <c r="HN16" s="520"/>
      <c r="HO16" s="520"/>
      <c r="HP16" s="520"/>
      <c r="HQ16" s="520"/>
      <c r="HR16" s="520"/>
      <c r="HS16" s="520"/>
      <c r="HT16" s="520"/>
      <c r="HU16" s="520"/>
      <c r="HV16" s="521"/>
      <c r="HW16" s="500"/>
      <c r="HX16" s="501"/>
      <c r="HY16" s="501"/>
      <c r="HZ16" s="501"/>
      <c r="IA16" s="501"/>
      <c r="IB16" s="501"/>
      <c r="IC16" s="501"/>
      <c r="ID16" s="501"/>
      <c r="IE16" s="501"/>
      <c r="IF16" s="501"/>
      <c r="IG16" s="501"/>
      <c r="IH16" s="501"/>
      <c r="II16" s="501"/>
      <c r="IJ16" s="501"/>
      <c r="IK16" s="501"/>
      <c r="IL16" s="501"/>
      <c r="IM16" s="501"/>
      <c r="IN16" s="501"/>
      <c r="IO16" s="501"/>
      <c r="IP16" s="501"/>
      <c r="IQ16" s="501"/>
      <c r="IR16" s="501"/>
      <c r="IS16" s="501"/>
      <c r="IT16" s="501"/>
      <c r="IU16" s="501"/>
      <c r="IV16" s="501"/>
      <c r="IW16" s="501"/>
      <c r="IX16" s="501"/>
      <c r="IY16" s="501"/>
      <c r="IZ16" s="501"/>
      <c r="JA16" s="501"/>
      <c r="JB16" s="501"/>
      <c r="JC16" s="501"/>
      <c r="JD16" s="501"/>
      <c r="JE16" s="501"/>
      <c r="JF16" s="501"/>
      <c r="JG16" s="501"/>
      <c r="JH16" s="501"/>
      <c r="JI16" s="501"/>
      <c r="JJ16" s="501"/>
      <c r="JK16" s="501"/>
      <c r="JL16" s="501"/>
      <c r="JM16" s="501"/>
      <c r="JN16" s="501"/>
      <c r="JO16" s="501"/>
      <c r="JP16" s="501"/>
      <c r="JQ16" s="501"/>
      <c r="JR16" s="501"/>
      <c r="JS16" s="501"/>
      <c r="JT16" s="501"/>
      <c r="JU16" s="501"/>
      <c r="JV16" s="501"/>
      <c r="JW16" s="501"/>
      <c r="JX16" s="501"/>
      <c r="JY16" s="501"/>
      <c r="JZ16" s="501"/>
      <c r="KA16" s="501"/>
      <c r="KB16" s="501"/>
      <c r="KC16" s="501"/>
      <c r="KD16" s="501"/>
      <c r="KE16" s="501"/>
      <c r="KF16" s="501"/>
      <c r="KG16" s="501"/>
      <c r="KH16" s="501"/>
      <c r="KI16" s="501"/>
      <c r="KJ16" s="501"/>
      <c r="KK16" s="501"/>
      <c r="KL16" s="501"/>
      <c r="KM16" s="501"/>
      <c r="KN16" s="501"/>
      <c r="KO16" s="501"/>
      <c r="KP16" s="501"/>
      <c r="KQ16" s="501"/>
      <c r="KR16" s="501"/>
      <c r="KS16" s="501"/>
      <c r="KT16" s="501"/>
      <c r="KU16" s="501"/>
      <c r="KV16" s="501"/>
      <c r="KW16" s="501"/>
      <c r="KX16" s="501"/>
      <c r="KY16" s="501"/>
      <c r="KZ16" s="501"/>
      <c r="LA16" s="501"/>
      <c r="LB16" s="501"/>
      <c r="LC16" s="501"/>
      <c r="LD16" s="501"/>
      <c r="LE16" s="501"/>
      <c r="LF16" s="501"/>
      <c r="LG16" s="501"/>
      <c r="LH16" s="501"/>
      <c r="LI16" s="501"/>
      <c r="LJ16" s="501"/>
      <c r="LK16" s="501"/>
      <c r="LL16" s="501"/>
      <c r="LM16" s="501"/>
      <c r="LN16" s="501"/>
      <c r="LO16" s="501"/>
      <c r="LP16" s="501"/>
      <c r="LQ16" s="501"/>
      <c r="LR16" s="501"/>
      <c r="LS16" s="501"/>
      <c r="LT16" s="501"/>
      <c r="LU16" s="501"/>
      <c r="LV16" s="501"/>
      <c r="LW16" s="501"/>
      <c r="LX16" s="501"/>
      <c r="LY16" s="501"/>
      <c r="LZ16" s="501"/>
      <c r="MA16" s="501"/>
      <c r="MB16" s="501"/>
      <c r="MC16" s="501"/>
      <c r="MD16" s="501"/>
      <c r="ME16" s="501"/>
      <c r="MF16" s="501"/>
      <c r="MG16" s="501"/>
      <c r="MH16" s="501"/>
      <c r="MI16" s="501"/>
      <c r="MJ16" s="501"/>
      <c r="MK16" s="501"/>
      <c r="ML16" s="501"/>
      <c r="MM16" s="501"/>
      <c r="MN16" s="501"/>
      <c r="MO16" s="501"/>
      <c r="MP16" s="501"/>
      <c r="MQ16" s="501"/>
      <c r="MR16" s="501"/>
      <c r="MS16" s="501"/>
      <c r="MT16" s="501"/>
      <c r="MU16" s="501"/>
      <c r="MV16" s="501"/>
      <c r="MW16" s="501"/>
      <c r="MX16" s="501"/>
      <c r="MY16" s="501"/>
      <c r="MZ16" s="501"/>
      <c r="NA16" s="501"/>
      <c r="NB16" s="501"/>
      <c r="NC16" s="501"/>
      <c r="ND16" s="501"/>
      <c r="NE16" s="501"/>
      <c r="NF16" s="501"/>
      <c r="NG16" s="501"/>
      <c r="NH16" s="501"/>
      <c r="NI16" s="501"/>
      <c r="NJ16" s="501"/>
      <c r="NK16" s="501"/>
      <c r="NL16" s="501"/>
      <c r="NM16" s="501"/>
      <c r="NN16" s="501"/>
      <c r="NO16" s="501"/>
      <c r="NP16" s="501"/>
      <c r="NQ16" s="501"/>
      <c r="NR16" s="501"/>
      <c r="NS16" s="501"/>
      <c r="NT16" s="501"/>
      <c r="NU16" s="501"/>
      <c r="NV16" s="501"/>
      <c r="NW16" s="501"/>
      <c r="NX16" s="501"/>
      <c r="NY16" s="501"/>
      <c r="NZ16" s="501"/>
      <c r="OA16" s="501"/>
      <c r="OB16" s="501"/>
      <c r="OC16" s="501"/>
      <c r="OD16" s="501"/>
      <c r="OE16" s="501"/>
      <c r="OF16" s="501"/>
      <c r="OG16" s="501"/>
      <c r="OH16" s="501"/>
      <c r="OI16" s="501"/>
      <c r="OJ16" s="501"/>
      <c r="OK16" s="501"/>
      <c r="OL16" s="501"/>
      <c r="OM16" s="501"/>
      <c r="ON16" s="501"/>
      <c r="OO16" s="501"/>
      <c r="OP16" s="501"/>
      <c r="OQ16" s="501"/>
      <c r="OR16" s="501"/>
      <c r="OS16" s="501"/>
      <c r="OT16" s="501"/>
      <c r="OU16" s="501"/>
      <c r="OV16" s="501"/>
      <c r="OW16" s="501"/>
      <c r="OX16" s="501"/>
      <c r="OY16" s="501"/>
      <c r="OZ16" s="501"/>
      <c r="PA16" s="501"/>
      <c r="PB16" s="501"/>
      <c r="PC16" s="501"/>
      <c r="PD16" s="501"/>
      <c r="PE16" s="501"/>
      <c r="PF16" s="501"/>
      <c r="PG16" s="501"/>
      <c r="PH16" s="501"/>
      <c r="PI16" s="501"/>
      <c r="PJ16" s="501"/>
      <c r="PK16" s="501"/>
      <c r="PL16" s="501"/>
      <c r="PM16" s="501"/>
      <c r="PN16" s="501"/>
      <c r="PO16" s="501"/>
      <c r="PP16" s="501"/>
      <c r="PQ16" s="501"/>
      <c r="PR16" s="501"/>
      <c r="PS16" s="501"/>
      <c r="PT16" s="501"/>
      <c r="PU16" s="501"/>
      <c r="PV16" s="501"/>
      <c r="PW16" s="501"/>
      <c r="PX16" s="501"/>
      <c r="PY16" s="501"/>
      <c r="PZ16" s="501"/>
      <c r="QA16" s="501"/>
      <c r="QB16" s="501"/>
      <c r="QC16" s="501"/>
      <c r="QD16" s="501"/>
      <c r="QE16" s="501"/>
      <c r="RR16" s="502"/>
      <c r="RS16" s="64"/>
      <c r="RT16" s="64"/>
      <c r="RU16" s="64"/>
      <c r="RV16" s="64"/>
      <c r="RW16" s="1"/>
      <c r="RX16" s="1"/>
      <c r="RY16" s="1"/>
      <c r="RZ16" s="1"/>
      <c r="SA16" s="1"/>
      <c r="SB16" s="503"/>
      <c r="SC16" s="504"/>
      <c r="SD16" s="505"/>
      <c r="SE16" s="505"/>
      <c r="SF16" s="506"/>
      <c r="SG16" s="506"/>
      <c r="SH16" s="506"/>
      <c r="SI16" s="506"/>
      <c r="SJ16" s="506"/>
      <c r="SK16" s="506"/>
      <c r="SL16" s="506"/>
      <c r="SM16" s="506"/>
      <c r="SN16" s="506"/>
      <c r="SO16" s="506"/>
      <c r="SP16" s="506"/>
      <c r="SQ16" s="506"/>
      <c r="SR16" s="506"/>
      <c r="SS16" s="506"/>
      <c r="ST16" s="506"/>
      <c r="SU16" s="506"/>
      <c r="SV16" s="506"/>
      <c r="SW16" s="506"/>
      <c r="SX16" s="506"/>
      <c r="SY16" s="506"/>
      <c r="SZ16" s="506"/>
      <c r="TA16" s="506"/>
      <c r="TB16" s="506"/>
      <c r="TC16" s="506"/>
      <c r="TD16" s="506"/>
      <c r="TE16" s="506"/>
      <c r="TF16" s="506"/>
      <c r="TG16" s="506"/>
      <c r="TH16" s="506"/>
      <c r="TI16" s="506"/>
      <c r="TJ16" s="506"/>
      <c r="TK16" s="506"/>
      <c r="TL16" s="506"/>
      <c r="TM16" s="506"/>
      <c r="TN16" s="506"/>
      <c r="TO16" s="506"/>
      <c r="TP16" s="522"/>
      <c r="TQ16" s="522"/>
      <c r="TR16" s="507"/>
    </row>
    <row r="17" spans="1:538" ht="30" customHeight="1" x14ac:dyDescent="0.25">
      <c r="A17" s="451" t="str">
        <f t="shared" ref="A17:A26" si="1">CW17</f>
        <v>HARINGEY AQUATICS</v>
      </c>
      <c r="B17" s="523">
        <f>IF('Gala Setup'!$N4=0,"O",'Gala Setup'!$N4)</f>
        <v>1</v>
      </c>
      <c r="C17" s="524" t="str">
        <f>'Gala Setup'!P4</f>
        <v>HARINGEY AQUATICS</v>
      </c>
      <c r="D17" s="525"/>
      <c r="E17" s="526"/>
      <c r="F17" s="452"/>
      <c r="G17" s="527" t="str">
        <f>IF($CG$17="1st",CC$17,IF($CG$18="1st",CC$18,IF($CG$19="1st",CC$19,IF($CG$20="1st",CC$20,IF($CG$21="1st",CC$21,IF($CG$22="1st",CC$22,IF($CG$23="1st",CC$23,IF($CG$24="1st",CC$24,IF($CQ$25="1st",CC$25,IF($CG$26="1st",CC$26,"More results required for accuracy"))))))))))</f>
        <v>BRAINTREE &amp; BOCKING</v>
      </c>
      <c r="H17" s="528" t="str">
        <f>IF(C17=0,0,"1st")</f>
        <v>1st</v>
      </c>
      <c r="I17" s="528" t="e">
        <f>IF($CG$17="1st",CE$17,IF($CG$18="1st",CE$18,IF($CG$19="1st",CE$19,IF($CG$20="1st",CE$20,IF($CG$21="1st",CE$21,IF($CG$22="1st",CE$22,IF($CG$23="1st",CE$23,IF($CG$24="1st",CE$24,IF($CQ$25="1st",CE$25,IF($CG$26="1st",CE$26))))))))))</f>
        <v>#REF!</v>
      </c>
      <c r="J17" s="529" t="e">
        <f t="shared" ref="J17:J22" si="2">IF(B$4=0,I17,IF(B$4&gt;0,I17))</f>
        <v>#REF!</v>
      </c>
      <c r="K17" s="528" t="e">
        <f t="shared" ref="K17:K26" si="3">J17</f>
        <v>#REF!</v>
      </c>
      <c r="L17" s="530"/>
      <c r="M17" s="530">
        <f>IF($CG$17="1st",CF$17,IF($CG$18="1st",CF$18,IF($CG$19="1st",CF$19,IF($CG$20="1st",CF$20,IF($CG$21="1st",CF$21,IF($CG$22="1st",CF$22,IF($CG$23="1st",CF$23,IF($CG$24="1st",CF$24,IF($CQ$25="1st",CF$25,IF($CG$26="1st",CF$26))))))))))</f>
        <v>252</v>
      </c>
      <c r="N17" s="1200"/>
      <c r="O17" s="1200"/>
      <c r="P17" s="1200"/>
      <c r="Q17" s="1200"/>
      <c r="R17" s="1200"/>
      <c r="S17" s="1200"/>
      <c r="T17" s="467"/>
      <c r="U17" s="531" t="str">
        <f>IF(C17=0,0,"1st")</f>
        <v>1st</v>
      </c>
      <c r="V17" s="532">
        <f>IF(C17=G17,E17,IF(C18=G17,E18,IF(C19=G17,E19,IF(C20=G17,E20,IF(C21=G17,E21,IF(C22=G17,E22,IF(C23=G17,E23,IF(C24=G17,E24,IF(C25=G17,E25,IF(C26=G17,E26))))))))))</f>
        <v>0</v>
      </c>
      <c r="W17" s="533"/>
      <c r="X17" s="534">
        <f>IF(C17=0,0,IF($CQ$17="1st",CO$17,IF($CQ$18="1st",CO$18,IF($CQ$19="1st",CO$19,IF($CQ$20="1st",CO$20,IF($CQ$21="1st",CO$21,IF($CQ$22="1st",CO$22,IF($CQ$23="1st",CO$23,IF($CQ$24="1st",CO$24,IF($CQ$25="1st",CO$25,IF($CQ$26="1st",CO$26)))))))))))+D4</f>
        <v>0</v>
      </c>
      <c r="Y17" s="533"/>
      <c r="Z17" s="535">
        <f t="shared" ref="Z17:Z26" si="4">IF(C17=0,0,X17)</f>
        <v>0</v>
      </c>
      <c r="AA17" s="536" t="b">
        <f>IF(C17=0,0,IF($CQ$17="1st",CP$17,IF($CQ$18="1st",CP$18,IF($CQ$19="1st",CP$19,IF($CQ$20="1st",CP$20,IF($CQ$21="1st",CP$21,IF($CQ$22="1st",CP$22,IF($CQ$23="1st",CP$23,IF($CQ$24="1st",CP$24,IF($CQ$25="1st",CP$25,IF($CQ$26="1st",CP$26)))))))))))</f>
        <v>0</v>
      </c>
      <c r="AB17" s="537" t="e">
        <f t="shared" ref="AB17:AB26" si="5">IF(RC17=0,0,RANK(RC17,RC$17:RC$26))</f>
        <v>#REF!</v>
      </c>
      <c r="AC17" s="537" t="e">
        <f t="shared" ref="AC17:AC26" si="6">IF(AB17=1,RD17,0)</f>
        <v>#REF!</v>
      </c>
      <c r="AD17" s="538" t="e">
        <f t="shared" ref="AD17:AD26" si="7">IF(AB17=1,RANK(AC17,AC$17:AC$26))</f>
        <v>#REF!</v>
      </c>
      <c r="AE17" s="537" t="e">
        <f t="shared" ref="AE17:AE26" si="8">IF(AD17=1,1,IF(AD17=2,2,IF(AD17=3,3,IF(AD17=4,4,IF(AD17=5,5,IF(AD17=6,6,IF(AD17=7,7,IF(AD17=8,8,IF(AD17=9,9,IF(AD17=10,0,0))))))))))</f>
        <v>#REF!</v>
      </c>
      <c r="AF17" s="537" t="e">
        <f t="shared" ref="AF17:AF26" si="9">IF(AB17=2,RD17,0)</f>
        <v>#REF!</v>
      </c>
      <c r="AG17" s="538" t="e">
        <f t="shared" ref="AG17:AG26" si="10">IF(AB17=2,RANK(AF17,AF$17:AF$26))</f>
        <v>#REF!</v>
      </c>
      <c r="AH17" s="537" t="e">
        <f t="shared" ref="AH17:AH26" si="11">IF(AG17=1,2,IF(AG17=2,3,IF(AG17=3,4,IF(AG17=4,5,IF(AG17=5,6,IF(AG17=6,7,IF(AG17=7,8,IF(AG17=8,9,IF(AG17=9,10,0)))))))))</f>
        <v>#REF!</v>
      </c>
      <c r="AI17" s="537" t="e">
        <f t="shared" ref="AI17:AI26" si="12">IF(AB17=3,RD17,0)</f>
        <v>#REF!</v>
      </c>
      <c r="AJ17" s="538" t="e">
        <f t="shared" ref="AJ17:AJ26" si="13">IF(AB17=3,RANK(AI17,AI$17:AI$26))</f>
        <v>#REF!</v>
      </c>
      <c r="AK17" s="537" t="e">
        <f t="shared" ref="AK17:AK26" si="14">IF(AJ17=1,3,IF(AJ17=2,4,IF(AJ17=3,5,IF(AJ17=4,6,IF(AJ17=5,7,IF(AJ17=6,8,IF(AJ17=7,9,IF(AJ17=8,10,0))))))))</f>
        <v>#REF!</v>
      </c>
      <c r="AL17" s="537" t="e">
        <f t="shared" ref="AL17:AL26" si="15">IF($AB17=4,$RD17,0)</f>
        <v>#REF!</v>
      </c>
      <c r="AM17" s="538" t="e">
        <f t="shared" ref="AM17:AM26" si="16">IF($AB17=4,RANK(AL17,AL$17:AL$26))</f>
        <v>#REF!</v>
      </c>
      <c r="AN17" s="537" t="e">
        <f t="shared" ref="AN17:AN26" si="17">IF(AM17=1,4,IF(AM17=2,5,IF(AM17=3,6,IF(AM17=4,7,IF(AM17=5,8,IF(AM17=6,9,IF(AM17=7,10,0)))))))</f>
        <v>#REF!</v>
      </c>
      <c r="AO17" s="537" t="e">
        <f t="shared" ref="AO17:AO26" si="18">IF($AB17=5,$RD17,0)</f>
        <v>#REF!</v>
      </c>
      <c r="AP17" s="538" t="e">
        <f t="shared" ref="AP17:AP26" si="19">IF($AB17=5,RANK(AO17,AO$17:AO$26))</f>
        <v>#REF!</v>
      </c>
      <c r="AQ17" s="537" t="e">
        <f t="shared" ref="AQ17:AQ26" si="20">IF(AP17=1,5,IF(AP17=2,6,IF(AP17=3,7,IF(AP17=4,8,IF(AP17=5,9,IF(AP17=6,10,0))))))</f>
        <v>#REF!</v>
      </c>
      <c r="AR17" s="537" t="e">
        <f t="shared" ref="AR17:AR26" si="21">IF($AB17=6,$RD17,0)</f>
        <v>#REF!</v>
      </c>
      <c r="AS17" s="538" t="e">
        <f t="shared" ref="AS17:AS26" si="22">IF($AB17=6,RANK(AR17,AR$17:AR$26))</f>
        <v>#REF!</v>
      </c>
      <c r="AT17" s="537" t="e">
        <f t="shared" ref="AT17:AT26" si="23">IF(AS17=1,6,IF(AS17=2,7,IF(AS17=3,8,IF(AS17=4,9,IF(AS17=5,10,0)))))</f>
        <v>#REF!</v>
      </c>
      <c r="AU17" s="537" t="e">
        <f t="shared" ref="AU17:AU26" si="24">IF($AB17=7,$RD17,0)</f>
        <v>#REF!</v>
      </c>
      <c r="AV17" s="538" t="e">
        <f t="shared" ref="AV17:AV26" si="25">IF($AB17=7,RANK(AU17,AU$17:AU$26))</f>
        <v>#REF!</v>
      </c>
      <c r="AW17" s="537" t="e">
        <f t="shared" ref="AW17:AW26" si="26">IF(AV17=1,7,IF(AV17=2,8,IF(AV17=3,9,IF(AV17=4,10,0))))</f>
        <v>#REF!</v>
      </c>
      <c r="AX17" s="537" t="e">
        <f t="shared" ref="AX17:AX26" si="27">IF($AB17=8,$RD17,0)</f>
        <v>#REF!</v>
      </c>
      <c r="AY17" s="538" t="e">
        <f t="shared" ref="AY17:AY26" si="28">IF($AB17=8,RANK(AX17,AX$17:AX$26))</f>
        <v>#REF!</v>
      </c>
      <c r="AZ17" s="537" t="e">
        <f t="shared" ref="AZ17:AZ26" si="29">IF(AY17=1,8,IF(AY17=2,9,IF(AY17=3,10,0)))</f>
        <v>#REF!</v>
      </c>
      <c r="BA17" s="537" t="e">
        <f t="shared" ref="BA17:BA26" si="30">IF($AB17=9,$RD17,0)</f>
        <v>#REF!</v>
      </c>
      <c r="BB17" s="538" t="e">
        <f t="shared" ref="BB17:BB26" si="31">IF($AB17=9,RANK(BA17,BA$17:BA$26))</f>
        <v>#REF!</v>
      </c>
      <c r="BC17" s="537" t="e">
        <f t="shared" ref="BC17:BC26" si="32">IF(BB17=1,9,IF(BB17=2,10,0))</f>
        <v>#REF!</v>
      </c>
      <c r="BD17" s="537" t="e">
        <f t="shared" ref="BD17:BD26" si="33">IF($AB17=10,$RD17,0)</f>
        <v>#REF!</v>
      </c>
      <c r="BE17" s="538" t="e">
        <f t="shared" ref="BE17:BE26" si="34">IF($AB17=10,RANK(BD17,BD$17:BD$26))</f>
        <v>#REF!</v>
      </c>
      <c r="BF17" s="537" t="e">
        <f t="shared" ref="BF17:BF26" si="35">IF(BE17=1,10,0)</f>
        <v>#REF!</v>
      </c>
      <c r="BG17" s="537">
        <f t="shared" ref="BG17:BG26" si="36">IF(D17=0,0,IF(AE17=1,1,IF(AE17=2,2,IF(AE17=3,3,IF(AE17=4,4,IF(AE17=5,5,IF(AE17=6,6,IF(AE17=7,7,IF(AE17=8,8,IF(AE17=9,9,IF(AE17=10,10,IF(AH17=2,2,IF(AH17=3,3,IF(AH17=4,4,IF(AH17=5,5,IF(AH17=6,6,IF(AH17=7,7,IF(AH17=8,8,IF(AH17=9,9,IF(AH17=10,10,IF(AK17=3,3,IF(AK17=4,4,IF(AK17=5,5,IF(AK17=6,6,IF(AK17=7,7,IF(AK17=8,8,IF(AK17=9,9,IF(AK17=10,10,IF(AN17=4,4,IF(AN17=5,5,IF(AN17=6,6,IF(AN17=7,7,IF(AN17=8,8,IF(AN17=9,9,IF(AN17=10,10,IF(AQ17=5,5,IF(AQ17=6,6,IF(AQ17=7,7,IF(AQ17=8,8,IF(AQ17=9,9,IF(AQ17=10,10,IF(AT17=6,6,IF(AT17=5,5,IF(AT17=7,7,IF(AT17=8,8,IF(AT17=9,9,IF(AT17=10,10,IF(AW17=7,7,IF(AW17=8,8,IF(AW17=9,9,IF(AW17=10,10,IF(AZ17=8,8,IF(AZ17=9,9,IF(AZ17=10,10,IF(BC17=9,9,IF(BC17=10,10,IF(BE17=10,10,(AB17))))))))))))))))))))))))))))))))))))))))))))))))))))))))))</f>
        <v>0</v>
      </c>
      <c r="BH17" s="537">
        <f t="shared" ref="BH17:BH26" si="37">IF(D17=0,0,IF(BG17=1,"1st",IF(BG17=2,"2nd",IF(BG17=3,"3rd",IF(BG17=4,"4th",IF(BG17=5,"5th",IF(BG17=6,"6th",IF(BG17=7,"7th",IF(BG17=8,"8th",IF(BG17=9,"9th",IF(BG17=10,"10th")))))))))))</f>
        <v>0</v>
      </c>
      <c r="BI17" s="1206">
        <f t="shared" ref="BI17:BI26" si="38">IF(BH17=0,0,CW17)</f>
        <v>0</v>
      </c>
      <c r="BJ17" s="1206"/>
      <c r="BK17" s="1206"/>
      <c r="BL17" s="533"/>
      <c r="BM17" s="1180"/>
      <c r="BN17" s="1180"/>
      <c r="BO17" s="1180"/>
      <c r="BP17" s="1224"/>
      <c r="BQ17" s="1207" t="s">
        <v>4605</v>
      </c>
      <c r="BR17" s="456"/>
      <c r="BS17" s="539"/>
      <c r="BW17" s="540">
        <f t="shared" ref="BW17:BW26" si="39">B17</f>
        <v>1</v>
      </c>
      <c r="BX17" s="541">
        <f t="shared" ref="BX17:BX26" si="40">D17</f>
        <v>0</v>
      </c>
      <c r="BY17" s="541">
        <f t="shared" ref="BY17:BY26" si="41">E17</f>
        <v>0</v>
      </c>
      <c r="BZ17" s="542">
        <f>IF($CG$17="1st",BW$17,IF($CG$18="1st",BW$18,IF($CG$19="1st",BW$19,IF($CG$20="1st",BW$20,IF($CG$21="1st",BW$21,IF($CG$22="1st",BW$22,IF($CG$23="1st",BW$23,IF($CG$24="1st",BW$24,IF($CQ$25="1st",BW$25,IF($CG$26="1st",BW$26))))))))))</f>
        <v>5</v>
      </c>
      <c r="CA17" s="253">
        <f>IF($CG$17="1st",BX$17,IF($CG$18="1st",BX$18,IF($CG$19="1st",BX$19,IF($CG$20="1st",BX$20,IF($CG$21="1st",BX$21,IF($CG$22="1st",BX$22,IF($CG$23="1st",BX$23,IF($CG$24="1st",BX$24,IF($CQ$25="1st",BX$25,IF($CG$26="1st",BX$26))))))))))</f>
        <v>0</v>
      </c>
      <c r="CB17" s="253">
        <f>IF($CG$17="1st",BY$17,IF($CG$18="1st",BY$18,IF($CG$19="1st",BY$19,IF($CG$20="1st",BY$20,IF($CG$21="1st",BY$21,IF($CG$22="1st",BY$22,IF($CG$23="1st",BY$23,IF($CG$24="1st",BY$24,IF($CQ$25="1st",BY$25,IF($CG$26="1st",BY$26))))))))))</f>
        <v>0</v>
      </c>
      <c r="CC17" s="543" t="str">
        <f t="shared" ref="CC17:CC26" si="42">CW17</f>
        <v>HARINGEY AQUATICS</v>
      </c>
      <c r="CD17" s="544" t="e">
        <f t="shared" ref="CD17:CD26" si="43">CX17</f>
        <v>#REF!</v>
      </c>
      <c r="CE17" s="541" t="e">
        <f t="shared" ref="CE17:CE26" si="44">CZ17</f>
        <v>#REF!</v>
      </c>
      <c r="CF17" s="541">
        <f t="shared" ref="CF17:CF26" si="45">DA17</f>
        <v>152</v>
      </c>
      <c r="CG17" s="544" t="str">
        <f t="shared" ref="CG17:CG26" si="46">QF17</f>
        <v>7th</v>
      </c>
      <c r="CH17" s="44" t="str">
        <f t="shared" ref="CH17:CH26" si="47">QG17</f>
        <v>1st</v>
      </c>
      <c r="CI17" s="44">
        <f t="shared" ref="CI17:CI26" si="48">QH17</f>
        <v>6</v>
      </c>
      <c r="CJ17" s="44" t="str">
        <f t="shared" ref="CJ17:CJ26" si="49">QI17</f>
        <v>2nd</v>
      </c>
      <c r="CK17" s="44">
        <f t="shared" ref="CK17:CK26" si="50">QJ17</f>
        <v>3</v>
      </c>
      <c r="CL17" s="44" t="str">
        <f t="shared" ref="CL17:CL26" si="51">QK17</f>
        <v>3rd</v>
      </c>
      <c r="CM17" s="545">
        <f t="shared" ref="CM17:CM26" si="52">QL17</f>
        <v>4</v>
      </c>
      <c r="CO17" s="546" t="e">
        <f t="shared" ref="CO17:CO26" si="53">RC17</f>
        <v>#REF!</v>
      </c>
      <c r="CP17" s="541">
        <f t="shared" ref="CP17:CP26" si="54">RD17</f>
        <v>0</v>
      </c>
      <c r="CQ17" s="541">
        <f t="shared" ref="CQ17:CQ26" si="55">BH17</f>
        <v>0</v>
      </c>
      <c r="CR17" s="1208">
        <f t="shared" ref="CR17:CR26" si="56">BI17</f>
        <v>0</v>
      </c>
      <c r="CS17" s="1208"/>
      <c r="CT17" s="1208"/>
      <c r="CU17" s="459"/>
      <c r="CW17" s="547" t="str">
        <f>'print 10 lane'!$I6</f>
        <v>HARINGEY AQUATICS</v>
      </c>
      <c r="CX17" s="548" t="e">
        <f>IF(DB17=1,(10-#REF!),IF(DB17=2,(9-#REF!),IF(DB17=3,(8-#REF!),IF(DB17=4,(7-#REF!),IF(DB17=5,(6-#REF!),IF(DB17=6,(5-#REF!),IF(DB17=7,(4-#REF!),IF(DB17=8,(3-#REF!),IF(DB17=9,(2-#REF!),IF(DB17=10,1))))))))))</f>
        <v>#REF!</v>
      </c>
      <c r="CY17" s="548"/>
      <c r="CZ17" s="549" t="e">
        <f t="shared" ref="CZ17:CZ26" si="57">SUM(RC17-D17)</f>
        <v>#REF!</v>
      </c>
      <c r="DA17" s="550">
        <f>'print 10 lane'!J$9</f>
        <v>152</v>
      </c>
      <c r="DB17" s="541">
        <f>'print 10 lane'!J$7</f>
        <v>7</v>
      </c>
      <c r="DC17" s="551">
        <f t="shared" ref="DC17:DC26" si="58">IF(DB17=1,DA17,0)</f>
        <v>0</v>
      </c>
      <c r="DD17" s="552" t="b">
        <f t="shared" ref="DD17:DD26" si="59">IF(DB17=1,RANK(DC17,DC$17:DC$26))</f>
        <v>0</v>
      </c>
      <c r="DE17" s="553">
        <f t="shared" ref="DE17:DE26" si="60">IF(DB17=1,1,0)</f>
        <v>0</v>
      </c>
      <c r="DF17" s="551">
        <f t="shared" ref="DF17:DF26" si="61">IF(DB17=2,DA17,0)</f>
        <v>0</v>
      </c>
      <c r="DG17" s="552" t="b">
        <f t="shared" ref="DG17:DG26" si="62">IF(DB17=2,RANK(DF17,DF$17:DF$26))</f>
        <v>0</v>
      </c>
      <c r="DH17" s="552" t="b">
        <f t="shared" ref="DH17:DH26" si="63">IF(DG17=1,2,IF(DG17=2,3))</f>
        <v>0</v>
      </c>
      <c r="DI17" s="551">
        <f t="shared" ref="DI17:DI26" si="64">IF(DB17=3,DA17,0)</f>
        <v>0</v>
      </c>
      <c r="DJ17" s="552" t="b">
        <f t="shared" ref="DJ17:DJ26" si="65">IF(DB17=3,RANK(DI17,DI$17:DI$26))</f>
        <v>0</v>
      </c>
      <c r="DK17" s="552" t="b">
        <f t="shared" ref="DK17:DK26" si="66">IF(DJ17=1,3,IF(DJ17=2,4))</f>
        <v>0</v>
      </c>
      <c r="DL17" s="551">
        <f t="shared" ref="DL17:DL26" si="67">IF($DB17=4,$DA17,0)</f>
        <v>0</v>
      </c>
      <c r="DM17" s="552" t="b">
        <f t="shared" ref="DM17:DM26" si="68">IF($DB17=4,RANK(DL17,DL$17:DL$26))</f>
        <v>0</v>
      </c>
      <c r="DN17" s="552" t="b">
        <f t="shared" ref="DN17:DN26" si="69">IF(DM17=1,4,IF(DM17=2,5))</f>
        <v>0</v>
      </c>
      <c r="DO17" s="551">
        <f t="shared" ref="DO17:DO26" si="70">IF($DB17=5,$DA17,0)</f>
        <v>0</v>
      </c>
      <c r="DP17" s="552" t="b">
        <f t="shared" ref="DP17:DP26" si="71">IF($DB17=5,RANK(DO17,DO$17:DO$26))</f>
        <v>0</v>
      </c>
      <c r="DQ17" s="553" t="b">
        <f t="shared" ref="DQ17:DQ26" si="72">IF(DP17=1,5,IF(DP17=2,6))</f>
        <v>0</v>
      </c>
      <c r="DR17" s="551">
        <f t="shared" ref="DR17:DR26" si="73">IF($DB17=6,$DA17,0)</f>
        <v>0</v>
      </c>
      <c r="DS17" s="552" t="b">
        <f t="shared" ref="DS17:DS26" si="74">IF($DB17=6,RANK(DR17,DR$17:DR$26))</f>
        <v>0</v>
      </c>
      <c r="DT17" s="552" t="b">
        <f t="shared" ref="DT17:DT26" si="75">IF(DS17=1,6,IF(DS17=2,7))</f>
        <v>0</v>
      </c>
      <c r="DU17" s="551">
        <f t="shared" ref="DU17:DU26" si="76">IF($DB17=7,$DA17,0)</f>
        <v>152</v>
      </c>
      <c r="DV17" s="552">
        <f t="shared" ref="DV17:DV26" si="77">IF($DB17=7,RANK(DU17,DU$17:DU$26))</f>
        <v>1</v>
      </c>
      <c r="DW17" s="552">
        <f t="shared" ref="DW17:DW26" si="78">IF(DV17=1,7,IF(DV17=2,8))</f>
        <v>7</v>
      </c>
      <c r="DX17" s="551">
        <f t="shared" ref="DX17:DX26" si="79">IF($DB17=8,$DA17,0)</f>
        <v>0</v>
      </c>
      <c r="DY17" s="552" t="b">
        <f t="shared" ref="DY17:DY26" si="80">IF($DB17=8,RANK(DX17,DX$17:DX$26))</f>
        <v>0</v>
      </c>
      <c r="DZ17" s="552" t="b">
        <f t="shared" ref="DZ17:DZ26" si="81">IF(DY17=1,8,IF(DY17=2,9))</f>
        <v>0</v>
      </c>
      <c r="EA17" s="551">
        <f t="shared" ref="EA17:EA26" si="82">IF($DB17=9,$DA17,0)</f>
        <v>0</v>
      </c>
      <c r="EB17" s="552" t="b">
        <f t="shared" ref="EB17:EB26" si="83">IF($DB17=9,RANK(EA17,EA$17:EA$26))</f>
        <v>0</v>
      </c>
      <c r="EC17" s="552" t="b">
        <f t="shared" ref="EC17:EC26" si="84">IF(EB17=1,9,IF(EB17=2,10))</f>
        <v>0</v>
      </c>
      <c r="ED17" s="551">
        <f t="shared" ref="ED17:ED26" si="85">IF($DB17=10,$DA17,0)</f>
        <v>0</v>
      </c>
      <c r="EE17" s="552" t="b">
        <f t="shared" ref="EE17:EE26" si="86">IF($DB17=10,RANK(ED17,ED$17:ED$26))</f>
        <v>0</v>
      </c>
      <c r="EF17" s="552" t="b">
        <f t="shared" ref="EF17:EF26" si="87">IF(EE17=1,10)</f>
        <v>0</v>
      </c>
      <c r="EG17" s="541">
        <f t="shared" ref="EG17:EG26" si="88">IF(DE17=1,1,IF(DH17=2,2,IF(DK17=1,1,IF(DK17=2,2,IF(DK17=3,3,IF(DN17=2,2,IF(DN17=3,3,IF(DN17=4,4,IF(DQ17=3,3,IF(DQ17=4,4,IF(DQ17=5,5,IF(DT17=4,4,IF(DT17=5,5,IF(DT17=6,6,IF(DW17=5,5,IF(DW17=6,6,IF(DW17=7,7,IF(DZ17=6,6,IF(DZ17=7,7,IF(DZ17=8,8,IF(EC17=7,7,IF(EC17=8,8,IF(EC17=9,9,IF(EF17=8,8,IF(EF17=9,9,IF(EF17=10,10,DB17))))))))))))))))))))))))))</f>
        <v>7</v>
      </c>
      <c r="EH17" s="554">
        <f t="shared" ref="EH17:EH26" si="89">IF($EG17=1,QH17,0)</f>
        <v>0</v>
      </c>
      <c r="EI17" s="554">
        <f t="shared" ref="EI17:EI26" si="90">IF($EG17=2,$QH17,0)</f>
        <v>0</v>
      </c>
      <c r="EJ17" s="554">
        <f t="shared" ref="EJ17:EJ26" si="91">IF($EG17=3,$QH17,0)</f>
        <v>0</v>
      </c>
      <c r="EK17" s="554">
        <f t="shared" ref="EK17:EK26" si="92">IF($EG17=4,$QH17,0)</f>
        <v>0</v>
      </c>
      <c r="EL17" s="554">
        <f t="shared" ref="EL17:EL26" si="93">IF($EG17=5,$QH17,0)</f>
        <v>0</v>
      </c>
      <c r="EM17" s="554">
        <f t="shared" ref="EM17:EM26" si="94">IF($EG17=6,$QH17,0)</f>
        <v>0</v>
      </c>
      <c r="EN17" s="554">
        <f t="shared" ref="EN17:EN26" si="95">IF($EG17=7,$QH17,0)</f>
        <v>6</v>
      </c>
      <c r="EO17" s="554">
        <f t="shared" ref="EO17:EO26" si="96">IF($EG17=8,$QH17,0)</f>
        <v>0</v>
      </c>
      <c r="EP17" s="554">
        <f t="shared" ref="EP17:EP26" si="97">IF($EG17=9,$QH17,0)</f>
        <v>0</v>
      </c>
      <c r="EQ17" s="554">
        <f t="shared" ref="EQ17:EQ26" si="98">IF($EG17=10,$QH17,0)</f>
        <v>0</v>
      </c>
      <c r="ER17" s="552" t="b">
        <f t="shared" ref="ER17:ER26" si="99">IF(EG17=1,RANK(EH17,EH$17:EH$26,0))</f>
        <v>0</v>
      </c>
      <c r="ES17" s="553">
        <f t="shared" ref="ES17:ES26" si="100">IF(ER17=1,1,IF(ER17=2,2,IF(ER17=3,3,0)))</f>
        <v>0</v>
      </c>
      <c r="ET17" s="552" t="b">
        <f t="shared" ref="ET17:ET26" si="101">IF($EG17=2,RANK($EI17,$EI$17:$EI$26))</f>
        <v>0</v>
      </c>
      <c r="EU17" s="553">
        <f t="shared" ref="EU17:EU26" si="102">IF(ET17=1,2,IF(ET17=2,3,IF(ET17=3,4,IF(ET17=4,5,IF(ET17=5,6,IF(ET17=6,7,IF(ET17=7,8,IF(ET17=8,9,IF(ET17=9,10,0)))))))))</f>
        <v>0</v>
      </c>
      <c r="EV17" s="552" t="b">
        <f t="shared" ref="EV17:EV26" si="103">IF($EG17=3,RANK($EJ17,$EJ$17:$EJ$26))</f>
        <v>0</v>
      </c>
      <c r="EW17" s="553">
        <f t="shared" ref="EW17:EW26" si="104">IF(EV17=1,3,IF(EV17=2,4,IF(EV17=3,5,IF(EV17=4,6,IF(EV17=5,7,IF(EV17=6,8,IF(EV17=7,9,IF(EV17=8,10,0))))))))</f>
        <v>0</v>
      </c>
      <c r="EX17" s="552" t="b">
        <f t="shared" ref="EX17:EX26" si="105">IF($EG17=4,RANK($EK17,$EK$17:$EK$26))</f>
        <v>0</v>
      </c>
      <c r="EY17" s="553">
        <f t="shared" ref="EY17:EY26" si="106">IF(EX17=1,4,IF(EX17=2,5,IF(EX17=3,6,IF(EX17=4,7,IF(EX17=5,8,IF(EX17=6,9,IF(EX17=7,10,0)))))))</f>
        <v>0</v>
      </c>
      <c r="EZ17" s="552" t="b">
        <f t="shared" ref="EZ17:EZ26" si="107">IF($EG17=5,RANK($EL17,$EL$17:$EL$26))</f>
        <v>0</v>
      </c>
      <c r="FA17" s="553">
        <f t="shared" ref="FA17:FA26" si="108">IF(EZ17=1,5,IF(EZ17=2,6,IF(EZ17=3,7,IF(EZ17=4,8,IF(EZ17=5,9,IF(EZ17=6,10,0))))))</f>
        <v>0</v>
      </c>
      <c r="FB17" s="552" t="b">
        <f t="shared" ref="FB17:FB26" si="109">IF($EG17=6,RANK($EM17,$EM$17:$EM$26))</f>
        <v>0</v>
      </c>
      <c r="FC17" s="553">
        <f t="shared" ref="FC17:FC26" si="110">IF(FB17=1,6,IF(FB17=2,7,IF(FB17=3,8,IF(FB17=4,9,IF(FB17=5,10,0)))))</f>
        <v>0</v>
      </c>
      <c r="FD17" s="552">
        <f t="shared" ref="FD17:FD26" si="111">IF($EG17=7,RANK($EN17,$EN$17:$EN$26))</f>
        <v>1</v>
      </c>
      <c r="FE17" s="553">
        <f>IF(FD17=1,7,IF(FD17=2,8,IF(FD17=3,9,IF(FD17=4,10,0))))</f>
        <v>7</v>
      </c>
      <c r="FF17" s="552" t="b">
        <f t="shared" ref="FF17:FF26" si="112">IF($EG17=8,RANK($EO17,$EO$17:$EO$26))</f>
        <v>0</v>
      </c>
      <c r="FG17" s="553">
        <f t="shared" ref="FG17:FG26" si="113">IF(FF17=1,8,IF(FF17=2,9,IF(FF17=3,10,0)))</f>
        <v>0</v>
      </c>
      <c r="FH17" s="552" t="b">
        <f t="shared" ref="FH17:FH26" si="114">IF($EG17=9,RANK($EP17,$EP$17:$EP$26))</f>
        <v>0</v>
      </c>
      <c r="FI17" s="553">
        <f t="shared" ref="FI17:FI26" si="115">IF(FH17=1,9,IF(FH17=2,10,0))</f>
        <v>0</v>
      </c>
      <c r="FJ17" s="552" t="b">
        <f t="shared" ref="FJ17:FJ26" si="116">IF($EG17=10,RANK($EQ17,$EQ$17:$EQ$26))</f>
        <v>0</v>
      </c>
      <c r="FK17" s="553">
        <f t="shared" ref="FK17:FK26" si="117">IF(FJ17=1,10,0)</f>
        <v>0</v>
      </c>
      <c r="FL17" s="541">
        <f t="shared" ref="FL17:FL26" si="118">IF(ES17=1,1,IF(ES17=2,2,IF(ES17=3,3,IF(ES17=4,4,IF(ES17=5,5,IF(ES17=6,6,IF(ES17=7,7,IF(ES17=8,8,IF(ES17=9,9,IF(ES17=10,10,IF(EU17=2,2,IF(EU17=3,3,IF(EU17=4,4,IF(EU17=5,5,IF(EU17=6,6,IF(EU17=7,7,IF(EU17=8,8,IF(EU17=9,9,IF(EU17=10,10,IF(EW17=3,3,IF(EW17=4,4,IF(EW17=5,5,IF(EW17=6,6,IF(EW17=7,7,IF(EW17=8,8,IF(EW17=9,9,IF(EW17=10,10,IF(EY17=4,4,IF(EY17=5,5,IF(EY17=6,6,IF(EY17=7,7,IF(EY17=8,8,IF(EY17=9,9,IF(EY17=10,10,IF(FA17=5,5,IF(FA17=6,6,IF(FA17=7,7,IF(FA17=8,8,IF(FA17=9,9,IF(FA17=10,10,IF(FC17=6,6,IF(FC17=7,7,IF(FC17=8,8,IF(FC17=9,9,IF(FC17=10,10,IF(FE17=7,7,IF(FE17=8,8,IF(FE17=9,9,IF(FE17=10,10,IF(FG17=8,8,IF(FG17=9,9,IF(FG17=10,10,IF(FI17=9,9,IF(FI17=10,10,IF(FK17=10,10,EG17)))))))))))))))))))))))))))))))))))))))))))))))))))))))</f>
        <v>7</v>
      </c>
      <c r="FM17" s="554">
        <f t="shared" ref="FM17:FM26" si="119">IF($FL17=1,$QJ17,0)</f>
        <v>0</v>
      </c>
      <c r="FN17" s="554">
        <f t="shared" ref="FN17:FN26" si="120">IF($FL17=2,$QJ17,0)</f>
        <v>0</v>
      </c>
      <c r="FO17" s="554">
        <f t="shared" ref="FO17:FO26" si="121">IF($FL17=3,$QJ17,0)</f>
        <v>0</v>
      </c>
      <c r="FP17" s="554">
        <f t="shared" ref="FP17:FP26" si="122">IF($FL17=4,$QJ17,0)</f>
        <v>0</v>
      </c>
      <c r="FQ17" s="554">
        <f t="shared" ref="FQ17:FQ26" si="123">IF($FL17=5,$QJ17,0)</f>
        <v>0</v>
      </c>
      <c r="FR17" s="554">
        <f t="shared" ref="FR17:FR26" si="124">IF($FL17=6,$QJ17,0)</f>
        <v>0</v>
      </c>
      <c r="FS17" s="554">
        <f t="shared" ref="FS17:FS26" si="125">IF($FL17=7,$QJ17,0)</f>
        <v>3</v>
      </c>
      <c r="FT17" s="554">
        <f t="shared" ref="FT17:FT26" si="126">IF($FL17=8,$QJ17,0)</f>
        <v>0</v>
      </c>
      <c r="FU17" s="554">
        <f t="shared" ref="FU17:FU26" si="127">IF($FL17=9,$QJ17,0)</f>
        <v>0</v>
      </c>
      <c r="FV17" s="554">
        <f t="shared" ref="FV17:FV26" si="128">IF($FL17=10,$QJ17,0)</f>
        <v>0</v>
      </c>
      <c r="FW17" s="552" t="b">
        <f t="shared" ref="FW17:FW26" si="129">IF(FL17=1,RANK(FM17,FM$17:FM$26,0))</f>
        <v>0</v>
      </c>
      <c r="FX17" s="553">
        <f t="shared" ref="FX17:FX26" si="130">IF(FW17=1,1,IF(FW17=2,2,0))</f>
        <v>0</v>
      </c>
      <c r="FY17" s="552" t="b">
        <f t="shared" ref="FY17:FY26" si="131">IF($FL17=2,RANK($FN17,$FN$17:$FN$26))</f>
        <v>0</v>
      </c>
      <c r="FZ17" s="553">
        <f t="shared" ref="FZ17:FZ26" si="132">IF(FY17=1,2,IF(FY17=2,3,IF(FY17=3,4,IF(FY17=4,5,IF(FY17=5,6,IF(FY17=6,7,IF(FY17=7,8,IF(FY17=8,9,IF(FY17=9,10,0)))))))))</f>
        <v>0</v>
      </c>
      <c r="GA17" s="552" t="b">
        <f t="shared" ref="GA17:GA26" si="133">IF($FL17=3,RANK($FO17,$FO$17:$FO$26))</f>
        <v>0</v>
      </c>
      <c r="GB17" s="553">
        <f t="shared" ref="GB17:GB26" si="134">IF(GA17=1,3,IF(GA17=2,4,IF(GA17=3,5,IF(GA17=4,6,IF(GA17=5,7,IF(GA17=6,8,IF(GA17=7,9,IF(GA17=8,10,0))))))))</f>
        <v>0</v>
      </c>
      <c r="GC17" s="552" t="b">
        <f t="shared" ref="GC17:GC26" si="135">IF($FL17=4,RANK($FP17,$FP$17:$FP$26))</f>
        <v>0</v>
      </c>
      <c r="GD17" s="553">
        <f t="shared" ref="GD17:GD26" si="136">IF(GC17=1,4,IF(GC17=2,5,IF(GC17=3,6,IF(GC17=4,7,IF(GC17=5,8,IF(GC17=6,9,IF(GC17=7,10,0)))))))</f>
        <v>0</v>
      </c>
      <c r="GE17" s="552" t="b">
        <f t="shared" ref="GE17:GE26" si="137">IF($FL17=5,RANK($FQ17,$FQ$17:$FQ$26))</f>
        <v>0</v>
      </c>
      <c r="GF17" s="553">
        <f t="shared" ref="GF17:GF26" si="138">IF(GE17=1,5,IF(GE17=2,6,IF(GE17=3,7,IF(GE17=4,8,IF(GE17=5,9,IF(GE17=6,10,0))))))</f>
        <v>0</v>
      </c>
      <c r="GG17" s="552" t="b">
        <f t="shared" ref="GG17:GG26" si="139">IF($FL17=6,RANK($FR17,$FR$17:$FR$26))</f>
        <v>0</v>
      </c>
      <c r="GH17" s="553">
        <f t="shared" ref="GH17:GH26" si="140">IF(GG17=1,6,IF(GG17=2,7,IF(GG17=3,8,IF(GG17=4,9,IF(GG17=5,10,0)))))</f>
        <v>0</v>
      </c>
      <c r="GI17" s="552">
        <f t="shared" ref="GI17:GI26" si="141">IF($FL17=7,RANK($FS17,$FS$17:$FS$26))</f>
        <v>1</v>
      </c>
      <c r="GJ17" s="553">
        <f>IF(GI17=1,7,IF(GI17=2,8,IF(GI17=3,9,IF(GI17=4,10,0))))</f>
        <v>7</v>
      </c>
      <c r="GK17" s="552" t="b">
        <f t="shared" ref="GK17:GK26" si="142">IF($FL17=8,RANK($FT17,$FT$17:$FT$26))</f>
        <v>0</v>
      </c>
      <c r="GL17" s="553">
        <f t="shared" ref="GL17:GL26" si="143">IF(GK17=1,8,IF(GK17=2,9,IF(GK17=3,10,0)))</f>
        <v>0</v>
      </c>
      <c r="GM17" s="552" t="b">
        <f t="shared" ref="GM17:GM26" si="144">IF($FL17=9,RANK($FU17,$FU$17:$FU$26))</f>
        <v>0</v>
      </c>
      <c r="GN17" s="553">
        <f t="shared" ref="GN17:GN26" si="145">IF(GM17=1,9,IF(GM17=2,10,0))</f>
        <v>0</v>
      </c>
      <c r="GO17" s="552" t="b">
        <f t="shared" ref="GO17:GO26" si="146">IF($FL17=10,RANK($FV17,$FV$17:$FV$26))</f>
        <v>0</v>
      </c>
      <c r="GP17" s="553">
        <f t="shared" ref="GP17:GP26" si="147">IF(GO17=1,10,0)</f>
        <v>0</v>
      </c>
      <c r="GQ17" s="541">
        <f t="shared" ref="GQ17:GQ26" si="148">IF(FX17=1,1,IF(FX17=2,2,IF(FX17=3,3,IF(FX17=4,4,IF(FX17=5,5,IF(FX17=6,6,IF(FX17=7,7,IF(FX17=8,8,IF(FX17=9,9,IF(FX17=10,10,IF(FZ17=2,2,IF(FZ17=3,3,IF(FZ17=4,4,IF(FZ17=5,5,IF(FZ17=6,6,IF(FZ17=7,7,IF(FZ17=8,8,IF(FZ17=9,9,IF(FZ17=10,10,IF(GB17=3,3,IF(GB17=4,4,IF(GB17=5,5,IF(GB17=6,6,IF(GB17=7,7,IF(GB17=8,8,IF(GB17=9,9,IF(GB17=10,10,IF(GD17=4,4,IF(GD17=5,5,IF(GD17=6,6,IF(GD17=7,7,IF(GD17=8,8,IF(GD17=9,9,IF(GD17=10,10,IF(GF17=5,5,IF(GF17=6,6,IF(GF17=7,7,IF(GF17=8,8,IF(GF17=9,9,IF(GF17=10,10,IF(GH17=6,6,IF(GH17=7,7,IF(GH17=8,8,IF(GH17=9,9,IF(GH17=10,10,IF(GJ17=7,7,IF(GJ17=8,8,IF(GJ17=9,9,IF(GJ17=10,10,IF(GL17=8,8,IF(GL17=9,9,IF(GL17=10,10,IF(GN17=9,9,IF(GN17=10,10,IF(GP17=10,10,FL17)))))))))))))))))))))))))))))))))))))))))))))))))))))))</f>
        <v>7</v>
      </c>
      <c r="GR17" s="554">
        <f t="shared" ref="GR17:GR26" si="149">IF(GQ17=1,QL17,0)</f>
        <v>0</v>
      </c>
      <c r="GS17" s="554">
        <f t="shared" ref="GS17:GS26" si="150">IF(GQ17=2,QL17,0)</f>
        <v>0</v>
      </c>
      <c r="GT17" s="554">
        <f t="shared" ref="GT17:GT26" si="151">IF(GQ17=3,QL17,0)</f>
        <v>0</v>
      </c>
      <c r="GU17" s="554">
        <f t="shared" ref="GU17:GU26" si="152">IF(GQ17=4,QL17,0)</f>
        <v>0</v>
      </c>
      <c r="GV17" s="554">
        <f t="shared" ref="GV17:GV26" si="153">IF(GQ17=5,QL17,0)</f>
        <v>0</v>
      </c>
      <c r="GW17" s="554">
        <f t="shared" ref="GW17:GW26" si="154">IF(GQ17=6,QL17,0)</f>
        <v>0</v>
      </c>
      <c r="GX17" s="554">
        <f t="shared" ref="GX17:GX26" si="155">IF(GQ17=7,QL17,0)</f>
        <v>4</v>
      </c>
      <c r="GY17" s="554">
        <f t="shared" ref="GY17:GY26" si="156">IF(GQ17=8,QL17,0)</f>
        <v>0</v>
      </c>
      <c r="GZ17" s="554">
        <f t="shared" ref="GZ17:GZ26" si="157">IF(GQ17=9,QL17,0)</f>
        <v>0</v>
      </c>
      <c r="HA17" s="554">
        <f t="shared" ref="HA17:HA26" si="158">IF(GQ17=10,QL17,0)</f>
        <v>0</v>
      </c>
      <c r="HB17" s="553" t="b">
        <f t="shared" ref="HB17:HB26" si="159">IF(GQ17=1,RANK(GR17,GR$17:GR$26,0))</f>
        <v>0</v>
      </c>
      <c r="HC17" s="551">
        <f t="shared" ref="HC17:HC26" si="160">IF(HB17=1,1,0)</f>
        <v>0</v>
      </c>
      <c r="HD17" s="553" t="b">
        <f t="shared" ref="HD17:HD26" si="161">IF(GQ17=2,RANK(GS17,GS$17:GS$26))</f>
        <v>0</v>
      </c>
      <c r="HE17" s="553">
        <f t="shared" ref="HE17:HE26" si="162">IF(HD17=1,2,IF(HD17=2,3,IF(HD17=3,4,IF(HD17=4,5,IF(HD17=5,6,IF(HD17=6,7,IF(HD17=7,8,IF(HD17=8,9,IF(HD17=9,10,0)))))))))</f>
        <v>0</v>
      </c>
      <c r="HF17" s="553" t="b">
        <f t="shared" ref="HF17:HF26" si="163">IF(GQ17=3,RANK(GT17,GT$17:GT$26))</f>
        <v>0</v>
      </c>
      <c r="HG17" s="553">
        <f t="shared" ref="HG17:HG26" si="164">IF(HF17=1,3,IF(HF17=2,4,IF(HF17=3,5,IF(HF17=4,6,IF(HF17=5,7,IF(HF17=6,8,IF(HF17=7,9,IF(HF17=8,10,0))))))))</f>
        <v>0</v>
      </c>
      <c r="HH17" s="553" t="b">
        <f t="shared" ref="HH17:HH26" si="165">IF(GQ17=4,RANK(GU17,GU$17:GU$26))</f>
        <v>0</v>
      </c>
      <c r="HI17" s="553">
        <f t="shared" ref="HI17:HI26" si="166">IF(HH17=1,4,IF(HH17=2,5,IF(HH17=3,6,IF(HH17=4,7,IF(HH17=5,8,IF(HH17=6,9,IF(HH17=7,10,0)))))))</f>
        <v>0</v>
      </c>
      <c r="HJ17" s="553" t="b">
        <f t="shared" ref="HJ17:HJ26" si="167">IF(GQ17=5,RANK(GV17,GV$17:GV$26))</f>
        <v>0</v>
      </c>
      <c r="HK17" s="553">
        <f t="shared" ref="HK17:HK26" si="168">IF(HJ17=1,5,IF(HJ17=2,6,IF(HJ17=3,7,IF(HJ17=4,8,IF(HJ17=5,9,IF(HJ17=6,10,0))))))</f>
        <v>0</v>
      </c>
      <c r="HL17" s="553" t="b">
        <f t="shared" ref="HL17:HL26" si="169">IF(GQ17=6,RANK(GW17,GW$17:GW$26))</f>
        <v>0</v>
      </c>
      <c r="HM17" s="553">
        <f t="shared" ref="HM17:HM26" si="170">IF(HL17=1,6,IF(HL17=2,7,IF(HL17=3,8,IF(HL17=4,9,IF(HL17=5,10,0)))))</f>
        <v>0</v>
      </c>
      <c r="HN17" s="553">
        <f t="shared" ref="HN17:HN26" si="171">IF(GQ17=7,RANK(GX17,GX$17:GX$26))</f>
        <v>1</v>
      </c>
      <c r="HO17" s="553">
        <f t="shared" ref="HO17:HO26" si="172">IF(HN17=1,7,IF(HN17=2,8,IF(HN17=3,9,IF(HN17=4,10,0))))</f>
        <v>7</v>
      </c>
      <c r="HP17" s="553" t="b">
        <f t="shared" ref="HP17:HP26" si="173">IF(GQ17=8,RANK(GY17,GY$17:GY$26))</f>
        <v>0</v>
      </c>
      <c r="HQ17" s="553">
        <f t="shared" ref="HQ17:HQ26" si="174">IF(HP17=1,8,IF(HP17=2,9,IF(HP17=3,10,0)))</f>
        <v>0</v>
      </c>
      <c r="HR17" s="553" t="b">
        <f t="shared" ref="HR17:HR26" si="175">IF(GQ17=9,RANK(GZ17,GZ$17:GZ$26))</f>
        <v>0</v>
      </c>
      <c r="HS17" s="553">
        <f t="shared" ref="HS17:HS26" si="176">IF(HR17=1,9,IF(HR17=2,10,0))</f>
        <v>0</v>
      </c>
      <c r="HT17" s="553" t="b">
        <f t="shared" ref="HT17:HT26" si="177">IF(GQ17=10,RANK(HA17,HA$17:HA$26))</f>
        <v>0</v>
      </c>
      <c r="HU17" s="553">
        <f t="shared" ref="HU17:HU26" si="178">IF(HT17=1,10,0)</f>
        <v>0</v>
      </c>
      <c r="HV17" s="541">
        <f t="shared" ref="HV17:HV26" si="179">IF(HC17=1,1,IF(HC17=2,2,IF(HC17=3,3,IF(HC17=4,4,IF(HC17=5,5,IF(HC17=6,6,IF(HC17=7,7,IF(HC17=8,8,IF(HC17=9,9,IF(HC17=10,10,IF(HE17=2,2,IF(HE17=3,3,IF(HE17=4,4,IF(HE17=5,5,IF(HE17=6,6,IF(HE17=7,7,IF(HE17=8,8,IF(HE17=9,9,IF(HE17=10,10,IF(HG17=3,3,IF(HG17=4,4,IF(HG17=5,5,IF(HG17=6,6,IF(HG17=7,7,IF(HG17=8,8,IF(HG17=9,9,IF(HG17=10,10,IF(HI17=4,4,IF(HI17=5,5,IF(HI17=6,6,IF(HI17=7,7,IF(HI17=8,8,IF(HI17=9,9,IF(HI17=10,10,IF(HK17=5,5,IF(HK17=6,6,IF(HK17=7,7,IF(HK17=8,8,IF(HK17=9,9,IF(HK17=10,10,IF(HM17=6,6,IF(HM17=7,7,IF(HM17=8,8,IF(HM17=9,9,IF(HM17=10,10,IF(HO17=7,7,IF(HO17=8,8,IF(HO17=9,9,IF(HO17=10,10,IF(HQ17=8,8,IF(HQ17=9,9,IF(HQ17=10,10,IF(HS17=9,9,IF(HS17=10,10,IF(HU17=10,10,GQ17)))))))))))))))))))))))))))))))))))))))))))))))))))))))</f>
        <v>7</v>
      </c>
      <c r="HW17" s="554">
        <f t="shared" ref="HW17:HW26" si="180">IF(HV17=1,QN17,0)</f>
        <v>0</v>
      </c>
      <c r="HX17" s="554">
        <f t="shared" ref="HX17:HX26" si="181">IF(HV17=2,QN17,0)</f>
        <v>0</v>
      </c>
      <c r="HY17" s="554">
        <f t="shared" ref="HY17:HY26" si="182">IF(HV17=3,QN17,0)</f>
        <v>0</v>
      </c>
      <c r="HZ17" s="554">
        <f t="shared" ref="HZ17:HZ26" si="183">IF(HV17=4,QN17,0)</f>
        <v>0</v>
      </c>
      <c r="IA17" s="554">
        <f t="shared" ref="IA17:IA26" si="184">IF(HV17=5,QN17,0)</f>
        <v>0</v>
      </c>
      <c r="IB17" s="554">
        <f t="shared" ref="IB17:IB26" si="185">IF(HV17=6,RQF17,0)</f>
        <v>0</v>
      </c>
      <c r="IC17" s="554">
        <f t="shared" ref="IC17:IC26" si="186">IF(HV17=7,QN17,0)</f>
        <v>7</v>
      </c>
      <c r="ID17" s="554">
        <f t="shared" ref="ID17:ID26" si="187">IF(HV17=8,QN17,0)</f>
        <v>0</v>
      </c>
      <c r="IE17" s="554">
        <f t="shared" ref="IE17:IE26" si="188">IF(HV17=9,QN17,0)</f>
        <v>0</v>
      </c>
      <c r="IF17" s="554">
        <f t="shared" ref="IF17:IF26" si="189">IF(HV17=10,QN17,0)</f>
        <v>0</v>
      </c>
      <c r="IG17" s="553" t="b">
        <f t="shared" ref="IG17:IG26" si="190">IF(HV17=1,RANK(HW17,HW$17:HW$26,0))</f>
        <v>0</v>
      </c>
      <c r="IH17" s="551">
        <f t="shared" ref="IH17:IH26" si="191">IF(IG17=1,1,0)</f>
        <v>0</v>
      </c>
      <c r="II17" s="553" t="b">
        <f t="shared" ref="II17:II26" si="192">IF(HV17=2,RANK(HX17,HX$17:HX$26))</f>
        <v>0</v>
      </c>
      <c r="IJ17" s="553">
        <f t="shared" ref="IJ17:IJ26" si="193">IF(II17=1,2,IF(II17=2,3,IF(II17=3,4,IF(II17=4,5,IF(II17=5,6,IF(II17=6,7,IF(II17=7,8,IF(II17=8,9,IF(II17=9,10,0)))))))))</f>
        <v>0</v>
      </c>
      <c r="IK17" s="553" t="b">
        <f t="shared" ref="IK17:IK26" si="194">IF(HV17=3,RANK(HY17,HY$17:HY$26))</f>
        <v>0</v>
      </c>
      <c r="IL17" s="553">
        <f t="shared" ref="IL17:IL26" si="195">IF(IK17=1,3,IF(IK17=2,4,IF(IK17=3,5,IF(IK17=4,6,IF(IK17=5,7,IF(IK17=6,8,IF(IK17=7,9,IF(IK17=8,10,0))))))))</f>
        <v>0</v>
      </c>
      <c r="IM17" s="553" t="b">
        <f t="shared" ref="IM17:IM26" si="196">IF(HV17=4,RANK(HZ17,HZ$17:HZ$26))</f>
        <v>0</v>
      </c>
      <c r="IN17" s="553">
        <f t="shared" ref="IN17:IN26" si="197">IF(IM17=1,4,IF(IM17=2,5,IF(IM17=3,6,IF(IM17=4,7,IF(IM17=5,8,IF(IM17=6,9,IF(IM17=7,10,0)))))))</f>
        <v>0</v>
      </c>
      <c r="IO17" s="553" t="b">
        <f t="shared" ref="IO17:IO26" si="198">IF(HV17=5,RANK(IA17,IA$17:IA$26))</f>
        <v>0</v>
      </c>
      <c r="IP17" s="553">
        <f t="shared" ref="IP17:IP26" si="199">IF(IO17=1,5,IF(IO17=2,6,IF(IO17=3,7,IF(IO17=4,8,IF(IO17=5,9,IF(IO17=6,10,0))))))</f>
        <v>0</v>
      </c>
      <c r="IQ17" s="553" t="b">
        <f t="shared" ref="IQ17:IQ26" si="200">IF(HV17=6,RANK(IB17,IB$17:IB$26))</f>
        <v>0</v>
      </c>
      <c r="IR17" s="553">
        <f t="shared" ref="IR17:IR26" si="201">IF(IQ17=1,6,IF(IQ17=2,7,IF(IQ17=3,8,IF(IQ17=4,9,IF(IQ17=5,10,0)))))</f>
        <v>0</v>
      </c>
      <c r="IS17" s="553">
        <f t="shared" ref="IS17:IS26" si="202">IF(HV17=7,RANK(IC17,IC$17:IC$26))</f>
        <v>1</v>
      </c>
      <c r="IT17" s="553">
        <f t="shared" ref="IT17:IT26" si="203">IF(IS17=1,7,IF(IS17=2,8,IF(IS17=3,9,IF(IS17=4,10,0))))</f>
        <v>7</v>
      </c>
      <c r="IU17" s="553" t="b">
        <f t="shared" ref="IU17:IU26" si="204">IF(HV17=8,RANK(ID17,ID$17:ID$26))</f>
        <v>0</v>
      </c>
      <c r="IV17" s="553">
        <f t="shared" ref="IV17:IV26" si="205">IF(IU17=1,8,IF(IU17=2,9,IF(IU17=3,10,0)))</f>
        <v>0</v>
      </c>
      <c r="IW17" s="553" t="b">
        <f t="shared" ref="IW17:IW26" si="206">IF(HV17=9,RANK(IE17,IE$17:IE$26))</f>
        <v>0</v>
      </c>
      <c r="IX17" s="553">
        <f t="shared" ref="IX17:IX26" si="207">IF(IW17=1,9,IF(IW17=2,10,0))</f>
        <v>0</v>
      </c>
      <c r="IY17" s="553" t="b">
        <f t="shared" ref="IY17:IY26" si="208">IF(HV17=10,RANK(IF17,IF$17:IF$26))</f>
        <v>0</v>
      </c>
      <c r="IZ17" s="553">
        <f t="shared" ref="IZ17:IZ26" si="209">IF(IY17=1,10,0)</f>
        <v>0</v>
      </c>
      <c r="JA17" s="541">
        <f t="shared" ref="JA17:JA26" si="210">IF(IH17=1,1,IF(IH17=2,2,IF(IH17=3,3,IF(IH17=4,4,IF(IH17=5,5,IF(IH17=6,6,IF(IH17=7,7,IF(IH17=8,8,IF(IH17=9,9,IF(IH17=10,10,IF(IJ17=2,2,IF(IJ17=3,3,IF(IJ17=4,4,IF(IJ17=5,5,IF(IJ17=6,6,IF(IJ17=7,7,IF(IJ17=8,8,IF(IJ17=9,9,IF(IJ17=10,10,IF(IL17=3,3,IF(IL17=4,4,IF(IL17=5,5,IF(IL17=6,6,IF(IL17=7,7,IF(IL17=8,8,IF(IL17=9,9,IF(IL17=10,10,IF(IN17=4,4,IF(IN17=5,5,IF(IN17=6,6,IF(IN17=7,7,IF(IN17=8,8,IF(IN17=9,9,IF(IN17=10,10,IF(IP17=5,5,IF(IP17=6,6,IF(IP17=7,7,IF(IP17=8,8,IF(IP17=9,9,IF(IP17=10,10,IF(IR17=6,6,IF(IR17=7,7,IF(IR17=8,8,IF(IR17=9,9,IF(IR17=10,10,IF(IT17=7,7,IF(IT17=8,8,IF(IT17=9,9,IF(IT17=10,10,IF(IV17=8,8,IF(IV17=9,9,IF(IV17=10,10,IF(IX17=9,9,IF(IX17=10,10,IF(IZ17=10,10,HV17)))))))))))))))))))))))))))))))))))))))))))))))))))))))</f>
        <v>7</v>
      </c>
      <c r="JB17" s="554">
        <f t="shared" ref="JB17:JB26" si="211">IF(JA17=1,QP17,0)</f>
        <v>0</v>
      </c>
      <c r="JC17" s="554">
        <f t="shared" ref="JC17:JC26" si="212">IF(JA17=2,QP17,0)</f>
        <v>0</v>
      </c>
      <c r="JD17" s="554">
        <f t="shared" ref="JD17:JD26" si="213">IF(JA17=3,QP17,0)</f>
        <v>0</v>
      </c>
      <c r="JE17" s="554">
        <f t="shared" ref="JE17:JE26" si="214">IF(JA17=4,QP17,0)</f>
        <v>0</v>
      </c>
      <c r="JF17" s="554">
        <f t="shared" ref="JF17:JF26" si="215">IF(JA17=5,QP17,0)</f>
        <v>0</v>
      </c>
      <c r="JG17" s="554">
        <f t="shared" ref="JG17:JG26" si="216">IF(JA17=6,QP17,0)</f>
        <v>0</v>
      </c>
      <c r="JH17" s="554">
        <f t="shared" ref="JH17:JH26" si="217">IF(JA17=7,QP17,0)</f>
        <v>7</v>
      </c>
      <c r="JI17" s="554">
        <f t="shared" ref="JI17:JI26" si="218">IF(JA17=8,QP17,0)</f>
        <v>0</v>
      </c>
      <c r="JJ17" s="554">
        <f t="shared" ref="JJ17:JJ26" si="219">IF(JA17=9,QP17,0)</f>
        <v>0</v>
      </c>
      <c r="JK17" s="554">
        <f t="shared" ref="JK17:JK26" si="220">IF(JA17=10,QP17,0)</f>
        <v>0</v>
      </c>
      <c r="JL17" s="553" t="b">
        <f t="shared" ref="JL17:JL26" si="221">IF(JA17=1,RANK(JB17,JB$17:JB$26,0))</f>
        <v>0</v>
      </c>
      <c r="JM17" s="551">
        <f t="shared" ref="JM17:JM26" si="222">IF(JL17=1,1,0)</f>
        <v>0</v>
      </c>
      <c r="JN17" s="553" t="b">
        <f t="shared" ref="JN17:JN26" si="223">IF(JA17=2,RANK(JC17,JC$17:JC$26))</f>
        <v>0</v>
      </c>
      <c r="JO17" s="553">
        <f t="shared" ref="JO17:JO26" si="224">IF(JN17=1,2,IF(JN17=2,3,IF(JN17=3,4,IF(JN17=4,5,IF(JN17=5,6,IF(JN17=6,7,IF(JN17=7,8,IF(JN17=8,9,IF(JN17=9,10,0)))))))))</f>
        <v>0</v>
      </c>
      <c r="JP17" s="553" t="b">
        <f t="shared" ref="JP17:JP26" si="225">IF(JA17=3,RANK(JD17,JD$17:JD$26))</f>
        <v>0</v>
      </c>
      <c r="JQ17" s="553">
        <f t="shared" ref="JQ17:JQ26" si="226">IF(JP17=1,3,IF(JP17=2,4,IF(JP17=3,5,IF(JP17=4,6,IF(JP17=5,7,IF(JP17=6,8,IF(JP17=7,9,IF(JP17=8,10,0))))))))</f>
        <v>0</v>
      </c>
      <c r="JR17" s="553" t="b">
        <f t="shared" ref="JR17:JR26" si="227">IF(JA17=4,RANK(JE17,JE$17:JE$26))</f>
        <v>0</v>
      </c>
      <c r="JS17" s="553">
        <f t="shared" ref="JS17:JS26" si="228">IF(JR17=1,4,IF(JR17=2,5,IF(JR17=3,6,IF(JR17=4,7,IF(JR17=5,8,IF(JR17=6,9,IF(JR17=7,10,0)))))))</f>
        <v>0</v>
      </c>
      <c r="JT17" s="553" t="b">
        <f t="shared" ref="JT17:JT26" si="229">IF(JA17=5,RANK(JF17,JF$17:JF$26))</f>
        <v>0</v>
      </c>
      <c r="JU17" s="553">
        <f t="shared" ref="JU17:JU26" si="230">IF(JT17=1,5,IF(JT17=2,6,IF(JT17=3,7,IF(JT17=4,8,IF(JT17=5,9,IF(JT17=6,10,0))))))</f>
        <v>0</v>
      </c>
      <c r="JV17" s="553" t="b">
        <f t="shared" ref="JV17:JV26" si="231">IF(JA17=6,RANK(JG17,JG$17:JG$26))</f>
        <v>0</v>
      </c>
      <c r="JW17" s="553">
        <f t="shared" ref="JW17:JW26" si="232">IF(JV17=1,6,IF(JV17=2,7,IF(JV17=3,8,IF(JV17=4,9,IF(JV17=5,10,0)))))</f>
        <v>0</v>
      </c>
      <c r="JX17" s="553">
        <f t="shared" ref="JX17:JX26" si="233">IF(JA17=7,RANK(JH17,JH$17:JH$26))</f>
        <v>1</v>
      </c>
      <c r="JY17" s="553">
        <f t="shared" ref="JY17:JY26" si="234">IF(JX17=1,7,IF(JX17=2,8,IF(JX17=3,9,IF(JX17=4,10,0))))</f>
        <v>7</v>
      </c>
      <c r="JZ17" s="553" t="b">
        <f t="shared" ref="JZ17:JZ26" si="235">IF(JA17=8,RANK(JI17,JI$17:JI$26))</f>
        <v>0</v>
      </c>
      <c r="KA17" s="553">
        <f t="shared" ref="KA17:KA26" si="236">IF(JZ17=1,8,IF(JZ17=2,9,IF(JZ17=3,10,0)))</f>
        <v>0</v>
      </c>
      <c r="KB17" s="553" t="b">
        <f t="shared" ref="KB17:KB26" si="237">IF(JA17=9,RANK(JJ17,JJ$17:JJ$26))</f>
        <v>0</v>
      </c>
      <c r="KC17" s="553">
        <f t="shared" ref="KC17:KC26" si="238">IF(KB17=1,9,IF(KB17=2,10,0))</f>
        <v>0</v>
      </c>
      <c r="KD17" s="553" t="b">
        <f t="shared" ref="KD17:KD26" si="239">IF(JA17=10,RANK(JK17,JK$17:JK$26))</f>
        <v>0</v>
      </c>
      <c r="KE17" s="553">
        <f t="shared" ref="KE17:KE26" si="240">IF(KD17=1,10,0)</f>
        <v>0</v>
      </c>
      <c r="KF17" s="541">
        <f t="shared" ref="KF17:KF26" si="241">IF(JM17=1,1,IF(JM17=2,2,IF(JM17=3,3,IF(JM17=4,4,IF(JM17=5,5,IF(JM17=6,6,IF(JM17=7,7,IF(JM17=8,8,IF(JM17=9,9,IF(JM17=10,10,IF(JO17=2,2,IF(JO17=3,3,IF(JO17=4,4,IF(JO17=5,5,IF(JO17=6,6,IF(JO17=7,7,IF(JO17=8,8,IF(JO17=9,9,IF(JO17=10,10,IF(JQ17=3,3,IF(JQ17=4,4,IF(JQ17=5,5,IF(JQ17=6,6,IF(JQ17=7,7,IF(JQ17=8,8,IF(JQ17=9,9,IF(JQ17=10,10,IF(JS17=4,4,IF(JS17=5,5,IF(JS17=6,6,IF(JS17=7,7,IF(JS17=8,8,IF(JS17=9,9,IF(JS17=10,10,IF(JU17=5,5,IF(JU17=6,6,IF(JU17=7,7,IF(JU17=8,8,IF(JU17=9,9,IF(JU17=10,10,IF(JW17=6,6,IF(JW17=7,7,IF(JW17=8,8,IF(JW17=9,9,IF(JW17=10,10,IF(JY17=7,7,IF(JY17=8,8,IF(JY17=9,9,IF(JY17=10,10,IF(KA17=8,8,IF(KA17=9,9,IF(KA17=10,10,IF(KC17=9,9,IF(KC17=10,10,IF(KE17=10,10,JA17)))))))))))))))))))))))))))))))))))))))))))))))))))))))</f>
        <v>7</v>
      </c>
      <c r="KG17" s="554">
        <f t="shared" ref="KG17:KG26" si="242">IF(KF17=1,QR17,0)</f>
        <v>0</v>
      </c>
      <c r="KH17" s="554">
        <f t="shared" ref="KH17:KH26" si="243">IF(KF17=2,QR17,0)</f>
        <v>0</v>
      </c>
      <c r="KI17" s="554">
        <f t="shared" ref="KI17:KI26" si="244">IF(KF17=3,QR17,0)</f>
        <v>0</v>
      </c>
      <c r="KJ17" s="554">
        <f t="shared" ref="KJ17:KJ26" si="245">IF(KF17=4,QR17,0)</f>
        <v>0</v>
      </c>
      <c r="KK17" s="554">
        <f t="shared" ref="KK17:KK26" si="246">IF(KF17=5,QR17,0)</f>
        <v>0</v>
      </c>
      <c r="KL17" s="554">
        <f t="shared" ref="KL17:KL26" si="247">IF(KF17=6,QR17,0)</f>
        <v>0</v>
      </c>
      <c r="KM17" s="554">
        <f t="shared" ref="KM17:KM26" si="248">IF(KF17=7,QR17,0)</f>
        <v>7</v>
      </c>
      <c r="KN17" s="554">
        <f t="shared" ref="KN17:KN26" si="249">IF(KF17=8,QR17,0)</f>
        <v>0</v>
      </c>
      <c r="KO17" s="554">
        <f t="shared" ref="KO17:KO26" si="250">IF(KF17=9,QR17,0)</f>
        <v>0</v>
      </c>
      <c r="KP17" s="554">
        <f t="shared" ref="KP17:KP26" si="251">IF(KF17=10,QR17,0)</f>
        <v>0</v>
      </c>
      <c r="KQ17" s="553" t="b">
        <f t="shared" ref="KQ17:KQ26" si="252">IF(KF17=1,RANK(KG17,KG$17:KG$26,0))</f>
        <v>0</v>
      </c>
      <c r="KR17" s="551">
        <f t="shared" ref="KR17:KR26" si="253">IF(KQ17=1,1,0)</f>
        <v>0</v>
      </c>
      <c r="KS17" s="553" t="b">
        <f t="shared" ref="KS17:KS26" si="254">IF(KF17=2,RANK(KH17,KH$17:KH$26))</f>
        <v>0</v>
      </c>
      <c r="KT17" s="553">
        <f t="shared" ref="KT17:KT26" si="255">IF(KS17=1,2,IF(KS17=2,3,IF(KS17=3,4,IF(KS17=4,5,IF(KS17=5,6,IF(KS17=6,7,IF(KS17=7,8,IF(KS17=8,9,IF(KS17=9,10,0)))))))))</f>
        <v>0</v>
      </c>
      <c r="KU17" s="553" t="b">
        <f t="shared" ref="KU17:KU26" si="256">IF(KF17=3,RANK(KI17,KI$17:KI$26))</f>
        <v>0</v>
      </c>
      <c r="KV17" s="553">
        <f t="shared" ref="KV17:KV26" si="257">IF(KU17=1,3,IF(KU17=2,4,IF(KU17=3,5,IF(KU17=4,6,IF(KU17=5,7,IF(KU17=6,8,IF(KU17=7,9,IF(KU17=8,10,0))))))))</f>
        <v>0</v>
      </c>
      <c r="KW17" s="553" t="b">
        <f t="shared" ref="KW17:KW26" si="258">IF(KF17=4,RANK(KJ17,KJ$17:KJ$26))</f>
        <v>0</v>
      </c>
      <c r="KX17" s="553">
        <f t="shared" ref="KX17:KX26" si="259">IF(KW17=1,4,IF(KW17=2,5,IF(KW17=3,6,IF(KW17=4,7,IF(KW17=5,8,IF(KW17=6,9,IF(KW17=7,10,0)))))))</f>
        <v>0</v>
      </c>
      <c r="KY17" s="553" t="b">
        <f t="shared" ref="KY17:KY26" si="260">IF(KF17=5,RANK(KK17,KK$17:KK$26))</f>
        <v>0</v>
      </c>
      <c r="KZ17" s="553">
        <f t="shared" ref="KZ17:KZ26" si="261">IF(KY17=1,5,IF(KY17=2,6,IF(KY17=3,7,IF(KY17=4,8,IF(KY17=5,9,IF(KY17=6,10,0))))))</f>
        <v>0</v>
      </c>
      <c r="LA17" s="553" t="b">
        <f t="shared" ref="LA17:LA26" si="262">IF(KF17=6,RANK(KL17,KL$17:KL$26))</f>
        <v>0</v>
      </c>
      <c r="LB17" s="553">
        <f t="shared" ref="LB17:LB26" si="263">IF(LA17=1,6,IF(LA17=2,7,IF(LA17=3,8,IF(LA17=4,9,IF(LA17=5,10,0)))))</f>
        <v>0</v>
      </c>
      <c r="LC17" s="553">
        <f t="shared" ref="LC17:LC26" si="264">IF(KF17=7,RANK(KM17,KM$17:KM$26))</f>
        <v>1</v>
      </c>
      <c r="LD17" s="553">
        <f t="shared" ref="LD17:LD26" si="265">IF(LC17=1,7,IF(LC17=2,8,IF(LC17=3,9,IF(LC17=4,10,0))))</f>
        <v>7</v>
      </c>
      <c r="LE17" s="553" t="b">
        <f t="shared" ref="LE17:LE26" si="266">IF(KF17=8,RANK(KN17,KN$17:KN$26))</f>
        <v>0</v>
      </c>
      <c r="LF17" s="553">
        <f t="shared" ref="LF17:LF26" si="267">IF(LE17=1,8,IF(LE17=2,9,IF(LE17=3,10,0)))</f>
        <v>0</v>
      </c>
      <c r="LG17" s="553" t="b">
        <f t="shared" ref="LG17:LG26" si="268">IF(KF17=9,RANK(KO17,KO$17:KO$26))</f>
        <v>0</v>
      </c>
      <c r="LH17" s="553">
        <f t="shared" ref="LH17:LH26" si="269">IF(LG17=1,9,IF(LG17=2,10,0))</f>
        <v>0</v>
      </c>
      <c r="LI17" s="553" t="b">
        <f t="shared" ref="LI17:LI26" si="270">IF(KF17=10,RANK(KP17,KP$17:KP$26))</f>
        <v>0</v>
      </c>
      <c r="LJ17" s="553">
        <f t="shared" ref="LJ17:LJ26" si="271">IF(LI17=1,10,0)</f>
        <v>0</v>
      </c>
      <c r="LK17" s="541">
        <f t="shared" ref="LK17:LK26" si="272">IF(KR17=1,1,IF(KR17=2,2,IF(KR17=3,3,IF(KR17=4,4,IF(KR17=5,5,IF(KR17=6,6,IF(KR17=7,7,IF(KR17=8,8,IF(KR17=9,9,IF(KR17=10,10,IF(KT17=2,2,IF(KT17=3,3,IF(KT17=4,4,IF(KT17=5,5,IF(KT17=6,6,IF(KT17=7,7,IF(KT17=8,8,IF(KT17=9,9,IF(KT17=10,10,IF(KV17=3,3,IF(KV17=4,4,IF(KV17=5,5,IF(KV17=6,6,IF(KV17=7,7,IF(KV17=8,8,IF(KV17=9,9,IF(KV17=10,10,IF(KX17=4,4,IF(KX17=5,5,IF(KX17=6,6,IF(KX17=7,7,IF(KX17=8,8,IF(KX17=9,9,IF(KX17=10,10,IF(KZ17=5,5,IF(KZ17=6,6,IF(KZ17=7,7,IF(KZ17=8,8,IF(KZ17=9,9,IF(KZ17=10,10,IF(LB17=6,6,IF(LB17=7,7,IF(LB17=8,8,IF(LB17=9,9,IF(LB17=10,10,IF(LD17=7,7,IF(LD17=8,8,IF(LD17=9,9,IF(LD17=10,10,IF(LF17=8,8,IF(LF17=9,9,IF(LF17=10,10,IF(LH17=9,9,IF(LH17=10,10,IF(LJ17=10,10,KF17)))))))))))))))))))))))))))))))))))))))))))))))))))))))</f>
        <v>7</v>
      </c>
      <c r="LL17" s="554">
        <f t="shared" ref="LL17:LL26" si="273">IF(LK17=1,QT17,0)</f>
        <v>0</v>
      </c>
      <c r="LM17" s="554">
        <f t="shared" ref="LM17:LM26" si="274">IF(LK17=2,QT17,0)</f>
        <v>0</v>
      </c>
      <c r="LN17" s="554">
        <f t="shared" ref="LN17:LN26" si="275">IF(LK17=3,QT17,0)</f>
        <v>0</v>
      </c>
      <c r="LO17" s="554">
        <f t="shared" ref="LO17:LO26" si="276">IF(LK17=4,QT17,0)</f>
        <v>0</v>
      </c>
      <c r="LP17" s="554">
        <f t="shared" ref="LP17:LP26" si="277">IF(LK17=5,QT17,0)</f>
        <v>0</v>
      </c>
      <c r="LQ17" s="554">
        <f t="shared" ref="LQ17:LQ26" si="278">IF(LK17=6,QT17,0)</f>
        <v>0</v>
      </c>
      <c r="LR17" s="554">
        <f t="shared" ref="LR17:LR26" si="279">IF(LK17=7,QT17,0)</f>
        <v>9</v>
      </c>
      <c r="LS17" s="554">
        <f t="shared" ref="LS17:LS26" si="280">IF(LK17=8,QT17,0)</f>
        <v>0</v>
      </c>
      <c r="LT17" s="554">
        <f t="shared" ref="LT17:LT26" si="281">IF(LK17=9,QT17,0)</f>
        <v>0</v>
      </c>
      <c r="LU17" s="554">
        <f t="shared" ref="LU17:LU26" si="282">IF(LK17=10,QT17,0)</f>
        <v>0</v>
      </c>
      <c r="LV17" s="553" t="b">
        <f t="shared" ref="LV17:LV26" si="283">IF(LK17=1,RANK(LL17,LL$17:LL$26,0))</f>
        <v>0</v>
      </c>
      <c r="LW17" s="551">
        <f t="shared" ref="LW17:LW26" si="284">IF(LV17=1,1,0)</f>
        <v>0</v>
      </c>
      <c r="LX17" s="553" t="b">
        <f t="shared" ref="LX17:LX26" si="285">IF(LK17=2,RANK(LM17,LM$17:LM$26))</f>
        <v>0</v>
      </c>
      <c r="LY17" s="553">
        <f t="shared" ref="LY17:LY26" si="286">IF(LX17=1,2,IF(LX17=2,3,IF(LX17=3,4,IF(LX17=4,5,IF(LX17=5,6,IF(LX17=6,7,IF(LX17=7,8,IF(LX17=8,9,IF(LX17=9,10,0)))))))))</f>
        <v>0</v>
      </c>
      <c r="LZ17" s="553" t="b">
        <f t="shared" ref="LZ17:LZ26" si="287">IF(LK17=3,RANK(LN17,LN$17:LN$26))</f>
        <v>0</v>
      </c>
      <c r="MA17" s="553">
        <f t="shared" ref="MA17:MA26" si="288">IF(LZ17=1,3,IF(LZ17=2,4,IF(LZ17=3,5,IF(LZ17=4,6,IF(LZ17=5,7,IF(LZ17=6,8,IF(LZ17=7,9,IF(LZ17=8,10,0))))))))</f>
        <v>0</v>
      </c>
      <c r="MB17" s="553" t="b">
        <f t="shared" ref="MB17:MB26" si="289">IF(LK17=4,RANK(LO17,LO$17:LO$26))</f>
        <v>0</v>
      </c>
      <c r="MC17" s="553">
        <f t="shared" ref="MC17:MC26" si="290">IF(MB17=1,4,IF(MB17=2,5,IF(MB17=3,6,IF(MB17=4,7,IF(MB17=5,8,IF(MB17=6,9,IF(MB17=7,10,0)))))))</f>
        <v>0</v>
      </c>
      <c r="MD17" s="553" t="b">
        <f t="shared" ref="MD17:MD26" si="291">IF(LK17=5,RANK(LP17,LP$17:LP$26))</f>
        <v>0</v>
      </c>
      <c r="ME17" s="553">
        <f t="shared" ref="ME17:ME26" si="292">IF(MD17=1,5,IF(MD17=2,6,IF(MD17=3,7,IF(MD17=4,8,IF(MD17=5,9,IF(MD17=6,10,0))))))</f>
        <v>0</v>
      </c>
      <c r="MF17" s="553" t="b">
        <f t="shared" ref="MF17:MF26" si="293">IF(LK17=6,RANK(LQ17,LQ$17:LQ$26))</f>
        <v>0</v>
      </c>
      <c r="MG17" s="553">
        <f t="shared" ref="MG17:MG26" si="294">IF(MF17=1,6,IF(MF17=2,7,IF(MF17=3,8,IF(MF17=4,9,IF(MF17=5,10,0)))))</f>
        <v>0</v>
      </c>
      <c r="MH17" s="553">
        <f t="shared" ref="MH17:MH26" si="295">IF(LK17=7,RANK(LR17,LR$17:LR$26))</f>
        <v>1</v>
      </c>
      <c r="MI17" s="553">
        <f t="shared" ref="MI17:MI26" si="296">IF(MH17=1,7,IF(MH17=2,8,IF(MH17=3,9,IF(MH17=4,10,0))))</f>
        <v>7</v>
      </c>
      <c r="MJ17" s="553" t="b">
        <f t="shared" ref="MJ17:MJ26" si="297">IF(LK17=8,RANK(LS17,LS$17:LS$26))</f>
        <v>0</v>
      </c>
      <c r="MK17" s="553">
        <f t="shared" ref="MK17:MK26" si="298">IF(MJ17=1,8,IF(MJ17=2,9,IF(MJ17=3,10,0)))</f>
        <v>0</v>
      </c>
      <c r="ML17" s="553" t="b">
        <f t="shared" ref="ML17:ML26" si="299">IF(LK17=9,RANK(LT17,LT$17:LT$26))</f>
        <v>0</v>
      </c>
      <c r="MM17" s="553">
        <f t="shared" ref="MM17:MM26" si="300">IF(ML17=1,9,IF(ML17=2,10,0))</f>
        <v>0</v>
      </c>
      <c r="MN17" s="553" t="b">
        <f t="shared" ref="MN17:MN26" si="301">IF(LK17=10,RANK(LU17,LU$17:LU$26))</f>
        <v>0</v>
      </c>
      <c r="MO17" s="553">
        <f t="shared" ref="MO17:MO26" si="302">IF(MN17=1,10,0)</f>
        <v>0</v>
      </c>
      <c r="MP17" s="541">
        <f t="shared" ref="MP17:MP26" si="303">IF(LW17=1,1,IF(LW17=2,2,IF(LW17=3,3,IF(LW17=4,4,IF(LW17=5,5,IF(LW17=6,6,IF(LW17=7,7,IF(LW17=8,8,IF(LW17=9,9,IF(LW17=10,10,IF(LY17=2,2,IF(LY17=3,3,IF(LY17=4,4,IF(LY17=5,5,IF(LY17=6,6,IF(LY17=7,7,IF(LY17=8,8,IF(LY17=9,9,IF(LY17=10,10,IF(MA17=3,3,IF(MA17=4,4,IF(MA17=5,5,IF(MA17=6,6,IF(MA17=7,7,IF(MA17=8,8,IF(MA17=9,9,IF(MA17=10,10,IF(MC17=4,4,IF(MC17=5,5,IF(MC17=6,6,IF(MC17=7,7,IF(MC17=8,8,IF(MC17=9,9,IF(MC17=10,10,IF(ME17=5,5,IF(ME17=6,6,IF(ME17=7,7,IF(ME17=8,8,IF(ME17=9,9,IF(ME17=10,10,IF(MG17=6,6,IF(MG17=7,7,IF(MG17=8,8,IF(MG17=9,9,IF(MG17=10,10,IF(MI17=7,7,IF(MI17=8,8,IF(MI17=9,9,IF(MI17=10,10,IF(MK17=8,8,IF(MK17=9,9,IF(MK17=10,10,IF(MM17=9,9,IF(MM17=10,10,IF(MO17=10,10,LK17)))))))))))))))))))))))))))))))))))))))))))))))))))))))</f>
        <v>7</v>
      </c>
      <c r="MQ17" s="554">
        <f t="shared" ref="MQ17:MQ26" si="304">IF(MP17=1,QV17,0)</f>
        <v>0</v>
      </c>
      <c r="MR17" s="554">
        <f t="shared" ref="MR17:MR26" si="305">IF(MP17=2,QV17,0)</f>
        <v>0</v>
      </c>
      <c r="MS17" s="554">
        <f t="shared" ref="MS17:MS26" si="306">IF(MP17=3,QV17,0)</f>
        <v>0</v>
      </c>
      <c r="MT17" s="554">
        <f t="shared" ref="MT17:MT26" si="307">IF(MP17=4,QV17,0)</f>
        <v>0</v>
      </c>
      <c r="MU17" s="554">
        <f t="shared" ref="MU17:MU26" si="308">IF(MP17=5,QV17,0)</f>
        <v>0</v>
      </c>
      <c r="MV17" s="554">
        <f t="shared" ref="MV17:MV26" si="309">IF(MP17=6,QV17,0)</f>
        <v>0</v>
      </c>
      <c r="MW17" s="554">
        <f t="shared" ref="MW17:MW26" si="310">IF(MP17=7,QV17,0)</f>
        <v>0</v>
      </c>
      <c r="MX17" s="554">
        <f t="shared" ref="MX17:MX26" si="311">IF(MP17=8,QV17,0)</f>
        <v>0</v>
      </c>
      <c r="MY17" s="554">
        <f t="shared" ref="MY17:MY26" si="312">IF(MP17=9,QV17,0)</f>
        <v>0</v>
      </c>
      <c r="MZ17" s="554">
        <f t="shared" ref="MZ17:MZ26" si="313">IF(MP17=10,QV17,0)</f>
        <v>0</v>
      </c>
      <c r="NA17" s="553" t="b">
        <f t="shared" ref="NA17:NA26" si="314">IF(MP17=1,RANK(MQ17,MQ$17:MQ$26,0))</f>
        <v>0</v>
      </c>
      <c r="NB17" s="551">
        <f t="shared" ref="NB17:NB26" si="315">IF(NA17=1,1,0)</f>
        <v>0</v>
      </c>
      <c r="NC17" s="553" t="b">
        <f t="shared" ref="NC17:NC26" si="316">IF(MP17=2,RANK(MR17,MR$17:MR$26))</f>
        <v>0</v>
      </c>
      <c r="ND17" s="553">
        <f t="shared" ref="ND17:ND26" si="317">IF(NC17=1,2,IF(NC17=2,3,IF(NC17=3,4,IF(NC17=4,5,IF(NC17=5,6,IF(NC17=6,7,IF(NC17=7,8,IF(NC17=8,9,IF(NC17=9,10,0)))))))))</f>
        <v>0</v>
      </c>
      <c r="NE17" s="553" t="b">
        <f t="shared" ref="NE17:NE26" si="318">IF(MP17=3,RANK(MS17,MS$17:MS$26))</f>
        <v>0</v>
      </c>
      <c r="NF17" s="553">
        <f t="shared" ref="NF17:NF26" si="319">IF(NE17=1,3,IF(NE17=2,4,IF(NE17=3,5,IF(NE17=4,6,IF(NE17=5,7,IF(NE17=6,8,IF(NE17=7,9,IF(NE17=8,10,0))))))))</f>
        <v>0</v>
      </c>
      <c r="NG17" s="553" t="b">
        <f t="shared" ref="NG17:NG26" si="320">IF(MP17=4,RANK(MT17,MT$17:MT$26))</f>
        <v>0</v>
      </c>
      <c r="NH17" s="553">
        <f t="shared" ref="NH17:NH26" si="321">IF(NG17=1,4,IF(NG17=2,5,IF(NG17=3,6,IF(NG17=4,7,IF(NG17=5,8,IF(NG17=6,9,IF(NG17=7,10,0)))))))</f>
        <v>0</v>
      </c>
      <c r="NI17" s="553" t="b">
        <f t="shared" ref="NI17:NI26" si="322">IF(MP17=5,RANK(MU17,MU$17:MU$26))</f>
        <v>0</v>
      </c>
      <c r="NJ17" s="553">
        <f t="shared" ref="NJ17:NJ26" si="323">IF(NI17=1,5,IF(NI17=2,6,IF(NI17=3,7,IF(NI17=4,8,IF(NI17=5,9,IF(NI17=6,10,0))))))</f>
        <v>0</v>
      </c>
      <c r="NK17" s="553" t="b">
        <f t="shared" ref="NK17:NK26" si="324">IF(MP17=6,RANK(MV17,MV$17:MV$26))</f>
        <v>0</v>
      </c>
      <c r="NL17" s="553">
        <f t="shared" ref="NL17:NL26" si="325">IF(NK17=1,6,IF(NK17=2,7,IF(NK17=3,8,IF(NK17=4,9,IF(NK17=5,10,0)))))</f>
        <v>0</v>
      </c>
      <c r="NM17" s="553">
        <f t="shared" ref="NM17:NM26" si="326">IF(MP17=7,RANK(MW17,MW$17:MW$26))</f>
        <v>1</v>
      </c>
      <c r="NN17" s="553">
        <f t="shared" ref="NN17:NN26" si="327">IF(NM17=1,7,IF(NM17=2,8,IF(NM17=3,9,IF(NM17=4,10,0))))</f>
        <v>7</v>
      </c>
      <c r="NO17" s="553" t="b">
        <f t="shared" ref="NO17:NO26" si="328">IF(MP17=8,RANK(MX17,MX$17:MX$26))</f>
        <v>0</v>
      </c>
      <c r="NP17" s="553">
        <f t="shared" ref="NP17:NP26" si="329">IF(NO17=1,8,IF(NO17=2,9,IF(NO17=3,10,0)))</f>
        <v>0</v>
      </c>
      <c r="NQ17" s="553" t="b">
        <f t="shared" ref="NQ17:NQ26" si="330">IF(MP17=9,RANK(MY17,MY$17:MY$26))</f>
        <v>0</v>
      </c>
      <c r="NR17" s="553">
        <f t="shared" ref="NR17:NR26" si="331">IF(NQ17=1,9,IF(NQ17=2,10,0))</f>
        <v>0</v>
      </c>
      <c r="NS17" s="553" t="b">
        <f t="shared" ref="NS17:NS26" si="332">IF(MP17=10,RANK(MZ17,MZ$17:MZ$26))</f>
        <v>0</v>
      </c>
      <c r="NT17" s="553">
        <f t="shared" ref="NT17:NT26" si="333">IF(NS17=1,10,0)</f>
        <v>0</v>
      </c>
      <c r="NU17" s="541">
        <f t="shared" ref="NU17:NU26" si="334">IF(NB17=1,1,IF(NB17=2,2,IF(NB17=3,3,IF(NB17=4,4,IF(NB17=5,5,IF(NB17=6,6,IF(NB17=7,7,IF(NB17=8,8,IF(NB17=9,9,IF(NB17=10,10,IF(ND17=2,2,IF(ND17=3,3,IF(ND17=4,4,IF(ND17=5,5,IF(ND17=6,6,IF(ND17=7,7,IF(ND17=8,8,IF(ND17=9,9,IF(ND17=10,10,IF(NF17=3,3,IF(NF17=4,4,IF(NF17=5,5,IF(NF17=6,6,IF(NF17=7,7,IF(NF17=8,8,IF(NF17=9,9,IF(NF17=10,10,IF(NH17=4,4,IF(NH17=5,5,IF(NH17=6,6,IF(NH17=7,7,IF(NH17=8,8,IF(NH17=9,9,IF(NH17=10,10,IF(NJ17=5,5,IF(NJ17=6,6,IF(NJ17=7,7,IF(NJ17=8,8,IF(NJ17=9,9,IF(NJ17=10,10,IF(NL17=6,6,IF(NL17=7,7,IF(NL17=8,8,IF(NL17=9,9,IF(NL17=10,10,IF(NN17=7,7,IF(NN17=8,8,IF(NN17=9,9,IF(NN17=10,10,IF(NP17=8,8,IF(NP17=9,9,IF(NP17=10,10,IF(NR17=9,9,IF(NR17=10,10,IF(NT17=10,10,MP17)))))))))))))))))))))))))))))))))))))))))))))))))))))))</f>
        <v>7</v>
      </c>
      <c r="NV17" s="554">
        <f t="shared" ref="NV17:NV26" si="335">IF(NU17=1,QX17,0)</f>
        <v>0</v>
      </c>
      <c r="NW17" s="554">
        <f t="shared" ref="NW17:NW26" si="336">IF(NU17=2,QX17,0)</f>
        <v>0</v>
      </c>
      <c r="NX17" s="554">
        <f t="shared" ref="NX17:NX26" si="337">IF(NU17=3,QX17,0)</f>
        <v>0</v>
      </c>
      <c r="NY17" s="554">
        <f t="shared" ref="NY17:NY26" si="338">IF(NU17=4,QX17,0)</f>
        <v>0</v>
      </c>
      <c r="NZ17" s="554">
        <f t="shared" ref="NZ17:NZ26" si="339">IF(NU17=5,QX17,0)</f>
        <v>0</v>
      </c>
      <c r="OA17" s="554">
        <f t="shared" ref="OA17:OA26" si="340">IF(NU17=6,QX17,0)</f>
        <v>0</v>
      </c>
      <c r="OB17" s="554">
        <f t="shared" ref="OB17:OB26" si="341">IF(NU17=7,QX17,0)</f>
        <v>0</v>
      </c>
      <c r="OC17" s="554">
        <f t="shared" ref="OC17:OC26" si="342">IF(NU17=8,QX17,0)</f>
        <v>0</v>
      </c>
      <c r="OD17" s="554">
        <f t="shared" ref="OD17:OD26" si="343">IF(NU17=9,QX17,0)</f>
        <v>0</v>
      </c>
      <c r="OE17" s="554">
        <f t="shared" ref="OE17:OE26" si="344">IF(NU17=10,QX17,0)</f>
        <v>0</v>
      </c>
      <c r="OF17" s="553" t="b">
        <f t="shared" ref="OF17:OF26" si="345">IF(NU17=1,RANK(NV17,NV$17:NV$26,0))</f>
        <v>0</v>
      </c>
      <c r="OG17" s="551">
        <f t="shared" ref="OG17:OG26" si="346">IF(OF17=1,1,0)</f>
        <v>0</v>
      </c>
      <c r="OH17" s="553" t="b">
        <f t="shared" ref="OH17:OH26" si="347">IF(NU17=2,RANK(NW17,NW$17:NW$26))</f>
        <v>0</v>
      </c>
      <c r="OI17" s="553">
        <f t="shared" ref="OI17:OI26" si="348">IF(OH17=1,2,IF(OH17=2,3,IF(OH17=3,4,IF(OH17=4,5,IF(OH17=5,6,IF(OH17=6,7,IF(OH17=7,8,IF(OH17=8,9,IF(OH17=9,10,0)))))))))</f>
        <v>0</v>
      </c>
      <c r="OJ17" s="553" t="b">
        <f t="shared" ref="OJ17:OJ26" si="349">IF(NU17=3,RANK(NX17,NX$17:NX$26))</f>
        <v>0</v>
      </c>
      <c r="OK17" s="553">
        <f t="shared" ref="OK17:OK26" si="350">IF(OJ17=1,3,IF(OJ17=2,4,IF(OJ17=3,5,IF(OJ17=4,6,IF(OJ17=5,7,IF(OJ17=6,8,IF(OJ17=7,9,IF(OJ17=8,10,0))))))))</f>
        <v>0</v>
      </c>
      <c r="OL17" s="553" t="b">
        <f t="shared" ref="OL17:OL26" si="351">IF(NU17=4,RANK(NY17,NY$17:NY$26))</f>
        <v>0</v>
      </c>
      <c r="OM17" s="553">
        <f t="shared" ref="OM17:OM26" si="352">IF(OL17=1,4,IF(OL17=2,5,IF(OL17=3,6,IF(OL17=4,7,IF(OL17=5,8,IF(OL17=6,9,IF(OL17=7,10,0)))))))</f>
        <v>0</v>
      </c>
      <c r="ON17" s="553" t="b">
        <f t="shared" ref="ON17:ON26" si="353">IF(NU17=5,RANK(NZ17,NZ$17:NZ$26))</f>
        <v>0</v>
      </c>
      <c r="OO17" s="553">
        <f t="shared" ref="OO17:OO26" si="354">IF(ON17=1,5,IF(ON17=2,6,IF(ON17=3,7,IF(ON17=4,8,IF(ON17=5,9,IF(ON17=6,10,0))))))</f>
        <v>0</v>
      </c>
      <c r="OP17" s="553" t="b">
        <f t="shared" ref="OP17:OP26" si="355">IF(NU17=6,RANK(OA17,OA$17:OA$26))</f>
        <v>0</v>
      </c>
      <c r="OQ17" s="553">
        <f t="shared" ref="OQ17:OQ26" si="356">IF(OP17=1,6,IF(OP17=2,7,IF(OP17=3,8,IF(OP17=4,9,IF(OP17=5,10,0)))))</f>
        <v>0</v>
      </c>
      <c r="OR17" s="553">
        <f t="shared" ref="OR17:OR26" si="357">IF(NU17=7,RANK(OB17,OB$17:OB$26))</f>
        <v>1</v>
      </c>
      <c r="OS17" s="553">
        <f t="shared" ref="OS17:OS26" si="358">IF(OR17=1,7,IF(OR17=2,8,IF(OR17=3,9,IF(OR17=4,10,0))))</f>
        <v>7</v>
      </c>
      <c r="OT17" s="553" t="b">
        <f t="shared" ref="OT17:OT26" si="359">IF(NU17=8,RANK(OC17,OC$17:OC$26))</f>
        <v>0</v>
      </c>
      <c r="OU17" s="553">
        <f t="shared" ref="OU17:OU26" si="360">IF(OT17=1,8,IF(OT17=2,9,IF(OT17=3,10,0)))</f>
        <v>0</v>
      </c>
      <c r="OV17" s="553" t="b">
        <f t="shared" ref="OV17:OV26" si="361">IF(NU17=9,RANK(OD17,OD$17:OD$26))</f>
        <v>0</v>
      </c>
      <c r="OW17" s="553">
        <f t="shared" ref="OW17:OW26" si="362">IF(OV17=1,9,IF(OV17=2,10,0))</f>
        <v>0</v>
      </c>
      <c r="OX17" s="553" t="b">
        <f t="shared" ref="OX17:OX26" si="363">IF(NU17=10,RANK(OE17,OE$17:OE$26))</f>
        <v>0</v>
      </c>
      <c r="OY17" s="553">
        <f t="shared" ref="OY17:OY26" si="364">IF(OX17=1,10,0)</f>
        <v>0</v>
      </c>
      <c r="OZ17" s="541">
        <f t="shared" ref="OZ17:OZ26" si="365">IF(OG17=1,1,IF(OG17=2,2,IF(OG17=3,3,IF(OG17=4,4,IF(OG17=5,5,IF(OG17=6,6,IF(OG17=7,7,IF(OG17=8,8,IF(OG17=9,9,IF(OG17=10,10,IF(OI17=2,2,IF(OI17=3,3,IF(OI17=4,4,IF(OI17=5,5,IF(OI17=6,6,IF(OI17=7,7,IF(OI17=8,8,IF(OI17=9,9,IF(OI17=10,10,IF(OK17=3,3,IF(OK17=4,4,IF(OK17=5,5,IF(OK17=6,6,IF(OK17=7,7,IF(OK17=8,8,IF(OK17=9,9,IF(OK17=10,10,IF(OM17=4,4,IF(OM17=5,5,IF(OM17=6,6,IF(OM17=7,7,IF(OM17=8,8,IF(OM17=9,9,IF(OM17=10,10,IF(OO17=5,5,IF(OO17=6,6,IF(OO17=7,7,IF(OO17=8,8,IF(OO17=9,9,IF(OO17=10,10,IF(OQ17=6,6,IF(OQ17=7,7,IF(OQ17=8,8,IF(OQ17=9,9,IF(OQ17=10,10,IF(OS17=7,7,IF(OS17=8,8,IF(OS17=9,9,IF(OS17=10,10,IF(OU17=8,8,IF(OU17=9,9,IF(OU17=10,10,IF(OW17=9,9,IF(OW17=10,10,IF(OY17=10,10,NU17)))))))))))))))))))))))))))))))))))))))))))))))))))))))</f>
        <v>7</v>
      </c>
      <c r="PA17" s="554">
        <f t="shared" ref="PA17:PA26" si="366">IF(OZ17=1,RA17,0)</f>
        <v>0</v>
      </c>
      <c r="PB17" s="554">
        <f t="shared" ref="PB17:PB26" si="367">IF(OZ17=2,RA17,0)</f>
        <v>0</v>
      </c>
      <c r="PC17" s="554">
        <f t="shared" ref="PC17:PC26" si="368">IF(OZ17=3,RA17,0)</f>
        <v>0</v>
      </c>
      <c r="PD17" s="554">
        <f t="shared" ref="PD17:PD26" si="369">IF(OZ17=4,RA17,0)</f>
        <v>0</v>
      </c>
      <c r="PE17" s="554">
        <f t="shared" ref="PE17:PE26" si="370">IF(OZ17=5,RA17,0)</f>
        <v>0</v>
      </c>
      <c r="PF17" s="554">
        <f t="shared" ref="PF17:PF26" si="371">IF(OZ17=6,RA17,0)</f>
        <v>0</v>
      </c>
      <c r="PG17" s="554">
        <f t="shared" ref="PG17:PG26" si="372">IF(OZ17=7,RA17,0)</f>
        <v>0</v>
      </c>
      <c r="PH17" s="554">
        <f t="shared" ref="PH17:PH26" si="373">IF(OZ17=8,RA17,0)</f>
        <v>0</v>
      </c>
      <c r="PI17" s="554">
        <f t="shared" ref="PI17:PI26" si="374">IF(OZ17=9,RA17,0)</f>
        <v>0</v>
      </c>
      <c r="PJ17" s="554">
        <f t="shared" ref="PJ17:PJ26" si="375">IF(OZ17=10,RA17,0)</f>
        <v>0</v>
      </c>
      <c r="PK17" s="553" t="b">
        <f t="shared" ref="PK17:PK26" si="376">IF(OZ17=1,RANK(PA17,PA$17:PA$26,0))</f>
        <v>0</v>
      </c>
      <c r="PL17" s="551">
        <f t="shared" ref="PL17:PL26" si="377">IF(PK17=1,1,0)</f>
        <v>0</v>
      </c>
      <c r="PM17" s="553" t="b">
        <f t="shared" ref="PM17:PM26" si="378">IF(OZ17=2,RANK(PB17,PB$17:PB$26))</f>
        <v>0</v>
      </c>
      <c r="PN17" s="553">
        <f t="shared" ref="PN17:PN26" si="379">IF(PM17=1,2,IF(PM17=2,3,IF(PM17=3,4,IF(PM17=4,5,IF(PM17=5,6,IF(PM17=6,7,IF(PM17=7,8,IF(PM17=8,9,IF(PM17=9,10,0)))))))))</f>
        <v>0</v>
      </c>
      <c r="PO17" s="553" t="b">
        <f t="shared" ref="PO17:PO26" si="380">IF(OZ17=3,RANK(PC17,PC$17:PC$26))</f>
        <v>0</v>
      </c>
      <c r="PP17" s="553">
        <f t="shared" ref="PP17:PP26" si="381">IF(PO17=1,3,IF(PO17=2,4,IF(PO17=3,5,IF(PO17=4,6,IF(PO17=5,7,IF(PO17=6,8,IF(PO17=7,9,IF(PO17=8,10,0))))))))</f>
        <v>0</v>
      </c>
      <c r="PQ17" s="553" t="b">
        <f t="shared" ref="PQ17:PQ26" si="382">IF(OZ17=4,RANK(PD17,PD$17:PD$26))</f>
        <v>0</v>
      </c>
      <c r="PR17" s="553">
        <f t="shared" ref="PR17:PR26" si="383">IF(PQ17=1,4,IF(PQ17=2,5,IF(PQ17=3,6,IF(PQ17=4,7,IF(PQ17=5,8,IF(PQ17=6,9,IF(PQ17=7,10,0)))))))</f>
        <v>0</v>
      </c>
      <c r="PS17" s="553" t="b">
        <f t="shared" ref="PS17:PS26" si="384">IF(OZ17=5,RANK(PE17,PE$17:PE$26))</f>
        <v>0</v>
      </c>
      <c r="PT17" s="553">
        <f t="shared" ref="PT17:PT26" si="385">IF(PS17=1,5,IF(PS17=2,6,IF(PS17=3,7,IF(PS17=4,8,IF(PS17=5,9,IF(PS17=6,10,0))))))</f>
        <v>0</v>
      </c>
      <c r="PU17" s="553" t="b">
        <f t="shared" ref="PU17:PU26" si="386">IF(OZ17=6,RANK(PF17,PF$17:PF$26))</f>
        <v>0</v>
      </c>
      <c r="PV17" s="553">
        <f t="shared" ref="PV17:PV26" si="387">IF(PU17=1,6,IF(PU17=2,7,IF(PU17=3,8,IF(PU17=4,9,IF(PU17=5,10,0)))))</f>
        <v>0</v>
      </c>
      <c r="PW17" s="553">
        <f t="shared" ref="PW17:PW26" si="388">IF(OZ17=7,RANK(PG17,PG$17:PG$26))</f>
        <v>1</v>
      </c>
      <c r="PX17" s="553">
        <f t="shared" ref="PX17:PX26" si="389">IF(PW17=1,7,IF(PW17=2,8,IF(PW17=3,9,IF(PW17=4,10,0))))</f>
        <v>7</v>
      </c>
      <c r="PY17" s="553" t="b">
        <f t="shared" ref="PY17:PY26" si="390">IF(OZ17=8,RANK(PH17,PH$17:PH$26))</f>
        <v>0</v>
      </c>
      <c r="PZ17" s="553">
        <f t="shared" ref="PZ17:PZ26" si="391">IF(PY17=1,8,IF(PY17=2,9,IF(PY17=3,10,0)))</f>
        <v>0</v>
      </c>
      <c r="QA17" s="553" t="b">
        <f t="shared" ref="QA17:QA26" si="392">IF(OZ17=9,RANK(PI17,PI$17:PI$26))</f>
        <v>0</v>
      </c>
      <c r="QB17" s="553">
        <f t="shared" ref="QB17:QB26" si="393">IF(QA17=1,9,IF(QA17=2,10,0))</f>
        <v>0</v>
      </c>
      <c r="QC17" s="553" t="b">
        <f t="shared" ref="QC17:QC26" si="394">IF(OZ17=10,RANK(PJ17,PJ$17:PJ$26))</f>
        <v>0</v>
      </c>
      <c r="QD17" s="553">
        <f t="shared" ref="QD17:QD26" si="395">IF(QC17=1,10,0)</f>
        <v>0</v>
      </c>
      <c r="QE17" s="541">
        <f t="shared" ref="QE17:QE26" si="396">IF(PL17=1,1,IF(PL17=2,2,IF(PL17=3,3,IF(PL17=4,4,IF(PL17=5,5,IF(PL17=6,6,IF(PL17=7,7,IF(PL17=8,8,IF(PL17=9,9,IF(PL17=10,10,IF(PN17=2,2,IF(PN17=3,3,IF(PN17=4,4,IF(PN17=5,5,IF(PN17=6,6,IF(PN17=7,7,IF(PN17=8,8,IF(PN17=9,9,IF(PN17=10,10,IF(PP17=3,3,IF(PP17=4,4,IF(PP17=5,5,IF(PP17=6,6,IF(PP17=7,7,IF(PP17=8,8,IF(PP17=9,9,IF(PP17=10,10,IF(PR17=4,4,IF(PR17=5,5,IF(PR17=6,6,IF(PR17=7,7,IF(PR17=8,8,IF(PR17=9,9,IF(PR17=10,10,IF(PT17=5,5,IF(PT17=6,6,IF(PT17=7,7,IF(PT17=8,8,IF(PT17=9,9,IF(PT17=10,10,IF(PV17=6,6,IF(PV17=7,7,IF(PV17=8,8,IF(PV17=9,9,IF(PV17=10,10,IF(PX17=7,7,IF(PX17=8,8,IF(PX17=9,9,IF(PX17=10,10,IF(PZ17=8,8,IF(PZ17=9,9,IF(PZ17=10,10,IF(QB17=9,9,IF(QB17=10,10,IF(QD17=10,10,OZ17)))))))))))))))))))))))))))))))))))))))))))))))))))))))</f>
        <v>7</v>
      </c>
      <c r="QF17" s="555" t="str">
        <f t="shared" ref="QF17:QF26" si="397">IF(QE17=1,"1st",IF(QE17=2,"2nd",IF(QE17=3,"3rd",IF(QE17=4,"4th",IF(QE17=5,"5th",IF(QE17=6,"6th",IF(QE17=7,"7th",IF(QE17=8,"8th",IF(QE17=9,"9th",IF(QE17=10,"10th"))))))))))</f>
        <v>7th</v>
      </c>
      <c r="QG17" s="556" t="s">
        <v>4606</v>
      </c>
      <c r="QH17" s="557">
        <f>'print 10 lane'!J148</f>
        <v>6</v>
      </c>
      <c r="QI17" s="558" t="s">
        <v>4607</v>
      </c>
      <c r="QJ17" s="557">
        <f>'print 10 lane'!J149</f>
        <v>3</v>
      </c>
      <c r="QK17" s="559" t="s">
        <v>4608</v>
      </c>
      <c r="QL17" s="560">
        <f>'print 10 lane'!J150</f>
        <v>4</v>
      </c>
      <c r="QM17" s="561" t="s">
        <v>4609</v>
      </c>
      <c r="QN17" s="562">
        <f>'print 10 lane'!J151</f>
        <v>7</v>
      </c>
      <c r="QO17" s="563" t="s">
        <v>4610</v>
      </c>
      <c r="QP17" s="562">
        <f>'print 10 lane'!J152</f>
        <v>7</v>
      </c>
      <c r="QQ17" s="564" t="s">
        <v>4611</v>
      </c>
      <c r="QR17" s="562">
        <f>'print 10 lane'!J153</f>
        <v>7</v>
      </c>
      <c r="QS17" s="565" t="s">
        <v>4612</v>
      </c>
      <c r="QT17" s="562">
        <f>'print 10 lane'!J154</f>
        <v>9</v>
      </c>
      <c r="QU17" s="566" t="s">
        <v>4613</v>
      </c>
      <c r="QV17" s="562">
        <f>'print 10 lane'!J155</f>
        <v>0</v>
      </c>
      <c r="QW17" s="567" t="s">
        <v>4614</v>
      </c>
      <c r="QX17" s="562">
        <f>'print 10 lane'!J156</f>
        <v>0</v>
      </c>
      <c r="QY17" s="568" t="s">
        <v>4615</v>
      </c>
      <c r="QZ17" s="562">
        <f>'print 10 lane'!J157</f>
        <v>0</v>
      </c>
      <c r="RC17" s="569" t="e">
        <f t="shared" ref="RC17:RC26" si="398">IF(CW17=0,0,SUM(CX17*B$4,IF(B$4=0,SUM(CX17+D$4))))+D17</f>
        <v>#REF!</v>
      </c>
      <c r="RD17" s="570">
        <f t="shared" ref="RD17:RD26" si="399">IF(D17=0,0,SUM(DA17,E17))</f>
        <v>0</v>
      </c>
      <c r="RR17" s="502">
        <f t="shared" ref="RR17:RR26" si="400">B17</f>
        <v>1</v>
      </c>
      <c r="RS17" s="1183" t="str">
        <f t="shared" ref="RS17:RS26" si="401">G17</f>
        <v>BRAINTREE &amp; BOCKING</v>
      </c>
      <c r="RT17" s="1183"/>
      <c r="RU17" s="1183"/>
      <c r="RV17" s="1183"/>
      <c r="RW17" s="1184" t="str">
        <f t="shared" ref="RW17:RW26" si="402">H17</f>
        <v>1st</v>
      </c>
      <c r="RX17" s="1184"/>
      <c r="RY17" s="1184" t="e">
        <f t="shared" ref="RY17:RY26" si="403">J17</f>
        <v>#REF!</v>
      </c>
      <c r="RZ17" s="1184"/>
      <c r="SA17" s="1184"/>
      <c r="SB17" s="571">
        <f t="shared" ref="SB17:SB26" si="404">M17</f>
        <v>252</v>
      </c>
      <c r="SC17" s="572" t="str">
        <f t="shared" ref="SC17:SC26" si="405">U17</f>
        <v>1st</v>
      </c>
      <c r="SD17" s="573">
        <f t="shared" ref="SD17:SD26" si="406">X17</f>
        <v>0</v>
      </c>
      <c r="SE17" s="574" t="b">
        <f t="shared" ref="SE17:SE26" si="407">AA17</f>
        <v>0</v>
      </c>
      <c r="SF17" s="575">
        <f t="shared" ref="SF17:SF26" si="408">IF(AJF17=0,0,RANK(AJF17,AJF$17:AJF$26))</f>
        <v>0</v>
      </c>
      <c r="SG17" s="575">
        <f t="shared" ref="SG17:SG26" si="409">IF(SF17=1,AJG17,0)</f>
        <v>0</v>
      </c>
      <c r="SH17" s="576" t="b">
        <f t="shared" ref="SH17:SH26" si="410">IF(SF17=1,RANK(SG17,SG$17:SG$26))</f>
        <v>0</v>
      </c>
      <c r="SI17" s="575">
        <f t="shared" ref="SI17:SI26" si="411">IF(SH17=1,1,IF(SH17=2,2,IF(SH17=3,3,IF(SH17=4,4,IF(SH17=5,5,IF(SH17=6,6,IF(SH17=7,7,IF(SH17=8,8,IF(SH17=9,9,IF(SH17=10,0,0))))))))))</f>
        <v>0</v>
      </c>
      <c r="SJ17" s="575">
        <f t="shared" ref="SJ17:SJ26" si="412">IF(SF17=2,AJG17,0)</f>
        <v>0</v>
      </c>
      <c r="SK17" s="576" t="b">
        <f t="shared" ref="SK17:SK26" si="413">IF(SF17=2,RANK(SJ17,SJ$17:SJ$26))</f>
        <v>0</v>
      </c>
      <c r="SL17" s="575">
        <f t="shared" ref="SL17:SL26" si="414">IF(SK17=1,2,IF(SK17=2,3,IF(SK17=3,4,IF(SK17=4,5,IF(SK17=5,6,IF(SK17=6,7,IF(SK17=7,8,IF(SK17=8,9,IF(SK17=9,10,0)))))))))</f>
        <v>0</v>
      </c>
      <c r="SM17" s="575">
        <f t="shared" ref="SM17:SM26" si="415">IF(SF17=3,AJG17,0)</f>
        <v>0</v>
      </c>
      <c r="SN17" s="576" t="b">
        <f t="shared" ref="SN17:SN26" si="416">IF(SF17=3,RANK(SM17,SM$17:SM$26))</f>
        <v>0</v>
      </c>
      <c r="SO17" s="575">
        <f t="shared" ref="SO17:SO26" si="417">IF(SN17=1,3,IF(SN17=2,4,IF(SN17=3,5,IF(SN17=4,6,IF(SN17=5,7,IF(SN17=6,8,IF(SN17=7,9,IF(SN17=8,10,0))))))))</f>
        <v>0</v>
      </c>
      <c r="SP17" s="575" t="e">
        <f t="shared" ref="SP17:SP26" si="418">IF($AB17=4,$RD17,0)</f>
        <v>#REF!</v>
      </c>
      <c r="SQ17" s="576" t="e">
        <f t="shared" ref="SQ17:SQ26" si="419">IF($AB17=4,RANK(SP17,SP$17:SP$26))</f>
        <v>#REF!</v>
      </c>
      <c r="SR17" s="575" t="e">
        <f t="shared" ref="SR17:SR26" si="420">IF(SQ17=1,4,IF(SQ17=2,5,IF(SQ17=3,6,IF(SQ17=4,7,IF(SQ17=5,8,IF(SQ17=6,9,IF(SQ17=7,10,0)))))))</f>
        <v>#REF!</v>
      </c>
      <c r="SS17" s="575" t="e">
        <f t="shared" ref="SS17:SS26" si="421">IF($AB17=5,$RD17,0)</f>
        <v>#REF!</v>
      </c>
      <c r="ST17" s="576" t="e">
        <f t="shared" ref="ST17:ST26" si="422">IF($AB17=5,RANK(SS17,SS$17:SS$26))</f>
        <v>#REF!</v>
      </c>
      <c r="SU17" s="575" t="e">
        <f t="shared" ref="SU17:SU26" si="423">IF(ST17=1,5,IF(ST17=2,6,IF(ST17=3,7,IF(ST17=4,8,IF(ST17=5,9,IF(ST17=6,10,0))))))</f>
        <v>#REF!</v>
      </c>
      <c r="SV17" s="575" t="e">
        <f t="shared" ref="SV17:SV26" si="424">IF($AB17=6,$RD17,0)</f>
        <v>#REF!</v>
      </c>
      <c r="SW17" s="576" t="e">
        <f t="shared" ref="SW17:SW26" si="425">IF($AB17=6,RANK(SV17,SV$17:SV$26))</f>
        <v>#REF!</v>
      </c>
      <c r="SX17" s="575" t="e">
        <f t="shared" ref="SX17:SX26" si="426">IF(SW17=1,6,IF(SW17=2,7,IF(SW17=3,8,IF(SW17=4,9,IF(SW17=5,10,0)))))</f>
        <v>#REF!</v>
      </c>
      <c r="SY17" s="575" t="e">
        <f t="shared" ref="SY17:SY26" si="427">IF($AB17=7,$RD17,0)</f>
        <v>#REF!</v>
      </c>
      <c r="SZ17" s="576" t="e">
        <f t="shared" ref="SZ17:SZ26" si="428">IF($AB17=7,RANK(SY17,SY$17:SY$26))</f>
        <v>#REF!</v>
      </c>
      <c r="TA17" s="575" t="e">
        <f t="shared" ref="TA17:TA26" si="429">IF(SZ17=1,7,IF(SZ17=2,8,IF(SZ17=3,9,IF(SZ17=4,10,0))))</f>
        <v>#REF!</v>
      </c>
      <c r="TB17" s="575" t="e">
        <f t="shared" ref="TB17:TB26" si="430">IF($AB17=8,$RD17,0)</f>
        <v>#REF!</v>
      </c>
      <c r="TC17" s="576" t="e">
        <f t="shared" ref="TC17:TC26" si="431">IF($AB17=8,RANK(TB17,TB$17:TB$26))</f>
        <v>#REF!</v>
      </c>
      <c r="TD17" s="575" t="e">
        <f t="shared" ref="TD17:TD26" si="432">IF(TC17=1,8,IF(TC17=2,9,IF(TC17=3,10,0)))</f>
        <v>#REF!</v>
      </c>
      <c r="TE17" s="575" t="e">
        <f t="shared" ref="TE17:TE26" si="433">IF($AB17=9,$RD17,0)</f>
        <v>#REF!</v>
      </c>
      <c r="TF17" s="576" t="e">
        <f t="shared" ref="TF17:TF26" si="434">IF($AB17=9,RANK(TE17,TE$17:TE$26))</f>
        <v>#REF!</v>
      </c>
      <c r="TG17" s="575" t="e">
        <f t="shared" ref="TG17:TG26" si="435">IF(TF17=1,9,IF(TF17=2,10,0))</f>
        <v>#REF!</v>
      </c>
      <c r="TH17" s="575" t="e">
        <f t="shared" ref="TH17:TH26" si="436">IF($AB17=10,$RD17,0)</f>
        <v>#REF!</v>
      </c>
      <c r="TI17" s="576" t="e">
        <f t="shared" ref="TI17:TI26" si="437">IF($AB17=10,RANK(TH17,TH$17:TH$26))</f>
        <v>#REF!</v>
      </c>
      <c r="TJ17" s="575" t="e">
        <f t="shared" ref="TJ17:TJ26" si="438">IF(TI17=1,10,0)</f>
        <v>#REF!</v>
      </c>
      <c r="TK17" s="575" t="e">
        <f>IF(#REF!=0,0,IF(SI17=1,1,IF(SI17=2,2,IF(SI17=3,3,IF(SI17=4,4,IF(SI17=5,5,IF(SI17=6,6,IF(SI17=7,7,IF(SI17=8,8,IF(SI17=9,9,IF(SI17=10,10,IF(SL17=2,2,IF(SL17=3,3,IF(SL17=4,4,IF(SL17=5,5,IF(SL17=6,6,IF(SL17=7,7,IF(SL17=8,8,IF(SL17=9,9,IF(SL17=10,10,IF(SO17=3,3,IF(SO17=4,4,IF(SO17=5,5,IF(SO17=6,6,IF(SO17=7,7,IF(SO17=8,8,IF(SO17=9,9,IF(SO17=10,10,IF(SR17=4,4,IF(SR17=5,5,IF(SR17=6,6,IF(SR17=7,7,IF(SR17=8,8,IF(SR17=9,9,IF(SR17=10,10,IF(SU17=5,5,IF(SU17=6,6,IF(SU17=7,7,IF(SU17=8,8,IF(SU17=9,9,IF(SU17=10,10,IF(SX17=6,6,IF(SX17=5,5,IF(SX17=7,7,IF(SX17=8,8,IF(SX17=9,9,IF(SX17=10,10,IF(TA17=7,7,IF(TA17=8,8,IF(TA17=9,9,IF(TA17=10,10,IF(TD17=8,8,IF(TD17=9,9,IF(TD17=10,10,IF(TG17=9,9,IF(TG17=10,10,IF(TI17=10,10,(SF17))))))))))))))))))))))))))))))))))))))))))))))))))))))))))</f>
        <v>#REF!</v>
      </c>
      <c r="TL17" s="575" t="e">
        <f>IF(#REF!=0,0,IF(TK17=1,"1st",IF(TK17=2,"2nd",IF(TK17=3,"3rd",IF(TK17=4,"4th",IF(TK17=5,"5th",IF(TK17=6,"6th",IF(TK17=7,"7th",IF(TK17=8,"8th",IF(TK17=9,"9th",IF(TK17=10,"10th")))))))))))</f>
        <v>#REF!</v>
      </c>
      <c r="TM17" s="1186" t="e">
        <f t="shared" ref="TM17:TM26" si="439">IF(TL17=0,0,UZ17)</f>
        <v>#REF!</v>
      </c>
      <c r="TN17" s="1186"/>
      <c r="TO17" s="1186"/>
      <c r="TP17" s="1187">
        <f t="shared" ref="TP17:TP26" si="440">BM17</f>
        <v>0</v>
      </c>
      <c r="TQ17" s="1187"/>
      <c r="TR17" s="1187"/>
    </row>
    <row r="18" spans="1:538" ht="30" customHeight="1" x14ac:dyDescent="0.25">
      <c r="A18" s="451" t="str">
        <f t="shared" si="1"/>
        <v>STEVENAGE</v>
      </c>
      <c r="B18" s="577">
        <f>'Gala Setup'!$N5</f>
        <v>2</v>
      </c>
      <c r="C18" s="524" t="str">
        <f>'Gala Setup'!P5</f>
        <v>STEVENAGE</v>
      </c>
      <c r="D18" s="578"/>
      <c r="E18" s="579"/>
      <c r="F18" s="452"/>
      <c r="G18" s="527" t="str">
        <f>IF($CG$17="2nd",CC$17,IF($CG$18="2nd",CC$18,IF($CG$19="2nd",CC$19,IF($CG$20="2nd",CC$20,IF($CG$21="2nd",CC$21,IF($CG$22="2nd",CC$22,IF($CG$23="2nd",CC$23,IF($CG$24="2nd",CC$24,IF($CG$25="2nd",CC$25,IF($CG$26="2nd",CC$26,"More results required for accuracy"))))))))))</f>
        <v>AYLESBURY</v>
      </c>
      <c r="H18" s="528" t="str">
        <f>IF(C18=0,0,"2nd")</f>
        <v>2nd</v>
      </c>
      <c r="I18" s="528" t="e">
        <f>IF($CG$17="2nd",CE$17,IF($CG$18="2nd",CE$18,IF($CG$19="2nd",CE$19,IF($CG$20="2nd",CE$20,IF($CG$21="2nd",CE$21,IF($CG$22="2nd",CE$22,IF($CG$23="2nd",CE$23,IF($CG$24="2nd",CE$24,IF($CG$25="2nd",CE$25,IF($CG$26="2nd",CE$26))))))))))</f>
        <v>#REF!</v>
      </c>
      <c r="J18" s="529" t="e">
        <f t="shared" si="2"/>
        <v>#REF!</v>
      </c>
      <c r="K18" s="529" t="e">
        <f t="shared" si="3"/>
        <v>#REF!</v>
      </c>
      <c r="L18" s="530"/>
      <c r="M18" s="530">
        <f>IF($CG$17="2nd",CF$17,IF($CG$18="2nd",CF$18,IF($CG$19="2nd",CF$19,IF($CG$20="2nd",CF$20,IF($CG$21="2nd",CF$21,IF($CG$22="2nd",CF$22,IF($CG$23="2nd",CF$23,IF($CG$24="2nd",CF$24,IF($CG$25="2nd",CF$25,IF($CG$26="2nd",CF$26))))))))))</f>
        <v>241</v>
      </c>
      <c r="N18" s="1200"/>
      <c r="O18" s="1200"/>
      <c r="P18" s="1200"/>
      <c r="Q18" s="1200"/>
      <c r="R18" s="1200"/>
      <c r="S18" s="1200"/>
      <c r="T18" s="467"/>
      <c r="U18" s="580" t="str">
        <f>IF(C18=0,0,"2nd")</f>
        <v>2nd</v>
      </c>
      <c r="V18" s="581">
        <f>IF(C18=G18,E18,IF(C19=G18,E19,IF(C20=G18,E20,IF(C21=G18,E21,IF(C22=G18,E22,IF(C23=G18,E23,IF(C24=G18,E24,IF(C25=G18,E25,IF(C26=G18,E26,IF(C17=G18,E17))))))))))</f>
        <v>0</v>
      </c>
      <c r="W18" s="582"/>
      <c r="X18" s="583">
        <f>IF(C18=0,0,IF($CQ$17="2nd",CO$17,IF($CQ$18="2nd",CO$18,IF($CQ$19="2nd",CO$19,IF($CQ$20="2nd",CO$20,IF($CQ$21="2nd",CO$21,IF($CQ$22="2nd",CO$22,IF($CQ$23="2nd",CO$23,IF($CQ$24="2nd",CO$24,IF($CQ$25="2nd",CO$25,IF($CQ$26="2nd",CO$26)))))))))))+D4</f>
        <v>0</v>
      </c>
      <c r="Y18" s="584"/>
      <c r="Z18" s="585">
        <f t="shared" si="4"/>
        <v>0</v>
      </c>
      <c r="AA18" s="530" t="b">
        <f>IF(C18=0,0,IF($CQ$17="2nd",CP$17,IF($CQ$18="2nd",CP$18,IF($CQ$19="2nd",CP$19,IF($CQ$20="2nd",CP$20,IF($CQ$21="2nd",CP$21,IF($CQ$22="2nd",CP$22,IF($CQ$23="2nd",CP$23,IF($CQ$24="2nd",CP$24,IF($CQ$25="2nd",CP$25,IF($CQ$26="2nd",CP$26)))))))))))</f>
        <v>0</v>
      </c>
      <c r="AB18" s="586" t="e">
        <f t="shared" si="5"/>
        <v>#REF!</v>
      </c>
      <c r="AC18" s="586" t="e">
        <f t="shared" si="6"/>
        <v>#REF!</v>
      </c>
      <c r="AD18" s="587" t="e">
        <f t="shared" si="7"/>
        <v>#REF!</v>
      </c>
      <c r="AE18" s="588" t="e">
        <f t="shared" si="8"/>
        <v>#REF!</v>
      </c>
      <c r="AF18" s="586" t="e">
        <f t="shared" si="9"/>
        <v>#REF!</v>
      </c>
      <c r="AG18" s="587" t="e">
        <f t="shared" si="10"/>
        <v>#REF!</v>
      </c>
      <c r="AH18" s="588" t="e">
        <f t="shared" si="11"/>
        <v>#REF!</v>
      </c>
      <c r="AI18" s="586" t="e">
        <f t="shared" si="12"/>
        <v>#REF!</v>
      </c>
      <c r="AJ18" s="587" t="e">
        <f t="shared" si="13"/>
        <v>#REF!</v>
      </c>
      <c r="AK18" s="588" t="e">
        <f t="shared" si="14"/>
        <v>#REF!</v>
      </c>
      <c r="AL18" s="586" t="e">
        <f t="shared" si="15"/>
        <v>#REF!</v>
      </c>
      <c r="AM18" s="587" t="e">
        <f t="shared" si="16"/>
        <v>#REF!</v>
      </c>
      <c r="AN18" s="588" t="e">
        <f t="shared" si="17"/>
        <v>#REF!</v>
      </c>
      <c r="AO18" s="586" t="e">
        <f t="shared" si="18"/>
        <v>#REF!</v>
      </c>
      <c r="AP18" s="587" t="e">
        <f t="shared" si="19"/>
        <v>#REF!</v>
      </c>
      <c r="AQ18" s="588" t="e">
        <f t="shared" si="20"/>
        <v>#REF!</v>
      </c>
      <c r="AR18" s="586" t="e">
        <f t="shared" si="21"/>
        <v>#REF!</v>
      </c>
      <c r="AS18" s="587" t="e">
        <f t="shared" si="22"/>
        <v>#REF!</v>
      </c>
      <c r="AT18" s="588" t="e">
        <f t="shared" si="23"/>
        <v>#REF!</v>
      </c>
      <c r="AU18" s="586" t="e">
        <f t="shared" si="24"/>
        <v>#REF!</v>
      </c>
      <c r="AV18" s="587" t="e">
        <f t="shared" si="25"/>
        <v>#REF!</v>
      </c>
      <c r="AW18" s="588" t="e">
        <f t="shared" si="26"/>
        <v>#REF!</v>
      </c>
      <c r="AX18" s="586" t="e">
        <f t="shared" si="27"/>
        <v>#REF!</v>
      </c>
      <c r="AY18" s="587" t="e">
        <f t="shared" si="28"/>
        <v>#REF!</v>
      </c>
      <c r="AZ18" s="588" t="e">
        <f t="shared" si="29"/>
        <v>#REF!</v>
      </c>
      <c r="BA18" s="586" t="e">
        <f t="shared" si="30"/>
        <v>#REF!</v>
      </c>
      <c r="BB18" s="587" t="e">
        <f t="shared" si="31"/>
        <v>#REF!</v>
      </c>
      <c r="BC18" s="588" t="e">
        <f t="shared" si="32"/>
        <v>#REF!</v>
      </c>
      <c r="BD18" s="586" t="e">
        <f t="shared" si="33"/>
        <v>#REF!</v>
      </c>
      <c r="BE18" s="587" t="e">
        <f t="shared" si="34"/>
        <v>#REF!</v>
      </c>
      <c r="BF18" s="588" t="e">
        <f t="shared" si="35"/>
        <v>#REF!</v>
      </c>
      <c r="BG18" s="588">
        <f t="shared" si="36"/>
        <v>0</v>
      </c>
      <c r="BH18" s="586">
        <f t="shared" si="37"/>
        <v>0</v>
      </c>
      <c r="BI18" s="1179">
        <f t="shared" si="38"/>
        <v>0</v>
      </c>
      <c r="BJ18" s="1179"/>
      <c r="BK18" s="1179"/>
      <c r="BL18" s="584"/>
      <c r="BM18" s="1180"/>
      <c r="BN18" s="1180"/>
      <c r="BO18" s="1180"/>
      <c r="BP18" s="1224"/>
      <c r="BQ18" s="1207"/>
      <c r="BR18" s="456"/>
      <c r="BS18" s="457"/>
      <c r="BW18" s="589">
        <f t="shared" si="39"/>
        <v>2</v>
      </c>
      <c r="BX18" s="590">
        <f t="shared" si="40"/>
        <v>0</v>
      </c>
      <c r="BY18" s="590">
        <f t="shared" si="41"/>
        <v>0</v>
      </c>
      <c r="BZ18" s="542">
        <f>IF($CG$17="2nd",BW$17,IF($CG$18="2nd",BW$18,IF($CG$19="2nd",BW$19,IF($CG$20="2nd",BW$20,IF($CG$21="2nd",BW$21,IF($CG$22="2nd",BW$22,IF($CG$23="2nd",BW$23,IF($CG$24="2nd",BW$24,IF($CG$25="2nd",BW$25,IF($CG$26="2nd",BW$26))))))))))</f>
        <v>4</v>
      </c>
      <c r="CA18" s="253">
        <f>IF($CG$17="2nd",BX$17,IF($CG$18="2nd",BX$18,IF($CG$19="2nd",BX$19,IF($CG$20="2nd",BX$20,IF($CG$21="2nd",BX$21,IF($CG$22="2nd",BX$22,IF($CG$23="2nd",BX$23,IF($CG$24="2nd",BX$24,IF($CG$25="2nd",BX$25,IF($CG$26="2nd",BX$26))))))))))</f>
        <v>0</v>
      </c>
      <c r="CB18" s="253">
        <f>IF($CG$17="2nd",BY$17,IF($CG$18="2nd",BY$18,IF($CG$19="2nd",BY$19,IF($CG$20="2nd",BY$20,IF($CG$21="2nd",BY$21,IF($CG$22="2nd",BY$22,IF($CG$23="2nd",BY$23,IF($CG$24="2nd",BY$24,IF($CG$25="2nd",BY$25,IF($CG$26="2nd",BY$26))))))))))</f>
        <v>0</v>
      </c>
      <c r="CC18" s="591" t="str">
        <f t="shared" si="42"/>
        <v>STEVENAGE</v>
      </c>
      <c r="CD18" s="592" t="e">
        <f t="shared" si="43"/>
        <v>#REF!</v>
      </c>
      <c r="CE18" s="590" t="e">
        <f t="shared" si="44"/>
        <v>#REF!</v>
      </c>
      <c r="CF18" s="590">
        <f t="shared" si="45"/>
        <v>158</v>
      </c>
      <c r="CG18" s="592" t="str">
        <f t="shared" si="46"/>
        <v>6th</v>
      </c>
      <c r="CH18" s="593" t="str">
        <f t="shared" si="47"/>
        <v>1st</v>
      </c>
      <c r="CI18" s="593">
        <f t="shared" si="48"/>
        <v>5</v>
      </c>
      <c r="CJ18" s="593" t="str">
        <f t="shared" si="49"/>
        <v>2nd</v>
      </c>
      <c r="CK18" s="593">
        <f t="shared" si="50"/>
        <v>2</v>
      </c>
      <c r="CL18" s="593" t="str">
        <f t="shared" si="51"/>
        <v>3rd</v>
      </c>
      <c r="CM18" s="594">
        <f t="shared" si="52"/>
        <v>1</v>
      </c>
      <c r="CO18" s="595" t="e">
        <f t="shared" si="53"/>
        <v>#REF!</v>
      </c>
      <c r="CP18" s="590">
        <f t="shared" si="54"/>
        <v>0</v>
      </c>
      <c r="CQ18" s="590">
        <f t="shared" si="55"/>
        <v>0</v>
      </c>
      <c r="CR18" s="1182">
        <f t="shared" si="56"/>
        <v>0</v>
      </c>
      <c r="CS18" s="1182"/>
      <c r="CT18" s="1182"/>
      <c r="CU18" s="459"/>
      <c r="CW18" s="596" t="str">
        <f>'print 10 lane'!$L6</f>
        <v>STEVENAGE</v>
      </c>
      <c r="CX18" s="597" t="e">
        <f>IF(DB18=1,(10-#REF!),IF(DB18=2,(9-#REF!),IF(DB18=3,(8-#REF!),IF(DB18=4,(7-#REF!),IF(DB18=5,(6-#REF!),IF(DB18=6,(5-#REF!),IF(DB18=7,(4-#REF!),IF(DB18=8,(3-#REF!),IF(DB18=9,(2-#REF!),IF(DB18=10,1))))))))))</f>
        <v>#REF!</v>
      </c>
      <c r="CY18" s="597"/>
      <c r="CZ18" s="598" t="e">
        <f t="shared" si="57"/>
        <v>#REF!</v>
      </c>
      <c r="DA18" s="599">
        <f>'print 10 lane'!M$9</f>
        <v>158</v>
      </c>
      <c r="DB18" s="590">
        <f>'print 10 lane'!M$7</f>
        <v>6</v>
      </c>
      <c r="DC18" s="600">
        <f t="shared" si="58"/>
        <v>0</v>
      </c>
      <c r="DD18" s="601" t="b">
        <f t="shared" si="59"/>
        <v>0</v>
      </c>
      <c r="DE18" s="553">
        <f t="shared" si="60"/>
        <v>0</v>
      </c>
      <c r="DF18" s="600">
        <f t="shared" si="61"/>
        <v>0</v>
      </c>
      <c r="DG18" s="601" t="b">
        <f t="shared" si="62"/>
        <v>0</v>
      </c>
      <c r="DH18" s="601" t="b">
        <f t="shared" si="63"/>
        <v>0</v>
      </c>
      <c r="DI18" s="600">
        <f t="shared" si="64"/>
        <v>0</v>
      </c>
      <c r="DJ18" s="601" t="b">
        <f t="shared" si="65"/>
        <v>0</v>
      </c>
      <c r="DK18" s="601" t="b">
        <f t="shared" si="66"/>
        <v>0</v>
      </c>
      <c r="DL18" s="600">
        <f t="shared" si="67"/>
        <v>0</v>
      </c>
      <c r="DM18" s="601" t="b">
        <f t="shared" si="68"/>
        <v>0</v>
      </c>
      <c r="DN18" s="601" t="b">
        <f t="shared" si="69"/>
        <v>0</v>
      </c>
      <c r="DO18" s="600">
        <f t="shared" si="70"/>
        <v>0</v>
      </c>
      <c r="DP18" s="601" t="b">
        <f t="shared" si="71"/>
        <v>0</v>
      </c>
      <c r="DQ18" s="601" t="b">
        <f t="shared" si="72"/>
        <v>0</v>
      </c>
      <c r="DR18" s="600">
        <f t="shared" si="73"/>
        <v>158</v>
      </c>
      <c r="DS18" s="552">
        <f t="shared" si="74"/>
        <v>1</v>
      </c>
      <c r="DT18" s="601">
        <f t="shared" si="75"/>
        <v>6</v>
      </c>
      <c r="DU18" s="600">
        <f t="shared" si="76"/>
        <v>0</v>
      </c>
      <c r="DV18" s="601" t="b">
        <f t="shared" si="77"/>
        <v>0</v>
      </c>
      <c r="DW18" s="601" t="b">
        <f t="shared" si="78"/>
        <v>0</v>
      </c>
      <c r="DX18" s="600">
        <f t="shared" si="79"/>
        <v>0</v>
      </c>
      <c r="DY18" s="601" t="b">
        <f t="shared" si="80"/>
        <v>0</v>
      </c>
      <c r="DZ18" s="601" t="b">
        <f t="shared" si="81"/>
        <v>0</v>
      </c>
      <c r="EA18" s="600">
        <f t="shared" si="82"/>
        <v>0</v>
      </c>
      <c r="EB18" s="601" t="b">
        <f t="shared" si="83"/>
        <v>0</v>
      </c>
      <c r="EC18" s="601" t="b">
        <f t="shared" si="84"/>
        <v>0</v>
      </c>
      <c r="ED18" s="600">
        <f t="shared" si="85"/>
        <v>0</v>
      </c>
      <c r="EE18" s="601" t="b">
        <f t="shared" si="86"/>
        <v>0</v>
      </c>
      <c r="EF18" s="552" t="b">
        <f t="shared" si="87"/>
        <v>0</v>
      </c>
      <c r="EG18" s="541">
        <f t="shared" si="88"/>
        <v>6</v>
      </c>
      <c r="EH18" s="602">
        <f t="shared" si="89"/>
        <v>0</v>
      </c>
      <c r="EI18" s="602">
        <f t="shared" si="90"/>
        <v>0</v>
      </c>
      <c r="EJ18" s="602">
        <f t="shared" si="91"/>
        <v>0</v>
      </c>
      <c r="EK18" s="602">
        <f t="shared" si="92"/>
        <v>0</v>
      </c>
      <c r="EL18" s="602">
        <f t="shared" si="93"/>
        <v>0</v>
      </c>
      <c r="EM18" s="602">
        <f t="shared" si="94"/>
        <v>5</v>
      </c>
      <c r="EN18" s="602">
        <f t="shared" si="95"/>
        <v>0</v>
      </c>
      <c r="EO18" s="602">
        <f t="shared" si="96"/>
        <v>0</v>
      </c>
      <c r="EP18" s="602">
        <f t="shared" si="97"/>
        <v>0</v>
      </c>
      <c r="EQ18" s="602">
        <f t="shared" si="98"/>
        <v>0</v>
      </c>
      <c r="ER18" s="552" t="b">
        <f t="shared" si="99"/>
        <v>0</v>
      </c>
      <c r="ES18" s="553">
        <f t="shared" si="100"/>
        <v>0</v>
      </c>
      <c r="ET18" s="601" t="b">
        <f t="shared" si="101"/>
        <v>0</v>
      </c>
      <c r="EU18" s="553">
        <f t="shared" si="102"/>
        <v>0</v>
      </c>
      <c r="EV18" s="601" t="b">
        <f t="shared" si="103"/>
        <v>0</v>
      </c>
      <c r="EW18" s="553">
        <f t="shared" si="104"/>
        <v>0</v>
      </c>
      <c r="EX18" s="601" t="b">
        <f t="shared" si="105"/>
        <v>0</v>
      </c>
      <c r="EY18" s="553">
        <f t="shared" si="106"/>
        <v>0</v>
      </c>
      <c r="EZ18" s="601" t="b">
        <f t="shared" si="107"/>
        <v>0</v>
      </c>
      <c r="FA18" s="553">
        <f t="shared" si="108"/>
        <v>0</v>
      </c>
      <c r="FB18" s="601">
        <f t="shared" si="109"/>
        <v>1</v>
      </c>
      <c r="FC18" s="553">
        <f t="shared" si="110"/>
        <v>6</v>
      </c>
      <c r="FD18" s="603" t="b">
        <f t="shared" si="111"/>
        <v>0</v>
      </c>
      <c r="FE18" s="604">
        <f t="shared" ref="FE18:FE26" si="441">IF(FD18=1,7,IF(FD18=2,8,0))</f>
        <v>0</v>
      </c>
      <c r="FF18" s="601" t="b">
        <f t="shared" si="112"/>
        <v>0</v>
      </c>
      <c r="FG18" s="553">
        <f t="shared" si="113"/>
        <v>0</v>
      </c>
      <c r="FH18" s="601" t="b">
        <f t="shared" si="114"/>
        <v>0</v>
      </c>
      <c r="FI18" s="604">
        <f t="shared" si="115"/>
        <v>0</v>
      </c>
      <c r="FJ18" s="601" t="b">
        <f t="shared" si="116"/>
        <v>0</v>
      </c>
      <c r="FK18" s="604">
        <f t="shared" si="117"/>
        <v>0</v>
      </c>
      <c r="FL18" s="541">
        <f t="shared" si="118"/>
        <v>6</v>
      </c>
      <c r="FM18" s="602">
        <f t="shared" si="119"/>
        <v>0</v>
      </c>
      <c r="FN18" s="602">
        <f t="shared" si="120"/>
        <v>0</v>
      </c>
      <c r="FO18" s="602">
        <f t="shared" si="121"/>
        <v>0</v>
      </c>
      <c r="FP18" s="602">
        <f t="shared" si="122"/>
        <v>0</v>
      </c>
      <c r="FQ18" s="602">
        <f t="shared" si="123"/>
        <v>0</v>
      </c>
      <c r="FR18" s="602">
        <f t="shared" si="124"/>
        <v>2</v>
      </c>
      <c r="FS18" s="602">
        <f t="shared" si="125"/>
        <v>0</v>
      </c>
      <c r="FT18" s="602">
        <f t="shared" si="126"/>
        <v>0</v>
      </c>
      <c r="FU18" s="602">
        <f t="shared" si="127"/>
        <v>0</v>
      </c>
      <c r="FV18" s="602">
        <f t="shared" si="128"/>
        <v>0</v>
      </c>
      <c r="FW18" s="601" t="b">
        <f t="shared" si="129"/>
        <v>0</v>
      </c>
      <c r="FX18" s="553">
        <f t="shared" si="130"/>
        <v>0</v>
      </c>
      <c r="FY18" s="601" t="b">
        <f t="shared" si="131"/>
        <v>0</v>
      </c>
      <c r="FZ18" s="553">
        <f t="shared" si="132"/>
        <v>0</v>
      </c>
      <c r="GA18" s="552" t="b">
        <f t="shared" si="133"/>
        <v>0</v>
      </c>
      <c r="GB18" s="553">
        <f t="shared" si="134"/>
        <v>0</v>
      </c>
      <c r="GC18" s="601" t="b">
        <f t="shared" si="135"/>
        <v>0</v>
      </c>
      <c r="GD18" s="553">
        <f t="shared" si="136"/>
        <v>0</v>
      </c>
      <c r="GE18" s="601" t="b">
        <f t="shared" si="137"/>
        <v>0</v>
      </c>
      <c r="GF18" s="553">
        <f t="shared" si="138"/>
        <v>0</v>
      </c>
      <c r="GG18" s="601">
        <f t="shared" si="139"/>
        <v>1</v>
      </c>
      <c r="GH18" s="553">
        <f t="shared" si="140"/>
        <v>6</v>
      </c>
      <c r="GI18" s="601" t="b">
        <f t="shared" si="141"/>
        <v>0</v>
      </c>
      <c r="GJ18" s="604">
        <f t="shared" ref="GJ18:GJ26" si="442">IF(GI18=1,7,IF(GI18=2,8,0))</f>
        <v>0</v>
      </c>
      <c r="GK18" s="601" t="b">
        <f t="shared" si="142"/>
        <v>0</v>
      </c>
      <c r="GL18" s="553">
        <f t="shared" si="143"/>
        <v>0</v>
      </c>
      <c r="GM18" s="601" t="b">
        <f t="shared" si="144"/>
        <v>0</v>
      </c>
      <c r="GN18" s="604">
        <f t="shared" si="145"/>
        <v>0</v>
      </c>
      <c r="GO18" s="601" t="b">
        <f t="shared" si="146"/>
        <v>0</v>
      </c>
      <c r="GP18" s="604">
        <f t="shared" si="147"/>
        <v>0</v>
      </c>
      <c r="GQ18" s="541">
        <f t="shared" si="148"/>
        <v>6</v>
      </c>
      <c r="GR18" s="554">
        <f t="shared" si="149"/>
        <v>0</v>
      </c>
      <c r="GS18" s="554">
        <f t="shared" si="150"/>
        <v>0</v>
      </c>
      <c r="GT18" s="554">
        <f t="shared" si="151"/>
        <v>0</v>
      </c>
      <c r="GU18" s="554">
        <f t="shared" si="152"/>
        <v>0</v>
      </c>
      <c r="GV18" s="554">
        <f t="shared" si="153"/>
        <v>0</v>
      </c>
      <c r="GW18" s="554">
        <f t="shared" si="154"/>
        <v>1</v>
      </c>
      <c r="GX18" s="554">
        <f t="shared" si="155"/>
        <v>0</v>
      </c>
      <c r="GY18" s="554">
        <f t="shared" si="156"/>
        <v>0</v>
      </c>
      <c r="GZ18" s="554">
        <f t="shared" si="157"/>
        <v>0</v>
      </c>
      <c r="HA18" s="554">
        <f t="shared" si="158"/>
        <v>0</v>
      </c>
      <c r="HB18" s="553" t="b">
        <f t="shared" si="159"/>
        <v>0</v>
      </c>
      <c r="HC18" s="553">
        <f t="shared" si="160"/>
        <v>0</v>
      </c>
      <c r="HD18" s="553" t="b">
        <f t="shared" si="161"/>
        <v>0</v>
      </c>
      <c r="HE18" s="553">
        <f t="shared" si="162"/>
        <v>0</v>
      </c>
      <c r="HF18" s="553" t="b">
        <f t="shared" si="163"/>
        <v>0</v>
      </c>
      <c r="HG18" s="553">
        <f t="shared" si="164"/>
        <v>0</v>
      </c>
      <c r="HH18" s="553" t="b">
        <f t="shared" si="165"/>
        <v>0</v>
      </c>
      <c r="HI18" s="553">
        <f t="shared" si="166"/>
        <v>0</v>
      </c>
      <c r="HJ18" s="553" t="b">
        <f t="shared" si="167"/>
        <v>0</v>
      </c>
      <c r="HK18" s="553">
        <f t="shared" si="168"/>
        <v>0</v>
      </c>
      <c r="HL18" s="553">
        <f t="shared" si="169"/>
        <v>1</v>
      </c>
      <c r="HM18" s="553">
        <f t="shared" si="170"/>
        <v>6</v>
      </c>
      <c r="HN18" s="553" t="b">
        <f t="shared" si="171"/>
        <v>0</v>
      </c>
      <c r="HO18" s="553">
        <f t="shared" si="172"/>
        <v>0</v>
      </c>
      <c r="HP18" s="553" t="b">
        <f t="shared" si="173"/>
        <v>0</v>
      </c>
      <c r="HQ18" s="553">
        <f t="shared" si="174"/>
        <v>0</v>
      </c>
      <c r="HR18" s="553" t="b">
        <f t="shared" si="175"/>
        <v>0</v>
      </c>
      <c r="HS18" s="553">
        <f t="shared" si="176"/>
        <v>0</v>
      </c>
      <c r="HT18" s="553" t="b">
        <f t="shared" si="177"/>
        <v>0</v>
      </c>
      <c r="HU18" s="553">
        <f t="shared" si="178"/>
        <v>0</v>
      </c>
      <c r="HV18" s="541">
        <f t="shared" si="179"/>
        <v>6</v>
      </c>
      <c r="HW18" s="554">
        <f t="shared" si="180"/>
        <v>0</v>
      </c>
      <c r="HX18" s="554">
        <f t="shared" si="181"/>
        <v>0</v>
      </c>
      <c r="HY18" s="554">
        <f t="shared" si="182"/>
        <v>0</v>
      </c>
      <c r="HZ18" s="554">
        <f t="shared" si="183"/>
        <v>0</v>
      </c>
      <c r="IA18" s="554">
        <f t="shared" si="184"/>
        <v>0</v>
      </c>
      <c r="IB18" s="554">
        <f t="shared" si="185"/>
        <v>0</v>
      </c>
      <c r="IC18" s="554">
        <f t="shared" si="186"/>
        <v>0</v>
      </c>
      <c r="ID18" s="554">
        <f t="shared" si="187"/>
        <v>0</v>
      </c>
      <c r="IE18" s="554">
        <f t="shared" si="188"/>
        <v>0</v>
      </c>
      <c r="IF18" s="554">
        <f t="shared" si="189"/>
        <v>0</v>
      </c>
      <c r="IG18" s="553" t="b">
        <f t="shared" si="190"/>
        <v>0</v>
      </c>
      <c r="IH18" s="553">
        <f t="shared" si="191"/>
        <v>0</v>
      </c>
      <c r="II18" s="553" t="b">
        <f t="shared" si="192"/>
        <v>0</v>
      </c>
      <c r="IJ18" s="553">
        <f t="shared" si="193"/>
        <v>0</v>
      </c>
      <c r="IK18" s="553" t="b">
        <f t="shared" si="194"/>
        <v>0</v>
      </c>
      <c r="IL18" s="553">
        <f t="shared" si="195"/>
        <v>0</v>
      </c>
      <c r="IM18" s="553" t="b">
        <f t="shared" si="196"/>
        <v>0</v>
      </c>
      <c r="IN18" s="553">
        <f t="shared" si="197"/>
        <v>0</v>
      </c>
      <c r="IO18" s="553" t="b">
        <f t="shared" si="198"/>
        <v>0</v>
      </c>
      <c r="IP18" s="553">
        <f t="shared" si="199"/>
        <v>0</v>
      </c>
      <c r="IQ18" s="553">
        <f t="shared" si="200"/>
        <v>1</v>
      </c>
      <c r="IR18" s="553">
        <f t="shared" si="201"/>
        <v>6</v>
      </c>
      <c r="IS18" s="553" t="b">
        <f t="shared" si="202"/>
        <v>0</v>
      </c>
      <c r="IT18" s="553">
        <f t="shared" si="203"/>
        <v>0</v>
      </c>
      <c r="IU18" s="553" t="b">
        <f t="shared" si="204"/>
        <v>0</v>
      </c>
      <c r="IV18" s="553">
        <f t="shared" si="205"/>
        <v>0</v>
      </c>
      <c r="IW18" s="553" t="b">
        <f t="shared" si="206"/>
        <v>0</v>
      </c>
      <c r="IX18" s="553">
        <f t="shared" si="207"/>
        <v>0</v>
      </c>
      <c r="IY18" s="553" t="b">
        <f t="shared" si="208"/>
        <v>0</v>
      </c>
      <c r="IZ18" s="553">
        <f t="shared" si="209"/>
        <v>0</v>
      </c>
      <c r="JA18" s="541">
        <f t="shared" si="210"/>
        <v>6</v>
      </c>
      <c r="JB18" s="554">
        <f t="shared" si="211"/>
        <v>0</v>
      </c>
      <c r="JC18" s="554">
        <f t="shared" si="212"/>
        <v>0</v>
      </c>
      <c r="JD18" s="554">
        <f t="shared" si="213"/>
        <v>0</v>
      </c>
      <c r="JE18" s="554">
        <f t="shared" si="214"/>
        <v>0</v>
      </c>
      <c r="JF18" s="554">
        <f t="shared" si="215"/>
        <v>0</v>
      </c>
      <c r="JG18" s="554">
        <f t="shared" si="216"/>
        <v>10</v>
      </c>
      <c r="JH18" s="554">
        <f t="shared" si="217"/>
        <v>0</v>
      </c>
      <c r="JI18" s="554">
        <f t="shared" si="218"/>
        <v>0</v>
      </c>
      <c r="JJ18" s="554">
        <f t="shared" si="219"/>
        <v>0</v>
      </c>
      <c r="JK18" s="554">
        <f t="shared" si="220"/>
        <v>0</v>
      </c>
      <c r="JL18" s="553" t="b">
        <f t="shared" si="221"/>
        <v>0</v>
      </c>
      <c r="JM18" s="553">
        <f t="shared" si="222"/>
        <v>0</v>
      </c>
      <c r="JN18" s="553" t="b">
        <f t="shared" si="223"/>
        <v>0</v>
      </c>
      <c r="JO18" s="553">
        <f t="shared" si="224"/>
        <v>0</v>
      </c>
      <c r="JP18" s="553" t="b">
        <f t="shared" si="225"/>
        <v>0</v>
      </c>
      <c r="JQ18" s="553">
        <f t="shared" si="226"/>
        <v>0</v>
      </c>
      <c r="JR18" s="553" t="b">
        <f t="shared" si="227"/>
        <v>0</v>
      </c>
      <c r="JS18" s="553">
        <f t="shared" si="228"/>
        <v>0</v>
      </c>
      <c r="JT18" s="553" t="b">
        <f t="shared" si="229"/>
        <v>0</v>
      </c>
      <c r="JU18" s="553">
        <f t="shared" si="230"/>
        <v>0</v>
      </c>
      <c r="JV18" s="553">
        <f t="shared" si="231"/>
        <v>1</v>
      </c>
      <c r="JW18" s="553">
        <f t="shared" si="232"/>
        <v>6</v>
      </c>
      <c r="JX18" s="553" t="b">
        <f t="shared" si="233"/>
        <v>0</v>
      </c>
      <c r="JY18" s="553">
        <f t="shared" si="234"/>
        <v>0</v>
      </c>
      <c r="JZ18" s="553" t="b">
        <f t="shared" si="235"/>
        <v>0</v>
      </c>
      <c r="KA18" s="553">
        <f t="shared" si="236"/>
        <v>0</v>
      </c>
      <c r="KB18" s="553" t="b">
        <f t="shared" si="237"/>
        <v>0</v>
      </c>
      <c r="KC18" s="553">
        <f t="shared" si="238"/>
        <v>0</v>
      </c>
      <c r="KD18" s="553" t="b">
        <f t="shared" si="239"/>
        <v>0</v>
      </c>
      <c r="KE18" s="553">
        <f t="shared" si="240"/>
        <v>0</v>
      </c>
      <c r="KF18" s="541">
        <f t="shared" si="241"/>
        <v>6</v>
      </c>
      <c r="KG18" s="554">
        <f t="shared" si="242"/>
        <v>0</v>
      </c>
      <c r="KH18" s="554">
        <f t="shared" si="243"/>
        <v>0</v>
      </c>
      <c r="KI18" s="554">
        <f t="shared" si="244"/>
        <v>0</v>
      </c>
      <c r="KJ18" s="554">
        <f t="shared" si="245"/>
        <v>0</v>
      </c>
      <c r="KK18" s="554">
        <f t="shared" si="246"/>
        <v>0</v>
      </c>
      <c r="KL18" s="554">
        <f t="shared" si="247"/>
        <v>14</v>
      </c>
      <c r="KM18" s="554">
        <f t="shared" si="248"/>
        <v>0</v>
      </c>
      <c r="KN18" s="554">
        <f t="shared" si="249"/>
        <v>0</v>
      </c>
      <c r="KO18" s="554">
        <f t="shared" si="250"/>
        <v>0</v>
      </c>
      <c r="KP18" s="554">
        <f t="shared" si="251"/>
        <v>0</v>
      </c>
      <c r="KQ18" s="553" t="b">
        <f t="shared" si="252"/>
        <v>0</v>
      </c>
      <c r="KR18" s="553">
        <f t="shared" si="253"/>
        <v>0</v>
      </c>
      <c r="KS18" s="553" t="b">
        <f t="shared" si="254"/>
        <v>0</v>
      </c>
      <c r="KT18" s="553">
        <f t="shared" si="255"/>
        <v>0</v>
      </c>
      <c r="KU18" s="553" t="b">
        <f t="shared" si="256"/>
        <v>0</v>
      </c>
      <c r="KV18" s="553">
        <f t="shared" si="257"/>
        <v>0</v>
      </c>
      <c r="KW18" s="553" t="b">
        <f t="shared" si="258"/>
        <v>0</v>
      </c>
      <c r="KX18" s="553">
        <f t="shared" si="259"/>
        <v>0</v>
      </c>
      <c r="KY18" s="553" t="b">
        <f t="shared" si="260"/>
        <v>0</v>
      </c>
      <c r="KZ18" s="553">
        <f t="shared" si="261"/>
        <v>0</v>
      </c>
      <c r="LA18" s="553">
        <f t="shared" si="262"/>
        <v>1</v>
      </c>
      <c r="LB18" s="553">
        <f t="shared" si="263"/>
        <v>6</v>
      </c>
      <c r="LC18" s="553" t="b">
        <f t="shared" si="264"/>
        <v>0</v>
      </c>
      <c r="LD18" s="553">
        <f t="shared" si="265"/>
        <v>0</v>
      </c>
      <c r="LE18" s="553" t="b">
        <f t="shared" si="266"/>
        <v>0</v>
      </c>
      <c r="LF18" s="553">
        <f t="shared" si="267"/>
        <v>0</v>
      </c>
      <c r="LG18" s="553" t="b">
        <f t="shared" si="268"/>
        <v>0</v>
      </c>
      <c r="LH18" s="553">
        <f t="shared" si="269"/>
        <v>0</v>
      </c>
      <c r="LI18" s="553" t="b">
        <f t="shared" si="270"/>
        <v>0</v>
      </c>
      <c r="LJ18" s="553">
        <f t="shared" si="271"/>
        <v>0</v>
      </c>
      <c r="LK18" s="541">
        <f t="shared" si="272"/>
        <v>6</v>
      </c>
      <c r="LL18" s="554">
        <f t="shared" si="273"/>
        <v>0</v>
      </c>
      <c r="LM18" s="554">
        <f t="shared" si="274"/>
        <v>0</v>
      </c>
      <c r="LN18" s="554">
        <f t="shared" si="275"/>
        <v>0</v>
      </c>
      <c r="LO18" s="554">
        <f t="shared" si="276"/>
        <v>0</v>
      </c>
      <c r="LP18" s="554">
        <f t="shared" si="277"/>
        <v>0</v>
      </c>
      <c r="LQ18" s="554">
        <f t="shared" si="278"/>
        <v>8</v>
      </c>
      <c r="LR18" s="554">
        <f t="shared" si="279"/>
        <v>0</v>
      </c>
      <c r="LS18" s="554">
        <f t="shared" si="280"/>
        <v>0</v>
      </c>
      <c r="LT18" s="554">
        <f t="shared" si="281"/>
        <v>0</v>
      </c>
      <c r="LU18" s="554">
        <f t="shared" si="282"/>
        <v>0</v>
      </c>
      <c r="LV18" s="553" t="b">
        <f t="shared" si="283"/>
        <v>0</v>
      </c>
      <c r="LW18" s="553">
        <f t="shared" si="284"/>
        <v>0</v>
      </c>
      <c r="LX18" s="553" t="b">
        <f t="shared" si="285"/>
        <v>0</v>
      </c>
      <c r="LY18" s="553">
        <f t="shared" si="286"/>
        <v>0</v>
      </c>
      <c r="LZ18" s="553" t="b">
        <f t="shared" si="287"/>
        <v>0</v>
      </c>
      <c r="MA18" s="553">
        <f t="shared" si="288"/>
        <v>0</v>
      </c>
      <c r="MB18" s="553" t="b">
        <f t="shared" si="289"/>
        <v>0</v>
      </c>
      <c r="MC18" s="553">
        <f t="shared" si="290"/>
        <v>0</v>
      </c>
      <c r="MD18" s="553" t="b">
        <f t="shared" si="291"/>
        <v>0</v>
      </c>
      <c r="ME18" s="553">
        <f t="shared" si="292"/>
        <v>0</v>
      </c>
      <c r="MF18" s="553">
        <f t="shared" si="293"/>
        <v>1</v>
      </c>
      <c r="MG18" s="553">
        <f t="shared" si="294"/>
        <v>6</v>
      </c>
      <c r="MH18" s="553" t="b">
        <f t="shared" si="295"/>
        <v>0</v>
      </c>
      <c r="MI18" s="553">
        <f t="shared" si="296"/>
        <v>0</v>
      </c>
      <c r="MJ18" s="553" t="b">
        <f t="shared" si="297"/>
        <v>0</v>
      </c>
      <c r="MK18" s="553">
        <f t="shared" si="298"/>
        <v>0</v>
      </c>
      <c r="ML18" s="553" t="b">
        <f t="shared" si="299"/>
        <v>0</v>
      </c>
      <c r="MM18" s="553">
        <f t="shared" si="300"/>
        <v>0</v>
      </c>
      <c r="MN18" s="553" t="b">
        <f t="shared" si="301"/>
        <v>0</v>
      </c>
      <c r="MO18" s="553">
        <f t="shared" si="302"/>
        <v>0</v>
      </c>
      <c r="MP18" s="541">
        <f t="shared" si="303"/>
        <v>6</v>
      </c>
      <c r="MQ18" s="554">
        <f t="shared" si="304"/>
        <v>0</v>
      </c>
      <c r="MR18" s="554">
        <f t="shared" si="305"/>
        <v>0</v>
      </c>
      <c r="MS18" s="554">
        <f t="shared" si="306"/>
        <v>0</v>
      </c>
      <c r="MT18" s="554">
        <f t="shared" si="307"/>
        <v>0</v>
      </c>
      <c r="MU18" s="554">
        <f t="shared" si="308"/>
        <v>0</v>
      </c>
      <c r="MV18" s="554">
        <f t="shared" si="309"/>
        <v>0</v>
      </c>
      <c r="MW18" s="554">
        <f t="shared" si="310"/>
        <v>0</v>
      </c>
      <c r="MX18" s="554">
        <f t="shared" si="311"/>
        <v>0</v>
      </c>
      <c r="MY18" s="554">
        <f t="shared" si="312"/>
        <v>0</v>
      </c>
      <c r="MZ18" s="554">
        <f t="shared" si="313"/>
        <v>0</v>
      </c>
      <c r="NA18" s="553" t="b">
        <f t="shared" si="314"/>
        <v>0</v>
      </c>
      <c r="NB18" s="553">
        <f t="shared" si="315"/>
        <v>0</v>
      </c>
      <c r="NC18" s="553" t="b">
        <f t="shared" si="316"/>
        <v>0</v>
      </c>
      <c r="ND18" s="553">
        <f t="shared" si="317"/>
        <v>0</v>
      </c>
      <c r="NE18" s="553" t="b">
        <f t="shared" si="318"/>
        <v>0</v>
      </c>
      <c r="NF18" s="553">
        <f t="shared" si="319"/>
        <v>0</v>
      </c>
      <c r="NG18" s="553" t="b">
        <f t="shared" si="320"/>
        <v>0</v>
      </c>
      <c r="NH18" s="553">
        <f t="shared" si="321"/>
        <v>0</v>
      </c>
      <c r="NI18" s="553" t="b">
        <f t="shared" si="322"/>
        <v>0</v>
      </c>
      <c r="NJ18" s="553">
        <f t="shared" si="323"/>
        <v>0</v>
      </c>
      <c r="NK18" s="553">
        <f t="shared" si="324"/>
        <v>1</v>
      </c>
      <c r="NL18" s="553">
        <f t="shared" si="325"/>
        <v>6</v>
      </c>
      <c r="NM18" s="553" t="b">
        <f t="shared" si="326"/>
        <v>0</v>
      </c>
      <c r="NN18" s="553">
        <f t="shared" si="327"/>
        <v>0</v>
      </c>
      <c r="NO18" s="553" t="b">
        <f t="shared" si="328"/>
        <v>0</v>
      </c>
      <c r="NP18" s="553">
        <f t="shared" si="329"/>
        <v>0</v>
      </c>
      <c r="NQ18" s="553" t="b">
        <f t="shared" si="330"/>
        <v>0</v>
      </c>
      <c r="NR18" s="553">
        <f t="shared" si="331"/>
        <v>0</v>
      </c>
      <c r="NS18" s="553" t="b">
        <f t="shared" si="332"/>
        <v>0</v>
      </c>
      <c r="NT18" s="553">
        <f t="shared" si="333"/>
        <v>0</v>
      </c>
      <c r="NU18" s="541">
        <f t="shared" si="334"/>
        <v>6</v>
      </c>
      <c r="NV18" s="554">
        <f t="shared" si="335"/>
        <v>0</v>
      </c>
      <c r="NW18" s="554">
        <f t="shared" si="336"/>
        <v>0</v>
      </c>
      <c r="NX18" s="554">
        <f t="shared" si="337"/>
        <v>0</v>
      </c>
      <c r="NY18" s="554">
        <f t="shared" si="338"/>
        <v>0</v>
      </c>
      <c r="NZ18" s="554">
        <f t="shared" si="339"/>
        <v>0</v>
      </c>
      <c r="OA18" s="554">
        <f t="shared" si="340"/>
        <v>0</v>
      </c>
      <c r="OB18" s="554">
        <f t="shared" si="341"/>
        <v>0</v>
      </c>
      <c r="OC18" s="554">
        <f t="shared" si="342"/>
        <v>0</v>
      </c>
      <c r="OD18" s="554">
        <f t="shared" si="343"/>
        <v>0</v>
      </c>
      <c r="OE18" s="554">
        <f t="shared" si="344"/>
        <v>0</v>
      </c>
      <c r="OF18" s="553" t="b">
        <f t="shared" si="345"/>
        <v>0</v>
      </c>
      <c r="OG18" s="553">
        <f t="shared" si="346"/>
        <v>0</v>
      </c>
      <c r="OH18" s="553" t="b">
        <f t="shared" si="347"/>
        <v>0</v>
      </c>
      <c r="OI18" s="553">
        <f t="shared" si="348"/>
        <v>0</v>
      </c>
      <c r="OJ18" s="553" t="b">
        <f t="shared" si="349"/>
        <v>0</v>
      </c>
      <c r="OK18" s="553">
        <f t="shared" si="350"/>
        <v>0</v>
      </c>
      <c r="OL18" s="553" t="b">
        <f t="shared" si="351"/>
        <v>0</v>
      </c>
      <c r="OM18" s="553">
        <f t="shared" si="352"/>
        <v>0</v>
      </c>
      <c r="ON18" s="553" t="b">
        <f t="shared" si="353"/>
        <v>0</v>
      </c>
      <c r="OO18" s="553">
        <f t="shared" si="354"/>
        <v>0</v>
      </c>
      <c r="OP18" s="553">
        <f t="shared" si="355"/>
        <v>1</v>
      </c>
      <c r="OQ18" s="553">
        <f t="shared" si="356"/>
        <v>6</v>
      </c>
      <c r="OR18" s="553" t="b">
        <f t="shared" si="357"/>
        <v>0</v>
      </c>
      <c r="OS18" s="553">
        <f t="shared" si="358"/>
        <v>0</v>
      </c>
      <c r="OT18" s="553" t="b">
        <f t="shared" si="359"/>
        <v>0</v>
      </c>
      <c r="OU18" s="553">
        <f t="shared" si="360"/>
        <v>0</v>
      </c>
      <c r="OV18" s="553" t="b">
        <f t="shared" si="361"/>
        <v>0</v>
      </c>
      <c r="OW18" s="553">
        <f t="shared" si="362"/>
        <v>0</v>
      </c>
      <c r="OX18" s="553" t="b">
        <f t="shared" si="363"/>
        <v>0</v>
      </c>
      <c r="OY18" s="553">
        <f t="shared" si="364"/>
        <v>0</v>
      </c>
      <c r="OZ18" s="541">
        <f t="shared" si="365"/>
        <v>6</v>
      </c>
      <c r="PA18" s="554">
        <f t="shared" si="366"/>
        <v>0</v>
      </c>
      <c r="PB18" s="554">
        <f t="shared" si="367"/>
        <v>0</v>
      </c>
      <c r="PC18" s="554">
        <f t="shared" si="368"/>
        <v>0</v>
      </c>
      <c r="PD18" s="554">
        <f t="shared" si="369"/>
        <v>0</v>
      </c>
      <c r="PE18" s="554">
        <f t="shared" si="370"/>
        <v>0</v>
      </c>
      <c r="PF18" s="554">
        <f t="shared" si="371"/>
        <v>0</v>
      </c>
      <c r="PG18" s="554">
        <f t="shared" si="372"/>
        <v>0</v>
      </c>
      <c r="PH18" s="554">
        <f t="shared" si="373"/>
        <v>0</v>
      </c>
      <c r="PI18" s="554">
        <f t="shared" si="374"/>
        <v>0</v>
      </c>
      <c r="PJ18" s="554">
        <f t="shared" si="375"/>
        <v>0</v>
      </c>
      <c r="PK18" s="553" t="b">
        <f t="shared" si="376"/>
        <v>0</v>
      </c>
      <c r="PL18" s="553">
        <f t="shared" si="377"/>
        <v>0</v>
      </c>
      <c r="PM18" s="553" t="b">
        <f t="shared" si="378"/>
        <v>0</v>
      </c>
      <c r="PN18" s="553">
        <f t="shared" si="379"/>
        <v>0</v>
      </c>
      <c r="PO18" s="553" t="b">
        <f t="shared" si="380"/>
        <v>0</v>
      </c>
      <c r="PP18" s="553">
        <f t="shared" si="381"/>
        <v>0</v>
      </c>
      <c r="PQ18" s="553" t="b">
        <f t="shared" si="382"/>
        <v>0</v>
      </c>
      <c r="PR18" s="553">
        <f t="shared" si="383"/>
        <v>0</v>
      </c>
      <c r="PS18" s="553" t="b">
        <f t="shared" si="384"/>
        <v>0</v>
      </c>
      <c r="PT18" s="553">
        <f t="shared" si="385"/>
        <v>0</v>
      </c>
      <c r="PU18" s="553">
        <f t="shared" si="386"/>
        <v>1</v>
      </c>
      <c r="PV18" s="553">
        <f t="shared" si="387"/>
        <v>6</v>
      </c>
      <c r="PW18" s="553" t="b">
        <f t="shared" si="388"/>
        <v>0</v>
      </c>
      <c r="PX18" s="553">
        <f t="shared" si="389"/>
        <v>0</v>
      </c>
      <c r="PY18" s="553" t="b">
        <f t="shared" si="390"/>
        <v>0</v>
      </c>
      <c r="PZ18" s="553">
        <f t="shared" si="391"/>
        <v>0</v>
      </c>
      <c r="QA18" s="553" t="b">
        <f t="shared" si="392"/>
        <v>0</v>
      </c>
      <c r="QB18" s="553">
        <f t="shared" si="393"/>
        <v>0</v>
      </c>
      <c r="QC18" s="553" t="b">
        <f t="shared" si="394"/>
        <v>0</v>
      </c>
      <c r="QD18" s="553">
        <f t="shared" si="395"/>
        <v>0</v>
      </c>
      <c r="QE18" s="541">
        <f t="shared" si="396"/>
        <v>6</v>
      </c>
      <c r="QF18" s="555" t="str">
        <f t="shared" si="397"/>
        <v>6th</v>
      </c>
      <c r="QG18" s="605" t="s">
        <v>4606</v>
      </c>
      <c r="QH18" s="606">
        <f>'print 10 lane'!M148</f>
        <v>5</v>
      </c>
      <c r="QI18" s="607" t="s">
        <v>4607</v>
      </c>
      <c r="QJ18" s="606">
        <f>'print 10 lane'!M149</f>
        <v>2</v>
      </c>
      <c r="QK18" s="608" t="s">
        <v>4608</v>
      </c>
      <c r="QL18" s="609">
        <f>'print 10 lane'!M150</f>
        <v>1</v>
      </c>
      <c r="QM18" s="561" t="s">
        <v>4609</v>
      </c>
      <c r="QN18" s="562">
        <f>'print 10 lane'!M151</f>
        <v>10</v>
      </c>
      <c r="QO18" s="563" t="s">
        <v>4610</v>
      </c>
      <c r="QP18" s="562">
        <f>'print 10 lane'!M152</f>
        <v>10</v>
      </c>
      <c r="QQ18" s="564" t="s">
        <v>4611</v>
      </c>
      <c r="QR18" s="562">
        <f>'print 10 lane'!M153</f>
        <v>14</v>
      </c>
      <c r="QS18" s="565" t="s">
        <v>4612</v>
      </c>
      <c r="QT18" s="562">
        <f>'print 10 lane'!M154</f>
        <v>8</v>
      </c>
      <c r="QU18" s="566" t="s">
        <v>4613</v>
      </c>
      <c r="QV18" s="562">
        <f>'print 10 lane'!M155</f>
        <v>0</v>
      </c>
      <c r="QW18" s="567" t="s">
        <v>4614</v>
      </c>
      <c r="QX18" s="562">
        <f>'print 10 lane'!M156</f>
        <v>0</v>
      </c>
      <c r="QY18" s="568" t="s">
        <v>4615</v>
      </c>
      <c r="QZ18" s="562">
        <f>'print 10 lane'!M157</f>
        <v>0</v>
      </c>
      <c r="RC18" s="610" t="e">
        <f t="shared" si="398"/>
        <v>#REF!</v>
      </c>
      <c r="RD18" s="611">
        <f t="shared" si="399"/>
        <v>0</v>
      </c>
      <c r="RR18" s="502">
        <f t="shared" si="400"/>
        <v>2</v>
      </c>
      <c r="RS18" s="1183" t="str">
        <f t="shared" si="401"/>
        <v>AYLESBURY</v>
      </c>
      <c r="RT18" s="1183"/>
      <c r="RU18" s="1183"/>
      <c r="RV18" s="1183"/>
      <c r="RW18" s="1184" t="str">
        <f t="shared" si="402"/>
        <v>2nd</v>
      </c>
      <c r="RX18" s="1184"/>
      <c r="RY18" s="1185" t="e">
        <f t="shared" si="403"/>
        <v>#REF!</v>
      </c>
      <c r="RZ18" s="1185"/>
      <c r="SA18" s="1185"/>
      <c r="SB18" s="571">
        <f t="shared" si="404"/>
        <v>241</v>
      </c>
      <c r="SC18" s="572" t="str">
        <f t="shared" si="405"/>
        <v>2nd</v>
      </c>
      <c r="SD18" s="573">
        <f t="shared" si="406"/>
        <v>0</v>
      </c>
      <c r="SE18" s="574" t="b">
        <f t="shared" si="407"/>
        <v>0</v>
      </c>
      <c r="SF18" s="575">
        <f t="shared" si="408"/>
        <v>0</v>
      </c>
      <c r="SG18" s="575">
        <f t="shared" si="409"/>
        <v>0</v>
      </c>
      <c r="SH18" s="576" t="b">
        <f t="shared" si="410"/>
        <v>0</v>
      </c>
      <c r="SI18" s="575">
        <f t="shared" si="411"/>
        <v>0</v>
      </c>
      <c r="SJ18" s="575">
        <f t="shared" si="412"/>
        <v>0</v>
      </c>
      <c r="SK18" s="576" t="b">
        <f t="shared" si="413"/>
        <v>0</v>
      </c>
      <c r="SL18" s="575">
        <f t="shared" si="414"/>
        <v>0</v>
      </c>
      <c r="SM18" s="575">
        <f t="shared" si="415"/>
        <v>0</v>
      </c>
      <c r="SN18" s="576" t="b">
        <f t="shared" si="416"/>
        <v>0</v>
      </c>
      <c r="SO18" s="575">
        <f t="shared" si="417"/>
        <v>0</v>
      </c>
      <c r="SP18" s="575" t="e">
        <f t="shared" si="418"/>
        <v>#REF!</v>
      </c>
      <c r="SQ18" s="576" t="e">
        <f t="shared" si="419"/>
        <v>#REF!</v>
      </c>
      <c r="SR18" s="575" t="e">
        <f t="shared" si="420"/>
        <v>#REF!</v>
      </c>
      <c r="SS18" s="575" t="e">
        <f t="shared" si="421"/>
        <v>#REF!</v>
      </c>
      <c r="ST18" s="576" t="e">
        <f t="shared" si="422"/>
        <v>#REF!</v>
      </c>
      <c r="SU18" s="575" t="e">
        <f t="shared" si="423"/>
        <v>#REF!</v>
      </c>
      <c r="SV18" s="575" t="e">
        <f t="shared" si="424"/>
        <v>#REF!</v>
      </c>
      <c r="SW18" s="576" t="e">
        <f t="shared" si="425"/>
        <v>#REF!</v>
      </c>
      <c r="SX18" s="575" t="e">
        <f t="shared" si="426"/>
        <v>#REF!</v>
      </c>
      <c r="SY18" s="575" t="e">
        <f t="shared" si="427"/>
        <v>#REF!</v>
      </c>
      <c r="SZ18" s="576" t="e">
        <f t="shared" si="428"/>
        <v>#REF!</v>
      </c>
      <c r="TA18" s="575" t="e">
        <f t="shared" si="429"/>
        <v>#REF!</v>
      </c>
      <c r="TB18" s="575" t="e">
        <f t="shared" si="430"/>
        <v>#REF!</v>
      </c>
      <c r="TC18" s="576" t="e">
        <f t="shared" si="431"/>
        <v>#REF!</v>
      </c>
      <c r="TD18" s="575" t="e">
        <f t="shared" si="432"/>
        <v>#REF!</v>
      </c>
      <c r="TE18" s="575" t="e">
        <f t="shared" si="433"/>
        <v>#REF!</v>
      </c>
      <c r="TF18" s="576" t="e">
        <f t="shared" si="434"/>
        <v>#REF!</v>
      </c>
      <c r="TG18" s="575" t="e">
        <f t="shared" si="435"/>
        <v>#REF!</v>
      </c>
      <c r="TH18" s="575" t="e">
        <f t="shared" si="436"/>
        <v>#REF!</v>
      </c>
      <c r="TI18" s="576" t="e">
        <f t="shared" si="437"/>
        <v>#REF!</v>
      </c>
      <c r="TJ18" s="575" t="e">
        <f t="shared" si="438"/>
        <v>#REF!</v>
      </c>
      <c r="TK18" s="575" t="e">
        <f>IF(#REF!=0,0,IF(SI18=1,1,IF(SI18=2,2,IF(SI18=3,3,IF(SI18=4,4,IF(SI18=5,5,IF(SI18=6,6,IF(SI18=7,7,IF(SI18=8,8,IF(SI18=9,9,IF(SI18=10,10,IF(SL18=2,2,IF(SL18=3,3,IF(SL18=4,4,IF(SL18=5,5,IF(SL18=6,6,IF(SL18=7,7,IF(SL18=8,8,IF(SL18=9,9,IF(SL18=10,10,IF(SO18=3,3,IF(SO18=4,4,IF(SO18=5,5,IF(SO18=6,6,IF(SO18=7,7,IF(SO18=8,8,IF(SO18=9,9,IF(SO18=10,10,IF(SR18=4,4,IF(SR18=5,5,IF(SR18=6,6,IF(SR18=7,7,IF(SR18=8,8,IF(SR18=9,9,IF(SR18=10,10,IF(SU18=5,5,IF(SU18=6,6,IF(SU18=7,7,IF(SU18=8,8,IF(SU18=9,9,IF(SU18=10,10,IF(SX18=6,6,IF(SX18=5,5,IF(SX18=7,7,IF(SX18=8,8,IF(SX18=9,9,IF(SX18=10,10,IF(TA18=7,7,IF(TA18=8,8,IF(TA18=9,9,IF(TA18=10,10,IF(TD18=8,8,IF(TD18=9,9,IF(TD18=10,10,IF(TG18=9,9,IF(TG18=10,10,IF(TI18=10,10,(SF18))))))))))))))))))))))))))))))))))))))))))))))))))))))))))</f>
        <v>#REF!</v>
      </c>
      <c r="TL18" s="575" t="e">
        <f>IF(#REF!=0,0,IF(TK18=1,"1st",IF(TK18=2,"2nd",IF(TK18=3,"3rd",IF(TK18=4,"4th",IF(TK18=5,"5th",IF(TK18=6,"6th",IF(TK18=7,"7th",IF(TK18=8,"8th",IF(TK18=9,"9th",IF(TK18=10,"10th")))))))))))</f>
        <v>#REF!</v>
      </c>
      <c r="TM18" s="1186" t="e">
        <f t="shared" si="439"/>
        <v>#REF!</v>
      </c>
      <c r="TN18" s="1186"/>
      <c r="TO18" s="1186"/>
      <c r="TP18" s="1187">
        <f t="shared" si="440"/>
        <v>0</v>
      </c>
      <c r="TQ18" s="1187"/>
      <c r="TR18" s="1187"/>
    </row>
    <row r="19" spans="1:538" ht="30" customHeight="1" x14ac:dyDescent="0.25">
      <c r="A19" s="451" t="str">
        <f t="shared" si="1"/>
        <v>BORO OF BROXBOURNE</v>
      </c>
      <c r="B19" s="577">
        <f>'Gala Setup'!$N6</f>
        <v>3</v>
      </c>
      <c r="C19" s="524" t="str">
        <f>'Gala Setup'!P6</f>
        <v>BORO OF BROXBOURNE</v>
      </c>
      <c r="D19" s="578"/>
      <c r="E19" s="579"/>
      <c r="F19" s="452"/>
      <c r="G19" s="527" t="str">
        <f>IF($CG$17="3rd",CC$17,IF($CG$18="3rd",CC$18,IF($CG$19="3rd",CC$19,IF($CG$20="3rd",CC$20,IF($CG$21="3rd",CC$21,IF($CG$22="3rd",CC$22,IF($CG$23="3rd",CC$23,IF($CG$24="3rd",CC$24,IF($CG$25="3rd",CC$25,IF($CG$26="3rd",CC$26,"More results required for accuracy"))))))))))</f>
        <v>Bo of Harrow</v>
      </c>
      <c r="H19" s="528" t="str">
        <f>IF(C19=0,0,"3rd")</f>
        <v>3rd</v>
      </c>
      <c r="I19" s="528" t="e">
        <f>IF($CG$17="3rd",CE$17,IF($CG$18="3rd",CE$18,IF($CG$19="3rd",CE$19,IF($CG$20="3rd",CE$20,IF($CG$21="3rd",CE$21,IF($CG$22="3rd",CE$22,IF($CG$23="3rd",CE$23,IF($CG$24="3rd",CE$24,IF($CG$25="3rd",CE$25,IF($CG$26="3rd",CE$26))))))))))</f>
        <v>#REF!</v>
      </c>
      <c r="J19" s="529" t="e">
        <f t="shared" si="2"/>
        <v>#REF!</v>
      </c>
      <c r="K19" s="529" t="e">
        <f t="shared" si="3"/>
        <v>#REF!</v>
      </c>
      <c r="L19" s="530"/>
      <c r="M19" s="530">
        <f>IF($CG$17="3rd",CF$17,IF($CG$18="3rd",CF$18,IF($CG$19="3rd",CF$19,IF($CG$20="3rd",CF$20,IF($CG$21="3rd",CF$21,IF($CG$22="3rd",CF$22,IF($CG$23="3rd",CF$23,IF($CG$24="3rd",CF$24,IF($CG$25="3rd",CF$25,IF($CG$26="3rd",CF$26))))))))))</f>
        <v>212</v>
      </c>
      <c r="N19" s="1200"/>
      <c r="O19" s="1200"/>
      <c r="P19" s="1200"/>
      <c r="Q19" s="1200"/>
      <c r="R19" s="1200"/>
      <c r="S19" s="1200"/>
      <c r="T19" s="467"/>
      <c r="U19" s="580" t="str">
        <f>IF(C19=0,0,"3rd")</f>
        <v>3rd</v>
      </c>
      <c r="V19" s="581">
        <f>IF(C19=G19,E19,IF(C20=G19,E20,IF(C21=G19,E21,IF(C22=G19,E22,IF(C23=G19,E23,IF(C24=G19,E24,IF(C25=G19,E25,IF(C26=G19,E26,IF(C17=G19,E17,IF(C18=G19,E18))))))))))</f>
        <v>0</v>
      </c>
      <c r="W19" s="582"/>
      <c r="X19" s="583">
        <f>IF(C19=0,0,IF($CQ$17="3rd",CO$17,IF($CQ$18="3rd",CO$18,IF($CQ$19="3rd",CO$19,IF($CQ$20="3rd",CO$20,IF($CQ$21="3rd",CO$21,IF($CQ$22="3rd",CO$22,IF($CQ$23="3rd",CO$23,IF($CQ$24="3rd",CO$24,IF($CQ$25="3rd",CO$25,IF($CQ$26="3rd",CO$26)))))))))))+D4</f>
        <v>0</v>
      </c>
      <c r="Y19" s="584"/>
      <c r="Z19" s="585">
        <f t="shared" si="4"/>
        <v>0</v>
      </c>
      <c r="AA19" s="530" t="b">
        <f>IF(C19=0,0,IF($CQ$17="3rd",CP$17,IF($CQ$18="3rd",CP$18,IF($CQ$19="3rd",CP$19,IF($CQ$20="3rd",CP$20,IF($CQ$21="3rd",CP$21,IF($CQ$22="3rd",CP$22,IF($CQ$23="3rd",CP$23,IF($CQ$24="3rd",CP$24,IF($CQ$25="3rd",CP$25,IF($CQ$26="3rd",CP$26)))))))))))</f>
        <v>0</v>
      </c>
      <c r="AB19" s="586" t="e">
        <f t="shared" si="5"/>
        <v>#REF!</v>
      </c>
      <c r="AC19" s="586" t="e">
        <f t="shared" si="6"/>
        <v>#REF!</v>
      </c>
      <c r="AD19" s="587" t="e">
        <f t="shared" si="7"/>
        <v>#REF!</v>
      </c>
      <c r="AE19" s="588" t="e">
        <f t="shared" si="8"/>
        <v>#REF!</v>
      </c>
      <c r="AF19" s="586" t="e">
        <f t="shared" si="9"/>
        <v>#REF!</v>
      </c>
      <c r="AG19" s="587" t="e">
        <f t="shared" si="10"/>
        <v>#REF!</v>
      </c>
      <c r="AH19" s="588" t="e">
        <f t="shared" si="11"/>
        <v>#REF!</v>
      </c>
      <c r="AI19" s="586" t="e">
        <f t="shared" si="12"/>
        <v>#REF!</v>
      </c>
      <c r="AJ19" s="587" t="e">
        <f t="shared" si="13"/>
        <v>#REF!</v>
      </c>
      <c r="AK19" s="588" t="e">
        <f t="shared" si="14"/>
        <v>#REF!</v>
      </c>
      <c r="AL19" s="586" t="e">
        <f t="shared" si="15"/>
        <v>#REF!</v>
      </c>
      <c r="AM19" s="587" t="e">
        <f t="shared" si="16"/>
        <v>#REF!</v>
      </c>
      <c r="AN19" s="588" t="e">
        <f t="shared" si="17"/>
        <v>#REF!</v>
      </c>
      <c r="AO19" s="586" t="e">
        <f t="shared" si="18"/>
        <v>#REF!</v>
      </c>
      <c r="AP19" s="587" t="e">
        <f t="shared" si="19"/>
        <v>#REF!</v>
      </c>
      <c r="AQ19" s="588" t="e">
        <f t="shared" si="20"/>
        <v>#REF!</v>
      </c>
      <c r="AR19" s="586" t="e">
        <f t="shared" si="21"/>
        <v>#REF!</v>
      </c>
      <c r="AS19" s="587" t="e">
        <f t="shared" si="22"/>
        <v>#REF!</v>
      </c>
      <c r="AT19" s="588" t="e">
        <f t="shared" si="23"/>
        <v>#REF!</v>
      </c>
      <c r="AU19" s="586" t="e">
        <f t="shared" si="24"/>
        <v>#REF!</v>
      </c>
      <c r="AV19" s="587" t="e">
        <f t="shared" si="25"/>
        <v>#REF!</v>
      </c>
      <c r="AW19" s="588" t="e">
        <f t="shared" si="26"/>
        <v>#REF!</v>
      </c>
      <c r="AX19" s="586" t="e">
        <f t="shared" si="27"/>
        <v>#REF!</v>
      </c>
      <c r="AY19" s="587" t="e">
        <f t="shared" si="28"/>
        <v>#REF!</v>
      </c>
      <c r="AZ19" s="588" t="e">
        <f t="shared" si="29"/>
        <v>#REF!</v>
      </c>
      <c r="BA19" s="586" t="e">
        <f t="shared" si="30"/>
        <v>#REF!</v>
      </c>
      <c r="BB19" s="587" t="e">
        <f t="shared" si="31"/>
        <v>#REF!</v>
      </c>
      <c r="BC19" s="588" t="e">
        <f t="shared" si="32"/>
        <v>#REF!</v>
      </c>
      <c r="BD19" s="586" t="e">
        <f t="shared" si="33"/>
        <v>#REF!</v>
      </c>
      <c r="BE19" s="587" t="e">
        <f t="shared" si="34"/>
        <v>#REF!</v>
      </c>
      <c r="BF19" s="588" t="e">
        <f t="shared" si="35"/>
        <v>#REF!</v>
      </c>
      <c r="BG19" s="588">
        <f t="shared" si="36"/>
        <v>0</v>
      </c>
      <c r="BH19" s="586">
        <f t="shared" si="37"/>
        <v>0</v>
      </c>
      <c r="BI19" s="1179">
        <f t="shared" si="38"/>
        <v>0</v>
      </c>
      <c r="BJ19" s="1179"/>
      <c r="BK19" s="1179"/>
      <c r="BL19" s="584"/>
      <c r="BM19" s="1180"/>
      <c r="BN19" s="1180"/>
      <c r="BO19" s="1180"/>
      <c r="BP19" s="1224"/>
      <c r="BQ19" s="1209" t="s">
        <v>4616</v>
      </c>
      <c r="BR19" s="456"/>
      <c r="BS19" s="457"/>
      <c r="BW19" s="589">
        <f t="shared" si="39"/>
        <v>3</v>
      </c>
      <c r="BX19" s="590">
        <f t="shared" si="40"/>
        <v>0</v>
      </c>
      <c r="BY19" s="590">
        <f t="shared" si="41"/>
        <v>0</v>
      </c>
      <c r="BZ19" s="542">
        <f>IF($CG$17="3rd",BW$17,IF($CG$18="3rd",BW$18,IF($CG$19="3rd",BW$19,IF($CG$20="3rd",BW$20,IF($CG$21="3rd",BW$21,IF($CG$22="3rd",BW$22,IF($CG$23="3rd",BW$23,IF($CG$24="3rd",BW$24,IF($CG$25="3rd",BW$25,IF($CG$26="3rd",BW$26))))))))))</f>
        <v>6</v>
      </c>
      <c r="CA19" s="253">
        <f>IF($CG$17="3rd",BX$17,IF($CG$18="3rd",BX$18,IF($CG$19="3rd",BX$19,IF($CG$20="3rd",BX$20,IF($CG$21="3rd",BX$21,IF($CG$22="3rd",BX$22,IF($CG$23="3rd",BX$23,IF($CG$24="3rd",BX$24,IF($CG$25="3rd",BX$25,IF($CG$26="3rd",BX$26))))))))))</f>
        <v>0</v>
      </c>
      <c r="CB19" s="253">
        <f>IF($CG$17="3rd",BY$17,IF($CG$18="3rd",BY$18,IF($CG$19="3rd",BY$19,IF($CG$20="3rd",BY$20,IF($CG$21="3rd",BY$21,IF($CG$22="3rd",BY$22,IF($CG$23="3rd",BY$23,IF($CG$24="3rd",BY$24,IF($CG$25="3rd",BY$25,IF($CG$26="3rd",BY$26))))))))))</f>
        <v>0</v>
      </c>
      <c r="CC19" s="591" t="str">
        <f t="shared" si="42"/>
        <v>BORO OF BROXBOURNE</v>
      </c>
      <c r="CD19" s="592" t="e">
        <f t="shared" si="43"/>
        <v>#REF!</v>
      </c>
      <c r="CE19" s="590" t="e">
        <f t="shared" si="44"/>
        <v>#REF!</v>
      </c>
      <c r="CF19" s="590">
        <f t="shared" si="45"/>
        <v>171</v>
      </c>
      <c r="CG19" s="592" t="str">
        <f t="shared" si="46"/>
        <v>5th</v>
      </c>
      <c r="CH19" s="593" t="str">
        <f t="shared" si="47"/>
        <v>1st</v>
      </c>
      <c r="CI19" s="593">
        <f t="shared" si="48"/>
        <v>2</v>
      </c>
      <c r="CJ19" s="593" t="str">
        <f t="shared" si="49"/>
        <v>2nd</v>
      </c>
      <c r="CK19" s="593">
        <f t="shared" si="50"/>
        <v>7</v>
      </c>
      <c r="CL19" s="593" t="str">
        <f t="shared" si="51"/>
        <v>3rd</v>
      </c>
      <c r="CM19" s="594">
        <f t="shared" si="52"/>
        <v>8</v>
      </c>
      <c r="CO19" s="595" t="e">
        <f t="shared" si="53"/>
        <v>#REF!</v>
      </c>
      <c r="CP19" s="590">
        <f t="shared" si="54"/>
        <v>0</v>
      </c>
      <c r="CQ19" s="590">
        <f t="shared" si="55"/>
        <v>0</v>
      </c>
      <c r="CR19" s="1182">
        <f t="shared" si="56"/>
        <v>0</v>
      </c>
      <c r="CS19" s="1182"/>
      <c r="CT19" s="1182"/>
      <c r="CU19" s="459"/>
      <c r="CW19" s="596" t="str">
        <f>'print 10 lane'!$O6</f>
        <v>BORO OF BROXBOURNE</v>
      </c>
      <c r="CX19" s="597" t="e">
        <f>IF(DB19=1,(10-#REF!),IF(DB19=2,(9-#REF!),IF(DB19=3,(8-#REF!),IF(DB19=4,(7-#REF!),IF(DB19=5,(6-#REF!),IF(DB19=6,(5-#REF!),IF(DB19=7,(4-#REF!),IF(DB19=8,(3-#REF!),IF(DB19=9,(2-#REF!),IF(DB19=10,1))))))))))</f>
        <v>#REF!</v>
      </c>
      <c r="CY19" s="597"/>
      <c r="CZ19" s="598" t="e">
        <f t="shared" si="57"/>
        <v>#REF!</v>
      </c>
      <c r="DA19" s="599">
        <f>'print 10 lane'!P$9</f>
        <v>171</v>
      </c>
      <c r="DB19" s="590">
        <f>'print 10 lane'!P$7</f>
        <v>5</v>
      </c>
      <c r="DC19" s="600">
        <f t="shared" si="58"/>
        <v>0</v>
      </c>
      <c r="DD19" s="601" t="b">
        <f t="shared" si="59"/>
        <v>0</v>
      </c>
      <c r="DE19" s="553">
        <f t="shared" si="60"/>
        <v>0</v>
      </c>
      <c r="DF19" s="600">
        <f t="shared" si="61"/>
        <v>0</v>
      </c>
      <c r="DG19" s="601" t="b">
        <f t="shared" si="62"/>
        <v>0</v>
      </c>
      <c r="DH19" s="601" t="b">
        <f t="shared" si="63"/>
        <v>0</v>
      </c>
      <c r="DI19" s="600">
        <f t="shared" si="64"/>
        <v>0</v>
      </c>
      <c r="DJ19" s="601" t="b">
        <f t="shared" si="65"/>
        <v>0</v>
      </c>
      <c r="DK19" s="601" t="b">
        <f t="shared" si="66"/>
        <v>0</v>
      </c>
      <c r="DL19" s="600">
        <f t="shared" si="67"/>
        <v>0</v>
      </c>
      <c r="DM19" s="601" t="b">
        <f t="shared" si="68"/>
        <v>0</v>
      </c>
      <c r="DN19" s="601" t="b">
        <f t="shared" si="69"/>
        <v>0</v>
      </c>
      <c r="DO19" s="600">
        <f t="shared" si="70"/>
        <v>171</v>
      </c>
      <c r="DP19" s="601">
        <f t="shared" si="71"/>
        <v>1</v>
      </c>
      <c r="DQ19" s="601">
        <f t="shared" si="72"/>
        <v>5</v>
      </c>
      <c r="DR19" s="600">
        <f t="shared" si="73"/>
        <v>0</v>
      </c>
      <c r="DS19" s="552" t="b">
        <f t="shared" si="74"/>
        <v>0</v>
      </c>
      <c r="DT19" s="601" t="b">
        <f t="shared" si="75"/>
        <v>0</v>
      </c>
      <c r="DU19" s="600">
        <f t="shared" si="76"/>
        <v>0</v>
      </c>
      <c r="DV19" s="601" t="b">
        <f t="shared" si="77"/>
        <v>0</v>
      </c>
      <c r="DW19" s="601" t="b">
        <f t="shared" si="78"/>
        <v>0</v>
      </c>
      <c r="DX19" s="600">
        <f t="shared" si="79"/>
        <v>0</v>
      </c>
      <c r="DY19" s="601" t="b">
        <f t="shared" si="80"/>
        <v>0</v>
      </c>
      <c r="DZ19" s="601" t="b">
        <f t="shared" si="81"/>
        <v>0</v>
      </c>
      <c r="EA19" s="600">
        <f t="shared" si="82"/>
        <v>0</v>
      </c>
      <c r="EB19" s="601" t="b">
        <f t="shared" si="83"/>
        <v>0</v>
      </c>
      <c r="EC19" s="601" t="b">
        <f t="shared" si="84"/>
        <v>0</v>
      </c>
      <c r="ED19" s="600">
        <f t="shared" si="85"/>
        <v>0</v>
      </c>
      <c r="EE19" s="601" t="b">
        <f t="shared" si="86"/>
        <v>0</v>
      </c>
      <c r="EF19" s="552" t="b">
        <f t="shared" si="87"/>
        <v>0</v>
      </c>
      <c r="EG19" s="541">
        <f t="shared" si="88"/>
        <v>5</v>
      </c>
      <c r="EH19" s="602">
        <f t="shared" si="89"/>
        <v>0</v>
      </c>
      <c r="EI19" s="602">
        <f t="shared" si="90"/>
        <v>0</v>
      </c>
      <c r="EJ19" s="602">
        <f t="shared" si="91"/>
        <v>0</v>
      </c>
      <c r="EK19" s="602">
        <f t="shared" si="92"/>
        <v>0</v>
      </c>
      <c r="EL19" s="602">
        <f t="shared" si="93"/>
        <v>2</v>
      </c>
      <c r="EM19" s="602">
        <f t="shared" si="94"/>
        <v>0</v>
      </c>
      <c r="EN19" s="602">
        <f t="shared" si="95"/>
        <v>0</v>
      </c>
      <c r="EO19" s="602">
        <f t="shared" si="96"/>
        <v>0</v>
      </c>
      <c r="EP19" s="602">
        <f t="shared" si="97"/>
        <v>0</v>
      </c>
      <c r="EQ19" s="602">
        <f t="shared" si="98"/>
        <v>0</v>
      </c>
      <c r="ER19" s="552" t="b">
        <f t="shared" si="99"/>
        <v>0</v>
      </c>
      <c r="ES19" s="553">
        <f t="shared" si="100"/>
        <v>0</v>
      </c>
      <c r="ET19" s="601" t="b">
        <f t="shared" si="101"/>
        <v>0</v>
      </c>
      <c r="EU19" s="553">
        <f t="shared" si="102"/>
        <v>0</v>
      </c>
      <c r="EV19" s="601" t="b">
        <f t="shared" si="103"/>
        <v>0</v>
      </c>
      <c r="EW19" s="553">
        <f t="shared" si="104"/>
        <v>0</v>
      </c>
      <c r="EX19" s="601" t="b">
        <f t="shared" si="105"/>
        <v>0</v>
      </c>
      <c r="EY19" s="553">
        <f t="shared" si="106"/>
        <v>0</v>
      </c>
      <c r="EZ19" s="601">
        <f t="shared" si="107"/>
        <v>1</v>
      </c>
      <c r="FA19" s="553">
        <f t="shared" si="108"/>
        <v>5</v>
      </c>
      <c r="FB19" s="601" t="b">
        <f t="shared" si="109"/>
        <v>0</v>
      </c>
      <c r="FC19" s="553">
        <f t="shared" si="110"/>
        <v>0</v>
      </c>
      <c r="FD19" s="603" t="b">
        <f t="shared" si="111"/>
        <v>0</v>
      </c>
      <c r="FE19" s="604">
        <f t="shared" si="441"/>
        <v>0</v>
      </c>
      <c r="FF19" s="601" t="b">
        <f t="shared" si="112"/>
        <v>0</v>
      </c>
      <c r="FG19" s="553">
        <f t="shared" si="113"/>
        <v>0</v>
      </c>
      <c r="FH19" s="601" t="b">
        <f t="shared" si="114"/>
        <v>0</v>
      </c>
      <c r="FI19" s="604">
        <f t="shared" si="115"/>
        <v>0</v>
      </c>
      <c r="FJ19" s="601" t="b">
        <f t="shared" si="116"/>
        <v>0</v>
      </c>
      <c r="FK19" s="604">
        <f t="shared" si="117"/>
        <v>0</v>
      </c>
      <c r="FL19" s="541">
        <f t="shared" si="118"/>
        <v>5</v>
      </c>
      <c r="FM19" s="602">
        <f t="shared" si="119"/>
        <v>0</v>
      </c>
      <c r="FN19" s="602">
        <f t="shared" si="120"/>
        <v>0</v>
      </c>
      <c r="FO19" s="602">
        <f t="shared" si="121"/>
        <v>0</v>
      </c>
      <c r="FP19" s="602">
        <f t="shared" si="122"/>
        <v>0</v>
      </c>
      <c r="FQ19" s="602">
        <f t="shared" si="123"/>
        <v>7</v>
      </c>
      <c r="FR19" s="602">
        <f t="shared" si="124"/>
        <v>0</v>
      </c>
      <c r="FS19" s="602">
        <f t="shared" si="125"/>
        <v>0</v>
      </c>
      <c r="FT19" s="602">
        <f t="shared" si="126"/>
        <v>0</v>
      </c>
      <c r="FU19" s="602">
        <f t="shared" si="127"/>
        <v>0</v>
      </c>
      <c r="FV19" s="602">
        <f t="shared" si="128"/>
        <v>0</v>
      </c>
      <c r="FW19" s="601" t="b">
        <f t="shared" si="129"/>
        <v>0</v>
      </c>
      <c r="FX19" s="553">
        <f t="shared" si="130"/>
        <v>0</v>
      </c>
      <c r="FY19" s="601" t="b">
        <f t="shared" si="131"/>
        <v>0</v>
      </c>
      <c r="FZ19" s="553">
        <f t="shared" si="132"/>
        <v>0</v>
      </c>
      <c r="GA19" s="552" t="b">
        <f t="shared" si="133"/>
        <v>0</v>
      </c>
      <c r="GB19" s="553">
        <f t="shared" si="134"/>
        <v>0</v>
      </c>
      <c r="GC19" s="601" t="b">
        <f t="shared" si="135"/>
        <v>0</v>
      </c>
      <c r="GD19" s="553">
        <f t="shared" si="136"/>
        <v>0</v>
      </c>
      <c r="GE19" s="601">
        <f t="shared" si="137"/>
        <v>1</v>
      </c>
      <c r="GF19" s="553">
        <f t="shared" si="138"/>
        <v>5</v>
      </c>
      <c r="GG19" s="601" t="b">
        <f t="shared" si="139"/>
        <v>0</v>
      </c>
      <c r="GH19" s="553">
        <f t="shared" si="140"/>
        <v>0</v>
      </c>
      <c r="GI19" s="601" t="b">
        <f t="shared" si="141"/>
        <v>0</v>
      </c>
      <c r="GJ19" s="604">
        <f t="shared" si="442"/>
        <v>0</v>
      </c>
      <c r="GK19" s="601" t="b">
        <f t="shared" si="142"/>
        <v>0</v>
      </c>
      <c r="GL19" s="553">
        <f t="shared" si="143"/>
        <v>0</v>
      </c>
      <c r="GM19" s="601" t="b">
        <f t="shared" si="144"/>
        <v>0</v>
      </c>
      <c r="GN19" s="604">
        <f t="shared" si="145"/>
        <v>0</v>
      </c>
      <c r="GO19" s="601" t="b">
        <f t="shared" si="146"/>
        <v>0</v>
      </c>
      <c r="GP19" s="604">
        <f t="shared" si="147"/>
        <v>0</v>
      </c>
      <c r="GQ19" s="541">
        <f t="shared" si="148"/>
        <v>5</v>
      </c>
      <c r="GR19" s="554">
        <f t="shared" si="149"/>
        <v>0</v>
      </c>
      <c r="GS19" s="554">
        <f t="shared" si="150"/>
        <v>0</v>
      </c>
      <c r="GT19" s="554">
        <f t="shared" si="151"/>
        <v>0</v>
      </c>
      <c r="GU19" s="554">
        <f t="shared" si="152"/>
        <v>0</v>
      </c>
      <c r="GV19" s="554">
        <f t="shared" si="153"/>
        <v>8</v>
      </c>
      <c r="GW19" s="554">
        <f t="shared" si="154"/>
        <v>0</v>
      </c>
      <c r="GX19" s="554">
        <f t="shared" si="155"/>
        <v>0</v>
      </c>
      <c r="GY19" s="554">
        <f t="shared" si="156"/>
        <v>0</v>
      </c>
      <c r="GZ19" s="554">
        <f t="shared" si="157"/>
        <v>0</v>
      </c>
      <c r="HA19" s="554">
        <f t="shared" si="158"/>
        <v>0</v>
      </c>
      <c r="HB19" s="553" t="b">
        <f t="shared" si="159"/>
        <v>0</v>
      </c>
      <c r="HC19" s="553">
        <f t="shared" si="160"/>
        <v>0</v>
      </c>
      <c r="HD19" s="553" t="b">
        <f t="shared" si="161"/>
        <v>0</v>
      </c>
      <c r="HE19" s="553">
        <f t="shared" si="162"/>
        <v>0</v>
      </c>
      <c r="HF19" s="553" t="b">
        <f t="shared" si="163"/>
        <v>0</v>
      </c>
      <c r="HG19" s="553">
        <f t="shared" si="164"/>
        <v>0</v>
      </c>
      <c r="HH19" s="553" t="b">
        <f t="shared" si="165"/>
        <v>0</v>
      </c>
      <c r="HI19" s="553">
        <f t="shared" si="166"/>
        <v>0</v>
      </c>
      <c r="HJ19" s="553">
        <f t="shared" si="167"/>
        <v>1</v>
      </c>
      <c r="HK19" s="553">
        <f t="shared" si="168"/>
        <v>5</v>
      </c>
      <c r="HL19" s="553" t="b">
        <f t="shared" si="169"/>
        <v>0</v>
      </c>
      <c r="HM19" s="553">
        <f t="shared" si="170"/>
        <v>0</v>
      </c>
      <c r="HN19" s="553" t="b">
        <f t="shared" si="171"/>
        <v>0</v>
      </c>
      <c r="HO19" s="553">
        <f t="shared" si="172"/>
        <v>0</v>
      </c>
      <c r="HP19" s="553" t="b">
        <f t="shared" si="173"/>
        <v>0</v>
      </c>
      <c r="HQ19" s="553">
        <f t="shared" si="174"/>
        <v>0</v>
      </c>
      <c r="HR19" s="553" t="b">
        <f t="shared" si="175"/>
        <v>0</v>
      </c>
      <c r="HS19" s="553">
        <f t="shared" si="176"/>
        <v>0</v>
      </c>
      <c r="HT19" s="553" t="b">
        <f t="shared" si="177"/>
        <v>0</v>
      </c>
      <c r="HU19" s="553">
        <f t="shared" si="178"/>
        <v>0</v>
      </c>
      <c r="HV19" s="541">
        <f t="shared" si="179"/>
        <v>5</v>
      </c>
      <c r="HW19" s="554">
        <f t="shared" si="180"/>
        <v>0</v>
      </c>
      <c r="HX19" s="554">
        <f t="shared" si="181"/>
        <v>0</v>
      </c>
      <c r="HY19" s="554">
        <f t="shared" si="182"/>
        <v>0</v>
      </c>
      <c r="HZ19" s="554">
        <f t="shared" si="183"/>
        <v>0</v>
      </c>
      <c r="IA19" s="554">
        <f t="shared" si="184"/>
        <v>5</v>
      </c>
      <c r="IB19" s="554">
        <f t="shared" si="185"/>
        <v>0</v>
      </c>
      <c r="IC19" s="554">
        <f t="shared" si="186"/>
        <v>0</v>
      </c>
      <c r="ID19" s="554">
        <f t="shared" si="187"/>
        <v>0</v>
      </c>
      <c r="IE19" s="554">
        <f t="shared" si="188"/>
        <v>0</v>
      </c>
      <c r="IF19" s="554">
        <f t="shared" si="189"/>
        <v>0</v>
      </c>
      <c r="IG19" s="553" t="b">
        <f t="shared" si="190"/>
        <v>0</v>
      </c>
      <c r="IH19" s="553">
        <f t="shared" si="191"/>
        <v>0</v>
      </c>
      <c r="II19" s="553" t="b">
        <f t="shared" si="192"/>
        <v>0</v>
      </c>
      <c r="IJ19" s="553">
        <f t="shared" si="193"/>
        <v>0</v>
      </c>
      <c r="IK19" s="553" t="b">
        <f t="shared" si="194"/>
        <v>0</v>
      </c>
      <c r="IL19" s="553">
        <f t="shared" si="195"/>
        <v>0</v>
      </c>
      <c r="IM19" s="553" t="b">
        <f t="shared" si="196"/>
        <v>0</v>
      </c>
      <c r="IN19" s="553">
        <f t="shared" si="197"/>
        <v>0</v>
      </c>
      <c r="IO19" s="553">
        <f t="shared" si="198"/>
        <v>1</v>
      </c>
      <c r="IP19" s="553">
        <f t="shared" si="199"/>
        <v>5</v>
      </c>
      <c r="IQ19" s="553" t="b">
        <f t="shared" si="200"/>
        <v>0</v>
      </c>
      <c r="IR19" s="553">
        <f t="shared" si="201"/>
        <v>0</v>
      </c>
      <c r="IS19" s="553" t="b">
        <f t="shared" si="202"/>
        <v>0</v>
      </c>
      <c r="IT19" s="553">
        <f t="shared" si="203"/>
        <v>0</v>
      </c>
      <c r="IU19" s="553" t="b">
        <f t="shared" si="204"/>
        <v>0</v>
      </c>
      <c r="IV19" s="553">
        <f t="shared" si="205"/>
        <v>0</v>
      </c>
      <c r="IW19" s="553" t="b">
        <f t="shared" si="206"/>
        <v>0</v>
      </c>
      <c r="IX19" s="553">
        <f t="shared" si="207"/>
        <v>0</v>
      </c>
      <c r="IY19" s="553" t="b">
        <f t="shared" si="208"/>
        <v>0</v>
      </c>
      <c r="IZ19" s="553">
        <f t="shared" si="209"/>
        <v>0</v>
      </c>
      <c r="JA19" s="541">
        <f t="shared" si="210"/>
        <v>5</v>
      </c>
      <c r="JB19" s="554">
        <f t="shared" si="211"/>
        <v>0</v>
      </c>
      <c r="JC19" s="554">
        <f t="shared" si="212"/>
        <v>0</v>
      </c>
      <c r="JD19" s="554">
        <f t="shared" si="213"/>
        <v>0</v>
      </c>
      <c r="JE19" s="554">
        <f t="shared" si="214"/>
        <v>0</v>
      </c>
      <c r="JF19" s="554">
        <f t="shared" si="215"/>
        <v>13</v>
      </c>
      <c r="JG19" s="554">
        <f t="shared" si="216"/>
        <v>0</v>
      </c>
      <c r="JH19" s="554">
        <f t="shared" si="217"/>
        <v>0</v>
      </c>
      <c r="JI19" s="554">
        <f t="shared" si="218"/>
        <v>0</v>
      </c>
      <c r="JJ19" s="554">
        <f t="shared" si="219"/>
        <v>0</v>
      </c>
      <c r="JK19" s="554">
        <f t="shared" si="220"/>
        <v>0</v>
      </c>
      <c r="JL19" s="553" t="b">
        <f t="shared" si="221"/>
        <v>0</v>
      </c>
      <c r="JM19" s="553">
        <f t="shared" si="222"/>
        <v>0</v>
      </c>
      <c r="JN19" s="553" t="b">
        <f t="shared" si="223"/>
        <v>0</v>
      </c>
      <c r="JO19" s="553">
        <f t="shared" si="224"/>
        <v>0</v>
      </c>
      <c r="JP19" s="553" t="b">
        <f t="shared" si="225"/>
        <v>0</v>
      </c>
      <c r="JQ19" s="553">
        <f t="shared" si="226"/>
        <v>0</v>
      </c>
      <c r="JR19" s="553" t="b">
        <f t="shared" si="227"/>
        <v>0</v>
      </c>
      <c r="JS19" s="553">
        <f t="shared" si="228"/>
        <v>0</v>
      </c>
      <c r="JT19" s="553">
        <f t="shared" si="229"/>
        <v>1</v>
      </c>
      <c r="JU19" s="553">
        <f t="shared" si="230"/>
        <v>5</v>
      </c>
      <c r="JV19" s="553" t="b">
        <f t="shared" si="231"/>
        <v>0</v>
      </c>
      <c r="JW19" s="553">
        <f t="shared" si="232"/>
        <v>0</v>
      </c>
      <c r="JX19" s="553" t="b">
        <f t="shared" si="233"/>
        <v>0</v>
      </c>
      <c r="JY19" s="553">
        <f t="shared" si="234"/>
        <v>0</v>
      </c>
      <c r="JZ19" s="553" t="b">
        <f t="shared" si="235"/>
        <v>0</v>
      </c>
      <c r="KA19" s="553">
        <f t="shared" si="236"/>
        <v>0</v>
      </c>
      <c r="KB19" s="553" t="b">
        <f t="shared" si="237"/>
        <v>0</v>
      </c>
      <c r="KC19" s="553">
        <f t="shared" si="238"/>
        <v>0</v>
      </c>
      <c r="KD19" s="553" t="b">
        <f t="shared" si="239"/>
        <v>0</v>
      </c>
      <c r="KE19" s="553">
        <f t="shared" si="240"/>
        <v>0</v>
      </c>
      <c r="KF19" s="541">
        <f t="shared" si="241"/>
        <v>5</v>
      </c>
      <c r="KG19" s="554">
        <f t="shared" si="242"/>
        <v>0</v>
      </c>
      <c r="KH19" s="554">
        <f t="shared" si="243"/>
        <v>0</v>
      </c>
      <c r="KI19" s="554">
        <f t="shared" si="244"/>
        <v>0</v>
      </c>
      <c r="KJ19" s="554">
        <f t="shared" si="245"/>
        <v>0</v>
      </c>
      <c r="KK19" s="554">
        <f t="shared" si="246"/>
        <v>8</v>
      </c>
      <c r="KL19" s="554">
        <f t="shared" si="247"/>
        <v>0</v>
      </c>
      <c r="KM19" s="554">
        <f t="shared" si="248"/>
        <v>0</v>
      </c>
      <c r="KN19" s="554">
        <f t="shared" si="249"/>
        <v>0</v>
      </c>
      <c r="KO19" s="554">
        <f t="shared" si="250"/>
        <v>0</v>
      </c>
      <c r="KP19" s="554">
        <f t="shared" si="251"/>
        <v>0</v>
      </c>
      <c r="KQ19" s="553" t="b">
        <f t="shared" si="252"/>
        <v>0</v>
      </c>
      <c r="KR19" s="553">
        <f t="shared" si="253"/>
        <v>0</v>
      </c>
      <c r="KS19" s="553" t="b">
        <f t="shared" si="254"/>
        <v>0</v>
      </c>
      <c r="KT19" s="553">
        <f t="shared" si="255"/>
        <v>0</v>
      </c>
      <c r="KU19" s="553" t="b">
        <f t="shared" si="256"/>
        <v>0</v>
      </c>
      <c r="KV19" s="553">
        <f t="shared" si="257"/>
        <v>0</v>
      </c>
      <c r="KW19" s="553" t="b">
        <f t="shared" si="258"/>
        <v>0</v>
      </c>
      <c r="KX19" s="553">
        <f t="shared" si="259"/>
        <v>0</v>
      </c>
      <c r="KY19" s="553">
        <f t="shared" si="260"/>
        <v>1</v>
      </c>
      <c r="KZ19" s="553">
        <f t="shared" si="261"/>
        <v>5</v>
      </c>
      <c r="LA19" s="553" t="b">
        <f t="shared" si="262"/>
        <v>0</v>
      </c>
      <c r="LB19" s="553">
        <f t="shared" si="263"/>
        <v>0</v>
      </c>
      <c r="LC19" s="553" t="b">
        <f t="shared" si="264"/>
        <v>0</v>
      </c>
      <c r="LD19" s="553">
        <f t="shared" si="265"/>
        <v>0</v>
      </c>
      <c r="LE19" s="553" t="b">
        <f t="shared" si="266"/>
        <v>0</v>
      </c>
      <c r="LF19" s="553">
        <f t="shared" si="267"/>
        <v>0</v>
      </c>
      <c r="LG19" s="553" t="b">
        <f t="shared" si="268"/>
        <v>0</v>
      </c>
      <c r="LH19" s="553">
        <f t="shared" si="269"/>
        <v>0</v>
      </c>
      <c r="LI19" s="553" t="b">
        <f t="shared" si="270"/>
        <v>0</v>
      </c>
      <c r="LJ19" s="553">
        <f t="shared" si="271"/>
        <v>0</v>
      </c>
      <c r="LK19" s="541">
        <f t="shared" si="272"/>
        <v>5</v>
      </c>
      <c r="LL19" s="554">
        <f t="shared" si="273"/>
        <v>0</v>
      </c>
      <c r="LM19" s="554">
        <f t="shared" si="274"/>
        <v>0</v>
      </c>
      <c r="LN19" s="554">
        <f t="shared" si="275"/>
        <v>0</v>
      </c>
      <c r="LO19" s="554">
        <f t="shared" si="276"/>
        <v>0</v>
      </c>
      <c r="LP19" s="554">
        <f t="shared" si="277"/>
        <v>0</v>
      </c>
      <c r="LQ19" s="554">
        <f t="shared" si="278"/>
        <v>0</v>
      </c>
      <c r="LR19" s="554">
        <f t="shared" si="279"/>
        <v>0</v>
      </c>
      <c r="LS19" s="554">
        <f t="shared" si="280"/>
        <v>0</v>
      </c>
      <c r="LT19" s="554">
        <f t="shared" si="281"/>
        <v>0</v>
      </c>
      <c r="LU19" s="554">
        <f t="shared" si="282"/>
        <v>0</v>
      </c>
      <c r="LV19" s="553" t="b">
        <f t="shared" si="283"/>
        <v>0</v>
      </c>
      <c r="LW19" s="553">
        <f t="shared" si="284"/>
        <v>0</v>
      </c>
      <c r="LX19" s="553" t="b">
        <f t="shared" si="285"/>
        <v>0</v>
      </c>
      <c r="LY19" s="553">
        <f t="shared" si="286"/>
        <v>0</v>
      </c>
      <c r="LZ19" s="553" t="b">
        <f t="shared" si="287"/>
        <v>0</v>
      </c>
      <c r="MA19" s="553">
        <f t="shared" si="288"/>
        <v>0</v>
      </c>
      <c r="MB19" s="553" t="b">
        <f t="shared" si="289"/>
        <v>0</v>
      </c>
      <c r="MC19" s="553">
        <f t="shared" si="290"/>
        <v>0</v>
      </c>
      <c r="MD19" s="553">
        <f t="shared" si="291"/>
        <v>1</v>
      </c>
      <c r="ME19" s="553">
        <f t="shared" si="292"/>
        <v>5</v>
      </c>
      <c r="MF19" s="553" t="b">
        <f t="shared" si="293"/>
        <v>0</v>
      </c>
      <c r="MG19" s="553">
        <f t="shared" si="294"/>
        <v>0</v>
      </c>
      <c r="MH19" s="553" t="b">
        <f t="shared" si="295"/>
        <v>0</v>
      </c>
      <c r="MI19" s="553">
        <f t="shared" si="296"/>
        <v>0</v>
      </c>
      <c r="MJ19" s="553" t="b">
        <f t="shared" si="297"/>
        <v>0</v>
      </c>
      <c r="MK19" s="553">
        <f t="shared" si="298"/>
        <v>0</v>
      </c>
      <c r="ML19" s="553" t="b">
        <f t="shared" si="299"/>
        <v>0</v>
      </c>
      <c r="MM19" s="553">
        <f t="shared" si="300"/>
        <v>0</v>
      </c>
      <c r="MN19" s="553" t="b">
        <f t="shared" si="301"/>
        <v>0</v>
      </c>
      <c r="MO19" s="553">
        <f t="shared" si="302"/>
        <v>0</v>
      </c>
      <c r="MP19" s="541">
        <f t="shared" si="303"/>
        <v>5</v>
      </c>
      <c r="MQ19" s="554">
        <f t="shared" si="304"/>
        <v>0</v>
      </c>
      <c r="MR19" s="554">
        <f t="shared" si="305"/>
        <v>0</v>
      </c>
      <c r="MS19" s="554">
        <f t="shared" si="306"/>
        <v>0</v>
      </c>
      <c r="MT19" s="554">
        <f t="shared" si="307"/>
        <v>0</v>
      </c>
      <c r="MU19" s="554">
        <f t="shared" si="308"/>
        <v>0</v>
      </c>
      <c r="MV19" s="554">
        <f t="shared" si="309"/>
        <v>0</v>
      </c>
      <c r="MW19" s="554">
        <f t="shared" si="310"/>
        <v>0</v>
      </c>
      <c r="MX19" s="554">
        <f t="shared" si="311"/>
        <v>0</v>
      </c>
      <c r="MY19" s="554">
        <f t="shared" si="312"/>
        <v>0</v>
      </c>
      <c r="MZ19" s="554">
        <f t="shared" si="313"/>
        <v>0</v>
      </c>
      <c r="NA19" s="553" t="b">
        <f t="shared" si="314"/>
        <v>0</v>
      </c>
      <c r="NB19" s="553">
        <f t="shared" si="315"/>
        <v>0</v>
      </c>
      <c r="NC19" s="553" t="b">
        <f t="shared" si="316"/>
        <v>0</v>
      </c>
      <c r="ND19" s="553">
        <f t="shared" si="317"/>
        <v>0</v>
      </c>
      <c r="NE19" s="553" t="b">
        <f t="shared" si="318"/>
        <v>0</v>
      </c>
      <c r="NF19" s="553">
        <f t="shared" si="319"/>
        <v>0</v>
      </c>
      <c r="NG19" s="553" t="b">
        <f t="shared" si="320"/>
        <v>0</v>
      </c>
      <c r="NH19" s="553">
        <f t="shared" si="321"/>
        <v>0</v>
      </c>
      <c r="NI19" s="553">
        <f t="shared" si="322"/>
        <v>1</v>
      </c>
      <c r="NJ19" s="553">
        <f t="shared" si="323"/>
        <v>5</v>
      </c>
      <c r="NK19" s="553" t="b">
        <f t="shared" si="324"/>
        <v>0</v>
      </c>
      <c r="NL19" s="553">
        <f t="shared" si="325"/>
        <v>0</v>
      </c>
      <c r="NM19" s="553" t="b">
        <f t="shared" si="326"/>
        <v>0</v>
      </c>
      <c r="NN19" s="553">
        <f t="shared" si="327"/>
        <v>0</v>
      </c>
      <c r="NO19" s="553" t="b">
        <f t="shared" si="328"/>
        <v>0</v>
      </c>
      <c r="NP19" s="553">
        <f t="shared" si="329"/>
        <v>0</v>
      </c>
      <c r="NQ19" s="553" t="b">
        <f t="shared" si="330"/>
        <v>0</v>
      </c>
      <c r="NR19" s="553">
        <f t="shared" si="331"/>
        <v>0</v>
      </c>
      <c r="NS19" s="553" t="b">
        <f t="shared" si="332"/>
        <v>0</v>
      </c>
      <c r="NT19" s="553">
        <f t="shared" si="333"/>
        <v>0</v>
      </c>
      <c r="NU19" s="541">
        <f t="shared" si="334"/>
        <v>5</v>
      </c>
      <c r="NV19" s="554">
        <f t="shared" si="335"/>
        <v>0</v>
      </c>
      <c r="NW19" s="554">
        <f t="shared" si="336"/>
        <v>0</v>
      </c>
      <c r="NX19" s="554">
        <f t="shared" si="337"/>
        <v>0</v>
      </c>
      <c r="NY19" s="554">
        <f t="shared" si="338"/>
        <v>0</v>
      </c>
      <c r="NZ19" s="554">
        <f t="shared" si="339"/>
        <v>0</v>
      </c>
      <c r="OA19" s="554">
        <f t="shared" si="340"/>
        <v>0</v>
      </c>
      <c r="OB19" s="554">
        <f t="shared" si="341"/>
        <v>0</v>
      </c>
      <c r="OC19" s="554">
        <f t="shared" si="342"/>
        <v>0</v>
      </c>
      <c r="OD19" s="554">
        <f t="shared" si="343"/>
        <v>0</v>
      </c>
      <c r="OE19" s="554">
        <f t="shared" si="344"/>
        <v>0</v>
      </c>
      <c r="OF19" s="553" t="b">
        <f t="shared" si="345"/>
        <v>0</v>
      </c>
      <c r="OG19" s="553">
        <f t="shared" si="346"/>
        <v>0</v>
      </c>
      <c r="OH19" s="553" t="b">
        <f t="shared" si="347"/>
        <v>0</v>
      </c>
      <c r="OI19" s="553">
        <f t="shared" si="348"/>
        <v>0</v>
      </c>
      <c r="OJ19" s="553" t="b">
        <f t="shared" si="349"/>
        <v>0</v>
      </c>
      <c r="OK19" s="553">
        <f t="shared" si="350"/>
        <v>0</v>
      </c>
      <c r="OL19" s="553" t="b">
        <f t="shared" si="351"/>
        <v>0</v>
      </c>
      <c r="OM19" s="553">
        <f t="shared" si="352"/>
        <v>0</v>
      </c>
      <c r="ON19" s="553">
        <f t="shared" si="353"/>
        <v>1</v>
      </c>
      <c r="OO19" s="553">
        <f t="shared" si="354"/>
        <v>5</v>
      </c>
      <c r="OP19" s="553" t="b">
        <f t="shared" si="355"/>
        <v>0</v>
      </c>
      <c r="OQ19" s="553">
        <f t="shared" si="356"/>
        <v>0</v>
      </c>
      <c r="OR19" s="553" t="b">
        <f t="shared" si="357"/>
        <v>0</v>
      </c>
      <c r="OS19" s="553">
        <f t="shared" si="358"/>
        <v>0</v>
      </c>
      <c r="OT19" s="553" t="b">
        <f t="shared" si="359"/>
        <v>0</v>
      </c>
      <c r="OU19" s="553">
        <f t="shared" si="360"/>
        <v>0</v>
      </c>
      <c r="OV19" s="553" t="b">
        <f t="shared" si="361"/>
        <v>0</v>
      </c>
      <c r="OW19" s="553">
        <f t="shared" si="362"/>
        <v>0</v>
      </c>
      <c r="OX19" s="553" t="b">
        <f t="shared" si="363"/>
        <v>0</v>
      </c>
      <c r="OY19" s="553">
        <f t="shared" si="364"/>
        <v>0</v>
      </c>
      <c r="OZ19" s="541">
        <f t="shared" si="365"/>
        <v>5</v>
      </c>
      <c r="PA19" s="554">
        <f t="shared" si="366"/>
        <v>0</v>
      </c>
      <c r="PB19" s="554">
        <f t="shared" si="367"/>
        <v>0</v>
      </c>
      <c r="PC19" s="554">
        <f t="shared" si="368"/>
        <v>0</v>
      </c>
      <c r="PD19" s="554">
        <f t="shared" si="369"/>
        <v>0</v>
      </c>
      <c r="PE19" s="554">
        <f t="shared" si="370"/>
        <v>0</v>
      </c>
      <c r="PF19" s="554">
        <f t="shared" si="371"/>
        <v>0</v>
      </c>
      <c r="PG19" s="554">
        <f t="shared" si="372"/>
        <v>0</v>
      </c>
      <c r="PH19" s="554">
        <f t="shared" si="373"/>
        <v>0</v>
      </c>
      <c r="PI19" s="554">
        <f t="shared" si="374"/>
        <v>0</v>
      </c>
      <c r="PJ19" s="554">
        <f t="shared" si="375"/>
        <v>0</v>
      </c>
      <c r="PK19" s="553" t="b">
        <f t="shared" si="376"/>
        <v>0</v>
      </c>
      <c r="PL19" s="553">
        <f t="shared" si="377"/>
        <v>0</v>
      </c>
      <c r="PM19" s="553" t="b">
        <f t="shared" si="378"/>
        <v>0</v>
      </c>
      <c r="PN19" s="553">
        <f t="shared" si="379"/>
        <v>0</v>
      </c>
      <c r="PO19" s="553" t="b">
        <f t="shared" si="380"/>
        <v>0</v>
      </c>
      <c r="PP19" s="553">
        <f t="shared" si="381"/>
        <v>0</v>
      </c>
      <c r="PQ19" s="553" t="b">
        <f t="shared" si="382"/>
        <v>0</v>
      </c>
      <c r="PR19" s="553">
        <f t="shared" si="383"/>
        <v>0</v>
      </c>
      <c r="PS19" s="553">
        <f t="shared" si="384"/>
        <v>1</v>
      </c>
      <c r="PT19" s="553">
        <f t="shared" si="385"/>
        <v>5</v>
      </c>
      <c r="PU19" s="553" t="b">
        <f t="shared" si="386"/>
        <v>0</v>
      </c>
      <c r="PV19" s="553">
        <f t="shared" si="387"/>
        <v>0</v>
      </c>
      <c r="PW19" s="553" t="b">
        <f t="shared" si="388"/>
        <v>0</v>
      </c>
      <c r="PX19" s="553">
        <f t="shared" si="389"/>
        <v>0</v>
      </c>
      <c r="PY19" s="553" t="b">
        <f t="shared" si="390"/>
        <v>0</v>
      </c>
      <c r="PZ19" s="553">
        <f t="shared" si="391"/>
        <v>0</v>
      </c>
      <c r="QA19" s="553" t="b">
        <f t="shared" si="392"/>
        <v>0</v>
      </c>
      <c r="QB19" s="553">
        <f t="shared" si="393"/>
        <v>0</v>
      </c>
      <c r="QC19" s="553" t="b">
        <f t="shared" si="394"/>
        <v>0</v>
      </c>
      <c r="QD19" s="553">
        <f t="shared" si="395"/>
        <v>0</v>
      </c>
      <c r="QE19" s="541">
        <f t="shared" si="396"/>
        <v>5</v>
      </c>
      <c r="QF19" s="555" t="str">
        <f t="shared" si="397"/>
        <v>5th</v>
      </c>
      <c r="QG19" s="605" t="s">
        <v>4606</v>
      </c>
      <c r="QH19" s="606">
        <f>'print 10 lane'!P148</f>
        <v>2</v>
      </c>
      <c r="QI19" s="607" t="s">
        <v>4607</v>
      </c>
      <c r="QJ19" s="606">
        <f>'print 10 lane'!P149</f>
        <v>7</v>
      </c>
      <c r="QK19" s="608" t="s">
        <v>4608</v>
      </c>
      <c r="QL19" s="609">
        <f>'print 10 lane'!P150</f>
        <v>8</v>
      </c>
      <c r="QM19" s="561" t="s">
        <v>4609</v>
      </c>
      <c r="QN19" s="562">
        <f>'print 10 lane'!P151</f>
        <v>5</v>
      </c>
      <c r="QO19" s="563" t="s">
        <v>4610</v>
      </c>
      <c r="QP19" s="562">
        <f>'print 10 lane'!P152</f>
        <v>13</v>
      </c>
      <c r="QQ19" s="564" t="s">
        <v>4611</v>
      </c>
      <c r="QR19" s="562">
        <f>'print 10 lane'!P153</f>
        <v>8</v>
      </c>
      <c r="QS19" s="565" t="s">
        <v>4612</v>
      </c>
      <c r="QT19" s="562">
        <f>'print 10 lane'!P154</f>
        <v>0</v>
      </c>
      <c r="QU19" s="566" t="s">
        <v>4613</v>
      </c>
      <c r="QV19" s="562">
        <f>'print 10 lane'!P155</f>
        <v>0</v>
      </c>
      <c r="QW19" s="567" t="s">
        <v>4614</v>
      </c>
      <c r="QX19" s="562">
        <f>'print 10 lane'!P156</f>
        <v>0</v>
      </c>
      <c r="QY19" s="568" t="s">
        <v>4615</v>
      </c>
      <c r="QZ19" s="562">
        <f>'print 10 lane'!P157</f>
        <v>0</v>
      </c>
      <c r="RC19" s="610" t="e">
        <f t="shared" si="398"/>
        <v>#REF!</v>
      </c>
      <c r="RD19" s="611">
        <f t="shared" si="399"/>
        <v>0</v>
      </c>
      <c r="RR19" s="502">
        <f t="shared" si="400"/>
        <v>3</v>
      </c>
      <c r="RS19" s="1183" t="str">
        <f t="shared" si="401"/>
        <v>Bo of Harrow</v>
      </c>
      <c r="RT19" s="1183"/>
      <c r="RU19" s="1183"/>
      <c r="RV19" s="1183"/>
      <c r="RW19" s="1184" t="str">
        <f t="shared" si="402"/>
        <v>3rd</v>
      </c>
      <c r="RX19" s="1184"/>
      <c r="RY19" s="1185" t="e">
        <f t="shared" si="403"/>
        <v>#REF!</v>
      </c>
      <c r="RZ19" s="1185"/>
      <c r="SA19" s="1185"/>
      <c r="SB19" s="571">
        <f t="shared" si="404"/>
        <v>212</v>
      </c>
      <c r="SC19" s="572" t="str">
        <f t="shared" si="405"/>
        <v>3rd</v>
      </c>
      <c r="SD19" s="573">
        <f t="shared" si="406"/>
        <v>0</v>
      </c>
      <c r="SE19" s="574" t="b">
        <f t="shared" si="407"/>
        <v>0</v>
      </c>
      <c r="SF19" s="575">
        <f t="shared" si="408"/>
        <v>0</v>
      </c>
      <c r="SG19" s="575">
        <f t="shared" si="409"/>
        <v>0</v>
      </c>
      <c r="SH19" s="576" t="b">
        <f t="shared" si="410"/>
        <v>0</v>
      </c>
      <c r="SI19" s="575">
        <f t="shared" si="411"/>
        <v>0</v>
      </c>
      <c r="SJ19" s="575">
        <f t="shared" si="412"/>
        <v>0</v>
      </c>
      <c r="SK19" s="576" t="b">
        <f t="shared" si="413"/>
        <v>0</v>
      </c>
      <c r="SL19" s="575">
        <f t="shared" si="414"/>
        <v>0</v>
      </c>
      <c r="SM19" s="575">
        <f t="shared" si="415"/>
        <v>0</v>
      </c>
      <c r="SN19" s="576" t="b">
        <f t="shared" si="416"/>
        <v>0</v>
      </c>
      <c r="SO19" s="575">
        <f t="shared" si="417"/>
        <v>0</v>
      </c>
      <c r="SP19" s="575" t="e">
        <f t="shared" si="418"/>
        <v>#REF!</v>
      </c>
      <c r="SQ19" s="576" t="e">
        <f t="shared" si="419"/>
        <v>#REF!</v>
      </c>
      <c r="SR19" s="575" t="e">
        <f t="shared" si="420"/>
        <v>#REF!</v>
      </c>
      <c r="SS19" s="575" t="e">
        <f t="shared" si="421"/>
        <v>#REF!</v>
      </c>
      <c r="ST19" s="576" t="e">
        <f t="shared" si="422"/>
        <v>#REF!</v>
      </c>
      <c r="SU19" s="575" t="e">
        <f t="shared" si="423"/>
        <v>#REF!</v>
      </c>
      <c r="SV19" s="575" t="e">
        <f t="shared" si="424"/>
        <v>#REF!</v>
      </c>
      <c r="SW19" s="576" t="e">
        <f t="shared" si="425"/>
        <v>#REF!</v>
      </c>
      <c r="SX19" s="575" t="e">
        <f t="shared" si="426"/>
        <v>#REF!</v>
      </c>
      <c r="SY19" s="575" t="e">
        <f t="shared" si="427"/>
        <v>#REF!</v>
      </c>
      <c r="SZ19" s="576" t="e">
        <f t="shared" si="428"/>
        <v>#REF!</v>
      </c>
      <c r="TA19" s="575" t="e">
        <f t="shared" si="429"/>
        <v>#REF!</v>
      </c>
      <c r="TB19" s="575" t="e">
        <f t="shared" si="430"/>
        <v>#REF!</v>
      </c>
      <c r="TC19" s="576" t="e">
        <f t="shared" si="431"/>
        <v>#REF!</v>
      </c>
      <c r="TD19" s="575" t="e">
        <f t="shared" si="432"/>
        <v>#REF!</v>
      </c>
      <c r="TE19" s="575" t="e">
        <f t="shared" si="433"/>
        <v>#REF!</v>
      </c>
      <c r="TF19" s="576" t="e">
        <f t="shared" si="434"/>
        <v>#REF!</v>
      </c>
      <c r="TG19" s="575" t="e">
        <f t="shared" si="435"/>
        <v>#REF!</v>
      </c>
      <c r="TH19" s="575" t="e">
        <f t="shared" si="436"/>
        <v>#REF!</v>
      </c>
      <c r="TI19" s="576" t="e">
        <f t="shared" si="437"/>
        <v>#REF!</v>
      </c>
      <c r="TJ19" s="575" t="e">
        <f t="shared" si="438"/>
        <v>#REF!</v>
      </c>
      <c r="TK19" s="575" t="e">
        <f>IF(#REF!=0,0,IF(SI19=1,1,IF(SI19=2,2,IF(SI19=3,3,IF(SI19=4,4,IF(SI19=5,5,IF(SI19=6,6,IF(SI19=7,7,IF(SI19=8,8,IF(SI19=9,9,IF(SI19=10,10,IF(SL19=2,2,IF(SL19=3,3,IF(SL19=4,4,IF(SL19=5,5,IF(SL19=6,6,IF(SL19=7,7,IF(SL19=8,8,IF(SL19=9,9,IF(SL19=10,10,IF(SO19=3,3,IF(SO19=4,4,IF(SO19=5,5,IF(SO19=6,6,IF(SO19=7,7,IF(SO19=8,8,IF(SO19=9,9,IF(SO19=10,10,IF(SR19=4,4,IF(SR19=5,5,IF(SR19=6,6,IF(SR19=7,7,IF(SR19=8,8,IF(SR19=9,9,IF(SR19=10,10,IF(SU19=5,5,IF(SU19=6,6,IF(SU19=7,7,IF(SU19=8,8,IF(SU19=9,9,IF(SU19=10,10,IF(SX19=6,6,IF(SX19=5,5,IF(SX19=7,7,IF(SX19=8,8,IF(SX19=9,9,IF(SX19=10,10,IF(TA19=7,7,IF(TA19=8,8,IF(TA19=9,9,IF(TA19=10,10,IF(TD19=8,8,IF(TD19=9,9,IF(TD19=10,10,IF(TG19=9,9,IF(TG19=10,10,IF(TI19=10,10,(SF19))))))))))))))))))))))))))))))))))))))))))))))))))))))))))</f>
        <v>#REF!</v>
      </c>
      <c r="TL19" s="575" t="e">
        <f>IF(#REF!=0,0,IF(TK19=1,"1st",IF(TK19=2,"2nd",IF(TK19=3,"3rd",IF(TK19=4,"4th",IF(TK19=5,"5th",IF(TK19=6,"6th",IF(TK19=7,"7th",IF(TK19=8,"8th",IF(TK19=9,"9th",IF(TK19=10,"10th")))))))))))</f>
        <v>#REF!</v>
      </c>
      <c r="TM19" s="1186" t="e">
        <f t="shared" si="439"/>
        <v>#REF!</v>
      </c>
      <c r="TN19" s="1186"/>
      <c r="TO19" s="1186"/>
      <c r="TP19" s="1187">
        <f t="shared" si="440"/>
        <v>0</v>
      </c>
      <c r="TQ19" s="1187"/>
      <c r="TR19" s="1187"/>
    </row>
    <row r="20" spans="1:538" ht="30" customHeight="1" x14ac:dyDescent="0.25">
      <c r="A20" s="451" t="str">
        <f t="shared" si="1"/>
        <v>AYLESBURY</v>
      </c>
      <c r="B20" s="577">
        <f>'Gala Setup'!$N7</f>
        <v>4</v>
      </c>
      <c r="C20" s="524" t="str">
        <f>'Gala Setup'!P7</f>
        <v>AYLESBURY</v>
      </c>
      <c r="D20" s="578"/>
      <c r="E20" s="579"/>
      <c r="F20" s="452"/>
      <c r="G20" s="527" t="str">
        <f>IF($CG$17="4th",CC$17,IF($CG$18="4th",CC$18,IF($CG$19="4th",CC$19,IF($CG$20="4th",CC$20,IF($CG$21="4th",CC$21,IF($CG$22="4th",CC$22,IF($CG$23="4th",CC$23,IF($CG$24="4th",CC$24,IF($CG$25="4th",CC$25,IF($CG$26="4th",CC$26,"More results required for accuracy"))))))))))</f>
        <v>Hillingdon 'B'</v>
      </c>
      <c r="H20" s="528" t="str">
        <f>IF(C20=0,0,"4th")</f>
        <v>4th</v>
      </c>
      <c r="I20" s="528" t="e">
        <f>IF($CG$17="4th",CE$17,IF($CG$18="4th",CE$18,IF($CG$19="4th",CE$19,IF($CG$20="4th",CE$20,IF($CG$21="4th",CE$21,IF($CG$22="4th",CE$22,IF($CG$23="4th",CE$23,IF($CG$24="4th",CE$24,IF($CG$25="4th",CE$25,IF($CG$26="4th",CE$26))))))))))</f>
        <v>#REF!</v>
      </c>
      <c r="J20" s="529" t="e">
        <f t="shared" si="2"/>
        <v>#REF!</v>
      </c>
      <c r="K20" s="529" t="e">
        <f t="shared" si="3"/>
        <v>#REF!</v>
      </c>
      <c r="L20" s="530"/>
      <c r="M20" s="530">
        <f>IF($CG$17="4th",CF$17,IF($CG$18="4th",CF$18,IF($CG$19="4th",CF$19,IF($CG$20="4th",CF$20,IF($CG$21="4th",CF$21,IF($CG$22="4th",CF$22,IF($CG$23="4th",CF$23,IF($CG$24="4th",CF$24,IF($CG$25="4th",CF$25,IF($CG$26="4th",CF$26))))))))))</f>
        <v>208</v>
      </c>
      <c r="N20" s="1200"/>
      <c r="O20" s="1200"/>
      <c r="P20" s="1200"/>
      <c r="Q20" s="1200"/>
      <c r="R20" s="1200"/>
      <c r="S20" s="1200"/>
      <c r="T20" s="467"/>
      <c r="U20" s="580" t="str">
        <f>IF(C20=0,0,"4th")</f>
        <v>4th</v>
      </c>
      <c r="V20" s="581">
        <f>IF(C20=G20,E20,IF(C21=G20,E21,IF(C22=G20,E22,IF(C23=G20,E23,IF(C24=G20,E24,IF(C25=G20,E25,IF(C26=G20,E26,IF(C17=G20,E17,IF(C18=G20,E18,IF(C19=G20,E19))))))))))</f>
        <v>0</v>
      </c>
      <c r="W20" s="582"/>
      <c r="X20" s="583">
        <f>IF(C20=0,0,IF($CQ$17="4th",CO$17,IF($CQ$18="4th",CO$18,IF($CQ$19="4th",CO$19,IF($CQ$20="4th",CO$20,IF($CQ$21="4th",CO$21,IF($CQ$22="4th",CO$22,IF($CQ$23="4th",CO$23,IF($CQ$24="4th",CO$24,IF($CQ$25="4th",CO$25,IF($CQ$26="4th",CO$26)))))))))))+D4</f>
        <v>0</v>
      </c>
      <c r="Y20" s="584"/>
      <c r="Z20" s="585">
        <f t="shared" si="4"/>
        <v>0</v>
      </c>
      <c r="AA20" s="530" t="b">
        <f>IF(C20=0,0,IF($CQ$17="4th",CP$17,IF($CQ$18="4th",CP$18,IF($CQ$19="4th",CP$19,IF($CQ$20="4th",CP$20,IF($CQ$21="4th",CP$21,IF($CQ$22="4th",CP$22,IF($CQ$23="4th",CP$23,IF($CQ$24="4th",CP$24,IF($CQ$25="4th",CP$25,IF($CQ$26="4th",CP$26)))))))))))</f>
        <v>0</v>
      </c>
      <c r="AB20" s="586" t="e">
        <f t="shared" si="5"/>
        <v>#REF!</v>
      </c>
      <c r="AC20" s="586" t="e">
        <f t="shared" si="6"/>
        <v>#REF!</v>
      </c>
      <c r="AD20" s="587" t="e">
        <f t="shared" si="7"/>
        <v>#REF!</v>
      </c>
      <c r="AE20" s="588" t="e">
        <f t="shared" si="8"/>
        <v>#REF!</v>
      </c>
      <c r="AF20" s="586" t="e">
        <f t="shared" si="9"/>
        <v>#REF!</v>
      </c>
      <c r="AG20" s="587" t="e">
        <f t="shared" si="10"/>
        <v>#REF!</v>
      </c>
      <c r="AH20" s="588" t="e">
        <f t="shared" si="11"/>
        <v>#REF!</v>
      </c>
      <c r="AI20" s="586" t="e">
        <f t="shared" si="12"/>
        <v>#REF!</v>
      </c>
      <c r="AJ20" s="587" t="e">
        <f t="shared" si="13"/>
        <v>#REF!</v>
      </c>
      <c r="AK20" s="588" t="e">
        <f t="shared" si="14"/>
        <v>#REF!</v>
      </c>
      <c r="AL20" s="586" t="e">
        <f t="shared" si="15"/>
        <v>#REF!</v>
      </c>
      <c r="AM20" s="587" t="e">
        <f t="shared" si="16"/>
        <v>#REF!</v>
      </c>
      <c r="AN20" s="588" t="e">
        <f t="shared" si="17"/>
        <v>#REF!</v>
      </c>
      <c r="AO20" s="586" t="e">
        <f t="shared" si="18"/>
        <v>#REF!</v>
      </c>
      <c r="AP20" s="587" t="e">
        <f t="shared" si="19"/>
        <v>#REF!</v>
      </c>
      <c r="AQ20" s="588" t="e">
        <f t="shared" si="20"/>
        <v>#REF!</v>
      </c>
      <c r="AR20" s="586" t="e">
        <f t="shared" si="21"/>
        <v>#REF!</v>
      </c>
      <c r="AS20" s="587" t="e">
        <f t="shared" si="22"/>
        <v>#REF!</v>
      </c>
      <c r="AT20" s="588" t="e">
        <f t="shared" si="23"/>
        <v>#REF!</v>
      </c>
      <c r="AU20" s="586" t="e">
        <f t="shared" si="24"/>
        <v>#REF!</v>
      </c>
      <c r="AV20" s="587" t="e">
        <f t="shared" si="25"/>
        <v>#REF!</v>
      </c>
      <c r="AW20" s="588" t="e">
        <f t="shared" si="26"/>
        <v>#REF!</v>
      </c>
      <c r="AX20" s="586" t="e">
        <f t="shared" si="27"/>
        <v>#REF!</v>
      </c>
      <c r="AY20" s="587" t="e">
        <f t="shared" si="28"/>
        <v>#REF!</v>
      </c>
      <c r="AZ20" s="588" t="e">
        <f t="shared" si="29"/>
        <v>#REF!</v>
      </c>
      <c r="BA20" s="586" t="e">
        <f t="shared" si="30"/>
        <v>#REF!</v>
      </c>
      <c r="BB20" s="587" t="e">
        <f t="shared" si="31"/>
        <v>#REF!</v>
      </c>
      <c r="BC20" s="588" t="e">
        <f t="shared" si="32"/>
        <v>#REF!</v>
      </c>
      <c r="BD20" s="586" t="e">
        <f t="shared" si="33"/>
        <v>#REF!</v>
      </c>
      <c r="BE20" s="587" t="e">
        <f t="shared" si="34"/>
        <v>#REF!</v>
      </c>
      <c r="BF20" s="588" t="e">
        <f t="shared" si="35"/>
        <v>#REF!</v>
      </c>
      <c r="BG20" s="588">
        <f t="shared" si="36"/>
        <v>0</v>
      </c>
      <c r="BH20" s="586">
        <f t="shared" si="37"/>
        <v>0</v>
      </c>
      <c r="BI20" s="1179">
        <f t="shared" si="38"/>
        <v>0</v>
      </c>
      <c r="BJ20" s="1179"/>
      <c r="BK20" s="1179"/>
      <c r="BL20" s="584"/>
      <c r="BM20" s="1180"/>
      <c r="BN20" s="1180"/>
      <c r="BO20" s="1180"/>
      <c r="BP20" s="1224"/>
      <c r="BQ20" s="1209"/>
      <c r="BR20" s="456"/>
      <c r="BS20" s="457"/>
      <c r="BW20" s="589">
        <f t="shared" si="39"/>
        <v>4</v>
      </c>
      <c r="BX20" s="590">
        <f t="shared" si="40"/>
        <v>0</v>
      </c>
      <c r="BY20" s="590">
        <f t="shared" si="41"/>
        <v>0</v>
      </c>
      <c r="BZ20" s="542">
        <f>IF($CG$17="4th",BW$17,IF($CG$18="4th",BW$18,IF($CG$19="4th",BW$19,IF($CG$20="4th",BW$20,IF($CG$21="4th",BW$21,IF($CG$22="4th",BW$22,IF($CG$23="4th",BW$23,IF($CG$24="4th",BW$24,IF($CG$25="4th",BW$25,IF($CG$26="4th",BW$26))))))))))</f>
        <v>7</v>
      </c>
      <c r="CA20" s="253">
        <f>IF($CG$17="4th",BX$17,IF($CG$18="4th",BX$18,IF($CG$19="4th",BX$19,IF($CG$20="4th",BX$20,IF($CG$21="4th",BX$21,IF($CG$22="4th",BX$22,IF($CG$23="4th",BX$23,IF($CG$24="4th",BX$24,IF($CG$25="4th",BX$25,IF($CG$26="4th",BX$26))))))))))</f>
        <v>0</v>
      </c>
      <c r="CB20" s="253">
        <f>IF($CG$17="4th",BY$17,IF($CG$18="4th",BY$18,IF($CG$19="4th",BY$19,IF($CG$20="4th",BY$20,IF($CG$21="4th",BY$21,IF($CG$22="4th",BY$22,IF($CG$23="4th",BY$23,IF($CG$24="4th",BY$24,IF($CG$25="4th",BY$25,IF($CG$26="4th",BY$26))))))))))</f>
        <v>0</v>
      </c>
      <c r="CC20" s="591" t="str">
        <f t="shared" si="42"/>
        <v>AYLESBURY</v>
      </c>
      <c r="CD20" s="592" t="e">
        <f t="shared" si="43"/>
        <v>#REF!</v>
      </c>
      <c r="CE20" s="590" t="e">
        <f t="shared" si="44"/>
        <v>#REF!</v>
      </c>
      <c r="CF20" s="590">
        <f t="shared" si="45"/>
        <v>241</v>
      </c>
      <c r="CG20" s="592" t="str">
        <f t="shared" si="46"/>
        <v>2nd</v>
      </c>
      <c r="CH20" s="593" t="str">
        <f t="shared" si="47"/>
        <v>1st</v>
      </c>
      <c r="CI20" s="593">
        <f t="shared" si="48"/>
        <v>13</v>
      </c>
      <c r="CJ20" s="593" t="str">
        <f t="shared" si="49"/>
        <v>2nd</v>
      </c>
      <c r="CK20" s="593">
        <f t="shared" si="50"/>
        <v>10</v>
      </c>
      <c r="CL20" s="593" t="str">
        <f t="shared" si="51"/>
        <v>3rd</v>
      </c>
      <c r="CM20" s="594">
        <f t="shared" si="52"/>
        <v>9</v>
      </c>
      <c r="CO20" s="595" t="e">
        <f t="shared" si="53"/>
        <v>#REF!</v>
      </c>
      <c r="CP20" s="590">
        <f t="shared" si="54"/>
        <v>0</v>
      </c>
      <c r="CQ20" s="590">
        <f t="shared" si="55"/>
        <v>0</v>
      </c>
      <c r="CR20" s="1182">
        <f t="shared" si="56"/>
        <v>0</v>
      </c>
      <c r="CS20" s="1182"/>
      <c r="CT20" s="1182"/>
      <c r="CU20" s="459"/>
      <c r="CW20" s="596" t="str">
        <f>'print 10 lane'!$R6</f>
        <v>AYLESBURY</v>
      </c>
      <c r="CX20" s="597" t="e">
        <f>IF(DB20=1,(10-#REF!),IF(DB20=2,(9-#REF!),IF(DB20=3,(8-#REF!),IF(DB20=4,(7-#REF!),IF(DB20=5,(6-#REF!),IF(DB20=6,(5-#REF!),IF(DB20=7,(4-#REF!),IF(DB20=8,(3-#REF!),IF(DB20=9,(2-#REF!),IF(DB20=10,1))))))))))</f>
        <v>#REF!</v>
      </c>
      <c r="CY20" s="597"/>
      <c r="CZ20" s="598" t="e">
        <f t="shared" si="57"/>
        <v>#REF!</v>
      </c>
      <c r="DA20" s="599">
        <f>'print 10 lane'!S$9</f>
        <v>241</v>
      </c>
      <c r="DB20" s="590">
        <f>'print 10 lane'!S$7</f>
        <v>2</v>
      </c>
      <c r="DC20" s="600">
        <f t="shared" si="58"/>
        <v>0</v>
      </c>
      <c r="DD20" s="601" t="b">
        <f t="shared" si="59"/>
        <v>0</v>
      </c>
      <c r="DE20" s="553">
        <f t="shared" si="60"/>
        <v>0</v>
      </c>
      <c r="DF20" s="600">
        <f t="shared" si="61"/>
        <v>241</v>
      </c>
      <c r="DG20" s="601">
        <f t="shared" si="62"/>
        <v>1</v>
      </c>
      <c r="DH20" s="601">
        <f t="shared" si="63"/>
        <v>2</v>
      </c>
      <c r="DI20" s="600">
        <f t="shared" si="64"/>
        <v>0</v>
      </c>
      <c r="DJ20" s="601" t="b">
        <f t="shared" si="65"/>
        <v>0</v>
      </c>
      <c r="DK20" s="601" t="b">
        <f t="shared" si="66"/>
        <v>0</v>
      </c>
      <c r="DL20" s="600">
        <f t="shared" si="67"/>
        <v>0</v>
      </c>
      <c r="DM20" s="601" t="b">
        <f t="shared" si="68"/>
        <v>0</v>
      </c>
      <c r="DN20" s="601" t="b">
        <f t="shared" si="69"/>
        <v>0</v>
      </c>
      <c r="DO20" s="600">
        <f t="shared" si="70"/>
        <v>0</v>
      </c>
      <c r="DP20" s="601" t="b">
        <f t="shared" si="71"/>
        <v>0</v>
      </c>
      <c r="DQ20" s="601" t="b">
        <f t="shared" si="72"/>
        <v>0</v>
      </c>
      <c r="DR20" s="600">
        <f t="shared" si="73"/>
        <v>0</v>
      </c>
      <c r="DS20" s="552" t="b">
        <f t="shared" si="74"/>
        <v>0</v>
      </c>
      <c r="DT20" s="601" t="b">
        <f t="shared" si="75"/>
        <v>0</v>
      </c>
      <c r="DU20" s="600">
        <f t="shared" si="76"/>
        <v>0</v>
      </c>
      <c r="DV20" s="601" t="b">
        <f t="shared" si="77"/>
        <v>0</v>
      </c>
      <c r="DW20" s="601" t="b">
        <f t="shared" si="78"/>
        <v>0</v>
      </c>
      <c r="DX20" s="600">
        <f t="shared" si="79"/>
        <v>0</v>
      </c>
      <c r="DY20" s="601" t="b">
        <f t="shared" si="80"/>
        <v>0</v>
      </c>
      <c r="DZ20" s="601" t="b">
        <f t="shared" si="81"/>
        <v>0</v>
      </c>
      <c r="EA20" s="600">
        <f t="shared" si="82"/>
        <v>0</v>
      </c>
      <c r="EB20" s="601" t="b">
        <f t="shared" si="83"/>
        <v>0</v>
      </c>
      <c r="EC20" s="601" t="b">
        <f t="shared" si="84"/>
        <v>0</v>
      </c>
      <c r="ED20" s="600">
        <f t="shared" si="85"/>
        <v>0</v>
      </c>
      <c r="EE20" s="601" t="b">
        <f t="shared" si="86"/>
        <v>0</v>
      </c>
      <c r="EF20" s="552" t="b">
        <f t="shared" si="87"/>
        <v>0</v>
      </c>
      <c r="EG20" s="541">
        <f t="shared" si="88"/>
        <v>2</v>
      </c>
      <c r="EH20" s="602">
        <f t="shared" si="89"/>
        <v>0</v>
      </c>
      <c r="EI20" s="602">
        <f t="shared" si="90"/>
        <v>13</v>
      </c>
      <c r="EJ20" s="602">
        <f t="shared" si="91"/>
        <v>0</v>
      </c>
      <c r="EK20" s="602">
        <f t="shared" si="92"/>
        <v>0</v>
      </c>
      <c r="EL20" s="602">
        <f t="shared" si="93"/>
        <v>0</v>
      </c>
      <c r="EM20" s="602">
        <f t="shared" si="94"/>
        <v>0</v>
      </c>
      <c r="EN20" s="602">
        <f t="shared" si="95"/>
        <v>0</v>
      </c>
      <c r="EO20" s="602">
        <f t="shared" si="96"/>
        <v>0</v>
      </c>
      <c r="EP20" s="602">
        <f t="shared" si="97"/>
        <v>0</v>
      </c>
      <c r="EQ20" s="602">
        <f t="shared" si="98"/>
        <v>0</v>
      </c>
      <c r="ER20" s="552" t="b">
        <f t="shared" si="99"/>
        <v>0</v>
      </c>
      <c r="ES20" s="553">
        <f t="shared" si="100"/>
        <v>0</v>
      </c>
      <c r="ET20" s="601">
        <f t="shared" si="101"/>
        <v>1</v>
      </c>
      <c r="EU20" s="553">
        <f t="shared" si="102"/>
        <v>2</v>
      </c>
      <c r="EV20" s="601" t="b">
        <f t="shared" si="103"/>
        <v>0</v>
      </c>
      <c r="EW20" s="553">
        <f t="shared" si="104"/>
        <v>0</v>
      </c>
      <c r="EX20" s="601" t="b">
        <f t="shared" si="105"/>
        <v>0</v>
      </c>
      <c r="EY20" s="553">
        <f t="shared" si="106"/>
        <v>0</v>
      </c>
      <c r="EZ20" s="601" t="b">
        <f t="shared" si="107"/>
        <v>0</v>
      </c>
      <c r="FA20" s="553">
        <f t="shared" si="108"/>
        <v>0</v>
      </c>
      <c r="FB20" s="601" t="b">
        <f t="shared" si="109"/>
        <v>0</v>
      </c>
      <c r="FC20" s="553">
        <f t="shared" si="110"/>
        <v>0</v>
      </c>
      <c r="FD20" s="603" t="b">
        <f t="shared" si="111"/>
        <v>0</v>
      </c>
      <c r="FE20" s="604">
        <f t="shared" si="441"/>
        <v>0</v>
      </c>
      <c r="FF20" s="601" t="b">
        <f t="shared" si="112"/>
        <v>0</v>
      </c>
      <c r="FG20" s="553">
        <f t="shared" si="113"/>
        <v>0</v>
      </c>
      <c r="FH20" s="601" t="b">
        <f t="shared" si="114"/>
        <v>0</v>
      </c>
      <c r="FI20" s="604">
        <f t="shared" si="115"/>
        <v>0</v>
      </c>
      <c r="FJ20" s="601" t="b">
        <f t="shared" si="116"/>
        <v>0</v>
      </c>
      <c r="FK20" s="604">
        <f t="shared" si="117"/>
        <v>0</v>
      </c>
      <c r="FL20" s="541">
        <f t="shared" si="118"/>
        <v>2</v>
      </c>
      <c r="FM20" s="602">
        <f t="shared" si="119"/>
        <v>0</v>
      </c>
      <c r="FN20" s="602">
        <f t="shared" si="120"/>
        <v>10</v>
      </c>
      <c r="FO20" s="602">
        <f t="shared" si="121"/>
        <v>0</v>
      </c>
      <c r="FP20" s="602">
        <f t="shared" si="122"/>
        <v>0</v>
      </c>
      <c r="FQ20" s="602">
        <f t="shared" si="123"/>
        <v>0</v>
      </c>
      <c r="FR20" s="602">
        <f t="shared" si="124"/>
        <v>0</v>
      </c>
      <c r="FS20" s="602">
        <f t="shared" si="125"/>
        <v>0</v>
      </c>
      <c r="FT20" s="602">
        <f t="shared" si="126"/>
        <v>0</v>
      </c>
      <c r="FU20" s="602">
        <f t="shared" si="127"/>
        <v>0</v>
      </c>
      <c r="FV20" s="602">
        <f t="shared" si="128"/>
        <v>0</v>
      </c>
      <c r="FW20" s="601" t="b">
        <f t="shared" si="129"/>
        <v>0</v>
      </c>
      <c r="FX20" s="553">
        <f t="shared" si="130"/>
        <v>0</v>
      </c>
      <c r="FY20" s="601">
        <f t="shared" si="131"/>
        <v>1</v>
      </c>
      <c r="FZ20" s="553">
        <f t="shared" si="132"/>
        <v>2</v>
      </c>
      <c r="GA20" s="552" t="b">
        <f t="shared" si="133"/>
        <v>0</v>
      </c>
      <c r="GB20" s="553">
        <f t="shared" si="134"/>
        <v>0</v>
      </c>
      <c r="GC20" s="601" t="b">
        <f t="shared" si="135"/>
        <v>0</v>
      </c>
      <c r="GD20" s="553">
        <f t="shared" si="136"/>
        <v>0</v>
      </c>
      <c r="GE20" s="601" t="b">
        <f t="shared" si="137"/>
        <v>0</v>
      </c>
      <c r="GF20" s="553">
        <f t="shared" si="138"/>
        <v>0</v>
      </c>
      <c r="GG20" s="601" t="b">
        <f t="shared" si="139"/>
        <v>0</v>
      </c>
      <c r="GH20" s="553">
        <f t="shared" si="140"/>
        <v>0</v>
      </c>
      <c r="GI20" s="601" t="b">
        <f t="shared" si="141"/>
        <v>0</v>
      </c>
      <c r="GJ20" s="604">
        <f t="shared" si="442"/>
        <v>0</v>
      </c>
      <c r="GK20" s="601" t="b">
        <f t="shared" si="142"/>
        <v>0</v>
      </c>
      <c r="GL20" s="553">
        <f t="shared" si="143"/>
        <v>0</v>
      </c>
      <c r="GM20" s="601" t="b">
        <f t="shared" si="144"/>
        <v>0</v>
      </c>
      <c r="GN20" s="604">
        <f t="shared" si="145"/>
        <v>0</v>
      </c>
      <c r="GO20" s="601" t="b">
        <f t="shared" si="146"/>
        <v>0</v>
      </c>
      <c r="GP20" s="604">
        <f t="shared" si="147"/>
        <v>0</v>
      </c>
      <c r="GQ20" s="541">
        <f t="shared" si="148"/>
        <v>2</v>
      </c>
      <c r="GR20" s="554">
        <f t="shared" si="149"/>
        <v>0</v>
      </c>
      <c r="GS20" s="554">
        <f t="shared" si="150"/>
        <v>9</v>
      </c>
      <c r="GT20" s="554">
        <f t="shared" si="151"/>
        <v>0</v>
      </c>
      <c r="GU20" s="554">
        <f t="shared" si="152"/>
        <v>0</v>
      </c>
      <c r="GV20" s="554">
        <f t="shared" si="153"/>
        <v>0</v>
      </c>
      <c r="GW20" s="554">
        <f t="shared" si="154"/>
        <v>0</v>
      </c>
      <c r="GX20" s="554">
        <f t="shared" si="155"/>
        <v>0</v>
      </c>
      <c r="GY20" s="554">
        <f t="shared" si="156"/>
        <v>0</v>
      </c>
      <c r="GZ20" s="554">
        <f t="shared" si="157"/>
        <v>0</v>
      </c>
      <c r="HA20" s="554">
        <f t="shared" si="158"/>
        <v>0</v>
      </c>
      <c r="HB20" s="553" t="b">
        <f t="shared" si="159"/>
        <v>0</v>
      </c>
      <c r="HC20" s="553">
        <f t="shared" si="160"/>
        <v>0</v>
      </c>
      <c r="HD20" s="553">
        <f t="shared" si="161"/>
        <v>1</v>
      </c>
      <c r="HE20" s="553">
        <f t="shared" si="162"/>
        <v>2</v>
      </c>
      <c r="HF20" s="553" t="b">
        <f t="shared" si="163"/>
        <v>0</v>
      </c>
      <c r="HG20" s="553">
        <f t="shared" si="164"/>
        <v>0</v>
      </c>
      <c r="HH20" s="553" t="b">
        <f t="shared" si="165"/>
        <v>0</v>
      </c>
      <c r="HI20" s="553">
        <f t="shared" si="166"/>
        <v>0</v>
      </c>
      <c r="HJ20" s="553" t="b">
        <f t="shared" si="167"/>
        <v>0</v>
      </c>
      <c r="HK20" s="553">
        <f t="shared" si="168"/>
        <v>0</v>
      </c>
      <c r="HL20" s="553" t="b">
        <f t="shared" si="169"/>
        <v>0</v>
      </c>
      <c r="HM20" s="553">
        <f t="shared" si="170"/>
        <v>0</v>
      </c>
      <c r="HN20" s="553" t="b">
        <f t="shared" si="171"/>
        <v>0</v>
      </c>
      <c r="HO20" s="553">
        <f t="shared" si="172"/>
        <v>0</v>
      </c>
      <c r="HP20" s="553" t="b">
        <f t="shared" si="173"/>
        <v>0</v>
      </c>
      <c r="HQ20" s="553">
        <f t="shared" si="174"/>
        <v>0</v>
      </c>
      <c r="HR20" s="553" t="b">
        <f t="shared" si="175"/>
        <v>0</v>
      </c>
      <c r="HS20" s="553">
        <f t="shared" si="176"/>
        <v>0</v>
      </c>
      <c r="HT20" s="553" t="b">
        <f t="shared" si="177"/>
        <v>0</v>
      </c>
      <c r="HU20" s="553">
        <f t="shared" si="178"/>
        <v>0</v>
      </c>
      <c r="HV20" s="541">
        <f t="shared" si="179"/>
        <v>2</v>
      </c>
      <c r="HW20" s="554">
        <f t="shared" si="180"/>
        <v>0</v>
      </c>
      <c r="HX20" s="554">
        <f t="shared" si="181"/>
        <v>5</v>
      </c>
      <c r="HY20" s="554">
        <f t="shared" si="182"/>
        <v>0</v>
      </c>
      <c r="HZ20" s="554">
        <f t="shared" si="183"/>
        <v>0</v>
      </c>
      <c r="IA20" s="554">
        <f t="shared" si="184"/>
        <v>0</v>
      </c>
      <c r="IB20" s="554">
        <f t="shared" si="185"/>
        <v>0</v>
      </c>
      <c r="IC20" s="554">
        <f t="shared" si="186"/>
        <v>0</v>
      </c>
      <c r="ID20" s="554">
        <f t="shared" si="187"/>
        <v>0</v>
      </c>
      <c r="IE20" s="554">
        <f t="shared" si="188"/>
        <v>0</v>
      </c>
      <c r="IF20" s="554">
        <f t="shared" si="189"/>
        <v>0</v>
      </c>
      <c r="IG20" s="553" t="b">
        <f t="shared" si="190"/>
        <v>0</v>
      </c>
      <c r="IH20" s="553">
        <f t="shared" si="191"/>
        <v>0</v>
      </c>
      <c r="II20" s="553">
        <f t="shared" si="192"/>
        <v>1</v>
      </c>
      <c r="IJ20" s="553">
        <f t="shared" si="193"/>
        <v>2</v>
      </c>
      <c r="IK20" s="553" t="b">
        <f t="shared" si="194"/>
        <v>0</v>
      </c>
      <c r="IL20" s="553">
        <f t="shared" si="195"/>
        <v>0</v>
      </c>
      <c r="IM20" s="553" t="b">
        <f t="shared" si="196"/>
        <v>0</v>
      </c>
      <c r="IN20" s="553">
        <f t="shared" si="197"/>
        <v>0</v>
      </c>
      <c r="IO20" s="553" t="b">
        <f t="shared" si="198"/>
        <v>0</v>
      </c>
      <c r="IP20" s="553">
        <f t="shared" si="199"/>
        <v>0</v>
      </c>
      <c r="IQ20" s="553" t="b">
        <f t="shared" si="200"/>
        <v>0</v>
      </c>
      <c r="IR20" s="553">
        <f t="shared" si="201"/>
        <v>0</v>
      </c>
      <c r="IS20" s="553" t="b">
        <f t="shared" si="202"/>
        <v>0</v>
      </c>
      <c r="IT20" s="553">
        <f t="shared" si="203"/>
        <v>0</v>
      </c>
      <c r="IU20" s="553" t="b">
        <f t="shared" si="204"/>
        <v>0</v>
      </c>
      <c r="IV20" s="553">
        <f t="shared" si="205"/>
        <v>0</v>
      </c>
      <c r="IW20" s="553" t="b">
        <f t="shared" si="206"/>
        <v>0</v>
      </c>
      <c r="IX20" s="553">
        <f t="shared" si="207"/>
        <v>0</v>
      </c>
      <c r="IY20" s="553" t="b">
        <f t="shared" si="208"/>
        <v>0</v>
      </c>
      <c r="IZ20" s="553">
        <f t="shared" si="209"/>
        <v>0</v>
      </c>
      <c r="JA20" s="541">
        <f t="shared" si="210"/>
        <v>2</v>
      </c>
      <c r="JB20" s="554">
        <f t="shared" si="211"/>
        <v>0</v>
      </c>
      <c r="JC20" s="554">
        <f t="shared" si="212"/>
        <v>4</v>
      </c>
      <c r="JD20" s="554">
        <f t="shared" si="213"/>
        <v>0</v>
      </c>
      <c r="JE20" s="554">
        <f t="shared" si="214"/>
        <v>0</v>
      </c>
      <c r="JF20" s="554">
        <f t="shared" si="215"/>
        <v>0</v>
      </c>
      <c r="JG20" s="554">
        <f t="shared" si="216"/>
        <v>0</v>
      </c>
      <c r="JH20" s="554">
        <f t="shared" si="217"/>
        <v>0</v>
      </c>
      <c r="JI20" s="554">
        <f t="shared" si="218"/>
        <v>0</v>
      </c>
      <c r="JJ20" s="554">
        <f t="shared" si="219"/>
        <v>0</v>
      </c>
      <c r="JK20" s="554">
        <f t="shared" si="220"/>
        <v>0</v>
      </c>
      <c r="JL20" s="553" t="b">
        <f t="shared" si="221"/>
        <v>0</v>
      </c>
      <c r="JM20" s="553">
        <f t="shared" si="222"/>
        <v>0</v>
      </c>
      <c r="JN20" s="553">
        <f t="shared" si="223"/>
        <v>1</v>
      </c>
      <c r="JO20" s="553">
        <f t="shared" si="224"/>
        <v>2</v>
      </c>
      <c r="JP20" s="553" t="b">
        <f t="shared" si="225"/>
        <v>0</v>
      </c>
      <c r="JQ20" s="553">
        <f t="shared" si="226"/>
        <v>0</v>
      </c>
      <c r="JR20" s="553" t="b">
        <f t="shared" si="227"/>
        <v>0</v>
      </c>
      <c r="JS20" s="553">
        <f t="shared" si="228"/>
        <v>0</v>
      </c>
      <c r="JT20" s="553" t="b">
        <f t="shared" si="229"/>
        <v>0</v>
      </c>
      <c r="JU20" s="553">
        <f t="shared" si="230"/>
        <v>0</v>
      </c>
      <c r="JV20" s="553" t="b">
        <f t="shared" si="231"/>
        <v>0</v>
      </c>
      <c r="JW20" s="553">
        <f t="shared" si="232"/>
        <v>0</v>
      </c>
      <c r="JX20" s="553" t="b">
        <f t="shared" si="233"/>
        <v>0</v>
      </c>
      <c r="JY20" s="553">
        <f t="shared" si="234"/>
        <v>0</v>
      </c>
      <c r="JZ20" s="553" t="b">
        <f t="shared" si="235"/>
        <v>0</v>
      </c>
      <c r="KA20" s="553">
        <f t="shared" si="236"/>
        <v>0</v>
      </c>
      <c r="KB20" s="553" t="b">
        <f t="shared" si="237"/>
        <v>0</v>
      </c>
      <c r="KC20" s="553">
        <f t="shared" si="238"/>
        <v>0</v>
      </c>
      <c r="KD20" s="553" t="b">
        <f t="shared" si="239"/>
        <v>0</v>
      </c>
      <c r="KE20" s="553">
        <f t="shared" si="240"/>
        <v>0</v>
      </c>
      <c r="KF20" s="541">
        <f t="shared" si="241"/>
        <v>2</v>
      </c>
      <c r="KG20" s="554">
        <f t="shared" si="242"/>
        <v>0</v>
      </c>
      <c r="KH20" s="554">
        <f t="shared" si="243"/>
        <v>5</v>
      </c>
      <c r="KI20" s="554">
        <f t="shared" si="244"/>
        <v>0</v>
      </c>
      <c r="KJ20" s="554">
        <f t="shared" si="245"/>
        <v>0</v>
      </c>
      <c r="KK20" s="554">
        <f t="shared" si="246"/>
        <v>0</v>
      </c>
      <c r="KL20" s="554">
        <f t="shared" si="247"/>
        <v>0</v>
      </c>
      <c r="KM20" s="554">
        <f t="shared" si="248"/>
        <v>0</v>
      </c>
      <c r="KN20" s="554">
        <f t="shared" si="249"/>
        <v>0</v>
      </c>
      <c r="KO20" s="554">
        <f t="shared" si="250"/>
        <v>0</v>
      </c>
      <c r="KP20" s="554">
        <f t="shared" si="251"/>
        <v>0</v>
      </c>
      <c r="KQ20" s="553" t="b">
        <f t="shared" si="252"/>
        <v>0</v>
      </c>
      <c r="KR20" s="553">
        <f t="shared" si="253"/>
        <v>0</v>
      </c>
      <c r="KS20" s="553">
        <f t="shared" si="254"/>
        <v>1</v>
      </c>
      <c r="KT20" s="553">
        <f t="shared" si="255"/>
        <v>2</v>
      </c>
      <c r="KU20" s="553" t="b">
        <f t="shared" si="256"/>
        <v>0</v>
      </c>
      <c r="KV20" s="553">
        <f t="shared" si="257"/>
        <v>0</v>
      </c>
      <c r="KW20" s="553" t="b">
        <f t="shared" si="258"/>
        <v>0</v>
      </c>
      <c r="KX20" s="553">
        <f t="shared" si="259"/>
        <v>0</v>
      </c>
      <c r="KY20" s="553" t="b">
        <f t="shared" si="260"/>
        <v>0</v>
      </c>
      <c r="KZ20" s="553">
        <f t="shared" si="261"/>
        <v>0</v>
      </c>
      <c r="LA20" s="553" t="b">
        <f t="shared" si="262"/>
        <v>0</v>
      </c>
      <c r="LB20" s="553">
        <f t="shared" si="263"/>
        <v>0</v>
      </c>
      <c r="LC20" s="553" t="b">
        <f t="shared" si="264"/>
        <v>0</v>
      </c>
      <c r="LD20" s="553">
        <f t="shared" si="265"/>
        <v>0</v>
      </c>
      <c r="LE20" s="553" t="b">
        <f t="shared" si="266"/>
        <v>0</v>
      </c>
      <c r="LF20" s="553">
        <f t="shared" si="267"/>
        <v>0</v>
      </c>
      <c r="LG20" s="553" t="b">
        <f t="shared" si="268"/>
        <v>0</v>
      </c>
      <c r="LH20" s="553">
        <f t="shared" si="269"/>
        <v>0</v>
      </c>
      <c r="LI20" s="553" t="b">
        <f t="shared" si="270"/>
        <v>0</v>
      </c>
      <c r="LJ20" s="553">
        <f t="shared" si="271"/>
        <v>0</v>
      </c>
      <c r="LK20" s="541">
        <f t="shared" si="272"/>
        <v>2</v>
      </c>
      <c r="LL20" s="554">
        <f t="shared" si="273"/>
        <v>0</v>
      </c>
      <c r="LM20" s="554">
        <f t="shared" si="274"/>
        <v>3</v>
      </c>
      <c r="LN20" s="554">
        <f t="shared" si="275"/>
        <v>0</v>
      </c>
      <c r="LO20" s="554">
        <f t="shared" si="276"/>
        <v>0</v>
      </c>
      <c r="LP20" s="554">
        <f t="shared" si="277"/>
        <v>0</v>
      </c>
      <c r="LQ20" s="554">
        <f t="shared" si="278"/>
        <v>0</v>
      </c>
      <c r="LR20" s="554">
        <f t="shared" si="279"/>
        <v>0</v>
      </c>
      <c r="LS20" s="554">
        <f t="shared" si="280"/>
        <v>0</v>
      </c>
      <c r="LT20" s="554">
        <f t="shared" si="281"/>
        <v>0</v>
      </c>
      <c r="LU20" s="554">
        <f t="shared" si="282"/>
        <v>0</v>
      </c>
      <c r="LV20" s="553" t="b">
        <f t="shared" si="283"/>
        <v>0</v>
      </c>
      <c r="LW20" s="553">
        <f t="shared" si="284"/>
        <v>0</v>
      </c>
      <c r="LX20" s="553">
        <f t="shared" si="285"/>
        <v>1</v>
      </c>
      <c r="LY20" s="553">
        <f t="shared" si="286"/>
        <v>2</v>
      </c>
      <c r="LZ20" s="553" t="b">
        <f t="shared" si="287"/>
        <v>0</v>
      </c>
      <c r="MA20" s="553">
        <f t="shared" si="288"/>
        <v>0</v>
      </c>
      <c r="MB20" s="553" t="b">
        <f t="shared" si="289"/>
        <v>0</v>
      </c>
      <c r="MC20" s="553">
        <f t="shared" si="290"/>
        <v>0</v>
      </c>
      <c r="MD20" s="553" t="b">
        <f t="shared" si="291"/>
        <v>0</v>
      </c>
      <c r="ME20" s="553">
        <f t="shared" si="292"/>
        <v>0</v>
      </c>
      <c r="MF20" s="553" t="b">
        <f t="shared" si="293"/>
        <v>0</v>
      </c>
      <c r="MG20" s="553">
        <f t="shared" si="294"/>
        <v>0</v>
      </c>
      <c r="MH20" s="553" t="b">
        <f t="shared" si="295"/>
        <v>0</v>
      </c>
      <c r="MI20" s="553">
        <f t="shared" si="296"/>
        <v>0</v>
      </c>
      <c r="MJ20" s="553" t="b">
        <f t="shared" si="297"/>
        <v>0</v>
      </c>
      <c r="MK20" s="553">
        <f t="shared" si="298"/>
        <v>0</v>
      </c>
      <c r="ML20" s="553" t="b">
        <f t="shared" si="299"/>
        <v>0</v>
      </c>
      <c r="MM20" s="553">
        <f t="shared" si="300"/>
        <v>0</v>
      </c>
      <c r="MN20" s="553" t="b">
        <f t="shared" si="301"/>
        <v>0</v>
      </c>
      <c r="MO20" s="553">
        <f t="shared" si="302"/>
        <v>0</v>
      </c>
      <c r="MP20" s="541">
        <f t="shared" si="303"/>
        <v>2</v>
      </c>
      <c r="MQ20" s="554">
        <f t="shared" si="304"/>
        <v>0</v>
      </c>
      <c r="MR20" s="554">
        <f t="shared" si="305"/>
        <v>0</v>
      </c>
      <c r="MS20" s="554">
        <f t="shared" si="306"/>
        <v>0</v>
      </c>
      <c r="MT20" s="554">
        <f t="shared" si="307"/>
        <v>0</v>
      </c>
      <c r="MU20" s="554">
        <f t="shared" si="308"/>
        <v>0</v>
      </c>
      <c r="MV20" s="554">
        <f t="shared" si="309"/>
        <v>0</v>
      </c>
      <c r="MW20" s="554">
        <f t="shared" si="310"/>
        <v>0</v>
      </c>
      <c r="MX20" s="554">
        <f t="shared" si="311"/>
        <v>0</v>
      </c>
      <c r="MY20" s="554">
        <f t="shared" si="312"/>
        <v>0</v>
      </c>
      <c r="MZ20" s="554">
        <f t="shared" si="313"/>
        <v>0</v>
      </c>
      <c r="NA20" s="553" t="b">
        <f t="shared" si="314"/>
        <v>0</v>
      </c>
      <c r="NB20" s="553">
        <f t="shared" si="315"/>
        <v>0</v>
      </c>
      <c r="NC20" s="553">
        <f t="shared" si="316"/>
        <v>1</v>
      </c>
      <c r="ND20" s="553">
        <f t="shared" si="317"/>
        <v>2</v>
      </c>
      <c r="NE20" s="553" t="b">
        <f t="shared" si="318"/>
        <v>0</v>
      </c>
      <c r="NF20" s="553">
        <f t="shared" si="319"/>
        <v>0</v>
      </c>
      <c r="NG20" s="553" t="b">
        <f t="shared" si="320"/>
        <v>0</v>
      </c>
      <c r="NH20" s="553">
        <f t="shared" si="321"/>
        <v>0</v>
      </c>
      <c r="NI20" s="553" t="b">
        <f t="shared" si="322"/>
        <v>0</v>
      </c>
      <c r="NJ20" s="553">
        <f t="shared" si="323"/>
        <v>0</v>
      </c>
      <c r="NK20" s="553" t="b">
        <f t="shared" si="324"/>
        <v>0</v>
      </c>
      <c r="NL20" s="553">
        <f t="shared" si="325"/>
        <v>0</v>
      </c>
      <c r="NM20" s="553" t="b">
        <f t="shared" si="326"/>
        <v>0</v>
      </c>
      <c r="NN20" s="553">
        <f t="shared" si="327"/>
        <v>0</v>
      </c>
      <c r="NO20" s="553" t="b">
        <f t="shared" si="328"/>
        <v>0</v>
      </c>
      <c r="NP20" s="553">
        <f t="shared" si="329"/>
        <v>0</v>
      </c>
      <c r="NQ20" s="553" t="b">
        <f t="shared" si="330"/>
        <v>0</v>
      </c>
      <c r="NR20" s="553">
        <f t="shared" si="331"/>
        <v>0</v>
      </c>
      <c r="NS20" s="553" t="b">
        <f t="shared" si="332"/>
        <v>0</v>
      </c>
      <c r="NT20" s="553">
        <f t="shared" si="333"/>
        <v>0</v>
      </c>
      <c r="NU20" s="541">
        <f t="shared" si="334"/>
        <v>2</v>
      </c>
      <c r="NV20" s="554">
        <f t="shared" si="335"/>
        <v>0</v>
      </c>
      <c r="NW20" s="554">
        <f t="shared" si="336"/>
        <v>0</v>
      </c>
      <c r="NX20" s="554">
        <f t="shared" si="337"/>
        <v>0</v>
      </c>
      <c r="NY20" s="554">
        <f t="shared" si="338"/>
        <v>0</v>
      </c>
      <c r="NZ20" s="554">
        <f t="shared" si="339"/>
        <v>0</v>
      </c>
      <c r="OA20" s="554">
        <f t="shared" si="340"/>
        <v>0</v>
      </c>
      <c r="OB20" s="554">
        <f t="shared" si="341"/>
        <v>0</v>
      </c>
      <c r="OC20" s="554">
        <f t="shared" si="342"/>
        <v>0</v>
      </c>
      <c r="OD20" s="554">
        <f t="shared" si="343"/>
        <v>0</v>
      </c>
      <c r="OE20" s="554">
        <f t="shared" si="344"/>
        <v>0</v>
      </c>
      <c r="OF20" s="553" t="b">
        <f t="shared" si="345"/>
        <v>0</v>
      </c>
      <c r="OG20" s="553">
        <f t="shared" si="346"/>
        <v>0</v>
      </c>
      <c r="OH20" s="553">
        <f t="shared" si="347"/>
        <v>1</v>
      </c>
      <c r="OI20" s="553">
        <f t="shared" si="348"/>
        <v>2</v>
      </c>
      <c r="OJ20" s="553" t="b">
        <f t="shared" si="349"/>
        <v>0</v>
      </c>
      <c r="OK20" s="553">
        <f t="shared" si="350"/>
        <v>0</v>
      </c>
      <c r="OL20" s="553" t="b">
        <f t="shared" si="351"/>
        <v>0</v>
      </c>
      <c r="OM20" s="553">
        <f t="shared" si="352"/>
        <v>0</v>
      </c>
      <c r="ON20" s="553" t="b">
        <f t="shared" si="353"/>
        <v>0</v>
      </c>
      <c r="OO20" s="553">
        <f t="shared" si="354"/>
        <v>0</v>
      </c>
      <c r="OP20" s="553" t="b">
        <f t="shared" si="355"/>
        <v>0</v>
      </c>
      <c r="OQ20" s="553">
        <f t="shared" si="356"/>
        <v>0</v>
      </c>
      <c r="OR20" s="553" t="b">
        <f t="shared" si="357"/>
        <v>0</v>
      </c>
      <c r="OS20" s="553">
        <f t="shared" si="358"/>
        <v>0</v>
      </c>
      <c r="OT20" s="553" t="b">
        <f t="shared" si="359"/>
        <v>0</v>
      </c>
      <c r="OU20" s="553">
        <f t="shared" si="360"/>
        <v>0</v>
      </c>
      <c r="OV20" s="553" t="b">
        <f t="shared" si="361"/>
        <v>0</v>
      </c>
      <c r="OW20" s="553">
        <f t="shared" si="362"/>
        <v>0</v>
      </c>
      <c r="OX20" s="553" t="b">
        <f t="shared" si="363"/>
        <v>0</v>
      </c>
      <c r="OY20" s="553">
        <f t="shared" si="364"/>
        <v>0</v>
      </c>
      <c r="OZ20" s="541">
        <f t="shared" si="365"/>
        <v>2</v>
      </c>
      <c r="PA20" s="554">
        <f t="shared" si="366"/>
        <v>0</v>
      </c>
      <c r="PB20" s="554">
        <f t="shared" si="367"/>
        <v>0</v>
      </c>
      <c r="PC20" s="554">
        <f t="shared" si="368"/>
        <v>0</v>
      </c>
      <c r="PD20" s="554">
        <f t="shared" si="369"/>
        <v>0</v>
      </c>
      <c r="PE20" s="554">
        <f t="shared" si="370"/>
        <v>0</v>
      </c>
      <c r="PF20" s="554">
        <f t="shared" si="371"/>
        <v>0</v>
      </c>
      <c r="PG20" s="554">
        <f t="shared" si="372"/>
        <v>0</v>
      </c>
      <c r="PH20" s="554">
        <f t="shared" si="373"/>
        <v>0</v>
      </c>
      <c r="PI20" s="554">
        <f t="shared" si="374"/>
        <v>0</v>
      </c>
      <c r="PJ20" s="554">
        <f t="shared" si="375"/>
        <v>0</v>
      </c>
      <c r="PK20" s="553" t="b">
        <f t="shared" si="376"/>
        <v>0</v>
      </c>
      <c r="PL20" s="553">
        <f t="shared" si="377"/>
        <v>0</v>
      </c>
      <c r="PM20" s="553">
        <f t="shared" si="378"/>
        <v>1</v>
      </c>
      <c r="PN20" s="553">
        <f t="shared" si="379"/>
        <v>2</v>
      </c>
      <c r="PO20" s="553" t="b">
        <f t="shared" si="380"/>
        <v>0</v>
      </c>
      <c r="PP20" s="553">
        <f t="shared" si="381"/>
        <v>0</v>
      </c>
      <c r="PQ20" s="553" t="b">
        <f t="shared" si="382"/>
        <v>0</v>
      </c>
      <c r="PR20" s="553">
        <f t="shared" si="383"/>
        <v>0</v>
      </c>
      <c r="PS20" s="553" t="b">
        <f t="shared" si="384"/>
        <v>0</v>
      </c>
      <c r="PT20" s="553">
        <f t="shared" si="385"/>
        <v>0</v>
      </c>
      <c r="PU20" s="553" t="b">
        <f t="shared" si="386"/>
        <v>0</v>
      </c>
      <c r="PV20" s="553">
        <f t="shared" si="387"/>
        <v>0</v>
      </c>
      <c r="PW20" s="553" t="b">
        <f t="shared" si="388"/>
        <v>0</v>
      </c>
      <c r="PX20" s="553">
        <f t="shared" si="389"/>
        <v>0</v>
      </c>
      <c r="PY20" s="553" t="b">
        <f t="shared" si="390"/>
        <v>0</v>
      </c>
      <c r="PZ20" s="553">
        <f t="shared" si="391"/>
        <v>0</v>
      </c>
      <c r="QA20" s="553" t="b">
        <f t="shared" si="392"/>
        <v>0</v>
      </c>
      <c r="QB20" s="553">
        <f t="shared" si="393"/>
        <v>0</v>
      </c>
      <c r="QC20" s="553" t="b">
        <f t="shared" si="394"/>
        <v>0</v>
      </c>
      <c r="QD20" s="553">
        <f t="shared" si="395"/>
        <v>0</v>
      </c>
      <c r="QE20" s="541">
        <f t="shared" si="396"/>
        <v>2</v>
      </c>
      <c r="QF20" s="555" t="str">
        <f t="shared" si="397"/>
        <v>2nd</v>
      </c>
      <c r="QG20" s="605" t="s">
        <v>4606</v>
      </c>
      <c r="QH20" s="606">
        <f>'print 10 lane'!S148</f>
        <v>13</v>
      </c>
      <c r="QI20" s="607" t="s">
        <v>4607</v>
      </c>
      <c r="QJ20" s="606">
        <f>'print 10 lane'!S149</f>
        <v>10</v>
      </c>
      <c r="QK20" s="608" t="s">
        <v>4608</v>
      </c>
      <c r="QL20" s="609">
        <f>'print 10 lane'!S150</f>
        <v>9</v>
      </c>
      <c r="QM20" s="561" t="s">
        <v>4609</v>
      </c>
      <c r="QN20" s="562">
        <f>'print 10 lane'!S151</f>
        <v>5</v>
      </c>
      <c r="QO20" s="563" t="s">
        <v>4610</v>
      </c>
      <c r="QP20" s="562">
        <f>'print 10 lane'!S152</f>
        <v>4</v>
      </c>
      <c r="QQ20" s="564" t="s">
        <v>4611</v>
      </c>
      <c r="QR20" s="562">
        <f>'print 10 lane'!S153</f>
        <v>5</v>
      </c>
      <c r="QS20" s="565" t="s">
        <v>4612</v>
      </c>
      <c r="QT20" s="562">
        <f>'print 10 lane'!S154</f>
        <v>3</v>
      </c>
      <c r="QU20" s="566" t="s">
        <v>4613</v>
      </c>
      <c r="QV20" s="562">
        <f>'print 10 lane'!S155</f>
        <v>0</v>
      </c>
      <c r="QW20" s="567" t="s">
        <v>4614</v>
      </c>
      <c r="QX20" s="562">
        <f>'print 10 lane'!S156</f>
        <v>0</v>
      </c>
      <c r="QY20" s="568" t="s">
        <v>4615</v>
      </c>
      <c r="QZ20" s="562">
        <f>'print 10 lane'!S157</f>
        <v>0</v>
      </c>
      <c r="RC20" s="610" t="e">
        <f t="shared" si="398"/>
        <v>#REF!</v>
      </c>
      <c r="RD20" s="611">
        <f t="shared" si="399"/>
        <v>0</v>
      </c>
      <c r="RR20" s="502">
        <f t="shared" si="400"/>
        <v>4</v>
      </c>
      <c r="RS20" s="1183" t="str">
        <f t="shared" si="401"/>
        <v>Hillingdon 'B'</v>
      </c>
      <c r="RT20" s="1183"/>
      <c r="RU20" s="1183"/>
      <c r="RV20" s="1183"/>
      <c r="RW20" s="1184" t="str">
        <f t="shared" si="402"/>
        <v>4th</v>
      </c>
      <c r="RX20" s="1184"/>
      <c r="RY20" s="1185" t="e">
        <f t="shared" si="403"/>
        <v>#REF!</v>
      </c>
      <c r="RZ20" s="1185"/>
      <c r="SA20" s="1185"/>
      <c r="SB20" s="571">
        <f t="shared" si="404"/>
        <v>208</v>
      </c>
      <c r="SC20" s="572" t="str">
        <f t="shared" si="405"/>
        <v>4th</v>
      </c>
      <c r="SD20" s="573">
        <f t="shared" si="406"/>
        <v>0</v>
      </c>
      <c r="SE20" s="574" t="b">
        <f t="shared" si="407"/>
        <v>0</v>
      </c>
      <c r="SF20" s="575">
        <f t="shared" si="408"/>
        <v>0</v>
      </c>
      <c r="SG20" s="575">
        <f t="shared" si="409"/>
        <v>0</v>
      </c>
      <c r="SH20" s="576" t="b">
        <f t="shared" si="410"/>
        <v>0</v>
      </c>
      <c r="SI20" s="575">
        <f t="shared" si="411"/>
        <v>0</v>
      </c>
      <c r="SJ20" s="575">
        <f t="shared" si="412"/>
        <v>0</v>
      </c>
      <c r="SK20" s="576" t="b">
        <f t="shared" si="413"/>
        <v>0</v>
      </c>
      <c r="SL20" s="575">
        <f t="shared" si="414"/>
        <v>0</v>
      </c>
      <c r="SM20" s="575">
        <f t="shared" si="415"/>
        <v>0</v>
      </c>
      <c r="SN20" s="576" t="b">
        <f t="shared" si="416"/>
        <v>0</v>
      </c>
      <c r="SO20" s="575">
        <f t="shared" si="417"/>
        <v>0</v>
      </c>
      <c r="SP20" s="575" t="e">
        <f t="shared" si="418"/>
        <v>#REF!</v>
      </c>
      <c r="SQ20" s="576" t="e">
        <f t="shared" si="419"/>
        <v>#REF!</v>
      </c>
      <c r="SR20" s="575" t="e">
        <f t="shared" si="420"/>
        <v>#REF!</v>
      </c>
      <c r="SS20" s="575" t="e">
        <f t="shared" si="421"/>
        <v>#REF!</v>
      </c>
      <c r="ST20" s="576" t="e">
        <f t="shared" si="422"/>
        <v>#REF!</v>
      </c>
      <c r="SU20" s="575" t="e">
        <f t="shared" si="423"/>
        <v>#REF!</v>
      </c>
      <c r="SV20" s="575" t="e">
        <f t="shared" si="424"/>
        <v>#REF!</v>
      </c>
      <c r="SW20" s="576" t="e">
        <f t="shared" si="425"/>
        <v>#REF!</v>
      </c>
      <c r="SX20" s="575" t="e">
        <f t="shared" si="426"/>
        <v>#REF!</v>
      </c>
      <c r="SY20" s="575" t="e">
        <f t="shared" si="427"/>
        <v>#REF!</v>
      </c>
      <c r="SZ20" s="576" t="e">
        <f t="shared" si="428"/>
        <v>#REF!</v>
      </c>
      <c r="TA20" s="575" t="e">
        <f t="shared" si="429"/>
        <v>#REF!</v>
      </c>
      <c r="TB20" s="575" t="e">
        <f t="shared" si="430"/>
        <v>#REF!</v>
      </c>
      <c r="TC20" s="576" t="e">
        <f t="shared" si="431"/>
        <v>#REF!</v>
      </c>
      <c r="TD20" s="575" t="e">
        <f t="shared" si="432"/>
        <v>#REF!</v>
      </c>
      <c r="TE20" s="575" t="e">
        <f t="shared" si="433"/>
        <v>#REF!</v>
      </c>
      <c r="TF20" s="576" t="e">
        <f t="shared" si="434"/>
        <v>#REF!</v>
      </c>
      <c r="TG20" s="575" t="e">
        <f t="shared" si="435"/>
        <v>#REF!</v>
      </c>
      <c r="TH20" s="575" t="e">
        <f t="shared" si="436"/>
        <v>#REF!</v>
      </c>
      <c r="TI20" s="576" t="e">
        <f t="shared" si="437"/>
        <v>#REF!</v>
      </c>
      <c r="TJ20" s="575" t="e">
        <f t="shared" si="438"/>
        <v>#REF!</v>
      </c>
      <c r="TK20" s="575" t="e">
        <f>IF(#REF!=0,0,IF(SI20=1,1,IF(SI20=2,2,IF(SI20=3,3,IF(SI20=4,4,IF(SI20=5,5,IF(SI20=6,6,IF(SI20=7,7,IF(SI20=8,8,IF(SI20=9,9,IF(SI20=10,10,IF(SL20=2,2,IF(SL20=3,3,IF(SL20=4,4,IF(SL20=5,5,IF(SL20=6,6,IF(SL20=7,7,IF(SL20=8,8,IF(SL20=9,9,IF(SL20=10,10,IF(SO20=3,3,IF(SO20=4,4,IF(SO20=5,5,IF(SO20=6,6,IF(SO20=7,7,IF(SO20=8,8,IF(SO20=9,9,IF(SO20=10,10,IF(SR20=4,4,IF(SR20=5,5,IF(SR20=6,6,IF(SR20=7,7,IF(SR20=8,8,IF(SR20=9,9,IF(SR20=10,10,IF(SU20=5,5,IF(SU20=6,6,IF(SU20=7,7,IF(SU20=8,8,IF(SU20=9,9,IF(SU20=10,10,IF(SX20=6,6,IF(SX20=5,5,IF(SX20=7,7,IF(SX20=8,8,IF(SX20=9,9,IF(SX20=10,10,IF(TA20=7,7,IF(TA20=8,8,IF(TA20=9,9,IF(TA20=10,10,IF(TD20=8,8,IF(TD20=9,9,IF(TD20=10,10,IF(TG20=9,9,IF(TG20=10,10,IF(TI20=10,10,(SF20))))))))))))))))))))))))))))))))))))))))))))))))))))))))))</f>
        <v>#REF!</v>
      </c>
      <c r="TL20" s="575" t="e">
        <f>IF(#REF!=0,0,IF(TK20=1,"1st",IF(TK20=2,"2nd",IF(TK20=3,"3rd",IF(TK20=4,"4th",IF(TK20=5,"5th",IF(TK20=6,"6th",IF(TK20=7,"7th",IF(TK20=8,"8th",IF(TK20=9,"9th",IF(TK20=10,"10th")))))))))))</f>
        <v>#REF!</v>
      </c>
      <c r="TM20" s="1186" t="e">
        <f t="shared" si="439"/>
        <v>#REF!</v>
      </c>
      <c r="TN20" s="1186"/>
      <c r="TO20" s="1186"/>
      <c r="TP20" s="1187">
        <f t="shared" si="440"/>
        <v>0</v>
      </c>
      <c r="TQ20" s="1187"/>
      <c r="TR20" s="1187"/>
    </row>
    <row r="21" spans="1:538" ht="30" customHeight="1" x14ac:dyDescent="0.25">
      <c r="A21" s="451" t="str">
        <f t="shared" si="1"/>
        <v>BRAINTREE &amp; BOCKING</v>
      </c>
      <c r="B21" s="577">
        <f>'Gala Setup'!$N8</f>
        <v>5</v>
      </c>
      <c r="C21" s="524" t="str">
        <f>'Gala Setup'!P8</f>
        <v>BRAINTREE &amp; BOCKING</v>
      </c>
      <c r="D21" s="578"/>
      <c r="E21" s="579"/>
      <c r="F21" s="452"/>
      <c r="G21" s="527" t="str">
        <f>IF($CG$17="5th",CC$17,IF($CG$18="5th",CC$18,IF($CG$19="5th",CC$19,IF($CG$20="5th",CC$20,IF($CG$21="5th",CC$21,IF($CG$22="5th",CC$22,IF($CG$23="5th",CC$23,IF($CG$24="5th",CC$24,IF($CG$25="5th",CC$25,IF($CG$26="5th",CC$26,"More results required for accuracy"))))))))))</f>
        <v>BORO OF BROXBOURNE</v>
      </c>
      <c r="H21" s="528" t="str">
        <f>IF(C21=0,0,"5th")</f>
        <v>5th</v>
      </c>
      <c r="I21" s="528" t="e">
        <f>IF($CG$17="5th",CE$17,IF($CG$18="5th",CE$18,IF($CG$19="5th",CE$19,IF($CG$20="5th",CE$20,IF($CG$21="5th",CE$21,IF($CG$22="5th",CE$22,IF($CG$23="5th",CE$23,IF($CG$24="5th",CE$24,IF($CG$25="5th",CE$25,IF($CG$26="5th",CE$26))))))))))</f>
        <v>#REF!</v>
      </c>
      <c r="J21" s="529" t="e">
        <f t="shared" si="2"/>
        <v>#REF!</v>
      </c>
      <c r="K21" s="529" t="e">
        <f t="shared" si="3"/>
        <v>#REF!</v>
      </c>
      <c r="L21" s="530"/>
      <c r="M21" s="530">
        <f>IF($CG$17="5th",CF$17,IF($CG$18="5th",CF$18,IF($CG$19="5th",CF$19,IF($CG$20="5th",CF$20,IF($CG$21="5th",CF$21,IF($CG$22="5th",CF$22,IF($CG$23="5th",CF$23,IF($CG$24="5th",CF$24,IF($CG$25="5th",CF$25,IF($CG$26="5th",CF$26))))))))))</f>
        <v>171</v>
      </c>
      <c r="N21" s="1200"/>
      <c r="O21" s="1200"/>
      <c r="P21" s="1200"/>
      <c r="Q21" s="1200"/>
      <c r="R21" s="1200"/>
      <c r="S21" s="1200"/>
      <c r="T21" s="467"/>
      <c r="U21" s="580" t="str">
        <f>IF(C21=0,0,"5th")</f>
        <v>5th</v>
      </c>
      <c r="V21" s="581">
        <f>IF(C21=G21,E21,IF(C22=G21,E22,IF(C23=G21,E23,IF(C24=G21,E24,IF(C25=G21,E25,IF(C26=G21,E26,IF(C17=G21,E17,IF(C18=G21,E18,IF(C19=G21,E19,IF(C20=G21,E20))))))))))</f>
        <v>0</v>
      </c>
      <c r="W21" s="582"/>
      <c r="X21" s="583">
        <f>IF(C21=0,0,IF($CQ$17="5th",CO$17,IF($CQ$18="5th",CO$18,IF($CQ$19="5th",CO$19,IF($CQ$20="5th",CO$20,IF($CQ$21="5th",CO$21,IF($CQ$22="5th",CO$22,IF($CQ$23="5th",CO$23,IF($CQ$24="5th",CO$24,IF($CQ$25="5th",CO$25,IF($CQ$26="5th",CO$26)))))))))))+D4</f>
        <v>0</v>
      </c>
      <c r="Y21" s="584"/>
      <c r="Z21" s="585">
        <f t="shared" si="4"/>
        <v>0</v>
      </c>
      <c r="AA21" s="530" t="b">
        <f>IF(C21=0,0,IF($CQ$17="5th",CP$17,IF($CQ$18="5th",CP$18,IF($CQ$19="5th",CP$19,IF($CQ$20="5th",CP$20,IF($CQ$21="5th",CP$21,IF($CQ$22="5th",CP$22,IF($CQ$23="5th",CP$23,IF($CQ$24="5th",CP$24,IF($CQ$25="5th",CP$25,IF($CQ$26="5th",CP$26)))))))))))</f>
        <v>0</v>
      </c>
      <c r="AB21" s="586" t="e">
        <f t="shared" si="5"/>
        <v>#REF!</v>
      </c>
      <c r="AC21" s="586" t="e">
        <f t="shared" si="6"/>
        <v>#REF!</v>
      </c>
      <c r="AD21" s="587" t="e">
        <f t="shared" si="7"/>
        <v>#REF!</v>
      </c>
      <c r="AE21" s="588" t="e">
        <f t="shared" si="8"/>
        <v>#REF!</v>
      </c>
      <c r="AF21" s="586" t="e">
        <f t="shared" si="9"/>
        <v>#REF!</v>
      </c>
      <c r="AG21" s="587" t="e">
        <f t="shared" si="10"/>
        <v>#REF!</v>
      </c>
      <c r="AH21" s="588" t="e">
        <f t="shared" si="11"/>
        <v>#REF!</v>
      </c>
      <c r="AI21" s="586" t="e">
        <f t="shared" si="12"/>
        <v>#REF!</v>
      </c>
      <c r="AJ21" s="587" t="e">
        <f t="shared" si="13"/>
        <v>#REF!</v>
      </c>
      <c r="AK21" s="588" t="e">
        <f t="shared" si="14"/>
        <v>#REF!</v>
      </c>
      <c r="AL21" s="586" t="e">
        <f t="shared" si="15"/>
        <v>#REF!</v>
      </c>
      <c r="AM21" s="587" t="e">
        <f t="shared" si="16"/>
        <v>#REF!</v>
      </c>
      <c r="AN21" s="588" t="e">
        <f t="shared" si="17"/>
        <v>#REF!</v>
      </c>
      <c r="AO21" s="586" t="e">
        <f t="shared" si="18"/>
        <v>#REF!</v>
      </c>
      <c r="AP21" s="587" t="e">
        <f t="shared" si="19"/>
        <v>#REF!</v>
      </c>
      <c r="AQ21" s="588" t="e">
        <f t="shared" si="20"/>
        <v>#REF!</v>
      </c>
      <c r="AR21" s="586" t="e">
        <f t="shared" si="21"/>
        <v>#REF!</v>
      </c>
      <c r="AS21" s="587" t="e">
        <f t="shared" si="22"/>
        <v>#REF!</v>
      </c>
      <c r="AT21" s="588" t="e">
        <f t="shared" si="23"/>
        <v>#REF!</v>
      </c>
      <c r="AU21" s="586" t="e">
        <f t="shared" si="24"/>
        <v>#REF!</v>
      </c>
      <c r="AV21" s="587" t="e">
        <f t="shared" si="25"/>
        <v>#REF!</v>
      </c>
      <c r="AW21" s="588" t="e">
        <f t="shared" si="26"/>
        <v>#REF!</v>
      </c>
      <c r="AX21" s="586" t="e">
        <f t="shared" si="27"/>
        <v>#REF!</v>
      </c>
      <c r="AY21" s="587" t="e">
        <f t="shared" si="28"/>
        <v>#REF!</v>
      </c>
      <c r="AZ21" s="588" t="e">
        <f t="shared" si="29"/>
        <v>#REF!</v>
      </c>
      <c r="BA21" s="586" t="e">
        <f t="shared" si="30"/>
        <v>#REF!</v>
      </c>
      <c r="BB21" s="587" t="e">
        <f t="shared" si="31"/>
        <v>#REF!</v>
      </c>
      <c r="BC21" s="588" t="e">
        <f t="shared" si="32"/>
        <v>#REF!</v>
      </c>
      <c r="BD21" s="586" t="e">
        <f t="shared" si="33"/>
        <v>#REF!</v>
      </c>
      <c r="BE21" s="587" t="e">
        <f t="shared" si="34"/>
        <v>#REF!</v>
      </c>
      <c r="BF21" s="588" t="e">
        <f t="shared" si="35"/>
        <v>#REF!</v>
      </c>
      <c r="BG21" s="588">
        <f t="shared" si="36"/>
        <v>0</v>
      </c>
      <c r="BH21" s="586">
        <f t="shared" si="37"/>
        <v>0</v>
      </c>
      <c r="BI21" s="1179">
        <f t="shared" si="38"/>
        <v>0</v>
      </c>
      <c r="BJ21" s="1179"/>
      <c r="BK21" s="1179"/>
      <c r="BL21" s="584"/>
      <c r="BM21" s="1180"/>
      <c r="BN21" s="1180"/>
      <c r="BO21" s="1180"/>
      <c r="BP21" s="1224"/>
      <c r="BQ21" s="1207" t="s">
        <v>4617</v>
      </c>
      <c r="BR21" s="470"/>
      <c r="BS21" s="457"/>
      <c r="BW21" s="589">
        <f t="shared" si="39"/>
        <v>5</v>
      </c>
      <c r="BX21" s="590">
        <f t="shared" si="40"/>
        <v>0</v>
      </c>
      <c r="BY21" s="590">
        <f t="shared" si="41"/>
        <v>0</v>
      </c>
      <c r="BZ21" s="542">
        <f>IF($CG$17="5th",BW$17,IF($CG$18="5th",BW$18,IF($CG$19="5th",BW$19,IF($CG$20="5th",BW$20,IF($CG$21="5th",BW$21,IF($CG$22="5th",BW$22,IF($CG$23="5th",BW$23,IF($CG$24="5th",BW$24,IF($CG$25="5th",BW$25,IF($CG$26="5th",BW$26))))))))))</f>
        <v>3</v>
      </c>
      <c r="CA21" s="253">
        <f>IF($CG$17="5th",BX$17,IF($CG$18="5th",BX$18,IF($CG$19="5th",BX$19,IF($CG$20="5th",BX$20,IF($CG$21="5th",BX$21,IF($CG$22="5th",BX$22,IF($CG$23="5th",BX$23,IF($CG$24="5th",BX$24,IF($CG$25="5th",BX$25,IF($CG$26="5th",BX$26))))))))))</f>
        <v>0</v>
      </c>
      <c r="CB21" s="253">
        <f>IF($CG$17="5th",BY$17,IF($CG$18="5th",BY$18,IF($CG$19="5th",BY$19,IF($CG$20="5th",BY$20,IF($CG$21="5th",BY$21,IF($CG$22="5th",BY$22,IF($CG$23="5th",BY$23,IF($CG$24="5th",BY$24,IF($CG$25="5th",BY$25,IF($CG$26="5th",BY$26))))))))))</f>
        <v>0</v>
      </c>
      <c r="CC21" s="591" t="str">
        <f t="shared" si="42"/>
        <v>BRAINTREE &amp; BOCKING</v>
      </c>
      <c r="CD21" s="592" t="e">
        <f t="shared" si="43"/>
        <v>#REF!</v>
      </c>
      <c r="CE21" s="590" t="e">
        <f t="shared" si="44"/>
        <v>#REF!</v>
      </c>
      <c r="CF21" s="590">
        <f t="shared" si="45"/>
        <v>252</v>
      </c>
      <c r="CG21" s="592" t="str">
        <f t="shared" si="46"/>
        <v>1st</v>
      </c>
      <c r="CH21" s="593" t="str">
        <f t="shared" si="47"/>
        <v>1st</v>
      </c>
      <c r="CI21" s="593">
        <f t="shared" si="48"/>
        <v>11</v>
      </c>
      <c r="CJ21" s="593" t="str">
        <f t="shared" si="49"/>
        <v>2nd</v>
      </c>
      <c r="CK21" s="593">
        <f t="shared" si="50"/>
        <v>15</v>
      </c>
      <c r="CL21" s="593" t="str">
        <f t="shared" si="51"/>
        <v>3rd</v>
      </c>
      <c r="CM21" s="594">
        <f t="shared" si="52"/>
        <v>7</v>
      </c>
      <c r="CO21" s="595" t="e">
        <f t="shared" si="53"/>
        <v>#REF!</v>
      </c>
      <c r="CP21" s="590">
        <f t="shared" si="54"/>
        <v>0</v>
      </c>
      <c r="CQ21" s="590">
        <f t="shared" si="55"/>
        <v>0</v>
      </c>
      <c r="CR21" s="1182">
        <f t="shared" si="56"/>
        <v>0</v>
      </c>
      <c r="CS21" s="1182"/>
      <c r="CT21" s="1182"/>
      <c r="CU21" s="459"/>
      <c r="CW21" s="596" t="str">
        <f>'print 10 lane'!$U6</f>
        <v>BRAINTREE &amp; BOCKING</v>
      </c>
      <c r="CX21" s="597" t="e">
        <f>IF(DB21=1,(10-#REF!),IF(DB21=2,(9-#REF!),IF(DB21=3,(8-#REF!),IF(DB21=4,(7-#REF!),IF(DB21=5,(6-#REF!),IF(DB21=6,(5-#REF!),IF(DB21=7,(4-#REF!),IF(DB21=8,(3-#REF!),IF(DB21=9,(2-#REF!),IF(DB21=10,1))))))))))</f>
        <v>#REF!</v>
      </c>
      <c r="CY21" s="597"/>
      <c r="CZ21" s="598" t="e">
        <f t="shared" si="57"/>
        <v>#REF!</v>
      </c>
      <c r="DA21" s="599">
        <f>'print 10 lane'!V$9</f>
        <v>252</v>
      </c>
      <c r="DB21" s="590">
        <f>'print 10 lane'!V$7</f>
        <v>1</v>
      </c>
      <c r="DC21" s="600">
        <f t="shared" si="58"/>
        <v>252</v>
      </c>
      <c r="DD21" s="601">
        <f t="shared" si="59"/>
        <v>1</v>
      </c>
      <c r="DE21" s="553">
        <f t="shared" si="60"/>
        <v>1</v>
      </c>
      <c r="DF21" s="600">
        <f t="shared" si="61"/>
        <v>0</v>
      </c>
      <c r="DG21" s="601" t="b">
        <f t="shared" si="62"/>
        <v>0</v>
      </c>
      <c r="DH21" s="601" t="b">
        <f t="shared" si="63"/>
        <v>0</v>
      </c>
      <c r="DI21" s="600">
        <f t="shared" si="64"/>
        <v>0</v>
      </c>
      <c r="DJ21" s="601" t="b">
        <f t="shared" si="65"/>
        <v>0</v>
      </c>
      <c r="DK21" s="601" t="b">
        <f t="shared" si="66"/>
        <v>0</v>
      </c>
      <c r="DL21" s="600">
        <f t="shared" si="67"/>
        <v>0</v>
      </c>
      <c r="DM21" s="601" t="b">
        <f t="shared" si="68"/>
        <v>0</v>
      </c>
      <c r="DN21" s="601" t="b">
        <f t="shared" si="69"/>
        <v>0</v>
      </c>
      <c r="DO21" s="600">
        <f t="shared" si="70"/>
        <v>0</v>
      </c>
      <c r="DP21" s="601" t="b">
        <f t="shared" si="71"/>
        <v>0</v>
      </c>
      <c r="DQ21" s="601" t="b">
        <f t="shared" si="72"/>
        <v>0</v>
      </c>
      <c r="DR21" s="600">
        <f t="shared" si="73"/>
        <v>0</v>
      </c>
      <c r="DS21" s="552" t="b">
        <f t="shared" si="74"/>
        <v>0</v>
      </c>
      <c r="DT21" s="601" t="b">
        <f t="shared" si="75"/>
        <v>0</v>
      </c>
      <c r="DU21" s="600">
        <f t="shared" si="76"/>
        <v>0</v>
      </c>
      <c r="DV21" s="601" t="b">
        <f t="shared" si="77"/>
        <v>0</v>
      </c>
      <c r="DW21" s="601" t="b">
        <f t="shared" si="78"/>
        <v>0</v>
      </c>
      <c r="DX21" s="600">
        <f t="shared" si="79"/>
        <v>0</v>
      </c>
      <c r="DY21" s="601" t="b">
        <f t="shared" si="80"/>
        <v>0</v>
      </c>
      <c r="DZ21" s="601" t="b">
        <f t="shared" si="81"/>
        <v>0</v>
      </c>
      <c r="EA21" s="600">
        <f t="shared" si="82"/>
        <v>0</v>
      </c>
      <c r="EB21" s="601" t="b">
        <f t="shared" si="83"/>
        <v>0</v>
      </c>
      <c r="EC21" s="601" t="b">
        <f t="shared" si="84"/>
        <v>0</v>
      </c>
      <c r="ED21" s="600">
        <f t="shared" si="85"/>
        <v>0</v>
      </c>
      <c r="EE21" s="601" t="b">
        <f t="shared" si="86"/>
        <v>0</v>
      </c>
      <c r="EF21" s="552" t="b">
        <f t="shared" si="87"/>
        <v>0</v>
      </c>
      <c r="EG21" s="541">
        <f t="shared" si="88"/>
        <v>1</v>
      </c>
      <c r="EH21" s="602">
        <f t="shared" si="89"/>
        <v>11</v>
      </c>
      <c r="EI21" s="602">
        <f t="shared" si="90"/>
        <v>0</v>
      </c>
      <c r="EJ21" s="602">
        <f t="shared" si="91"/>
        <v>0</v>
      </c>
      <c r="EK21" s="602">
        <f t="shared" si="92"/>
        <v>0</v>
      </c>
      <c r="EL21" s="602">
        <f t="shared" si="93"/>
        <v>0</v>
      </c>
      <c r="EM21" s="602">
        <f t="shared" si="94"/>
        <v>0</v>
      </c>
      <c r="EN21" s="602">
        <f t="shared" si="95"/>
        <v>0</v>
      </c>
      <c r="EO21" s="602">
        <f t="shared" si="96"/>
        <v>0</v>
      </c>
      <c r="EP21" s="602">
        <f t="shared" si="97"/>
        <v>0</v>
      </c>
      <c r="EQ21" s="602">
        <f t="shared" si="98"/>
        <v>0</v>
      </c>
      <c r="ER21" s="552">
        <f t="shared" si="99"/>
        <v>1</v>
      </c>
      <c r="ES21" s="553">
        <f t="shared" si="100"/>
        <v>1</v>
      </c>
      <c r="ET21" s="601" t="b">
        <f t="shared" si="101"/>
        <v>0</v>
      </c>
      <c r="EU21" s="553">
        <f t="shared" si="102"/>
        <v>0</v>
      </c>
      <c r="EV21" s="601" t="b">
        <f t="shared" si="103"/>
        <v>0</v>
      </c>
      <c r="EW21" s="553">
        <f t="shared" si="104"/>
        <v>0</v>
      </c>
      <c r="EX21" s="601" t="b">
        <f t="shared" si="105"/>
        <v>0</v>
      </c>
      <c r="EY21" s="553">
        <f t="shared" si="106"/>
        <v>0</v>
      </c>
      <c r="EZ21" s="601" t="b">
        <f t="shared" si="107"/>
        <v>0</v>
      </c>
      <c r="FA21" s="553">
        <f t="shared" si="108"/>
        <v>0</v>
      </c>
      <c r="FB21" s="601" t="b">
        <f t="shared" si="109"/>
        <v>0</v>
      </c>
      <c r="FC21" s="553">
        <f t="shared" si="110"/>
        <v>0</v>
      </c>
      <c r="FD21" s="603" t="b">
        <f t="shared" si="111"/>
        <v>0</v>
      </c>
      <c r="FE21" s="604">
        <f t="shared" si="441"/>
        <v>0</v>
      </c>
      <c r="FF21" s="601" t="b">
        <f t="shared" si="112"/>
        <v>0</v>
      </c>
      <c r="FG21" s="553">
        <f t="shared" si="113"/>
        <v>0</v>
      </c>
      <c r="FH21" s="601" t="b">
        <f t="shared" si="114"/>
        <v>0</v>
      </c>
      <c r="FI21" s="604">
        <f t="shared" si="115"/>
        <v>0</v>
      </c>
      <c r="FJ21" s="601" t="b">
        <f t="shared" si="116"/>
        <v>0</v>
      </c>
      <c r="FK21" s="604">
        <f t="shared" si="117"/>
        <v>0</v>
      </c>
      <c r="FL21" s="541">
        <f t="shared" si="118"/>
        <v>1</v>
      </c>
      <c r="FM21" s="602">
        <f t="shared" si="119"/>
        <v>15</v>
      </c>
      <c r="FN21" s="602">
        <f t="shared" si="120"/>
        <v>0</v>
      </c>
      <c r="FO21" s="602">
        <f t="shared" si="121"/>
        <v>0</v>
      </c>
      <c r="FP21" s="602">
        <f t="shared" si="122"/>
        <v>0</v>
      </c>
      <c r="FQ21" s="602">
        <f t="shared" si="123"/>
        <v>0</v>
      </c>
      <c r="FR21" s="602">
        <f t="shared" si="124"/>
        <v>0</v>
      </c>
      <c r="FS21" s="602">
        <f t="shared" si="125"/>
        <v>0</v>
      </c>
      <c r="FT21" s="602">
        <f t="shared" si="126"/>
        <v>0</v>
      </c>
      <c r="FU21" s="602">
        <f t="shared" si="127"/>
        <v>0</v>
      </c>
      <c r="FV21" s="602">
        <f t="shared" si="128"/>
        <v>0</v>
      </c>
      <c r="FW21" s="601">
        <f t="shared" si="129"/>
        <v>1</v>
      </c>
      <c r="FX21" s="553">
        <f t="shared" si="130"/>
        <v>1</v>
      </c>
      <c r="FY21" s="601" t="b">
        <f t="shared" si="131"/>
        <v>0</v>
      </c>
      <c r="FZ21" s="553">
        <f t="shared" si="132"/>
        <v>0</v>
      </c>
      <c r="GA21" s="552" t="b">
        <f t="shared" si="133"/>
        <v>0</v>
      </c>
      <c r="GB21" s="553">
        <f t="shared" si="134"/>
        <v>0</v>
      </c>
      <c r="GC21" s="601" t="b">
        <f t="shared" si="135"/>
        <v>0</v>
      </c>
      <c r="GD21" s="553">
        <f t="shared" si="136"/>
        <v>0</v>
      </c>
      <c r="GE21" s="601" t="b">
        <f t="shared" si="137"/>
        <v>0</v>
      </c>
      <c r="GF21" s="553">
        <f t="shared" si="138"/>
        <v>0</v>
      </c>
      <c r="GG21" s="601" t="b">
        <f t="shared" si="139"/>
        <v>0</v>
      </c>
      <c r="GH21" s="553">
        <f t="shared" si="140"/>
        <v>0</v>
      </c>
      <c r="GI21" s="601" t="b">
        <f t="shared" si="141"/>
        <v>0</v>
      </c>
      <c r="GJ21" s="604">
        <f t="shared" si="442"/>
        <v>0</v>
      </c>
      <c r="GK21" s="601" t="b">
        <f t="shared" si="142"/>
        <v>0</v>
      </c>
      <c r="GL21" s="553">
        <f t="shared" si="143"/>
        <v>0</v>
      </c>
      <c r="GM21" s="601" t="b">
        <f t="shared" si="144"/>
        <v>0</v>
      </c>
      <c r="GN21" s="604">
        <f t="shared" si="145"/>
        <v>0</v>
      </c>
      <c r="GO21" s="601" t="b">
        <f t="shared" si="146"/>
        <v>0</v>
      </c>
      <c r="GP21" s="604">
        <f t="shared" si="147"/>
        <v>0</v>
      </c>
      <c r="GQ21" s="541">
        <f t="shared" si="148"/>
        <v>1</v>
      </c>
      <c r="GR21" s="554">
        <f t="shared" si="149"/>
        <v>7</v>
      </c>
      <c r="GS21" s="554">
        <f t="shared" si="150"/>
        <v>0</v>
      </c>
      <c r="GT21" s="554">
        <f t="shared" si="151"/>
        <v>0</v>
      </c>
      <c r="GU21" s="554">
        <f t="shared" si="152"/>
        <v>0</v>
      </c>
      <c r="GV21" s="554">
        <f t="shared" si="153"/>
        <v>0</v>
      </c>
      <c r="GW21" s="554">
        <f t="shared" si="154"/>
        <v>0</v>
      </c>
      <c r="GX21" s="554">
        <f t="shared" si="155"/>
        <v>0</v>
      </c>
      <c r="GY21" s="554">
        <f t="shared" si="156"/>
        <v>0</v>
      </c>
      <c r="GZ21" s="554">
        <f t="shared" si="157"/>
        <v>0</v>
      </c>
      <c r="HA21" s="554">
        <f t="shared" si="158"/>
        <v>0</v>
      </c>
      <c r="HB21" s="553">
        <f t="shared" si="159"/>
        <v>1</v>
      </c>
      <c r="HC21" s="553">
        <f t="shared" si="160"/>
        <v>1</v>
      </c>
      <c r="HD21" s="553" t="b">
        <f t="shared" si="161"/>
        <v>0</v>
      </c>
      <c r="HE21" s="553">
        <f t="shared" si="162"/>
        <v>0</v>
      </c>
      <c r="HF21" s="553" t="b">
        <f t="shared" si="163"/>
        <v>0</v>
      </c>
      <c r="HG21" s="553">
        <f t="shared" si="164"/>
        <v>0</v>
      </c>
      <c r="HH21" s="553" t="b">
        <f t="shared" si="165"/>
        <v>0</v>
      </c>
      <c r="HI21" s="553">
        <f t="shared" si="166"/>
        <v>0</v>
      </c>
      <c r="HJ21" s="553" t="b">
        <f t="shared" si="167"/>
        <v>0</v>
      </c>
      <c r="HK21" s="553">
        <f t="shared" si="168"/>
        <v>0</v>
      </c>
      <c r="HL21" s="553" t="b">
        <f t="shared" si="169"/>
        <v>0</v>
      </c>
      <c r="HM21" s="553">
        <f t="shared" si="170"/>
        <v>0</v>
      </c>
      <c r="HN21" s="553" t="b">
        <f t="shared" si="171"/>
        <v>0</v>
      </c>
      <c r="HO21" s="553">
        <f t="shared" si="172"/>
        <v>0</v>
      </c>
      <c r="HP21" s="553" t="b">
        <f t="shared" si="173"/>
        <v>0</v>
      </c>
      <c r="HQ21" s="553">
        <f t="shared" si="174"/>
        <v>0</v>
      </c>
      <c r="HR21" s="553" t="b">
        <f t="shared" si="175"/>
        <v>0</v>
      </c>
      <c r="HS21" s="553">
        <f t="shared" si="176"/>
        <v>0</v>
      </c>
      <c r="HT21" s="553" t="b">
        <f t="shared" si="177"/>
        <v>0</v>
      </c>
      <c r="HU21" s="553">
        <f t="shared" si="178"/>
        <v>0</v>
      </c>
      <c r="HV21" s="541">
        <f t="shared" si="179"/>
        <v>1</v>
      </c>
      <c r="HW21" s="554">
        <f t="shared" si="180"/>
        <v>7</v>
      </c>
      <c r="HX21" s="554">
        <f t="shared" si="181"/>
        <v>0</v>
      </c>
      <c r="HY21" s="554">
        <f t="shared" si="182"/>
        <v>0</v>
      </c>
      <c r="HZ21" s="554">
        <f t="shared" si="183"/>
        <v>0</v>
      </c>
      <c r="IA21" s="554">
        <f t="shared" si="184"/>
        <v>0</v>
      </c>
      <c r="IB21" s="554">
        <f t="shared" si="185"/>
        <v>0</v>
      </c>
      <c r="IC21" s="554">
        <f t="shared" si="186"/>
        <v>0</v>
      </c>
      <c r="ID21" s="554">
        <f t="shared" si="187"/>
        <v>0</v>
      </c>
      <c r="IE21" s="554">
        <f t="shared" si="188"/>
        <v>0</v>
      </c>
      <c r="IF21" s="554">
        <f t="shared" si="189"/>
        <v>0</v>
      </c>
      <c r="IG21" s="553">
        <f t="shared" si="190"/>
        <v>1</v>
      </c>
      <c r="IH21" s="553">
        <f t="shared" si="191"/>
        <v>1</v>
      </c>
      <c r="II21" s="553" t="b">
        <f t="shared" si="192"/>
        <v>0</v>
      </c>
      <c r="IJ21" s="553">
        <f t="shared" si="193"/>
        <v>0</v>
      </c>
      <c r="IK21" s="553" t="b">
        <f t="shared" si="194"/>
        <v>0</v>
      </c>
      <c r="IL21" s="553">
        <f t="shared" si="195"/>
        <v>0</v>
      </c>
      <c r="IM21" s="553" t="b">
        <f t="shared" si="196"/>
        <v>0</v>
      </c>
      <c r="IN21" s="553">
        <f t="shared" si="197"/>
        <v>0</v>
      </c>
      <c r="IO21" s="553" t="b">
        <f t="shared" si="198"/>
        <v>0</v>
      </c>
      <c r="IP21" s="553">
        <f t="shared" si="199"/>
        <v>0</v>
      </c>
      <c r="IQ21" s="553" t="b">
        <f t="shared" si="200"/>
        <v>0</v>
      </c>
      <c r="IR21" s="553">
        <f t="shared" si="201"/>
        <v>0</v>
      </c>
      <c r="IS21" s="553" t="b">
        <f t="shared" si="202"/>
        <v>0</v>
      </c>
      <c r="IT21" s="553">
        <f t="shared" si="203"/>
        <v>0</v>
      </c>
      <c r="IU21" s="553" t="b">
        <f t="shared" si="204"/>
        <v>0</v>
      </c>
      <c r="IV21" s="553">
        <f t="shared" si="205"/>
        <v>0</v>
      </c>
      <c r="IW21" s="553" t="b">
        <f t="shared" si="206"/>
        <v>0</v>
      </c>
      <c r="IX21" s="553">
        <f t="shared" si="207"/>
        <v>0</v>
      </c>
      <c r="IY21" s="553" t="b">
        <f t="shared" si="208"/>
        <v>0</v>
      </c>
      <c r="IZ21" s="553">
        <f t="shared" si="209"/>
        <v>0</v>
      </c>
      <c r="JA21" s="541">
        <f t="shared" si="210"/>
        <v>1</v>
      </c>
      <c r="JB21" s="554">
        <f t="shared" si="211"/>
        <v>4</v>
      </c>
      <c r="JC21" s="554">
        <f t="shared" si="212"/>
        <v>0</v>
      </c>
      <c r="JD21" s="554">
        <f t="shared" si="213"/>
        <v>0</v>
      </c>
      <c r="JE21" s="554">
        <f t="shared" si="214"/>
        <v>0</v>
      </c>
      <c r="JF21" s="554">
        <f t="shared" si="215"/>
        <v>0</v>
      </c>
      <c r="JG21" s="554">
        <f t="shared" si="216"/>
        <v>0</v>
      </c>
      <c r="JH21" s="554">
        <f t="shared" si="217"/>
        <v>0</v>
      </c>
      <c r="JI21" s="554">
        <f t="shared" si="218"/>
        <v>0</v>
      </c>
      <c r="JJ21" s="554">
        <f t="shared" si="219"/>
        <v>0</v>
      </c>
      <c r="JK21" s="554">
        <f t="shared" si="220"/>
        <v>0</v>
      </c>
      <c r="JL21" s="553">
        <f t="shared" si="221"/>
        <v>1</v>
      </c>
      <c r="JM21" s="553">
        <f t="shared" si="222"/>
        <v>1</v>
      </c>
      <c r="JN21" s="553" t="b">
        <f t="shared" si="223"/>
        <v>0</v>
      </c>
      <c r="JO21" s="553">
        <f t="shared" si="224"/>
        <v>0</v>
      </c>
      <c r="JP21" s="553" t="b">
        <f t="shared" si="225"/>
        <v>0</v>
      </c>
      <c r="JQ21" s="553">
        <f t="shared" si="226"/>
        <v>0</v>
      </c>
      <c r="JR21" s="553" t="b">
        <f t="shared" si="227"/>
        <v>0</v>
      </c>
      <c r="JS21" s="553">
        <f t="shared" si="228"/>
        <v>0</v>
      </c>
      <c r="JT21" s="553" t="b">
        <f t="shared" si="229"/>
        <v>0</v>
      </c>
      <c r="JU21" s="553">
        <f t="shared" si="230"/>
        <v>0</v>
      </c>
      <c r="JV21" s="553" t="b">
        <f t="shared" si="231"/>
        <v>0</v>
      </c>
      <c r="JW21" s="553">
        <f t="shared" si="232"/>
        <v>0</v>
      </c>
      <c r="JX21" s="553" t="b">
        <f t="shared" si="233"/>
        <v>0</v>
      </c>
      <c r="JY21" s="553">
        <f t="shared" si="234"/>
        <v>0</v>
      </c>
      <c r="JZ21" s="553" t="b">
        <f t="shared" si="235"/>
        <v>0</v>
      </c>
      <c r="KA21" s="553">
        <f t="shared" si="236"/>
        <v>0</v>
      </c>
      <c r="KB21" s="553" t="b">
        <f t="shared" si="237"/>
        <v>0</v>
      </c>
      <c r="KC21" s="553">
        <f t="shared" si="238"/>
        <v>0</v>
      </c>
      <c r="KD21" s="553" t="b">
        <f t="shared" si="239"/>
        <v>0</v>
      </c>
      <c r="KE21" s="553">
        <f t="shared" si="240"/>
        <v>0</v>
      </c>
      <c r="KF21" s="541">
        <f t="shared" si="241"/>
        <v>1</v>
      </c>
      <c r="KG21" s="554">
        <f t="shared" si="242"/>
        <v>3</v>
      </c>
      <c r="KH21" s="554">
        <f t="shared" si="243"/>
        <v>0</v>
      </c>
      <c r="KI21" s="554">
        <f t="shared" si="244"/>
        <v>0</v>
      </c>
      <c r="KJ21" s="554">
        <f t="shared" si="245"/>
        <v>0</v>
      </c>
      <c r="KK21" s="554">
        <f t="shared" si="246"/>
        <v>0</v>
      </c>
      <c r="KL21" s="554">
        <f t="shared" si="247"/>
        <v>0</v>
      </c>
      <c r="KM21" s="554">
        <f t="shared" si="248"/>
        <v>0</v>
      </c>
      <c r="KN21" s="554">
        <f t="shared" si="249"/>
        <v>0</v>
      </c>
      <c r="KO21" s="554">
        <f t="shared" si="250"/>
        <v>0</v>
      </c>
      <c r="KP21" s="554">
        <f t="shared" si="251"/>
        <v>0</v>
      </c>
      <c r="KQ21" s="553">
        <f t="shared" si="252"/>
        <v>1</v>
      </c>
      <c r="KR21" s="553">
        <f t="shared" si="253"/>
        <v>1</v>
      </c>
      <c r="KS21" s="553" t="b">
        <f t="shared" si="254"/>
        <v>0</v>
      </c>
      <c r="KT21" s="553">
        <f t="shared" si="255"/>
        <v>0</v>
      </c>
      <c r="KU21" s="553" t="b">
        <f t="shared" si="256"/>
        <v>0</v>
      </c>
      <c r="KV21" s="553">
        <f t="shared" si="257"/>
        <v>0</v>
      </c>
      <c r="KW21" s="553" t="b">
        <f t="shared" si="258"/>
        <v>0</v>
      </c>
      <c r="KX21" s="553">
        <f t="shared" si="259"/>
        <v>0</v>
      </c>
      <c r="KY21" s="553" t="b">
        <f t="shared" si="260"/>
        <v>0</v>
      </c>
      <c r="KZ21" s="553">
        <f t="shared" si="261"/>
        <v>0</v>
      </c>
      <c r="LA21" s="553" t="b">
        <f t="shared" si="262"/>
        <v>0</v>
      </c>
      <c r="LB21" s="553">
        <f t="shared" si="263"/>
        <v>0</v>
      </c>
      <c r="LC21" s="553" t="b">
        <f t="shared" si="264"/>
        <v>0</v>
      </c>
      <c r="LD21" s="553">
        <f t="shared" si="265"/>
        <v>0</v>
      </c>
      <c r="LE21" s="553" t="b">
        <f t="shared" si="266"/>
        <v>0</v>
      </c>
      <c r="LF21" s="553">
        <f t="shared" si="267"/>
        <v>0</v>
      </c>
      <c r="LG21" s="553" t="b">
        <f t="shared" si="268"/>
        <v>0</v>
      </c>
      <c r="LH21" s="553">
        <f t="shared" si="269"/>
        <v>0</v>
      </c>
      <c r="LI21" s="553" t="b">
        <f t="shared" si="270"/>
        <v>0</v>
      </c>
      <c r="LJ21" s="553">
        <f t="shared" si="271"/>
        <v>0</v>
      </c>
      <c r="LK21" s="541">
        <f t="shared" si="272"/>
        <v>1</v>
      </c>
      <c r="LL21" s="554">
        <f t="shared" si="273"/>
        <v>4</v>
      </c>
      <c r="LM21" s="554">
        <f t="shared" si="274"/>
        <v>0</v>
      </c>
      <c r="LN21" s="554">
        <f t="shared" si="275"/>
        <v>0</v>
      </c>
      <c r="LO21" s="554">
        <f t="shared" si="276"/>
        <v>0</v>
      </c>
      <c r="LP21" s="554">
        <f t="shared" si="277"/>
        <v>0</v>
      </c>
      <c r="LQ21" s="554">
        <f t="shared" si="278"/>
        <v>0</v>
      </c>
      <c r="LR21" s="554">
        <f t="shared" si="279"/>
        <v>0</v>
      </c>
      <c r="LS21" s="554">
        <f t="shared" si="280"/>
        <v>0</v>
      </c>
      <c r="LT21" s="554">
        <f t="shared" si="281"/>
        <v>0</v>
      </c>
      <c r="LU21" s="554">
        <f t="shared" si="282"/>
        <v>0</v>
      </c>
      <c r="LV21" s="553">
        <f t="shared" si="283"/>
        <v>1</v>
      </c>
      <c r="LW21" s="553">
        <f t="shared" si="284"/>
        <v>1</v>
      </c>
      <c r="LX21" s="553" t="b">
        <f t="shared" si="285"/>
        <v>0</v>
      </c>
      <c r="LY21" s="553">
        <f t="shared" si="286"/>
        <v>0</v>
      </c>
      <c r="LZ21" s="553" t="b">
        <f t="shared" si="287"/>
        <v>0</v>
      </c>
      <c r="MA21" s="553">
        <f t="shared" si="288"/>
        <v>0</v>
      </c>
      <c r="MB21" s="553" t="b">
        <f t="shared" si="289"/>
        <v>0</v>
      </c>
      <c r="MC21" s="553">
        <f t="shared" si="290"/>
        <v>0</v>
      </c>
      <c r="MD21" s="553" t="b">
        <f t="shared" si="291"/>
        <v>0</v>
      </c>
      <c r="ME21" s="553">
        <f t="shared" si="292"/>
        <v>0</v>
      </c>
      <c r="MF21" s="553" t="b">
        <f t="shared" si="293"/>
        <v>0</v>
      </c>
      <c r="MG21" s="553">
        <f t="shared" si="294"/>
        <v>0</v>
      </c>
      <c r="MH21" s="553" t="b">
        <f t="shared" si="295"/>
        <v>0</v>
      </c>
      <c r="MI21" s="553">
        <f t="shared" si="296"/>
        <v>0</v>
      </c>
      <c r="MJ21" s="553" t="b">
        <f t="shared" si="297"/>
        <v>0</v>
      </c>
      <c r="MK21" s="553">
        <f t="shared" si="298"/>
        <v>0</v>
      </c>
      <c r="ML21" s="553" t="b">
        <f t="shared" si="299"/>
        <v>0</v>
      </c>
      <c r="MM21" s="553">
        <f t="shared" si="300"/>
        <v>0</v>
      </c>
      <c r="MN21" s="553" t="b">
        <f t="shared" si="301"/>
        <v>0</v>
      </c>
      <c r="MO21" s="553">
        <f t="shared" si="302"/>
        <v>0</v>
      </c>
      <c r="MP21" s="541">
        <f t="shared" si="303"/>
        <v>1</v>
      </c>
      <c r="MQ21" s="554">
        <f t="shared" si="304"/>
        <v>0</v>
      </c>
      <c r="MR21" s="554">
        <f t="shared" si="305"/>
        <v>0</v>
      </c>
      <c r="MS21" s="554">
        <f t="shared" si="306"/>
        <v>0</v>
      </c>
      <c r="MT21" s="554">
        <f t="shared" si="307"/>
        <v>0</v>
      </c>
      <c r="MU21" s="554">
        <f t="shared" si="308"/>
        <v>0</v>
      </c>
      <c r="MV21" s="554">
        <f t="shared" si="309"/>
        <v>0</v>
      </c>
      <c r="MW21" s="554">
        <f t="shared" si="310"/>
        <v>0</v>
      </c>
      <c r="MX21" s="554">
        <f t="shared" si="311"/>
        <v>0</v>
      </c>
      <c r="MY21" s="554">
        <f t="shared" si="312"/>
        <v>0</v>
      </c>
      <c r="MZ21" s="554">
        <f t="shared" si="313"/>
        <v>0</v>
      </c>
      <c r="NA21" s="553">
        <f t="shared" si="314"/>
        <v>1</v>
      </c>
      <c r="NB21" s="553">
        <f t="shared" si="315"/>
        <v>1</v>
      </c>
      <c r="NC21" s="553" t="b">
        <f t="shared" si="316"/>
        <v>0</v>
      </c>
      <c r="ND21" s="553">
        <f t="shared" si="317"/>
        <v>0</v>
      </c>
      <c r="NE21" s="553" t="b">
        <f t="shared" si="318"/>
        <v>0</v>
      </c>
      <c r="NF21" s="553">
        <f t="shared" si="319"/>
        <v>0</v>
      </c>
      <c r="NG21" s="553" t="b">
        <f t="shared" si="320"/>
        <v>0</v>
      </c>
      <c r="NH21" s="553">
        <f t="shared" si="321"/>
        <v>0</v>
      </c>
      <c r="NI21" s="553" t="b">
        <f t="shared" si="322"/>
        <v>0</v>
      </c>
      <c r="NJ21" s="553">
        <f t="shared" si="323"/>
        <v>0</v>
      </c>
      <c r="NK21" s="553" t="b">
        <f t="shared" si="324"/>
        <v>0</v>
      </c>
      <c r="NL21" s="553">
        <f t="shared" si="325"/>
        <v>0</v>
      </c>
      <c r="NM21" s="553" t="b">
        <f t="shared" si="326"/>
        <v>0</v>
      </c>
      <c r="NN21" s="553">
        <f t="shared" si="327"/>
        <v>0</v>
      </c>
      <c r="NO21" s="553" t="b">
        <f t="shared" si="328"/>
        <v>0</v>
      </c>
      <c r="NP21" s="553">
        <f t="shared" si="329"/>
        <v>0</v>
      </c>
      <c r="NQ21" s="553" t="b">
        <f t="shared" si="330"/>
        <v>0</v>
      </c>
      <c r="NR21" s="553">
        <f t="shared" si="331"/>
        <v>0</v>
      </c>
      <c r="NS21" s="553" t="b">
        <f t="shared" si="332"/>
        <v>0</v>
      </c>
      <c r="NT21" s="553">
        <f t="shared" si="333"/>
        <v>0</v>
      </c>
      <c r="NU21" s="541">
        <f t="shared" si="334"/>
        <v>1</v>
      </c>
      <c r="NV21" s="554">
        <f t="shared" si="335"/>
        <v>0</v>
      </c>
      <c r="NW21" s="554">
        <f t="shared" si="336"/>
        <v>0</v>
      </c>
      <c r="NX21" s="554">
        <f t="shared" si="337"/>
        <v>0</v>
      </c>
      <c r="NY21" s="554">
        <f t="shared" si="338"/>
        <v>0</v>
      </c>
      <c r="NZ21" s="554">
        <f t="shared" si="339"/>
        <v>0</v>
      </c>
      <c r="OA21" s="554">
        <f t="shared" si="340"/>
        <v>0</v>
      </c>
      <c r="OB21" s="554">
        <f t="shared" si="341"/>
        <v>0</v>
      </c>
      <c r="OC21" s="554">
        <f t="shared" si="342"/>
        <v>0</v>
      </c>
      <c r="OD21" s="554">
        <f t="shared" si="343"/>
        <v>0</v>
      </c>
      <c r="OE21" s="554">
        <f t="shared" si="344"/>
        <v>0</v>
      </c>
      <c r="OF21" s="553">
        <f t="shared" si="345"/>
        <v>1</v>
      </c>
      <c r="OG21" s="553">
        <f t="shared" si="346"/>
        <v>1</v>
      </c>
      <c r="OH21" s="553" t="b">
        <f t="shared" si="347"/>
        <v>0</v>
      </c>
      <c r="OI21" s="553">
        <f t="shared" si="348"/>
        <v>0</v>
      </c>
      <c r="OJ21" s="553" t="b">
        <f t="shared" si="349"/>
        <v>0</v>
      </c>
      <c r="OK21" s="553">
        <f t="shared" si="350"/>
        <v>0</v>
      </c>
      <c r="OL21" s="553" t="b">
        <f t="shared" si="351"/>
        <v>0</v>
      </c>
      <c r="OM21" s="553">
        <f t="shared" si="352"/>
        <v>0</v>
      </c>
      <c r="ON21" s="553" t="b">
        <f t="shared" si="353"/>
        <v>0</v>
      </c>
      <c r="OO21" s="553">
        <f t="shared" si="354"/>
        <v>0</v>
      </c>
      <c r="OP21" s="553" t="b">
        <f t="shared" si="355"/>
        <v>0</v>
      </c>
      <c r="OQ21" s="553">
        <f t="shared" si="356"/>
        <v>0</v>
      </c>
      <c r="OR21" s="553" t="b">
        <f t="shared" si="357"/>
        <v>0</v>
      </c>
      <c r="OS21" s="553">
        <f t="shared" si="358"/>
        <v>0</v>
      </c>
      <c r="OT21" s="553" t="b">
        <f t="shared" si="359"/>
        <v>0</v>
      </c>
      <c r="OU21" s="553">
        <f t="shared" si="360"/>
        <v>0</v>
      </c>
      <c r="OV21" s="553" t="b">
        <f t="shared" si="361"/>
        <v>0</v>
      </c>
      <c r="OW21" s="553">
        <f t="shared" si="362"/>
        <v>0</v>
      </c>
      <c r="OX21" s="553" t="b">
        <f t="shared" si="363"/>
        <v>0</v>
      </c>
      <c r="OY21" s="553">
        <f t="shared" si="364"/>
        <v>0</v>
      </c>
      <c r="OZ21" s="541">
        <f t="shared" si="365"/>
        <v>1</v>
      </c>
      <c r="PA21" s="554">
        <f t="shared" si="366"/>
        <v>0</v>
      </c>
      <c r="PB21" s="554">
        <f t="shared" si="367"/>
        <v>0</v>
      </c>
      <c r="PC21" s="554">
        <f t="shared" si="368"/>
        <v>0</v>
      </c>
      <c r="PD21" s="554">
        <f t="shared" si="369"/>
        <v>0</v>
      </c>
      <c r="PE21" s="554">
        <f t="shared" si="370"/>
        <v>0</v>
      </c>
      <c r="PF21" s="554">
        <f t="shared" si="371"/>
        <v>0</v>
      </c>
      <c r="PG21" s="554">
        <f t="shared" si="372"/>
        <v>0</v>
      </c>
      <c r="PH21" s="554">
        <f t="shared" si="373"/>
        <v>0</v>
      </c>
      <c r="PI21" s="554">
        <f t="shared" si="374"/>
        <v>0</v>
      </c>
      <c r="PJ21" s="554">
        <f t="shared" si="375"/>
        <v>0</v>
      </c>
      <c r="PK21" s="553">
        <f t="shared" si="376"/>
        <v>1</v>
      </c>
      <c r="PL21" s="553">
        <f t="shared" si="377"/>
        <v>1</v>
      </c>
      <c r="PM21" s="553" t="b">
        <f t="shared" si="378"/>
        <v>0</v>
      </c>
      <c r="PN21" s="553">
        <f t="shared" si="379"/>
        <v>0</v>
      </c>
      <c r="PO21" s="553" t="b">
        <f t="shared" si="380"/>
        <v>0</v>
      </c>
      <c r="PP21" s="553">
        <f t="shared" si="381"/>
        <v>0</v>
      </c>
      <c r="PQ21" s="553" t="b">
        <f t="shared" si="382"/>
        <v>0</v>
      </c>
      <c r="PR21" s="553">
        <f t="shared" si="383"/>
        <v>0</v>
      </c>
      <c r="PS21" s="553" t="b">
        <f t="shared" si="384"/>
        <v>0</v>
      </c>
      <c r="PT21" s="553">
        <f t="shared" si="385"/>
        <v>0</v>
      </c>
      <c r="PU21" s="553" t="b">
        <f t="shared" si="386"/>
        <v>0</v>
      </c>
      <c r="PV21" s="553">
        <f t="shared" si="387"/>
        <v>0</v>
      </c>
      <c r="PW21" s="553" t="b">
        <f t="shared" si="388"/>
        <v>0</v>
      </c>
      <c r="PX21" s="553">
        <f t="shared" si="389"/>
        <v>0</v>
      </c>
      <c r="PY21" s="553" t="b">
        <f t="shared" si="390"/>
        <v>0</v>
      </c>
      <c r="PZ21" s="553">
        <f t="shared" si="391"/>
        <v>0</v>
      </c>
      <c r="QA21" s="553" t="b">
        <f t="shared" si="392"/>
        <v>0</v>
      </c>
      <c r="QB21" s="553">
        <f t="shared" si="393"/>
        <v>0</v>
      </c>
      <c r="QC21" s="553" t="b">
        <f t="shared" si="394"/>
        <v>0</v>
      </c>
      <c r="QD21" s="553">
        <f t="shared" si="395"/>
        <v>0</v>
      </c>
      <c r="QE21" s="541">
        <f t="shared" si="396"/>
        <v>1</v>
      </c>
      <c r="QF21" s="555" t="str">
        <f t="shared" si="397"/>
        <v>1st</v>
      </c>
      <c r="QG21" s="605" t="s">
        <v>4606</v>
      </c>
      <c r="QH21" s="606">
        <f>'print 10 lane'!V148</f>
        <v>11</v>
      </c>
      <c r="QI21" s="607" t="s">
        <v>4607</v>
      </c>
      <c r="QJ21" s="606">
        <f>'print 10 lane'!V149</f>
        <v>15</v>
      </c>
      <c r="QK21" s="608" t="s">
        <v>4608</v>
      </c>
      <c r="QL21" s="609">
        <f>'print 10 lane'!V150</f>
        <v>7</v>
      </c>
      <c r="QM21" s="561" t="s">
        <v>4609</v>
      </c>
      <c r="QN21" s="562">
        <f>'print 10 lane'!V151</f>
        <v>7</v>
      </c>
      <c r="QO21" s="563" t="s">
        <v>4610</v>
      </c>
      <c r="QP21" s="562">
        <f>'print 10 lane'!V152</f>
        <v>4</v>
      </c>
      <c r="QQ21" s="564" t="s">
        <v>4611</v>
      </c>
      <c r="QR21" s="562">
        <f>'print 10 lane'!V153</f>
        <v>3</v>
      </c>
      <c r="QS21" s="565" t="s">
        <v>4612</v>
      </c>
      <c r="QT21" s="562">
        <f>'print 10 lane'!V154</f>
        <v>4</v>
      </c>
      <c r="QU21" s="566" t="s">
        <v>4613</v>
      </c>
      <c r="QV21" s="562">
        <f>'print 10 lane'!V155</f>
        <v>0</v>
      </c>
      <c r="QW21" s="567" t="s">
        <v>4614</v>
      </c>
      <c r="QX21" s="562">
        <f>'print 10 lane'!V156</f>
        <v>0</v>
      </c>
      <c r="QY21" s="568" t="s">
        <v>4615</v>
      </c>
      <c r="QZ21" s="562">
        <f>'print 10 lane'!V157</f>
        <v>0</v>
      </c>
      <c r="RC21" s="610" t="e">
        <f t="shared" si="398"/>
        <v>#REF!</v>
      </c>
      <c r="RD21" s="611">
        <f t="shared" si="399"/>
        <v>0</v>
      </c>
      <c r="RR21" s="502">
        <f t="shared" si="400"/>
        <v>5</v>
      </c>
      <c r="RS21" s="1183" t="str">
        <f t="shared" si="401"/>
        <v>BORO OF BROXBOURNE</v>
      </c>
      <c r="RT21" s="1183"/>
      <c r="RU21" s="1183"/>
      <c r="RV21" s="1183"/>
      <c r="RW21" s="1184" t="str">
        <f t="shared" si="402"/>
        <v>5th</v>
      </c>
      <c r="RX21" s="1184"/>
      <c r="RY21" s="1185" t="e">
        <f t="shared" si="403"/>
        <v>#REF!</v>
      </c>
      <c r="RZ21" s="1185"/>
      <c r="SA21" s="1185"/>
      <c r="SB21" s="571">
        <f t="shared" si="404"/>
        <v>171</v>
      </c>
      <c r="SC21" s="572" t="str">
        <f t="shared" si="405"/>
        <v>5th</v>
      </c>
      <c r="SD21" s="573">
        <f t="shared" si="406"/>
        <v>0</v>
      </c>
      <c r="SE21" s="574" t="b">
        <f t="shared" si="407"/>
        <v>0</v>
      </c>
      <c r="SF21" s="575">
        <f t="shared" si="408"/>
        <v>0</v>
      </c>
      <c r="SG21" s="575">
        <f t="shared" si="409"/>
        <v>0</v>
      </c>
      <c r="SH21" s="576" t="b">
        <f t="shared" si="410"/>
        <v>0</v>
      </c>
      <c r="SI21" s="575">
        <f t="shared" si="411"/>
        <v>0</v>
      </c>
      <c r="SJ21" s="575">
        <f t="shared" si="412"/>
        <v>0</v>
      </c>
      <c r="SK21" s="576" t="b">
        <f t="shared" si="413"/>
        <v>0</v>
      </c>
      <c r="SL21" s="575">
        <f t="shared" si="414"/>
        <v>0</v>
      </c>
      <c r="SM21" s="575">
        <f t="shared" si="415"/>
        <v>0</v>
      </c>
      <c r="SN21" s="576" t="b">
        <f t="shared" si="416"/>
        <v>0</v>
      </c>
      <c r="SO21" s="575">
        <f t="shared" si="417"/>
        <v>0</v>
      </c>
      <c r="SP21" s="575" t="e">
        <f t="shared" si="418"/>
        <v>#REF!</v>
      </c>
      <c r="SQ21" s="576" t="e">
        <f t="shared" si="419"/>
        <v>#REF!</v>
      </c>
      <c r="SR21" s="575" t="e">
        <f t="shared" si="420"/>
        <v>#REF!</v>
      </c>
      <c r="SS21" s="575" t="e">
        <f t="shared" si="421"/>
        <v>#REF!</v>
      </c>
      <c r="ST21" s="576" t="e">
        <f t="shared" si="422"/>
        <v>#REF!</v>
      </c>
      <c r="SU21" s="575" t="e">
        <f t="shared" si="423"/>
        <v>#REF!</v>
      </c>
      <c r="SV21" s="575" t="e">
        <f t="shared" si="424"/>
        <v>#REF!</v>
      </c>
      <c r="SW21" s="576" t="e">
        <f t="shared" si="425"/>
        <v>#REF!</v>
      </c>
      <c r="SX21" s="575" t="e">
        <f t="shared" si="426"/>
        <v>#REF!</v>
      </c>
      <c r="SY21" s="575" t="e">
        <f t="shared" si="427"/>
        <v>#REF!</v>
      </c>
      <c r="SZ21" s="576" t="e">
        <f t="shared" si="428"/>
        <v>#REF!</v>
      </c>
      <c r="TA21" s="575" t="e">
        <f t="shared" si="429"/>
        <v>#REF!</v>
      </c>
      <c r="TB21" s="575" t="e">
        <f t="shared" si="430"/>
        <v>#REF!</v>
      </c>
      <c r="TC21" s="576" t="e">
        <f t="shared" si="431"/>
        <v>#REF!</v>
      </c>
      <c r="TD21" s="575" t="e">
        <f t="shared" si="432"/>
        <v>#REF!</v>
      </c>
      <c r="TE21" s="575" t="e">
        <f t="shared" si="433"/>
        <v>#REF!</v>
      </c>
      <c r="TF21" s="576" t="e">
        <f t="shared" si="434"/>
        <v>#REF!</v>
      </c>
      <c r="TG21" s="575" t="e">
        <f t="shared" si="435"/>
        <v>#REF!</v>
      </c>
      <c r="TH21" s="575" t="e">
        <f t="shared" si="436"/>
        <v>#REF!</v>
      </c>
      <c r="TI21" s="576" t="e">
        <f t="shared" si="437"/>
        <v>#REF!</v>
      </c>
      <c r="TJ21" s="575" t="e">
        <f t="shared" si="438"/>
        <v>#REF!</v>
      </c>
      <c r="TK21" s="575" t="e">
        <f>IF(#REF!=0,0,IF(SI21=1,1,IF(SI21=2,2,IF(SI21=3,3,IF(SI21=4,4,IF(SI21=5,5,IF(SI21=6,6,IF(SI21=7,7,IF(SI21=8,8,IF(SI21=9,9,IF(SI21=10,10,IF(SL21=2,2,IF(SL21=3,3,IF(SL21=4,4,IF(SL21=5,5,IF(SL21=6,6,IF(SL21=7,7,IF(SL21=8,8,IF(SL21=9,9,IF(SL21=10,10,IF(SO21=3,3,IF(SO21=4,4,IF(SO21=5,5,IF(SO21=6,6,IF(SO21=7,7,IF(SO21=8,8,IF(SO21=9,9,IF(SO21=10,10,IF(SR21=4,4,IF(SR21=5,5,IF(SR21=6,6,IF(SR21=7,7,IF(SR21=8,8,IF(SR21=9,9,IF(SR21=10,10,IF(SU21=5,5,IF(SU21=6,6,IF(SU21=7,7,IF(SU21=8,8,IF(SU21=9,9,IF(SU21=10,10,IF(SX21=6,6,IF(SX21=5,5,IF(SX21=7,7,IF(SX21=8,8,IF(SX21=9,9,IF(SX21=10,10,IF(TA21=7,7,IF(TA21=8,8,IF(TA21=9,9,IF(TA21=10,10,IF(TD21=8,8,IF(TD21=9,9,IF(TD21=10,10,IF(TG21=9,9,IF(TG21=10,10,IF(TI21=10,10,(SF21))))))))))))))))))))))))))))))))))))))))))))))))))))))))))</f>
        <v>#REF!</v>
      </c>
      <c r="TL21" s="575" t="e">
        <f>IF(#REF!=0,0,IF(TK21=1,"1st",IF(TK21=2,"2nd",IF(TK21=3,"3rd",IF(TK21=4,"4th",IF(TK21=5,"5th",IF(TK21=6,"6th",IF(TK21=7,"7th",IF(TK21=8,"8th",IF(TK21=9,"9th",IF(TK21=10,"10th")))))))))))</f>
        <v>#REF!</v>
      </c>
      <c r="TM21" s="1186" t="e">
        <f t="shared" si="439"/>
        <v>#REF!</v>
      </c>
      <c r="TN21" s="1186"/>
      <c r="TO21" s="1186"/>
      <c r="TP21" s="1187">
        <f t="shared" si="440"/>
        <v>0</v>
      </c>
      <c r="TQ21" s="1187"/>
      <c r="TR21" s="1187"/>
    </row>
    <row r="22" spans="1:538" ht="30" customHeight="1" x14ac:dyDescent="0.25">
      <c r="A22" s="451" t="str">
        <f t="shared" si="1"/>
        <v>Bo of Harrow</v>
      </c>
      <c r="B22" s="577">
        <f>'Gala Setup'!$N9</f>
        <v>6</v>
      </c>
      <c r="C22" s="524" t="str">
        <f>'Gala Setup'!P9</f>
        <v>Bo of Harrow</v>
      </c>
      <c r="D22" s="612"/>
      <c r="E22" s="579"/>
      <c r="F22" s="452"/>
      <c r="G22" s="527" t="str">
        <f>IF($CG$17="6th",CC$17,IF($CG$18="6th",CC$18,IF($CG$19="6th",CC$19,IF($CG$20="6th",CC$20,IF($CG$21="6th",CC$21,IF($CG$22="6th",CC$22,IF($CG$23="6th",CC$23,IF($CG$24="6th",CC$24,IF($CG$25="6th",CC$25,IF($CG$26="6th",CC$26,"More results required for accuracy"))))))))))</f>
        <v>STEVENAGE</v>
      </c>
      <c r="H22" s="528" t="str">
        <f>IF(C22=0,0,"6th")</f>
        <v>6th</v>
      </c>
      <c r="I22" s="528" t="e">
        <f>IF($CG$17="6th",CE$17,IF($CG$18="6th",CE$18,IF($CG$19="6th",CE$19,IF($CG$20="6th",CE$20,IF($CG$21="6th",CE$21,IF($CG$22="6th",CE$22,IF($CG$23="6th",CE$23,IF($CG$24="6th",CE$24,IF($CG$25="6th",CE$25,IF($CG$26="6th",CE$26))))))))))</f>
        <v>#REF!</v>
      </c>
      <c r="J22" s="529" t="e">
        <f t="shared" si="2"/>
        <v>#REF!</v>
      </c>
      <c r="K22" s="529" t="e">
        <f t="shared" si="3"/>
        <v>#REF!</v>
      </c>
      <c r="L22" s="530"/>
      <c r="M22" s="530">
        <f>IF($CG$17="6th",CF$17,IF($CG$18="6th",CF$18,IF($CG$19="6th",CF$19,IF($CG$20="6th",CF$20,IF($CG$21="6th",CF$21,IF($CG$22="6th",CF$22,IF($CG$23="6th",CF$23,IF($CG$24="6th",CF$24,IF($CG$25="6th",CF$25,IF($CG$26="6th",CF$26))))))))))</f>
        <v>158</v>
      </c>
      <c r="N22" s="1200"/>
      <c r="O22" s="1200"/>
      <c r="P22" s="1200"/>
      <c r="Q22" s="1200"/>
      <c r="R22" s="1200"/>
      <c r="S22" s="1200"/>
      <c r="T22" s="467"/>
      <c r="U22" s="580" t="str">
        <f>IF(C22=0,0,"6th")</f>
        <v>6th</v>
      </c>
      <c r="V22" s="581">
        <f>IF(C22=G22,E22,IF(C23=G22,E23,IF(C24=G22,E24,IF(C25=G22,E25,IF(C26=G22,E26,IF(C17=G22,E17,IF(C18=G22,E18,IF(C19=G22,E19,IF(C20=G22,E20,IF(C21=G22,E21))))))))))</f>
        <v>0</v>
      </c>
      <c r="W22" s="582"/>
      <c r="X22" s="583">
        <f>IF(C22=0,0,IF($CQ$17="6th",CO$17,IF($CQ$18="6th",CO$18,IF($CQ$19="6th",CO$19,IF($CQ$20="6th",CO$20,IF($CQ$21="6th",CO$21,IF($CQ$22="6th",CO$22,IF($CQ$23="6th",CO$23,IF($CQ$24="6th",CO$24,IF($CQ$25="6th",CO$25,IF($CQ$26="6th",CO$26)))))))))))+D4</f>
        <v>0</v>
      </c>
      <c r="Y22" s="584"/>
      <c r="Z22" s="585">
        <f t="shared" si="4"/>
        <v>0</v>
      </c>
      <c r="AA22" s="530" t="b">
        <f>IF(C22=0,0,IF($CQ$17="6th",CP$17,IF($CQ$18="6th",CP$18,IF($CQ$19="6th",CP$19,IF($CQ$20="6th",CP$20,IF($CQ$21="6th",CP$21,IF($CQ$22="6th",CP$22,IF($CQ$23="6th",CP$23,IF($CQ$24="6th",CP$24,IF($CQ$25="6th",CP$25,IF($CQ$26="6th",CP$26)))))))))))</f>
        <v>0</v>
      </c>
      <c r="AB22" s="586" t="e">
        <f t="shared" si="5"/>
        <v>#REF!</v>
      </c>
      <c r="AC22" s="586" t="e">
        <f t="shared" si="6"/>
        <v>#REF!</v>
      </c>
      <c r="AD22" s="587" t="e">
        <f t="shared" si="7"/>
        <v>#REF!</v>
      </c>
      <c r="AE22" s="588" t="e">
        <f t="shared" si="8"/>
        <v>#REF!</v>
      </c>
      <c r="AF22" s="586" t="e">
        <f t="shared" si="9"/>
        <v>#REF!</v>
      </c>
      <c r="AG22" s="587" t="e">
        <f t="shared" si="10"/>
        <v>#REF!</v>
      </c>
      <c r="AH22" s="588" t="e">
        <f t="shared" si="11"/>
        <v>#REF!</v>
      </c>
      <c r="AI22" s="586" t="e">
        <f t="shared" si="12"/>
        <v>#REF!</v>
      </c>
      <c r="AJ22" s="587" t="e">
        <f t="shared" si="13"/>
        <v>#REF!</v>
      </c>
      <c r="AK22" s="588" t="e">
        <f t="shared" si="14"/>
        <v>#REF!</v>
      </c>
      <c r="AL22" s="586" t="e">
        <f t="shared" si="15"/>
        <v>#REF!</v>
      </c>
      <c r="AM22" s="587" t="e">
        <f t="shared" si="16"/>
        <v>#REF!</v>
      </c>
      <c r="AN22" s="588" t="e">
        <f t="shared" si="17"/>
        <v>#REF!</v>
      </c>
      <c r="AO22" s="586" t="e">
        <f t="shared" si="18"/>
        <v>#REF!</v>
      </c>
      <c r="AP22" s="587" t="e">
        <f t="shared" si="19"/>
        <v>#REF!</v>
      </c>
      <c r="AQ22" s="588" t="e">
        <f t="shared" si="20"/>
        <v>#REF!</v>
      </c>
      <c r="AR22" s="586" t="e">
        <f t="shared" si="21"/>
        <v>#REF!</v>
      </c>
      <c r="AS22" s="587" t="e">
        <f t="shared" si="22"/>
        <v>#REF!</v>
      </c>
      <c r="AT22" s="588" t="e">
        <f t="shared" si="23"/>
        <v>#REF!</v>
      </c>
      <c r="AU22" s="586" t="e">
        <f t="shared" si="24"/>
        <v>#REF!</v>
      </c>
      <c r="AV22" s="587" t="e">
        <f t="shared" si="25"/>
        <v>#REF!</v>
      </c>
      <c r="AW22" s="588" t="e">
        <f t="shared" si="26"/>
        <v>#REF!</v>
      </c>
      <c r="AX22" s="586" t="e">
        <f t="shared" si="27"/>
        <v>#REF!</v>
      </c>
      <c r="AY22" s="587" t="e">
        <f t="shared" si="28"/>
        <v>#REF!</v>
      </c>
      <c r="AZ22" s="588" t="e">
        <f t="shared" si="29"/>
        <v>#REF!</v>
      </c>
      <c r="BA22" s="586" t="e">
        <f t="shared" si="30"/>
        <v>#REF!</v>
      </c>
      <c r="BB22" s="587" t="e">
        <f t="shared" si="31"/>
        <v>#REF!</v>
      </c>
      <c r="BC22" s="588" t="e">
        <f t="shared" si="32"/>
        <v>#REF!</v>
      </c>
      <c r="BD22" s="586" t="e">
        <f t="shared" si="33"/>
        <v>#REF!</v>
      </c>
      <c r="BE22" s="587" t="e">
        <f t="shared" si="34"/>
        <v>#REF!</v>
      </c>
      <c r="BF22" s="588" t="e">
        <f t="shared" si="35"/>
        <v>#REF!</v>
      </c>
      <c r="BG22" s="588">
        <f t="shared" si="36"/>
        <v>0</v>
      </c>
      <c r="BH22" s="586">
        <f t="shared" si="37"/>
        <v>0</v>
      </c>
      <c r="BI22" s="1179">
        <f t="shared" si="38"/>
        <v>0</v>
      </c>
      <c r="BJ22" s="1179"/>
      <c r="BK22" s="1179"/>
      <c r="BL22" s="584"/>
      <c r="BM22" s="1180"/>
      <c r="BN22" s="1180"/>
      <c r="BO22" s="1180"/>
      <c r="BP22" s="1224"/>
      <c r="BQ22" s="1207"/>
      <c r="BR22" s="470"/>
      <c r="BS22" s="457"/>
      <c r="BW22" s="589">
        <f t="shared" si="39"/>
        <v>6</v>
      </c>
      <c r="BX22" s="590">
        <f t="shared" si="40"/>
        <v>0</v>
      </c>
      <c r="BY22" s="590">
        <f t="shared" si="41"/>
        <v>0</v>
      </c>
      <c r="BZ22" s="542">
        <f>IF($CG$17="6th",BW$17,IF($CG$18="6th",BW$18,IF($CG$19="6th",BW$19,IF($CG$20="6th",BW$20,IF($CG$21="6th",BW$21,IF($CG$22="6th",BW$22,IF($CG$23="6th",BW$23,IF($CG$24="6th",BW$24,IF($CG$25="6th",BW$25,IF($CG$26="6th",BW$26))))))))))</f>
        <v>2</v>
      </c>
      <c r="CA22" s="253">
        <f>IF($CG$17="6th",BX$17,IF($CG$18="6th",BX$18,IF($CG$19="6th",BX$19,IF($CG$20="6th",BX$20,IF($CG$21="6th",BX$21,IF($CG$22="6th",BX$22,IF($CG$23="6th",BX$23,IF($CG$24="6th",BX$24,IF($CG$25="6th",BX$25,IF($CG$26="6th",BX$26))))))))))</f>
        <v>0</v>
      </c>
      <c r="CB22" s="253">
        <f>IF($CG$17="6th",BY$17,IF($CG$18="6th",BY$18,IF($CG$19="6th",BY$19,IF($CG$20="6th",BY$20,IF($CG$21="6th",BY$21,IF($CG$22="6th",BY$22,IF($CG$23="6th",BY$23,IF($CG$24="6th",BY$24,IF($CG$25="6th",BY$25,IF($CG$26="6th",BY$26))))))))))</f>
        <v>0</v>
      </c>
      <c r="CC22" s="591" t="str">
        <f t="shared" si="42"/>
        <v>Bo of Harrow</v>
      </c>
      <c r="CD22" s="592" t="e">
        <f t="shared" si="43"/>
        <v>#REF!</v>
      </c>
      <c r="CE22" s="590" t="e">
        <f t="shared" si="44"/>
        <v>#REF!</v>
      </c>
      <c r="CF22" s="590">
        <f t="shared" si="45"/>
        <v>212</v>
      </c>
      <c r="CG22" s="592" t="str">
        <f t="shared" si="46"/>
        <v>3rd</v>
      </c>
      <c r="CH22" s="593" t="str">
        <f t="shared" si="47"/>
        <v>1st</v>
      </c>
      <c r="CI22" s="593">
        <f t="shared" si="48"/>
        <v>9</v>
      </c>
      <c r="CJ22" s="593" t="str">
        <f t="shared" si="49"/>
        <v>2nd</v>
      </c>
      <c r="CK22" s="593">
        <f t="shared" si="50"/>
        <v>7</v>
      </c>
      <c r="CL22" s="593" t="str">
        <f t="shared" si="51"/>
        <v>3rd</v>
      </c>
      <c r="CM22" s="594">
        <f t="shared" si="52"/>
        <v>11</v>
      </c>
      <c r="CO22" s="595" t="e">
        <f t="shared" si="53"/>
        <v>#REF!</v>
      </c>
      <c r="CP22" s="590">
        <f t="shared" si="54"/>
        <v>0</v>
      </c>
      <c r="CQ22" s="590">
        <f t="shared" si="55"/>
        <v>0</v>
      </c>
      <c r="CR22" s="1182">
        <f t="shared" si="56"/>
        <v>0</v>
      </c>
      <c r="CS22" s="1182"/>
      <c r="CT22" s="1182"/>
      <c r="CU22" s="459"/>
      <c r="CW22" s="596" t="str">
        <f>'print 10 lane'!$X6</f>
        <v>Bo of Harrow</v>
      </c>
      <c r="CX22" s="597" t="e">
        <f>IF(DB22=1,(10-#REF!),IF(DB22=2,(9-#REF!),IF(DB22=3,(8-#REF!),IF(DB22=4,(7-#REF!),IF(DB22=5,(6-#REF!),IF(DB22=6,(5-#REF!),IF(DB22=7,(4-#REF!),IF(DB22=8,(3-#REF!),IF(DB22=9,(2-#REF!),IF(DB22=10,1))))))))))</f>
        <v>#REF!</v>
      </c>
      <c r="CY22" s="597"/>
      <c r="CZ22" s="598" t="e">
        <f t="shared" si="57"/>
        <v>#REF!</v>
      </c>
      <c r="DA22" s="599">
        <f>'print 10 lane'!Y$9</f>
        <v>212</v>
      </c>
      <c r="DB22" s="590">
        <f>'print 10 lane'!Y$7</f>
        <v>3</v>
      </c>
      <c r="DC22" s="600">
        <f t="shared" si="58"/>
        <v>0</v>
      </c>
      <c r="DD22" s="601" t="b">
        <f t="shared" si="59"/>
        <v>0</v>
      </c>
      <c r="DE22" s="553">
        <f t="shared" si="60"/>
        <v>0</v>
      </c>
      <c r="DF22" s="600">
        <f t="shared" si="61"/>
        <v>0</v>
      </c>
      <c r="DG22" s="601" t="b">
        <f t="shared" si="62"/>
        <v>0</v>
      </c>
      <c r="DH22" s="601" t="b">
        <f t="shared" si="63"/>
        <v>0</v>
      </c>
      <c r="DI22" s="600">
        <f t="shared" si="64"/>
        <v>212</v>
      </c>
      <c r="DJ22" s="601">
        <f t="shared" si="65"/>
        <v>1</v>
      </c>
      <c r="DK22" s="601">
        <f t="shared" si="66"/>
        <v>3</v>
      </c>
      <c r="DL22" s="600">
        <f t="shared" si="67"/>
        <v>0</v>
      </c>
      <c r="DM22" s="601" t="b">
        <f t="shared" si="68"/>
        <v>0</v>
      </c>
      <c r="DN22" s="601" t="b">
        <f t="shared" si="69"/>
        <v>0</v>
      </c>
      <c r="DO22" s="600">
        <f t="shared" si="70"/>
        <v>0</v>
      </c>
      <c r="DP22" s="601" t="b">
        <f t="shared" si="71"/>
        <v>0</v>
      </c>
      <c r="DQ22" s="601" t="b">
        <f t="shared" si="72"/>
        <v>0</v>
      </c>
      <c r="DR22" s="600">
        <f t="shared" si="73"/>
        <v>0</v>
      </c>
      <c r="DS22" s="552" t="b">
        <f t="shared" si="74"/>
        <v>0</v>
      </c>
      <c r="DT22" s="601" t="b">
        <f t="shared" si="75"/>
        <v>0</v>
      </c>
      <c r="DU22" s="600">
        <f t="shared" si="76"/>
        <v>0</v>
      </c>
      <c r="DV22" s="601" t="b">
        <f t="shared" si="77"/>
        <v>0</v>
      </c>
      <c r="DW22" s="601" t="b">
        <f t="shared" si="78"/>
        <v>0</v>
      </c>
      <c r="DX22" s="600">
        <f t="shared" si="79"/>
        <v>0</v>
      </c>
      <c r="DY22" s="601" t="b">
        <f t="shared" si="80"/>
        <v>0</v>
      </c>
      <c r="DZ22" s="601" t="b">
        <f t="shared" si="81"/>
        <v>0</v>
      </c>
      <c r="EA22" s="600">
        <f t="shared" si="82"/>
        <v>0</v>
      </c>
      <c r="EB22" s="601" t="b">
        <f t="shared" si="83"/>
        <v>0</v>
      </c>
      <c r="EC22" s="601" t="b">
        <f t="shared" si="84"/>
        <v>0</v>
      </c>
      <c r="ED22" s="600">
        <f t="shared" si="85"/>
        <v>0</v>
      </c>
      <c r="EE22" s="601" t="b">
        <f t="shared" si="86"/>
        <v>0</v>
      </c>
      <c r="EF22" s="552" t="b">
        <f t="shared" si="87"/>
        <v>0</v>
      </c>
      <c r="EG22" s="541">
        <f t="shared" si="88"/>
        <v>3</v>
      </c>
      <c r="EH22" s="602">
        <f t="shared" si="89"/>
        <v>0</v>
      </c>
      <c r="EI22" s="602">
        <f t="shared" si="90"/>
        <v>0</v>
      </c>
      <c r="EJ22" s="602">
        <f t="shared" si="91"/>
        <v>9</v>
      </c>
      <c r="EK22" s="602">
        <f t="shared" si="92"/>
        <v>0</v>
      </c>
      <c r="EL22" s="602">
        <f t="shared" si="93"/>
        <v>0</v>
      </c>
      <c r="EM22" s="602">
        <f t="shared" si="94"/>
        <v>0</v>
      </c>
      <c r="EN22" s="602">
        <f t="shared" si="95"/>
        <v>0</v>
      </c>
      <c r="EO22" s="602">
        <f t="shared" si="96"/>
        <v>0</v>
      </c>
      <c r="EP22" s="602">
        <f t="shared" si="97"/>
        <v>0</v>
      </c>
      <c r="EQ22" s="602">
        <f t="shared" si="98"/>
        <v>0</v>
      </c>
      <c r="ER22" s="552" t="b">
        <f t="shared" si="99"/>
        <v>0</v>
      </c>
      <c r="ES22" s="553">
        <f t="shared" si="100"/>
        <v>0</v>
      </c>
      <c r="ET22" s="601" t="b">
        <f t="shared" si="101"/>
        <v>0</v>
      </c>
      <c r="EU22" s="553">
        <f t="shared" si="102"/>
        <v>0</v>
      </c>
      <c r="EV22" s="601">
        <f t="shared" si="103"/>
        <v>1</v>
      </c>
      <c r="EW22" s="553">
        <f t="shared" si="104"/>
        <v>3</v>
      </c>
      <c r="EX22" s="601" t="b">
        <f t="shared" si="105"/>
        <v>0</v>
      </c>
      <c r="EY22" s="553">
        <f t="shared" si="106"/>
        <v>0</v>
      </c>
      <c r="EZ22" s="601" t="b">
        <f t="shared" si="107"/>
        <v>0</v>
      </c>
      <c r="FA22" s="553">
        <f t="shared" si="108"/>
        <v>0</v>
      </c>
      <c r="FB22" s="601" t="b">
        <f t="shared" si="109"/>
        <v>0</v>
      </c>
      <c r="FC22" s="553">
        <f t="shared" si="110"/>
        <v>0</v>
      </c>
      <c r="FD22" s="603" t="b">
        <f t="shared" si="111"/>
        <v>0</v>
      </c>
      <c r="FE22" s="604">
        <f t="shared" si="441"/>
        <v>0</v>
      </c>
      <c r="FF22" s="601" t="b">
        <f t="shared" si="112"/>
        <v>0</v>
      </c>
      <c r="FG22" s="553">
        <f t="shared" si="113"/>
        <v>0</v>
      </c>
      <c r="FH22" s="601" t="b">
        <f t="shared" si="114"/>
        <v>0</v>
      </c>
      <c r="FI22" s="604">
        <f t="shared" si="115"/>
        <v>0</v>
      </c>
      <c r="FJ22" s="601" t="b">
        <f t="shared" si="116"/>
        <v>0</v>
      </c>
      <c r="FK22" s="604">
        <f t="shared" si="117"/>
        <v>0</v>
      </c>
      <c r="FL22" s="541">
        <f t="shared" si="118"/>
        <v>3</v>
      </c>
      <c r="FM22" s="602">
        <f t="shared" si="119"/>
        <v>0</v>
      </c>
      <c r="FN22" s="602">
        <f t="shared" si="120"/>
        <v>0</v>
      </c>
      <c r="FO22" s="602">
        <f t="shared" si="121"/>
        <v>7</v>
      </c>
      <c r="FP22" s="602">
        <f t="shared" si="122"/>
        <v>0</v>
      </c>
      <c r="FQ22" s="602">
        <f t="shared" si="123"/>
        <v>0</v>
      </c>
      <c r="FR22" s="602">
        <f t="shared" si="124"/>
        <v>0</v>
      </c>
      <c r="FS22" s="602">
        <f t="shared" si="125"/>
        <v>0</v>
      </c>
      <c r="FT22" s="602">
        <f t="shared" si="126"/>
        <v>0</v>
      </c>
      <c r="FU22" s="602">
        <f t="shared" si="127"/>
        <v>0</v>
      </c>
      <c r="FV22" s="602">
        <f t="shared" si="128"/>
        <v>0</v>
      </c>
      <c r="FW22" s="601" t="b">
        <f t="shared" si="129"/>
        <v>0</v>
      </c>
      <c r="FX22" s="553">
        <f t="shared" si="130"/>
        <v>0</v>
      </c>
      <c r="FY22" s="601" t="b">
        <f t="shared" si="131"/>
        <v>0</v>
      </c>
      <c r="FZ22" s="553">
        <f t="shared" si="132"/>
        <v>0</v>
      </c>
      <c r="GA22" s="552">
        <f t="shared" si="133"/>
        <v>1</v>
      </c>
      <c r="GB22" s="553">
        <f t="shared" si="134"/>
        <v>3</v>
      </c>
      <c r="GC22" s="601" t="b">
        <f t="shared" si="135"/>
        <v>0</v>
      </c>
      <c r="GD22" s="553">
        <f t="shared" si="136"/>
        <v>0</v>
      </c>
      <c r="GE22" s="601" t="b">
        <f t="shared" si="137"/>
        <v>0</v>
      </c>
      <c r="GF22" s="553">
        <f t="shared" si="138"/>
        <v>0</v>
      </c>
      <c r="GG22" s="601" t="b">
        <f t="shared" si="139"/>
        <v>0</v>
      </c>
      <c r="GH22" s="553">
        <f t="shared" si="140"/>
        <v>0</v>
      </c>
      <c r="GI22" s="601" t="b">
        <f t="shared" si="141"/>
        <v>0</v>
      </c>
      <c r="GJ22" s="604">
        <f t="shared" si="442"/>
        <v>0</v>
      </c>
      <c r="GK22" s="601" t="b">
        <f t="shared" si="142"/>
        <v>0</v>
      </c>
      <c r="GL22" s="553">
        <f t="shared" si="143"/>
        <v>0</v>
      </c>
      <c r="GM22" s="601" t="b">
        <f t="shared" si="144"/>
        <v>0</v>
      </c>
      <c r="GN22" s="604">
        <f t="shared" si="145"/>
        <v>0</v>
      </c>
      <c r="GO22" s="601" t="b">
        <f t="shared" si="146"/>
        <v>0</v>
      </c>
      <c r="GP22" s="604">
        <f t="shared" si="147"/>
        <v>0</v>
      </c>
      <c r="GQ22" s="541">
        <f t="shared" si="148"/>
        <v>3</v>
      </c>
      <c r="GR22" s="554">
        <f t="shared" si="149"/>
        <v>0</v>
      </c>
      <c r="GS22" s="554">
        <f t="shared" si="150"/>
        <v>0</v>
      </c>
      <c r="GT22" s="554">
        <f t="shared" si="151"/>
        <v>11</v>
      </c>
      <c r="GU22" s="554">
        <f t="shared" si="152"/>
        <v>0</v>
      </c>
      <c r="GV22" s="554">
        <f t="shared" si="153"/>
        <v>0</v>
      </c>
      <c r="GW22" s="554">
        <f t="shared" si="154"/>
        <v>0</v>
      </c>
      <c r="GX22" s="554">
        <f t="shared" si="155"/>
        <v>0</v>
      </c>
      <c r="GY22" s="554">
        <f t="shared" si="156"/>
        <v>0</v>
      </c>
      <c r="GZ22" s="554">
        <f t="shared" si="157"/>
        <v>0</v>
      </c>
      <c r="HA22" s="554">
        <f t="shared" si="158"/>
        <v>0</v>
      </c>
      <c r="HB22" s="553" t="b">
        <f t="shared" si="159"/>
        <v>0</v>
      </c>
      <c r="HC22" s="553">
        <f t="shared" si="160"/>
        <v>0</v>
      </c>
      <c r="HD22" s="553" t="b">
        <f t="shared" si="161"/>
        <v>0</v>
      </c>
      <c r="HE22" s="553">
        <f t="shared" si="162"/>
        <v>0</v>
      </c>
      <c r="HF22" s="553">
        <f t="shared" si="163"/>
        <v>1</v>
      </c>
      <c r="HG22" s="553">
        <f t="shared" si="164"/>
        <v>3</v>
      </c>
      <c r="HH22" s="553" t="b">
        <f t="shared" si="165"/>
        <v>0</v>
      </c>
      <c r="HI22" s="553">
        <f t="shared" si="166"/>
        <v>0</v>
      </c>
      <c r="HJ22" s="553" t="b">
        <f t="shared" si="167"/>
        <v>0</v>
      </c>
      <c r="HK22" s="553">
        <f t="shared" si="168"/>
        <v>0</v>
      </c>
      <c r="HL22" s="553" t="b">
        <f t="shared" si="169"/>
        <v>0</v>
      </c>
      <c r="HM22" s="553">
        <f t="shared" si="170"/>
        <v>0</v>
      </c>
      <c r="HN22" s="553" t="b">
        <f t="shared" si="171"/>
        <v>0</v>
      </c>
      <c r="HO22" s="553">
        <f t="shared" si="172"/>
        <v>0</v>
      </c>
      <c r="HP22" s="553" t="b">
        <f t="shared" si="173"/>
        <v>0</v>
      </c>
      <c r="HQ22" s="553">
        <f t="shared" si="174"/>
        <v>0</v>
      </c>
      <c r="HR22" s="553" t="b">
        <f t="shared" si="175"/>
        <v>0</v>
      </c>
      <c r="HS22" s="553">
        <f t="shared" si="176"/>
        <v>0</v>
      </c>
      <c r="HT22" s="553" t="b">
        <f t="shared" si="177"/>
        <v>0</v>
      </c>
      <c r="HU22" s="553">
        <f t="shared" si="178"/>
        <v>0</v>
      </c>
      <c r="HV22" s="541">
        <f t="shared" si="179"/>
        <v>3</v>
      </c>
      <c r="HW22" s="554">
        <f t="shared" si="180"/>
        <v>0</v>
      </c>
      <c r="HX22" s="554">
        <f t="shared" si="181"/>
        <v>0</v>
      </c>
      <c r="HY22" s="554">
        <f t="shared" si="182"/>
        <v>5</v>
      </c>
      <c r="HZ22" s="554">
        <f t="shared" si="183"/>
        <v>0</v>
      </c>
      <c r="IA22" s="554">
        <f t="shared" si="184"/>
        <v>0</v>
      </c>
      <c r="IB22" s="554">
        <f t="shared" si="185"/>
        <v>0</v>
      </c>
      <c r="IC22" s="554">
        <f t="shared" si="186"/>
        <v>0</v>
      </c>
      <c r="ID22" s="554">
        <f t="shared" si="187"/>
        <v>0</v>
      </c>
      <c r="IE22" s="554">
        <f t="shared" si="188"/>
        <v>0</v>
      </c>
      <c r="IF22" s="554">
        <f t="shared" si="189"/>
        <v>0</v>
      </c>
      <c r="IG22" s="553" t="b">
        <f t="shared" si="190"/>
        <v>0</v>
      </c>
      <c r="IH22" s="553">
        <f t="shared" si="191"/>
        <v>0</v>
      </c>
      <c r="II22" s="553" t="b">
        <f t="shared" si="192"/>
        <v>0</v>
      </c>
      <c r="IJ22" s="553">
        <f t="shared" si="193"/>
        <v>0</v>
      </c>
      <c r="IK22" s="553">
        <f t="shared" si="194"/>
        <v>1</v>
      </c>
      <c r="IL22" s="553">
        <f t="shared" si="195"/>
        <v>3</v>
      </c>
      <c r="IM22" s="553" t="b">
        <f t="shared" si="196"/>
        <v>0</v>
      </c>
      <c r="IN22" s="553">
        <f t="shared" si="197"/>
        <v>0</v>
      </c>
      <c r="IO22" s="553" t="b">
        <f t="shared" si="198"/>
        <v>0</v>
      </c>
      <c r="IP22" s="553">
        <f t="shared" si="199"/>
        <v>0</v>
      </c>
      <c r="IQ22" s="553" t="b">
        <f t="shared" si="200"/>
        <v>0</v>
      </c>
      <c r="IR22" s="553">
        <f t="shared" si="201"/>
        <v>0</v>
      </c>
      <c r="IS22" s="553" t="b">
        <f t="shared" si="202"/>
        <v>0</v>
      </c>
      <c r="IT22" s="553">
        <f t="shared" si="203"/>
        <v>0</v>
      </c>
      <c r="IU22" s="553" t="b">
        <f t="shared" si="204"/>
        <v>0</v>
      </c>
      <c r="IV22" s="553">
        <f t="shared" si="205"/>
        <v>0</v>
      </c>
      <c r="IW22" s="553" t="b">
        <f t="shared" si="206"/>
        <v>0</v>
      </c>
      <c r="IX22" s="553">
        <f t="shared" si="207"/>
        <v>0</v>
      </c>
      <c r="IY22" s="553" t="b">
        <f t="shared" si="208"/>
        <v>0</v>
      </c>
      <c r="IZ22" s="553">
        <f t="shared" si="209"/>
        <v>0</v>
      </c>
      <c r="JA22" s="541">
        <f t="shared" si="210"/>
        <v>3</v>
      </c>
      <c r="JB22" s="554">
        <f t="shared" si="211"/>
        <v>0</v>
      </c>
      <c r="JC22" s="554">
        <f t="shared" si="212"/>
        <v>0</v>
      </c>
      <c r="JD22" s="554">
        <f t="shared" si="213"/>
        <v>6</v>
      </c>
      <c r="JE22" s="554">
        <f t="shared" si="214"/>
        <v>0</v>
      </c>
      <c r="JF22" s="554">
        <f t="shared" si="215"/>
        <v>0</v>
      </c>
      <c r="JG22" s="554">
        <f t="shared" si="216"/>
        <v>0</v>
      </c>
      <c r="JH22" s="554">
        <f t="shared" si="217"/>
        <v>0</v>
      </c>
      <c r="JI22" s="554">
        <f t="shared" si="218"/>
        <v>0</v>
      </c>
      <c r="JJ22" s="554">
        <f t="shared" si="219"/>
        <v>0</v>
      </c>
      <c r="JK22" s="554">
        <f t="shared" si="220"/>
        <v>0</v>
      </c>
      <c r="JL22" s="553" t="b">
        <f t="shared" si="221"/>
        <v>0</v>
      </c>
      <c r="JM22" s="553">
        <f t="shared" si="222"/>
        <v>0</v>
      </c>
      <c r="JN22" s="553" t="b">
        <f t="shared" si="223"/>
        <v>0</v>
      </c>
      <c r="JO22" s="553">
        <f t="shared" si="224"/>
        <v>0</v>
      </c>
      <c r="JP22" s="553">
        <f t="shared" si="225"/>
        <v>1</v>
      </c>
      <c r="JQ22" s="553">
        <f t="shared" si="226"/>
        <v>3</v>
      </c>
      <c r="JR22" s="553" t="b">
        <f t="shared" si="227"/>
        <v>0</v>
      </c>
      <c r="JS22" s="553">
        <f t="shared" si="228"/>
        <v>0</v>
      </c>
      <c r="JT22" s="553" t="b">
        <f t="shared" si="229"/>
        <v>0</v>
      </c>
      <c r="JU22" s="553">
        <f t="shared" si="230"/>
        <v>0</v>
      </c>
      <c r="JV22" s="553" t="b">
        <f t="shared" si="231"/>
        <v>0</v>
      </c>
      <c r="JW22" s="553">
        <f t="shared" si="232"/>
        <v>0</v>
      </c>
      <c r="JX22" s="553" t="b">
        <f t="shared" si="233"/>
        <v>0</v>
      </c>
      <c r="JY22" s="553">
        <f t="shared" si="234"/>
        <v>0</v>
      </c>
      <c r="JZ22" s="553" t="b">
        <f t="shared" si="235"/>
        <v>0</v>
      </c>
      <c r="KA22" s="553">
        <f t="shared" si="236"/>
        <v>0</v>
      </c>
      <c r="KB22" s="553" t="b">
        <f t="shared" si="237"/>
        <v>0</v>
      </c>
      <c r="KC22" s="553">
        <f t="shared" si="238"/>
        <v>0</v>
      </c>
      <c r="KD22" s="553" t="b">
        <f t="shared" si="239"/>
        <v>0</v>
      </c>
      <c r="KE22" s="553">
        <f t="shared" si="240"/>
        <v>0</v>
      </c>
      <c r="KF22" s="541">
        <f t="shared" si="241"/>
        <v>3</v>
      </c>
      <c r="KG22" s="554">
        <f t="shared" si="242"/>
        <v>0</v>
      </c>
      <c r="KH22" s="554">
        <f t="shared" si="243"/>
        <v>0</v>
      </c>
      <c r="KI22" s="554">
        <f t="shared" si="244"/>
        <v>5</v>
      </c>
      <c r="KJ22" s="554">
        <f t="shared" si="245"/>
        <v>0</v>
      </c>
      <c r="KK22" s="554">
        <f t="shared" si="246"/>
        <v>0</v>
      </c>
      <c r="KL22" s="554">
        <f t="shared" si="247"/>
        <v>0</v>
      </c>
      <c r="KM22" s="554">
        <f t="shared" si="248"/>
        <v>0</v>
      </c>
      <c r="KN22" s="554">
        <f t="shared" si="249"/>
        <v>0</v>
      </c>
      <c r="KO22" s="554">
        <f t="shared" si="250"/>
        <v>0</v>
      </c>
      <c r="KP22" s="554">
        <f t="shared" si="251"/>
        <v>0</v>
      </c>
      <c r="KQ22" s="553" t="b">
        <f t="shared" si="252"/>
        <v>0</v>
      </c>
      <c r="KR22" s="553">
        <f t="shared" si="253"/>
        <v>0</v>
      </c>
      <c r="KS22" s="553" t="b">
        <f t="shared" si="254"/>
        <v>0</v>
      </c>
      <c r="KT22" s="553">
        <f t="shared" si="255"/>
        <v>0</v>
      </c>
      <c r="KU22" s="553">
        <f t="shared" si="256"/>
        <v>1</v>
      </c>
      <c r="KV22" s="553">
        <f t="shared" si="257"/>
        <v>3</v>
      </c>
      <c r="KW22" s="553" t="b">
        <f t="shared" si="258"/>
        <v>0</v>
      </c>
      <c r="KX22" s="553">
        <f t="shared" si="259"/>
        <v>0</v>
      </c>
      <c r="KY22" s="553" t="b">
        <f t="shared" si="260"/>
        <v>0</v>
      </c>
      <c r="KZ22" s="553">
        <f t="shared" si="261"/>
        <v>0</v>
      </c>
      <c r="LA22" s="553" t="b">
        <f t="shared" si="262"/>
        <v>0</v>
      </c>
      <c r="LB22" s="553">
        <f t="shared" si="263"/>
        <v>0</v>
      </c>
      <c r="LC22" s="553" t="b">
        <f t="shared" si="264"/>
        <v>0</v>
      </c>
      <c r="LD22" s="553">
        <f t="shared" si="265"/>
        <v>0</v>
      </c>
      <c r="LE22" s="553" t="b">
        <f t="shared" si="266"/>
        <v>0</v>
      </c>
      <c r="LF22" s="553">
        <f t="shared" si="267"/>
        <v>0</v>
      </c>
      <c r="LG22" s="553" t="b">
        <f t="shared" si="268"/>
        <v>0</v>
      </c>
      <c r="LH22" s="553">
        <f t="shared" si="269"/>
        <v>0</v>
      </c>
      <c r="LI22" s="553" t="b">
        <f t="shared" si="270"/>
        <v>0</v>
      </c>
      <c r="LJ22" s="553">
        <f t="shared" si="271"/>
        <v>0</v>
      </c>
      <c r="LK22" s="541">
        <f t="shared" si="272"/>
        <v>3</v>
      </c>
      <c r="LL22" s="554">
        <f t="shared" si="273"/>
        <v>0</v>
      </c>
      <c r="LM22" s="554">
        <f t="shared" si="274"/>
        <v>0</v>
      </c>
      <c r="LN22" s="554">
        <f t="shared" si="275"/>
        <v>4</v>
      </c>
      <c r="LO22" s="554">
        <f t="shared" si="276"/>
        <v>0</v>
      </c>
      <c r="LP22" s="554">
        <f t="shared" si="277"/>
        <v>0</v>
      </c>
      <c r="LQ22" s="554">
        <f t="shared" si="278"/>
        <v>0</v>
      </c>
      <c r="LR22" s="554">
        <f t="shared" si="279"/>
        <v>0</v>
      </c>
      <c r="LS22" s="554">
        <f t="shared" si="280"/>
        <v>0</v>
      </c>
      <c r="LT22" s="554">
        <f t="shared" si="281"/>
        <v>0</v>
      </c>
      <c r="LU22" s="554">
        <f t="shared" si="282"/>
        <v>0</v>
      </c>
      <c r="LV22" s="553" t="b">
        <f t="shared" si="283"/>
        <v>0</v>
      </c>
      <c r="LW22" s="553">
        <f t="shared" si="284"/>
        <v>0</v>
      </c>
      <c r="LX22" s="553" t="b">
        <f t="shared" si="285"/>
        <v>0</v>
      </c>
      <c r="LY22" s="553">
        <f t="shared" si="286"/>
        <v>0</v>
      </c>
      <c r="LZ22" s="553">
        <f t="shared" si="287"/>
        <v>1</v>
      </c>
      <c r="MA22" s="553">
        <f t="shared" si="288"/>
        <v>3</v>
      </c>
      <c r="MB22" s="553" t="b">
        <f t="shared" si="289"/>
        <v>0</v>
      </c>
      <c r="MC22" s="553">
        <f t="shared" si="290"/>
        <v>0</v>
      </c>
      <c r="MD22" s="553" t="b">
        <f t="shared" si="291"/>
        <v>0</v>
      </c>
      <c r="ME22" s="553">
        <f t="shared" si="292"/>
        <v>0</v>
      </c>
      <c r="MF22" s="553" t="b">
        <f t="shared" si="293"/>
        <v>0</v>
      </c>
      <c r="MG22" s="553">
        <f t="shared" si="294"/>
        <v>0</v>
      </c>
      <c r="MH22" s="553" t="b">
        <f t="shared" si="295"/>
        <v>0</v>
      </c>
      <c r="MI22" s="553">
        <f t="shared" si="296"/>
        <v>0</v>
      </c>
      <c r="MJ22" s="553" t="b">
        <f t="shared" si="297"/>
        <v>0</v>
      </c>
      <c r="MK22" s="553">
        <f t="shared" si="298"/>
        <v>0</v>
      </c>
      <c r="ML22" s="553" t="b">
        <f t="shared" si="299"/>
        <v>0</v>
      </c>
      <c r="MM22" s="553">
        <f t="shared" si="300"/>
        <v>0</v>
      </c>
      <c r="MN22" s="553" t="b">
        <f t="shared" si="301"/>
        <v>0</v>
      </c>
      <c r="MO22" s="553">
        <f t="shared" si="302"/>
        <v>0</v>
      </c>
      <c r="MP22" s="541">
        <f t="shared" si="303"/>
        <v>3</v>
      </c>
      <c r="MQ22" s="554">
        <f t="shared" si="304"/>
        <v>0</v>
      </c>
      <c r="MR22" s="554">
        <f t="shared" si="305"/>
        <v>0</v>
      </c>
      <c r="MS22" s="554">
        <f t="shared" si="306"/>
        <v>0</v>
      </c>
      <c r="MT22" s="554">
        <f t="shared" si="307"/>
        <v>0</v>
      </c>
      <c r="MU22" s="554">
        <f t="shared" si="308"/>
        <v>0</v>
      </c>
      <c r="MV22" s="554">
        <f t="shared" si="309"/>
        <v>0</v>
      </c>
      <c r="MW22" s="554">
        <f t="shared" si="310"/>
        <v>0</v>
      </c>
      <c r="MX22" s="554">
        <f t="shared" si="311"/>
        <v>0</v>
      </c>
      <c r="MY22" s="554">
        <f t="shared" si="312"/>
        <v>0</v>
      </c>
      <c r="MZ22" s="554">
        <f t="shared" si="313"/>
        <v>0</v>
      </c>
      <c r="NA22" s="553" t="b">
        <f t="shared" si="314"/>
        <v>0</v>
      </c>
      <c r="NB22" s="553">
        <f t="shared" si="315"/>
        <v>0</v>
      </c>
      <c r="NC22" s="553" t="b">
        <f t="shared" si="316"/>
        <v>0</v>
      </c>
      <c r="ND22" s="553">
        <f t="shared" si="317"/>
        <v>0</v>
      </c>
      <c r="NE22" s="553">
        <f t="shared" si="318"/>
        <v>1</v>
      </c>
      <c r="NF22" s="553">
        <f t="shared" si="319"/>
        <v>3</v>
      </c>
      <c r="NG22" s="553" t="b">
        <f t="shared" si="320"/>
        <v>0</v>
      </c>
      <c r="NH22" s="553">
        <f t="shared" si="321"/>
        <v>0</v>
      </c>
      <c r="NI22" s="553" t="b">
        <f t="shared" si="322"/>
        <v>0</v>
      </c>
      <c r="NJ22" s="553">
        <f t="shared" si="323"/>
        <v>0</v>
      </c>
      <c r="NK22" s="553" t="b">
        <f t="shared" si="324"/>
        <v>0</v>
      </c>
      <c r="NL22" s="553">
        <f t="shared" si="325"/>
        <v>0</v>
      </c>
      <c r="NM22" s="553" t="b">
        <f t="shared" si="326"/>
        <v>0</v>
      </c>
      <c r="NN22" s="553">
        <f t="shared" si="327"/>
        <v>0</v>
      </c>
      <c r="NO22" s="553" t="b">
        <f t="shared" si="328"/>
        <v>0</v>
      </c>
      <c r="NP22" s="553">
        <f t="shared" si="329"/>
        <v>0</v>
      </c>
      <c r="NQ22" s="553" t="b">
        <f t="shared" si="330"/>
        <v>0</v>
      </c>
      <c r="NR22" s="553">
        <f t="shared" si="331"/>
        <v>0</v>
      </c>
      <c r="NS22" s="553" t="b">
        <f t="shared" si="332"/>
        <v>0</v>
      </c>
      <c r="NT22" s="553">
        <f t="shared" si="333"/>
        <v>0</v>
      </c>
      <c r="NU22" s="541">
        <f t="shared" si="334"/>
        <v>3</v>
      </c>
      <c r="NV22" s="554">
        <f t="shared" si="335"/>
        <v>0</v>
      </c>
      <c r="NW22" s="554">
        <f t="shared" si="336"/>
        <v>0</v>
      </c>
      <c r="NX22" s="554">
        <f t="shared" si="337"/>
        <v>0</v>
      </c>
      <c r="NY22" s="554">
        <f t="shared" si="338"/>
        <v>0</v>
      </c>
      <c r="NZ22" s="554">
        <f t="shared" si="339"/>
        <v>0</v>
      </c>
      <c r="OA22" s="554">
        <f t="shared" si="340"/>
        <v>0</v>
      </c>
      <c r="OB22" s="554">
        <f t="shared" si="341"/>
        <v>0</v>
      </c>
      <c r="OC22" s="554">
        <f t="shared" si="342"/>
        <v>0</v>
      </c>
      <c r="OD22" s="554">
        <f t="shared" si="343"/>
        <v>0</v>
      </c>
      <c r="OE22" s="554">
        <f t="shared" si="344"/>
        <v>0</v>
      </c>
      <c r="OF22" s="553" t="b">
        <f t="shared" si="345"/>
        <v>0</v>
      </c>
      <c r="OG22" s="553">
        <f t="shared" si="346"/>
        <v>0</v>
      </c>
      <c r="OH22" s="553" t="b">
        <f t="shared" si="347"/>
        <v>0</v>
      </c>
      <c r="OI22" s="553">
        <f t="shared" si="348"/>
        <v>0</v>
      </c>
      <c r="OJ22" s="553">
        <f t="shared" si="349"/>
        <v>1</v>
      </c>
      <c r="OK22" s="553">
        <f t="shared" si="350"/>
        <v>3</v>
      </c>
      <c r="OL22" s="553" t="b">
        <f t="shared" si="351"/>
        <v>0</v>
      </c>
      <c r="OM22" s="553">
        <f t="shared" si="352"/>
        <v>0</v>
      </c>
      <c r="ON22" s="553" t="b">
        <f t="shared" si="353"/>
        <v>0</v>
      </c>
      <c r="OO22" s="553">
        <f t="shared" si="354"/>
        <v>0</v>
      </c>
      <c r="OP22" s="553" t="b">
        <f t="shared" si="355"/>
        <v>0</v>
      </c>
      <c r="OQ22" s="553">
        <f t="shared" si="356"/>
        <v>0</v>
      </c>
      <c r="OR22" s="553" t="b">
        <f t="shared" si="357"/>
        <v>0</v>
      </c>
      <c r="OS22" s="553">
        <f t="shared" si="358"/>
        <v>0</v>
      </c>
      <c r="OT22" s="553" t="b">
        <f t="shared" si="359"/>
        <v>0</v>
      </c>
      <c r="OU22" s="553">
        <f t="shared" si="360"/>
        <v>0</v>
      </c>
      <c r="OV22" s="553" t="b">
        <f t="shared" si="361"/>
        <v>0</v>
      </c>
      <c r="OW22" s="553">
        <f t="shared" si="362"/>
        <v>0</v>
      </c>
      <c r="OX22" s="553" t="b">
        <f t="shared" si="363"/>
        <v>0</v>
      </c>
      <c r="OY22" s="553">
        <f t="shared" si="364"/>
        <v>0</v>
      </c>
      <c r="OZ22" s="541">
        <f t="shared" si="365"/>
        <v>3</v>
      </c>
      <c r="PA22" s="554">
        <f t="shared" si="366"/>
        <v>0</v>
      </c>
      <c r="PB22" s="554">
        <f t="shared" si="367"/>
        <v>0</v>
      </c>
      <c r="PC22" s="554">
        <f t="shared" si="368"/>
        <v>0</v>
      </c>
      <c r="PD22" s="554">
        <f t="shared" si="369"/>
        <v>0</v>
      </c>
      <c r="PE22" s="554">
        <f t="shared" si="370"/>
        <v>0</v>
      </c>
      <c r="PF22" s="554">
        <f t="shared" si="371"/>
        <v>0</v>
      </c>
      <c r="PG22" s="554">
        <f t="shared" si="372"/>
        <v>0</v>
      </c>
      <c r="PH22" s="554">
        <f t="shared" si="373"/>
        <v>0</v>
      </c>
      <c r="PI22" s="554">
        <f t="shared" si="374"/>
        <v>0</v>
      </c>
      <c r="PJ22" s="554">
        <f t="shared" si="375"/>
        <v>0</v>
      </c>
      <c r="PK22" s="553" t="b">
        <f t="shared" si="376"/>
        <v>0</v>
      </c>
      <c r="PL22" s="553">
        <f t="shared" si="377"/>
        <v>0</v>
      </c>
      <c r="PM22" s="553" t="b">
        <f t="shared" si="378"/>
        <v>0</v>
      </c>
      <c r="PN22" s="553">
        <f t="shared" si="379"/>
        <v>0</v>
      </c>
      <c r="PO22" s="553">
        <f t="shared" si="380"/>
        <v>1</v>
      </c>
      <c r="PP22" s="553">
        <f t="shared" si="381"/>
        <v>3</v>
      </c>
      <c r="PQ22" s="553" t="b">
        <f t="shared" si="382"/>
        <v>0</v>
      </c>
      <c r="PR22" s="553">
        <f t="shared" si="383"/>
        <v>0</v>
      </c>
      <c r="PS22" s="553" t="b">
        <f t="shared" si="384"/>
        <v>0</v>
      </c>
      <c r="PT22" s="553">
        <f t="shared" si="385"/>
        <v>0</v>
      </c>
      <c r="PU22" s="553" t="b">
        <f t="shared" si="386"/>
        <v>0</v>
      </c>
      <c r="PV22" s="553">
        <f t="shared" si="387"/>
        <v>0</v>
      </c>
      <c r="PW22" s="553" t="b">
        <f t="shared" si="388"/>
        <v>0</v>
      </c>
      <c r="PX22" s="553">
        <f t="shared" si="389"/>
        <v>0</v>
      </c>
      <c r="PY22" s="553" t="b">
        <f t="shared" si="390"/>
        <v>0</v>
      </c>
      <c r="PZ22" s="553">
        <f t="shared" si="391"/>
        <v>0</v>
      </c>
      <c r="QA22" s="553" t="b">
        <f t="shared" si="392"/>
        <v>0</v>
      </c>
      <c r="QB22" s="553">
        <f t="shared" si="393"/>
        <v>0</v>
      </c>
      <c r="QC22" s="553" t="b">
        <f t="shared" si="394"/>
        <v>0</v>
      </c>
      <c r="QD22" s="553">
        <f t="shared" si="395"/>
        <v>0</v>
      </c>
      <c r="QE22" s="541">
        <f t="shared" si="396"/>
        <v>3</v>
      </c>
      <c r="QF22" s="555" t="str">
        <f t="shared" si="397"/>
        <v>3rd</v>
      </c>
      <c r="QG22" s="605" t="s">
        <v>4606</v>
      </c>
      <c r="QH22" s="606">
        <f>'print 10 lane'!Y148</f>
        <v>9</v>
      </c>
      <c r="QI22" s="607" t="s">
        <v>4607</v>
      </c>
      <c r="QJ22" s="606">
        <f>'print 10 lane'!Y149</f>
        <v>7</v>
      </c>
      <c r="QK22" s="608" t="s">
        <v>4608</v>
      </c>
      <c r="QL22" s="609">
        <f>'print 10 lane'!Y150</f>
        <v>11</v>
      </c>
      <c r="QM22" s="561" t="s">
        <v>4609</v>
      </c>
      <c r="QN22" s="562">
        <f>'print 10 lane'!Y151</f>
        <v>5</v>
      </c>
      <c r="QO22" s="563" t="s">
        <v>4610</v>
      </c>
      <c r="QP22" s="562">
        <f>'print 10 lane'!Y152</f>
        <v>6</v>
      </c>
      <c r="QQ22" s="564" t="s">
        <v>4611</v>
      </c>
      <c r="QR22" s="562">
        <f>'print 10 lane'!Y153</f>
        <v>5</v>
      </c>
      <c r="QS22" s="565" t="s">
        <v>4612</v>
      </c>
      <c r="QT22" s="562">
        <f>'print 10 lane'!Y154</f>
        <v>4</v>
      </c>
      <c r="QU22" s="566" t="s">
        <v>4613</v>
      </c>
      <c r="QV22" s="562">
        <f>'print 10 lane'!Y155</f>
        <v>0</v>
      </c>
      <c r="QW22" s="567" t="s">
        <v>4614</v>
      </c>
      <c r="QX22" s="562">
        <f>'print 10 lane'!Y156</f>
        <v>0</v>
      </c>
      <c r="QY22" s="568" t="s">
        <v>4615</v>
      </c>
      <c r="QZ22" s="562">
        <f>'print 10 lane'!Y157</f>
        <v>0</v>
      </c>
      <c r="RC22" s="610" t="e">
        <f t="shared" si="398"/>
        <v>#REF!</v>
      </c>
      <c r="RD22" s="611">
        <f t="shared" si="399"/>
        <v>0</v>
      </c>
      <c r="RR22" s="502">
        <f t="shared" si="400"/>
        <v>6</v>
      </c>
      <c r="RS22" s="1183" t="str">
        <f t="shared" si="401"/>
        <v>STEVENAGE</v>
      </c>
      <c r="RT22" s="1183"/>
      <c r="RU22" s="1183"/>
      <c r="RV22" s="1183"/>
      <c r="RW22" s="1184" t="str">
        <f t="shared" si="402"/>
        <v>6th</v>
      </c>
      <c r="RX22" s="1184"/>
      <c r="RY22" s="1185" t="e">
        <f t="shared" si="403"/>
        <v>#REF!</v>
      </c>
      <c r="RZ22" s="1185"/>
      <c r="SA22" s="1185"/>
      <c r="SB22" s="571">
        <f t="shared" si="404"/>
        <v>158</v>
      </c>
      <c r="SC22" s="572" t="str">
        <f t="shared" si="405"/>
        <v>6th</v>
      </c>
      <c r="SD22" s="573">
        <f t="shared" si="406"/>
        <v>0</v>
      </c>
      <c r="SE22" s="574" t="b">
        <f t="shared" si="407"/>
        <v>0</v>
      </c>
      <c r="SF22" s="575">
        <f t="shared" si="408"/>
        <v>0</v>
      </c>
      <c r="SG22" s="575">
        <f t="shared" si="409"/>
        <v>0</v>
      </c>
      <c r="SH22" s="576" t="b">
        <f t="shared" si="410"/>
        <v>0</v>
      </c>
      <c r="SI22" s="575">
        <f t="shared" si="411"/>
        <v>0</v>
      </c>
      <c r="SJ22" s="575">
        <f t="shared" si="412"/>
        <v>0</v>
      </c>
      <c r="SK22" s="576" t="b">
        <f t="shared" si="413"/>
        <v>0</v>
      </c>
      <c r="SL22" s="575">
        <f t="shared" si="414"/>
        <v>0</v>
      </c>
      <c r="SM22" s="575">
        <f t="shared" si="415"/>
        <v>0</v>
      </c>
      <c r="SN22" s="576" t="b">
        <f t="shared" si="416"/>
        <v>0</v>
      </c>
      <c r="SO22" s="575">
        <f t="shared" si="417"/>
        <v>0</v>
      </c>
      <c r="SP22" s="575" t="e">
        <f t="shared" si="418"/>
        <v>#REF!</v>
      </c>
      <c r="SQ22" s="576" t="e">
        <f t="shared" si="419"/>
        <v>#REF!</v>
      </c>
      <c r="SR22" s="575" t="e">
        <f t="shared" si="420"/>
        <v>#REF!</v>
      </c>
      <c r="SS22" s="575" t="e">
        <f t="shared" si="421"/>
        <v>#REF!</v>
      </c>
      <c r="ST22" s="576" t="e">
        <f t="shared" si="422"/>
        <v>#REF!</v>
      </c>
      <c r="SU22" s="575" t="e">
        <f t="shared" si="423"/>
        <v>#REF!</v>
      </c>
      <c r="SV22" s="575" t="e">
        <f t="shared" si="424"/>
        <v>#REF!</v>
      </c>
      <c r="SW22" s="576" t="e">
        <f t="shared" si="425"/>
        <v>#REF!</v>
      </c>
      <c r="SX22" s="575" t="e">
        <f t="shared" si="426"/>
        <v>#REF!</v>
      </c>
      <c r="SY22" s="575" t="e">
        <f t="shared" si="427"/>
        <v>#REF!</v>
      </c>
      <c r="SZ22" s="576" t="e">
        <f t="shared" si="428"/>
        <v>#REF!</v>
      </c>
      <c r="TA22" s="575" t="e">
        <f t="shared" si="429"/>
        <v>#REF!</v>
      </c>
      <c r="TB22" s="575" t="e">
        <f t="shared" si="430"/>
        <v>#REF!</v>
      </c>
      <c r="TC22" s="576" t="e">
        <f t="shared" si="431"/>
        <v>#REF!</v>
      </c>
      <c r="TD22" s="575" t="e">
        <f t="shared" si="432"/>
        <v>#REF!</v>
      </c>
      <c r="TE22" s="575" t="e">
        <f t="shared" si="433"/>
        <v>#REF!</v>
      </c>
      <c r="TF22" s="576" t="e">
        <f t="shared" si="434"/>
        <v>#REF!</v>
      </c>
      <c r="TG22" s="575" t="e">
        <f t="shared" si="435"/>
        <v>#REF!</v>
      </c>
      <c r="TH22" s="575" t="e">
        <f t="shared" si="436"/>
        <v>#REF!</v>
      </c>
      <c r="TI22" s="576" t="e">
        <f t="shared" si="437"/>
        <v>#REF!</v>
      </c>
      <c r="TJ22" s="575" t="e">
        <f t="shared" si="438"/>
        <v>#REF!</v>
      </c>
      <c r="TK22" s="575" t="e">
        <f>IF(#REF!=0,0,IF(SI22=1,1,IF(SI22=2,2,IF(SI22=3,3,IF(SI22=4,4,IF(SI22=5,5,IF(SI22=6,6,IF(SI22=7,7,IF(SI22=8,8,IF(SI22=9,9,IF(SI22=10,10,IF(SL22=2,2,IF(SL22=3,3,IF(SL22=4,4,IF(SL22=5,5,IF(SL22=6,6,IF(SL22=7,7,IF(SL22=8,8,IF(SL22=9,9,IF(SL22=10,10,IF(SO22=3,3,IF(SO22=4,4,IF(SO22=5,5,IF(SO22=6,6,IF(SO22=7,7,IF(SO22=8,8,IF(SO22=9,9,IF(SO22=10,10,IF(SR22=4,4,IF(SR22=5,5,IF(SR22=6,6,IF(SR22=7,7,IF(SR22=8,8,IF(SR22=9,9,IF(SR22=10,10,IF(SU22=5,5,IF(SU22=6,6,IF(SU22=7,7,IF(SU22=8,8,IF(SU22=9,9,IF(SU22=10,10,IF(SX22=6,6,IF(SX22=5,5,IF(SX22=7,7,IF(SX22=8,8,IF(SX22=9,9,IF(SX22=10,10,IF(TA22=7,7,IF(TA22=8,8,IF(TA22=9,9,IF(TA22=10,10,IF(TD22=8,8,IF(TD22=9,9,IF(TD22=10,10,IF(TG22=9,9,IF(TG22=10,10,IF(TI22=10,10,(SF22))))))))))))))))))))))))))))))))))))))))))))))))))))))))))</f>
        <v>#REF!</v>
      </c>
      <c r="TL22" s="575" t="e">
        <f>IF(#REF!=0,0,IF(TK22=1,"1st",IF(TK22=2,"2nd",IF(TK22=3,"3rd",IF(TK22=4,"4th",IF(TK22=5,"5th",IF(TK22=6,"6th",IF(TK22=7,"7th",IF(TK22=8,"8th",IF(TK22=9,"9th",IF(TK22=10,"10th")))))))))))</f>
        <v>#REF!</v>
      </c>
      <c r="TM22" s="1186" t="e">
        <f t="shared" si="439"/>
        <v>#REF!</v>
      </c>
      <c r="TN22" s="1186"/>
      <c r="TO22" s="1186"/>
      <c r="TP22" s="1187">
        <f t="shared" si="440"/>
        <v>0</v>
      </c>
      <c r="TQ22" s="1187"/>
      <c r="TR22" s="1187"/>
    </row>
    <row r="23" spans="1:538" ht="30" customHeight="1" x14ac:dyDescent="0.25">
      <c r="A23" s="451" t="str">
        <f t="shared" si="1"/>
        <v>Hillingdon 'B'</v>
      </c>
      <c r="B23" s="577">
        <f>'Gala Setup'!$N10</f>
        <v>7</v>
      </c>
      <c r="C23" s="524" t="str">
        <f>'Gala Setup'!P10</f>
        <v>Hillingdon 'B'</v>
      </c>
      <c r="D23" s="578"/>
      <c r="E23" s="579"/>
      <c r="F23" s="452"/>
      <c r="G23" s="527" t="str">
        <f>IF($CG$17="7th",CC$17,IF($CG$18="7th",CC$18,IF($CG$19="7th",CC$19,IF($CG$20="7th",CC$20,IF($CG$21="7th",CC$21,IF($CG$22="7th",CC$22,IF($CG$23="7th",CC$23,IF($CG$24="7th",CC$24,IF($CG$25="7th",CC$25,IF($CG$26="7th",CC$26,"More results required for accuracy"))))))))))</f>
        <v>HARINGEY AQUATICS</v>
      </c>
      <c r="H23" s="528" t="str">
        <f>IF(C23=0,0,"7th")</f>
        <v>7th</v>
      </c>
      <c r="I23" s="528" t="e">
        <f>IF($CG$17="7th",CE$17,IF($CG$18="7th",CE$18,IF($CG$19="7th",CE$19,IF($CG$20="7th",CE$20,IF($CG$21="7th",CE$21,IF($CG$22="7th",CE$22,IF($CG$23="7th",CE$23,IF($CG$24="7th",CE$24,IF($CG$25="7th",CE$25,IF($CG$26="7th",CE$26))))))))))</f>
        <v>#REF!</v>
      </c>
      <c r="J23" s="529" t="e">
        <f>IF(B$4=0,I23,IF(B$4&gt;0,I23*B$4))</f>
        <v>#REF!</v>
      </c>
      <c r="K23" s="529" t="e">
        <f t="shared" si="3"/>
        <v>#REF!</v>
      </c>
      <c r="L23" s="530"/>
      <c r="M23" s="530">
        <f>IF($CG$17="7th",CF$17,IF($CG$18="7th",CF$18,IF($CG$19="7th",CF$19,IF($CG$20="7th",CF$20,IF($CG$21="7th",CF$21,IF($CG$22="7th",CF$22,IF($CG$23="7th",CF$23,IF($CG$24="7th",CF$24,IF($CG$25="7th",CF$25,IF($CG$26="7th",CF$26))))))))))</f>
        <v>152</v>
      </c>
      <c r="N23" s="1200"/>
      <c r="O23" s="1200"/>
      <c r="P23" s="1200"/>
      <c r="Q23" s="1200"/>
      <c r="R23" s="1200"/>
      <c r="S23" s="1200"/>
      <c r="T23" s="467"/>
      <c r="U23" s="580" t="str">
        <f>IF(C23=0,0,"7th")</f>
        <v>7th</v>
      </c>
      <c r="V23" s="581">
        <f>IF(C23=G23,E23,IF(C24=G23,E24,IF(C25=G23,E25,IF(C26=G23,E26,IF(C17=G23,E17,IF(C18=G23,E18,IF(C19=G23,E19,IF(C20=G23,E20,IF(C21=G23,E21,IF(C22=G23,E22))))))))))</f>
        <v>0</v>
      </c>
      <c r="W23" s="582"/>
      <c r="X23" s="583">
        <f>IF(C23=0,0,IF($CQ$17="7th",CO$17,IF($CQ$18="7th",CO$18,IF($CQ$19="7th",CO$19,IF($CQ$20="7th",CO$20,IF($CQ$21="7th",CO$21,IF($CQ$22="7th",CO$22,IF($CQ$23="7th",CO$23,IF($CQ$24="7th",CO$24,IF($CQ$25="7th",CO$25,IF($CQ$26="7th",CO$26)))))))))))+D4</f>
        <v>0</v>
      </c>
      <c r="Y23" s="584"/>
      <c r="Z23" s="585">
        <f t="shared" si="4"/>
        <v>0</v>
      </c>
      <c r="AA23" s="530" t="b">
        <f>IF(C23=0,0,IF($CQ$17="7th",CP$17,IF($CQ$18="7th",CP$18,IF($CQ$19="7th",CP$19,IF($CQ$20="7th",CP$20,IF($CQ$21="7th",CP$21,IF($CQ$22="7th",CP$22,IF($CQ$23="7th",CP$23,IF($CQ$24="7th",CP$24,IF($CQ$25="7th",CP$25,IF($CQ$26="7th",CP$26)))))))))))</f>
        <v>0</v>
      </c>
      <c r="AB23" s="586" t="e">
        <f t="shared" si="5"/>
        <v>#REF!</v>
      </c>
      <c r="AC23" s="586" t="e">
        <f t="shared" si="6"/>
        <v>#REF!</v>
      </c>
      <c r="AD23" s="587" t="e">
        <f t="shared" si="7"/>
        <v>#REF!</v>
      </c>
      <c r="AE23" s="588" t="e">
        <f t="shared" si="8"/>
        <v>#REF!</v>
      </c>
      <c r="AF23" s="586" t="e">
        <f t="shared" si="9"/>
        <v>#REF!</v>
      </c>
      <c r="AG23" s="587" t="e">
        <f t="shared" si="10"/>
        <v>#REF!</v>
      </c>
      <c r="AH23" s="588" t="e">
        <f t="shared" si="11"/>
        <v>#REF!</v>
      </c>
      <c r="AI23" s="586" t="e">
        <f t="shared" si="12"/>
        <v>#REF!</v>
      </c>
      <c r="AJ23" s="587" t="e">
        <f t="shared" si="13"/>
        <v>#REF!</v>
      </c>
      <c r="AK23" s="588" t="e">
        <f t="shared" si="14"/>
        <v>#REF!</v>
      </c>
      <c r="AL23" s="586" t="e">
        <f t="shared" si="15"/>
        <v>#REF!</v>
      </c>
      <c r="AM23" s="587" t="e">
        <f t="shared" si="16"/>
        <v>#REF!</v>
      </c>
      <c r="AN23" s="588" t="e">
        <f t="shared" si="17"/>
        <v>#REF!</v>
      </c>
      <c r="AO23" s="586" t="e">
        <f t="shared" si="18"/>
        <v>#REF!</v>
      </c>
      <c r="AP23" s="587" t="e">
        <f t="shared" si="19"/>
        <v>#REF!</v>
      </c>
      <c r="AQ23" s="588" t="e">
        <f t="shared" si="20"/>
        <v>#REF!</v>
      </c>
      <c r="AR23" s="586" t="e">
        <f t="shared" si="21"/>
        <v>#REF!</v>
      </c>
      <c r="AS23" s="587" t="e">
        <f t="shared" si="22"/>
        <v>#REF!</v>
      </c>
      <c r="AT23" s="588" t="e">
        <f t="shared" si="23"/>
        <v>#REF!</v>
      </c>
      <c r="AU23" s="586" t="e">
        <f t="shared" si="24"/>
        <v>#REF!</v>
      </c>
      <c r="AV23" s="587" t="e">
        <f t="shared" si="25"/>
        <v>#REF!</v>
      </c>
      <c r="AW23" s="588" t="e">
        <f t="shared" si="26"/>
        <v>#REF!</v>
      </c>
      <c r="AX23" s="586" t="e">
        <f t="shared" si="27"/>
        <v>#REF!</v>
      </c>
      <c r="AY23" s="587" t="e">
        <f t="shared" si="28"/>
        <v>#REF!</v>
      </c>
      <c r="AZ23" s="588" t="e">
        <f t="shared" si="29"/>
        <v>#REF!</v>
      </c>
      <c r="BA23" s="586" t="e">
        <f t="shared" si="30"/>
        <v>#REF!</v>
      </c>
      <c r="BB23" s="587" t="e">
        <f t="shared" si="31"/>
        <v>#REF!</v>
      </c>
      <c r="BC23" s="588" t="e">
        <f t="shared" si="32"/>
        <v>#REF!</v>
      </c>
      <c r="BD23" s="586" t="e">
        <f t="shared" si="33"/>
        <v>#REF!</v>
      </c>
      <c r="BE23" s="587" t="e">
        <f t="shared" si="34"/>
        <v>#REF!</v>
      </c>
      <c r="BF23" s="588" t="e">
        <f t="shared" si="35"/>
        <v>#REF!</v>
      </c>
      <c r="BG23" s="588">
        <f t="shared" si="36"/>
        <v>0</v>
      </c>
      <c r="BH23" s="586">
        <f t="shared" si="37"/>
        <v>0</v>
      </c>
      <c r="BI23" s="1179">
        <f t="shared" si="38"/>
        <v>0</v>
      </c>
      <c r="BJ23" s="1179"/>
      <c r="BK23" s="1179"/>
      <c r="BL23" s="584"/>
      <c r="BM23" s="1180"/>
      <c r="BN23" s="1180"/>
      <c r="BO23" s="1180"/>
      <c r="BP23" s="1224"/>
      <c r="BQ23" s="1181" t="s">
        <v>4618</v>
      </c>
      <c r="BR23" s="470"/>
      <c r="BS23" s="613"/>
      <c r="BW23" s="589">
        <f t="shared" si="39"/>
        <v>7</v>
      </c>
      <c r="BX23" s="590">
        <f t="shared" si="40"/>
        <v>0</v>
      </c>
      <c r="BY23" s="590">
        <f t="shared" si="41"/>
        <v>0</v>
      </c>
      <c r="BZ23" s="542">
        <f>IF($CG$17="7th",BW$17,IF($CG$18="7th",BW$18,IF($CG$19="7th",BW$19,IF($CG$20="7th",BW$20,IF($CG$21="7th",BW$21,IF($CG$22="7th",BW$22,IF($CG$23="7th",BW$23,IF($CG$24="7th",BW$24,IF($CG$25="7th",BW$25,IF($CG$26="7th",BW$26))))))))))</f>
        <v>1</v>
      </c>
      <c r="CA23" s="253">
        <f>IF($CG$17="7th",BX$17,IF($CG$18="7th",BX$18,IF($CG$19="7th",BX$19,IF($CG$20="7th",BX$20,IF($CG$21="7th",BX$21,IF($CG$22="7th",BX$22,IF($CG$23="7th",BX$23,IF($CG$24="7th",BX$24,IF($CG$25="7th",BX$25,IF($CG$26="7th",BX$26))))))))))</f>
        <v>0</v>
      </c>
      <c r="CB23" s="253">
        <f>IF($CG$17="7th",BY$17,IF($CG$18="7th",BY$18,IF($CG$19="7th",BY$19,IF($CG$20="7th",BY$20,IF($CG$21="7th",BY$21,IF($CG$22="7th",BY$22,IF($CG$23="7th",BY$23,IF($CG$24="7th",BY$24,IF($CG$25="7th",BY$25,IF($CG$26="7th",BY$26))))))))))</f>
        <v>0</v>
      </c>
      <c r="CC23" s="591" t="str">
        <f t="shared" si="42"/>
        <v>Hillingdon 'B'</v>
      </c>
      <c r="CD23" s="592" t="e">
        <f t="shared" si="43"/>
        <v>#REF!</v>
      </c>
      <c r="CE23" s="590" t="e">
        <f t="shared" si="44"/>
        <v>#REF!</v>
      </c>
      <c r="CF23" s="590">
        <f t="shared" si="45"/>
        <v>208</v>
      </c>
      <c r="CG23" s="592" t="str">
        <f t="shared" si="46"/>
        <v>4th</v>
      </c>
      <c r="CH23" s="593" t="str">
        <f t="shared" si="47"/>
        <v>1st</v>
      </c>
      <c r="CI23" s="593">
        <f t="shared" si="48"/>
        <v>5</v>
      </c>
      <c r="CJ23" s="593" t="str">
        <f t="shared" si="49"/>
        <v>2nd</v>
      </c>
      <c r="CK23" s="593">
        <f t="shared" si="50"/>
        <v>7</v>
      </c>
      <c r="CL23" s="593" t="str">
        <f t="shared" si="51"/>
        <v>3rd</v>
      </c>
      <c r="CM23" s="594">
        <f t="shared" si="52"/>
        <v>11</v>
      </c>
      <c r="CO23" s="595" t="e">
        <f t="shared" si="53"/>
        <v>#REF!</v>
      </c>
      <c r="CP23" s="590">
        <f t="shared" si="54"/>
        <v>0</v>
      </c>
      <c r="CQ23" s="590">
        <f t="shared" si="55"/>
        <v>0</v>
      </c>
      <c r="CR23" s="1182">
        <f t="shared" si="56"/>
        <v>0</v>
      </c>
      <c r="CS23" s="1182"/>
      <c r="CT23" s="1182"/>
      <c r="CU23" s="459"/>
      <c r="CW23" s="596" t="str">
        <f>'print 10 lane'!$AA6</f>
        <v>Hillingdon 'B'</v>
      </c>
      <c r="CX23" s="597" t="e">
        <f>IF(DB23=1,(10-#REF!),IF(DB23=2,(9-#REF!),IF(DB23=3,(8-#REF!),IF(DB23=4,(7-#REF!),IF(DB23=5,(6-#REF!),IF(DB23=6,(5-#REF!),IF(DB23=7,(4-#REF!),IF(DB23=8,(3-#REF!),IF(DB23=9,(2-#REF!),IF(DB23=10,1))))))))))</f>
        <v>#REF!</v>
      </c>
      <c r="CY23" s="597"/>
      <c r="CZ23" s="598" t="e">
        <f t="shared" si="57"/>
        <v>#REF!</v>
      </c>
      <c r="DA23" s="599">
        <f>'print 10 lane'!AB$9</f>
        <v>208</v>
      </c>
      <c r="DB23" s="590">
        <f>'print 10 lane'!AB$7</f>
        <v>4</v>
      </c>
      <c r="DC23" s="600">
        <f t="shared" si="58"/>
        <v>0</v>
      </c>
      <c r="DD23" s="601" t="b">
        <f t="shared" si="59"/>
        <v>0</v>
      </c>
      <c r="DE23" s="553">
        <f t="shared" si="60"/>
        <v>0</v>
      </c>
      <c r="DF23" s="600">
        <f t="shared" si="61"/>
        <v>0</v>
      </c>
      <c r="DG23" s="601" t="b">
        <f t="shared" si="62"/>
        <v>0</v>
      </c>
      <c r="DH23" s="601" t="b">
        <f t="shared" si="63"/>
        <v>0</v>
      </c>
      <c r="DI23" s="600">
        <f t="shared" si="64"/>
        <v>0</v>
      </c>
      <c r="DJ23" s="601" t="b">
        <f t="shared" si="65"/>
        <v>0</v>
      </c>
      <c r="DK23" s="601" t="b">
        <f t="shared" si="66"/>
        <v>0</v>
      </c>
      <c r="DL23" s="600">
        <f t="shared" si="67"/>
        <v>208</v>
      </c>
      <c r="DM23" s="601">
        <f t="shared" si="68"/>
        <v>1</v>
      </c>
      <c r="DN23" s="601">
        <f t="shared" si="69"/>
        <v>4</v>
      </c>
      <c r="DO23" s="600">
        <f t="shared" si="70"/>
        <v>0</v>
      </c>
      <c r="DP23" s="601" t="b">
        <f t="shared" si="71"/>
        <v>0</v>
      </c>
      <c r="DQ23" s="601" t="b">
        <f t="shared" si="72"/>
        <v>0</v>
      </c>
      <c r="DR23" s="600">
        <f t="shared" si="73"/>
        <v>0</v>
      </c>
      <c r="DS23" s="552" t="b">
        <f t="shared" si="74"/>
        <v>0</v>
      </c>
      <c r="DT23" s="601" t="b">
        <f t="shared" si="75"/>
        <v>0</v>
      </c>
      <c r="DU23" s="600">
        <f t="shared" si="76"/>
        <v>0</v>
      </c>
      <c r="DV23" s="601" t="b">
        <f t="shared" si="77"/>
        <v>0</v>
      </c>
      <c r="DW23" s="601" t="b">
        <f t="shared" si="78"/>
        <v>0</v>
      </c>
      <c r="DX23" s="600">
        <f t="shared" si="79"/>
        <v>0</v>
      </c>
      <c r="DY23" s="601" t="b">
        <f t="shared" si="80"/>
        <v>0</v>
      </c>
      <c r="DZ23" s="601" t="b">
        <f t="shared" si="81"/>
        <v>0</v>
      </c>
      <c r="EA23" s="600">
        <f t="shared" si="82"/>
        <v>0</v>
      </c>
      <c r="EB23" s="601" t="b">
        <f t="shared" si="83"/>
        <v>0</v>
      </c>
      <c r="EC23" s="601" t="b">
        <f t="shared" si="84"/>
        <v>0</v>
      </c>
      <c r="ED23" s="600">
        <f t="shared" si="85"/>
        <v>0</v>
      </c>
      <c r="EE23" s="601" t="b">
        <f t="shared" si="86"/>
        <v>0</v>
      </c>
      <c r="EF23" s="552" t="b">
        <f t="shared" si="87"/>
        <v>0</v>
      </c>
      <c r="EG23" s="541">
        <f t="shared" si="88"/>
        <v>4</v>
      </c>
      <c r="EH23" s="602">
        <f t="shared" si="89"/>
        <v>0</v>
      </c>
      <c r="EI23" s="602">
        <f t="shared" si="90"/>
        <v>0</v>
      </c>
      <c r="EJ23" s="602">
        <f t="shared" si="91"/>
        <v>0</v>
      </c>
      <c r="EK23" s="602">
        <f t="shared" si="92"/>
        <v>5</v>
      </c>
      <c r="EL23" s="602">
        <f t="shared" si="93"/>
        <v>0</v>
      </c>
      <c r="EM23" s="602">
        <f t="shared" si="94"/>
        <v>0</v>
      </c>
      <c r="EN23" s="602">
        <f t="shared" si="95"/>
        <v>0</v>
      </c>
      <c r="EO23" s="602">
        <f t="shared" si="96"/>
        <v>0</v>
      </c>
      <c r="EP23" s="602">
        <f t="shared" si="97"/>
        <v>0</v>
      </c>
      <c r="EQ23" s="602">
        <f t="shared" si="98"/>
        <v>0</v>
      </c>
      <c r="ER23" s="552" t="b">
        <f t="shared" si="99"/>
        <v>0</v>
      </c>
      <c r="ES23" s="553">
        <f t="shared" si="100"/>
        <v>0</v>
      </c>
      <c r="ET23" s="601" t="b">
        <f t="shared" si="101"/>
        <v>0</v>
      </c>
      <c r="EU23" s="553">
        <f t="shared" si="102"/>
        <v>0</v>
      </c>
      <c r="EV23" s="601" t="b">
        <f t="shared" si="103"/>
        <v>0</v>
      </c>
      <c r="EW23" s="553">
        <f t="shared" si="104"/>
        <v>0</v>
      </c>
      <c r="EX23" s="601">
        <f t="shared" si="105"/>
        <v>1</v>
      </c>
      <c r="EY23" s="553">
        <f t="shared" si="106"/>
        <v>4</v>
      </c>
      <c r="EZ23" s="601" t="b">
        <f t="shared" si="107"/>
        <v>0</v>
      </c>
      <c r="FA23" s="553">
        <f t="shared" si="108"/>
        <v>0</v>
      </c>
      <c r="FB23" s="601" t="b">
        <f t="shared" si="109"/>
        <v>0</v>
      </c>
      <c r="FC23" s="553">
        <f t="shared" si="110"/>
        <v>0</v>
      </c>
      <c r="FD23" s="603" t="b">
        <f t="shared" si="111"/>
        <v>0</v>
      </c>
      <c r="FE23" s="604">
        <f t="shared" si="441"/>
        <v>0</v>
      </c>
      <c r="FF23" s="601" t="b">
        <f t="shared" si="112"/>
        <v>0</v>
      </c>
      <c r="FG23" s="553">
        <f t="shared" si="113"/>
        <v>0</v>
      </c>
      <c r="FH23" s="601" t="b">
        <f t="shared" si="114"/>
        <v>0</v>
      </c>
      <c r="FI23" s="604">
        <f t="shared" si="115"/>
        <v>0</v>
      </c>
      <c r="FJ23" s="601" t="b">
        <f t="shared" si="116"/>
        <v>0</v>
      </c>
      <c r="FK23" s="604">
        <f t="shared" si="117"/>
        <v>0</v>
      </c>
      <c r="FL23" s="541">
        <f t="shared" si="118"/>
        <v>4</v>
      </c>
      <c r="FM23" s="602">
        <f t="shared" si="119"/>
        <v>0</v>
      </c>
      <c r="FN23" s="602">
        <f t="shared" si="120"/>
        <v>0</v>
      </c>
      <c r="FO23" s="602">
        <f t="shared" si="121"/>
        <v>0</v>
      </c>
      <c r="FP23" s="602">
        <f t="shared" si="122"/>
        <v>7</v>
      </c>
      <c r="FQ23" s="602">
        <f t="shared" si="123"/>
        <v>0</v>
      </c>
      <c r="FR23" s="602">
        <f t="shared" si="124"/>
        <v>0</v>
      </c>
      <c r="FS23" s="602">
        <f t="shared" si="125"/>
        <v>0</v>
      </c>
      <c r="FT23" s="602">
        <f t="shared" si="126"/>
        <v>0</v>
      </c>
      <c r="FU23" s="602">
        <f t="shared" si="127"/>
        <v>0</v>
      </c>
      <c r="FV23" s="602">
        <f t="shared" si="128"/>
        <v>0</v>
      </c>
      <c r="FW23" s="601" t="b">
        <f t="shared" si="129"/>
        <v>0</v>
      </c>
      <c r="FX23" s="553">
        <f t="shared" si="130"/>
        <v>0</v>
      </c>
      <c r="FY23" s="601" t="b">
        <f t="shared" si="131"/>
        <v>0</v>
      </c>
      <c r="FZ23" s="553">
        <f t="shared" si="132"/>
        <v>0</v>
      </c>
      <c r="GA23" s="552" t="b">
        <f t="shared" si="133"/>
        <v>0</v>
      </c>
      <c r="GB23" s="553">
        <f t="shared" si="134"/>
        <v>0</v>
      </c>
      <c r="GC23" s="601">
        <f t="shared" si="135"/>
        <v>1</v>
      </c>
      <c r="GD23" s="553">
        <f t="shared" si="136"/>
        <v>4</v>
      </c>
      <c r="GE23" s="601" t="b">
        <f t="shared" si="137"/>
        <v>0</v>
      </c>
      <c r="GF23" s="553">
        <f t="shared" si="138"/>
        <v>0</v>
      </c>
      <c r="GG23" s="601" t="b">
        <f t="shared" si="139"/>
        <v>0</v>
      </c>
      <c r="GH23" s="553">
        <f t="shared" si="140"/>
        <v>0</v>
      </c>
      <c r="GI23" s="601" t="b">
        <f t="shared" si="141"/>
        <v>0</v>
      </c>
      <c r="GJ23" s="604">
        <f t="shared" si="442"/>
        <v>0</v>
      </c>
      <c r="GK23" s="601" t="b">
        <f t="shared" si="142"/>
        <v>0</v>
      </c>
      <c r="GL23" s="553">
        <f t="shared" si="143"/>
        <v>0</v>
      </c>
      <c r="GM23" s="601" t="b">
        <f t="shared" si="144"/>
        <v>0</v>
      </c>
      <c r="GN23" s="604">
        <f t="shared" si="145"/>
        <v>0</v>
      </c>
      <c r="GO23" s="601" t="b">
        <f t="shared" si="146"/>
        <v>0</v>
      </c>
      <c r="GP23" s="604">
        <f t="shared" si="147"/>
        <v>0</v>
      </c>
      <c r="GQ23" s="541">
        <f t="shared" si="148"/>
        <v>4</v>
      </c>
      <c r="GR23" s="554">
        <f t="shared" si="149"/>
        <v>0</v>
      </c>
      <c r="GS23" s="554">
        <f t="shared" si="150"/>
        <v>0</v>
      </c>
      <c r="GT23" s="554">
        <f t="shared" si="151"/>
        <v>0</v>
      </c>
      <c r="GU23" s="554">
        <f t="shared" si="152"/>
        <v>11</v>
      </c>
      <c r="GV23" s="554">
        <f t="shared" si="153"/>
        <v>0</v>
      </c>
      <c r="GW23" s="554">
        <f t="shared" si="154"/>
        <v>0</v>
      </c>
      <c r="GX23" s="554">
        <f t="shared" si="155"/>
        <v>0</v>
      </c>
      <c r="GY23" s="554">
        <f t="shared" si="156"/>
        <v>0</v>
      </c>
      <c r="GZ23" s="554">
        <f t="shared" si="157"/>
        <v>0</v>
      </c>
      <c r="HA23" s="554">
        <f t="shared" si="158"/>
        <v>0</v>
      </c>
      <c r="HB23" s="553" t="b">
        <f t="shared" si="159"/>
        <v>0</v>
      </c>
      <c r="HC23" s="553">
        <f t="shared" si="160"/>
        <v>0</v>
      </c>
      <c r="HD23" s="553" t="b">
        <f t="shared" si="161"/>
        <v>0</v>
      </c>
      <c r="HE23" s="553">
        <f t="shared" si="162"/>
        <v>0</v>
      </c>
      <c r="HF23" s="553" t="b">
        <f t="shared" si="163"/>
        <v>0</v>
      </c>
      <c r="HG23" s="553">
        <f t="shared" si="164"/>
        <v>0</v>
      </c>
      <c r="HH23" s="553">
        <f t="shared" si="165"/>
        <v>1</v>
      </c>
      <c r="HI23" s="553">
        <f t="shared" si="166"/>
        <v>4</v>
      </c>
      <c r="HJ23" s="553" t="b">
        <f t="shared" si="167"/>
        <v>0</v>
      </c>
      <c r="HK23" s="553">
        <f t="shared" si="168"/>
        <v>0</v>
      </c>
      <c r="HL23" s="553" t="b">
        <f t="shared" si="169"/>
        <v>0</v>
      </c>
      <c r="HM23" s="553">
        <f t="shared" si="170"/>
        <v>0</v>
      </c>
      <c r="HN23" s="553" t="b">
        <f t="shared" si="171"/>
        <v>0</v>
      </c>
      <c r="HO23" s="553">
        <f t="shared" si="172"/>
        <v>0</v>
      </c>
      <c r="HP23" s="553" t="b">
        <f t="shared" si="173"/>
        <v>0</v>
      </c>
      <c r="HQ23" s="553">
        <f t="shared" si="174"/>
        <v>0</v>
      </c>
      <c r="HR23" s="553" t="b">
        <f t="shared" si="175"/>
        <v>0</v>
      </c>
      <c r="HS23" s="553">
        <f t="shared" si="176"/>
        <v>0</v>
      </c>
      <c r="HT23" s="553" t="b">
        <f t="shared" si="177"/>
        <v>0</v>
      </c>
      <c r="HU23" s="553">
        <f t="shared" si="178"/>
        <v>0</v>
      </c>
      <c r="HV23" s="541">
        <f t="shared" si="179"/>
        <v>4</v>
      </c>
      <c r="HW23" s="554">
        <f t="shared" si="180"/>
        <v>0</v>
      </c>
      <c r="HX23" s="554">
        <f t="shared" si="181"/>
        <v>0</v>
      </c>
      <c r="HY23" s="554">
        <f t="shared" si="182"/>
        <v>0</v>
      </c>
      <c r="HZ23" s="554">
        <f t="shared" si="183"/>
        <v>11</v>
      </c>
      <c r="IA23" s="554">
        <f t="shared" si="184"/>
        <v>0</v>
      </c>
      <c r="IB23" s="554">
        <f t="shared" si="185"/>
        <v>0</v>
      </c>
      <c r="IC23" s="554">
        <f t="shared" si="186"/>
        <v>0</v>
      </c>
      <c r="ID23" s="554">
        <f t="shared" si="187"/>
        <v>0</v>
      </c>
      <c r="IE23" s="554">
        <f t="shared" si="188"/>
        <v>0</v>
      </c>
      <c r="IF23" s="554">
        <f t="shared" si="189"/>
        <v>0</v>
      </c>
      <c r="IG23" s="553" t="b">
        <f t="shared" si="190"/>
        <v>0</v>
      </c>
      <c r="IH23" s="553">
        <f t="shared" si="191"/>
        <v>0</v>
      </c>
      <c r="II23" s="553" t="b">
        <f t="shared" si="192"/>
        <v>0</v>
      </c>
      <c r="IJ23" s="553">
        <f t="shared" si="193"/>
        <v>0</v>
      </c>
      <c r="IK23" s="553" t="b">
        <f t="shared" si="194"/>
        <v>0</v>
      </c>
      <c r="IL23" s="553">
        <f t="shared" si="195"/>
        <v>0</v>
      </c>
      <c r="IM23" s="553">
        <f t="shared" si="196"/>
        <v>1</v>
      </c>
      <c r="IN23" s="553">
        <f t="shared" si="197"/>
        <v>4</v>
      </c>
      <c r="IO23" s="553" t="b">
        <f t="shared" si="198"/>
        <v>0</v>
      </c>
      <c r="IP23" s="553">
        <f t="shared" si="199"/>
        <v>0</v>
      </c>
      <c r="IQ23" s="553" t="b">
        <f t="shared" si="200"/>
        <v>0</v>
      </c>
      <c r="IR23" s="553">
        <f t="shared" si="201"/>
        <v>0</v>
      </c>
      <c r="IS23" s="553" t="b">
        <f t="shared" si="202"/>
        <v>0</v>
      </c>
      <c r="IT23" s="553">
        <f t="shared" si="203"/>
        <v>0</v>
      </c>
      <c r="IU23" s="553" t="b">
        <f t="shared" si="204"/>
        <v>0</v>
      </c>
      <c r="IV23" s="553">
        <f t="shared" si="205"/>
        <v>0</v>
      </c>
      <c r="IW23" s="553" t="b">
        <f t="shared" si="206"/>
        <v>0</v>
      </c>
      <c r="IX23" s="553">
        <f t="shared" si="207"/>
        <v>0</v>
      </c>
      <c r="IY23" s="553" t="b">
        <f t="shared" si="208"/>
        <v>0</v>
      </c>
      <c r="IZ23" s="553">
        <f t="shared" si="209"/>
        <v>0</v>
      </c>
      <c r="JA23" s="541">
        <f t="shared" si="210"/>
        <v>4</v>
      </c>
      <c r="JB23" s="554">
        <f t="shared" si="211"/>
        <v>0</v>
      </c>
      <c r="JC23" s="554">
        <f t="shared" si="212"/>
        <v>0</v>
      </c>
      <c r="JD23" s="554">
        <f t="shared" si="213"/>
        <v>0</v>
      </c>
      <c r="JE23" s="554">
        <f t="shared" si="214"/>
        <v>6</v>
      </c>
      <c r="JF23" s="554">
        <f t="shared" si="215"/>
        <v>0</v>
      </c>
      <c r="JG23" s="554">
        <f t="shared" si="216"/>
        <v>0</v>
      </c>
      <c r="JH23" s="554">
        <f t="shared" si="217"/>
        <v>0</v>
      </c>
      <c r="JI23" s="554">
        <f t="shared" si="218"/>
        <v>0</v>
      </c>
      <c r="JJ23" s="554">
        <f t="shared" si="219"/>
        <v>0</v>
      </c>
      <c r="JK23" s="554">
        <f t="shared" si="220"/>
        <v>0</v>
      </c>
      <c r="JL23" s="553" t="b">
        <f t="shared" si="221"/>
        <v>0</v>
      </c>
      <c r="JM23" s="553">
        <f t="shared" si="222"/>
        <v>0</v>
      </c>
      <c r="JN23" s="553" t="b">
        <f t="shared" si="223"/>
        <v>0</v>
      </c>
      <c r="JO23" s="553">
        <f t="shared" si="224"/>
        <v>0</v>
      </c>
      <c r="JP23" s="553" t="b">
        <f t="shared" si="225"/>
        <v>0</v>
      </c>
      <c r="JQ23" s="553">
        <f t="shared" si="226"/>
        <v>0</v>
      </c>
      <c r="JR23" s="553">
        <f t="shared" si="227"/>
        <v>1</v>
      </c>
      <c r="JS23" s="553">
        <f t="shared" si="228"/>
        <v>4</v>
      </c>
      <c r="JT23" s="553" t="b">
        <f t="shared" si="229"/>
        <v>0</v>
      </c>
      <c r="JU23" s="553">
        <f t="shared" si="230"/>
        <v>0</v>
      </c>
      <c r="JV23" s="553" t="b">
        <f t="shared" si="231"/>
        <v>0</v>
      </c>
      <c r="JW23" s="553">
        <f t="shared" si="232"/>
        <v>0</v>
      </c>
      <c r="JX23" s="553" t="b">
        <f t="shared" si="233"/>
        <v>0</v>
      </c>
      <c r="JY23" s="553">
        <f t="shared" si="234"/>
        <v>0</v>
      </c>
      <c r="JZ23" s="553" t="b">
        <f t="shared" si="235"/>
        <v>0</v>
      </c>
      <c r="KA23" s="553">
        <f t="shared" si="236"/>
        <v>0</v>
      </c>
      <c r="KB23" s="553" t="b">
        <f t="shared" si="237"/>
        <v>0</v>
      </c>
      <c r="KC23" s="553">
        <f t="shared" si="238"/>
        <v>0</v>
      </c>
      <c r="KD23" s="553" t="b">
        <f t="shared" si="239"/>
        <v>0</v>
      </c>
      <c r="KE23" s="553">
        <f t="shared" si="240"/>
        <v>0</v>
      </c>
      <c r="KF23" s="541">
        <f t="shared" si="241"/>
        <v>4</v>
      </c>
      <c r="KG23" s="554">
        <f t="shared" si="242"/>
        <v>0</v>
      </c>
      <c r="KH23" s="554">
        <f t="shared" si="243"/>
        <v>0</v>
      </c>
      <c r="KI23" s="554">
        <f t="shared" si="244"/>
        <v>0</v>
      </c>
      <c r="KJ23" s="554">
        <f t="shared" si="245"/>
        <v>6</v>
      </c>
      <c r="KK23" s="554">
        <f t="shared" si="246"/>
        <v>0</v>
      </c>
      <c r="KL23" s="554">
        <f t="shared" si="247"/>
        <v>0</v>
      </c>
      <c r="KM23" s="554">
        <f t="shared" si="248"/>
        <v>0</v>
      </c>
      <c r="KN23" s="554">
        <f t="shared" si="249"/>
        <v>0</v>
      </c>
      <c r="KO23" s="554">
        <f t="shared" si="250"/>
        <v>0</v>
      </c>
      <c r="KP23" s="554">
        <f t="shared" si="251"/>
        <v>0</v>
      </c>
      <c r="KQ23" s="553" t="b">
        <f t="shared" si="252"/>
        <v>0</v>
      </c>
      <c r="KR23" s="553">
        <f t="shared" si="253"/>
        <v>0</v>
      </c>
      <c r="KS23" s="553" t="b">
        <f t="shared" si="254"/>
        <v>0</v>
      </c>
      <c r="KT23" s="553">
        <f t="shared" si="255"/>
        <v>0</v>
      </c>
      <c r="KU23" s="553" t="b">
        <f t="shared" si="256"/>
        <v>0</v>
      </c>
      <c r="KV23" s="553">
        <f t="shared" si="257"/>
        <v>0</v>
      </c>
      <c r="KW23" s="553">
        <f t="shared" si="258"/>
        <v>1</v>
      </c>
      <c r="KX23" s="553">
        <f t="shared" si="259"/>
        <v>4</v>
      </c>
      <c r="KY23" s="553" t="b">
        <f t="shared" si="260"/>
        <v>0</v>
      </c>
      <c r="KZ23" s="553">
        <f t="shared" si="261"/>
        <v>0</v>
      </c>
      <c r="LA23" s="553" t="b">
        <f t="shared" si="262"/>
        <v>0</v>
      </c>
      <c r="LB23" s="553">
        <f t="shared" si="263"/>
        <v>0</v>
      </c>
      <c r="LC23" s="553" t="b">
        <f t="shared" si="264"/>
        <v>0</v>
      </c>
      <c r="LD23" s="553">
        <f t="shared" si="265"/>
        <v>0</v>
      </c>
      <c r="LE23" s="553" t="b">
        <f t="shared" si="266"/>
        <v>0</v>
      </c>
      <c r="LF23" s="553">
        <f t="shared" si="267"/>
        <v>0</v>
      </c>
      <c r="LG23" s="553" t="b">
        <f t="shared" si="268"/>
        <v>0</v>
      </c>
      <c r="LH23" s="553">
        <f t="shared" si="269"/>
        <v>0</v>
      </c>
      <c r="LI23" s="553" t="b">
        <f t="shared" si="270"/>
        <v>0</v>
      </c>
      <c r="LJ23" s="553">
        <f t="shared" si="271"/>
        <v>0</v>
      </c>
      <c r="LK23" s="541">
        <f t="shared" si="272"/>
        <v>4</v>
      </c>
      <c r="LL23" s="554">
        <f t="shared" si="273"/>
        <v>0</v>
      </c>
      <c r="LM23" s="554">
        <f t="shared" si="274"/>
        <v>0</v>
      </c>
      <c r="LN23" s="554">
        <f t="shared" si="275"/>
        <v>0</v>
      </c>
      <c r="LO23" s="554">
        <f t="shared" si="276"/>
        <v>2</v>
      </c>
      <c r="LP23" s="554">
        <f t="shared" si="277"/>
        <v>0</v>
      </c>
      <c r="LQ23" s="554">
        <f t="shared" si="278"/>
        <v>0</v>
      </c>
      <c r="LR23" s="554">
        <f t="shared" si="279"/>
        <v>0</v>
      </c>
      <c r="LS23" s="554">
        <f t="shared" si="280"/>
        <v>0</v>
      </c>
      <c r="LT23" s="554">
        <f t="shared" si="281"/>
        <v>0</v>
      </c>
      <c r="LU23" s="554">
        <f t="shared" si="282"/>
        <v>0</v>
      </c>
      <c r="LV23" s="553" t="b">
        <f t="shared" si="283"/>
        <v>0</v>
      </c>
      <c r="LW23" s="553">
        <f t="shared" si="284"/>
        <v>0</v>
      </c>
      <c r="LX23" s="553" t="b">
        <f t="shared" si="285"/>
        <v>0</v>
      </c>
      <c r="LY23" s="553">
        <f t="shared" si="286"/>
        <v>0</v>
      </c>
      <c r="LZ23" s="553" t="b">
        <f t="shared" si="287"/>
        <v>0</v>
      </c>
      <c r="MA23" s="553">
        <f t="shared" si="288"/>
        <v>0</v>
      </c>
      <c r="MB23" s="553">
        <f t="shared" si="289"/>
        <v>1</v>
      </c>
      <c r="MC23" s="553">
        <f t="shared" si="290"/>
        <v>4</v>
      </c>
      <c r="MD23" s="553" t="b">
        <f t="shared" si="291"/>
        <v>0</v>
      </c>
      <c r="ME23" s="553">
        <f t="shared" si="292"/>
        <v>0</v>
      </c>
      <c r="MF23" s="553" t="b">
        <f t="shared" si="293"/>
        <v>0</v>
      </c>
      <c r="MG23" s="553">
        <f t="shared" si="294"/>
        <v>0</v>
      </c>
      <c r="MH23" s="553" t="b">
        <f t="shared" si="295"/>
        <v>0</v>
      </c>
      <c r="MI23" s="553">
        <f t="shared" si="296"/>
        <v>0</v>
      </c>
      <c r="MJ23" s="553" t="b">
        <f t="shared" si="297"/>
        <v>0</v>
      </c>
      <c r="MK23" s="553">
        <f t="shared" si="298"/>
        <v>0</v>
      </c>
      <c r="ML23" s="553" t="b">
        <f t="shared" si="299"/>
        <v>0</v>
      </c>
      <c r="MM23" s="553">
        <f t="shared" si="300"/>
        <v>0</v>
      </c>
      <c r="MN23" s="553" t="b">
        <f t="shared" si="301"/>
        <v>0</v>
      </c>
      <c r="MO23" s="553">
        <f t="shared" si="302"/>
        <v>0</v>
      </c>
      <c r="MP23" s="541">
        <f t="shared" si="303"/>
        <v>4</v>
      </c>
      <c r="MQ23" s="554">
        <f t="shared" si="304"/>
        <v>0</v>
      </c>
      <c r="MR23" s="554">
        <f t="shared" si="305"/>
        <v>0</v>
      </c>
      <c r="MS23" s="554">
        <f t="shared" si="306"/>
        <v>0</v>
      </c>
      <c r="MT23" s="554">
        <f t="shared" si="307"/>
        <v>0</v>
      </c>
      <c r="MU23" s="554">
        <f t="shared" si="308"/>
        <v>0</v>
      </c>
      <c r="MV23" s="554">
        <f t="shared" si="309"/>
        <v>0</v>
      </c>
      <c r="MW23" s="554">
        <f t="shared" si="310"/>
        <v>0</v>
      </c>
      <c r="MX23" s="554">
        <f t="shared" si="311"/>
        <v>0</v>
      </c>
      <c r="MY23" s="554">
        <f t="shared" si="312"/>
        <v>0</v>
      </c>
      <c r="MZ23" s="554">
        <f t="shared" si="313"/>
        <v>0</v>
      </c>
      <c r="NA23" s="553" t="b">
        <f t="shared" si="314"/>
        <v>0</v>
      </c>
      <c r="NB23" s="553">
        <f t="shared" si="315"/>
        <v>0</v>
      </c>
      <c r="NC23" s="553" t="b">
        <f t="shared" si="316"/>
        <v>0</v>
      </c>
      <c r="ND23" s="553">
        <f t="shared" si="317"/>
        <v>0</v>
      </c>
      <c r="NE23" s="553" t="b">
        <f t="shared" si="318"/>
        <v>0</v>
      </c>
      <c r="NF23" s="553">
        <f t="shared" si="319"/>
        <v>0</v>
      </c>
      <c r="NG23" s="553">
        <f t="shared" si="320"/>
        <v>1</v>
      </c>
      <c r="NH23" s="553">
        <f t="shared" si="321"/>
        <v>4</v>
      </c>
      <c r="NI23" s="553" t="b">
        <f t="shared" si="322"/>
        <v>0</v>
      </c>
      <c r="NJ23" s="553">
        <f t="shared" si="323"/>
        <v>0</v>
      </c>
      <c r="NK23" s="553" t="b">
        <f t="shared" si="324"/>
        <v>0</v>
      </c>
      <c r="NL23" s="553">
        <f t="shared" si="325"/>
        <v>0</v>
      </c>
      <c r="NM23" s="553" t="b">
        <f t="shared" si="326"/>
        <v>0</v>
      </c>
      <c r="NN23" s="553">
        <f t="shared" si="327"/>
        <v>0</v>
      </c>
      <c r="NO23" s="553" t="b">
        <f t="shared" si="328"/>
        <v>0</v>
      </c>
      <c r="NP23" s="553">
        <f t="shared" si="329"/>
        <v>0</v>
      </c>
      <c r="NQ23" s="553" t="b">
        <f t="shared" si="330"/>
        <v>0</v>
      </c>
      <c r="NR23" s="553">
        <f t="shared" si="331"/>
        <v>0</v>
      </c>
      <c r="NS23" s="553" t="b">
        <f t="shared" si="332"/>
        <v>0</v>
      </c>
      <c r="NT23" s="553">
        <f t="shared" si="333"/>
        <v>0</v>
      </c>
      <c r="NU23" s="541">
        <f t="shared" si="334"/>
        <v>4</v>
      </c>
      <c r="NV23" s="554">
        <f t="shared" si="335"/>
        <v>0</v>
      </c>
      <c r="NW23" s="554">
        <f t="shared" si="336"/>
        <v>0</v>
      </c>
      <c r="NX23" s="554">
        <f t="shared" si="337"/>
        <v>0</v>
      </c>
      <c r="NY23" s="554">
        <f t="shared" si="338"/>
        <v>0</v>
      </c>
      <c r="NZ23" s="554">
        <f t="shared" si="339"/>
        <v>0</v>
      </c>
      <c r="OA23" s="554">
        <f t="shared" si="340"/>
        <v>0</v>
      </c>
      <c r="OB23" s="554">
        <f t="shared" si="341"/>
        <v>0</v>
      </c>
      <c r="OC23" s="554">
        <f t="shared" si="342"/>
        <v>0</v>
      </c>
      <c r="OD23" s="554">
        <f t="shared" si="343"/>
        <v>0</v>
      </c>
      <c r="OE23" s="554">
        <f t="shared" si="344"/>
        <v>0</v>
      </c>
      <c r="OF23" s="553" t="b">
        <f t="shared" si="345"/>
        <v>0</v>
      </c>
      <c r="OG23" s="553">
        <f t="shared" si="346"/>
        <v>0</v>
      </c>
      <c r="OH23" s="553" t="b">
        <f t="shared" si="347"/>
        <v>0</v>
      </c>
      <c r="OI23" s="553">
        <f t="shared" si="348"/>
        <v>0</v>
      </c>
      <c r="OJ23" s="553" t="b">
        <f t="shared" si="349"/>
        <v>0</v>
      </c>
      <c r="OK23" s="553">
        <f t="shared" si="350"/>
        <v>0</v>
      </c>
      <c r="OL23" s="553">
        <f t="shared" si="351"/>
        <v>1</v>
      </c>
      <c r="OM23" s="553">
        <f t="shared" si="352"/>
        <v>4</v>
      </c>
      <c r="ON23" s="553" t="b">
        <f t="shared" si="353"/>
        <v>0</v>
      </c>
      <c r="OO23" s="553">
        <f t="shared" si="354"/>
        <v>0</v>
      </c>
      <c r="OP23" s="553" t="b">
        <f t="shared" si="355"/>
        <v>0</v>
      </c>
      <c r="OQ23" s="553">
        <f t="shared" si="356"/>
        <v>0</v>
      </c>
      <c r="OR23" s="553" t="b">
        <f t="shared" si="357"/>
        <v>0</v>
      </c>
      <c r="OS23" s="553">
        <f t="shared" si="358"/>
        <v>0</v>
      </c>
      <c r="OT23" s="553" t="b">
        <f t="shared" si="359"/>
        <v>0</v>
      </c>
      <c r="OU23" s="553">
        <f t="shared" si="360"/>
        <v>0</v>
      </c>
      <c r="OV23" s="553" t="b">
        <f t="shared" si="361"/>
        <v>0</v>
      </c>
      <c r="OW23" s="553">
        <f t="shared" si="362"/>
        <v>0</v>
      </c>
      <c r="OX23" s="553" t="b">
        <f t="shared" si="363"/>
        <v>0</v>
      </c>
      <c r="OY23" s="553">
        <f t="shared" si="364"/>
        <v>0</v>
      </c>
      <c r="OZ23" s="541">
        <f t="shared" si="365"/>
        <v>4</v>
      </c>
      <c r="PA23" s="554">
        <f t="shared" si="366"/>
        <v>0</v>
      </c>
      <c r="PB23" s="554">
        <f t="shared" si="367"/>
        <v>0</v>
      </c>
      <c r="PC23" s="554">
        <f t="shared" si="368"/>
        <v>0</v>
      </c>
      <c r="PD23" s="554">
        <f t="shared" si="369"/>
        <v>0</v>
      </c>
      <c r="PE23" s="554">
        <f t="shared" si="370"/>
        <v>0</v>
      </c>
      <c r="PF23" s="554">
        <f t="shared" si="371"/>
        <v>0</v>
      </c>
      <c r="PG23" s="554">
        <f t="shared" si="372"/>
        <v>0</v>
      </c>
      <c r="PH23" s="554">
        <f t="shared" si="373"/>
        <v>0</v>
      </c>
      <c r="PI23" s="554">
        <f t="shared" si="374"/>
        <v>0</v>
      </c>
      <c r="PJ23" s="554">
        <f t="shared" si="375"/>
        <v>0</v>
      </c>
      <c r="PK23" s="553" t="b">
        <f t="shared" si="376"/>
        <v>0</v>
      </c>
      <c r="PL23" s="553">
        <f t="shared" si="377"/>
        <v>0</v>
      </c>
      <c r="PM23" s="553" t="b">
        <f t="shared" si="378"/>
        <v>0</v>
      </c>
      <c r="PN23" s="553">
        <f t="shared" si="379"/>
        <v>0</v>
      </c>
      <c r="PO23" s="553" t="b">
        <f t="shared" si="380"/>
        <v>0</v>
      </c>
      <c r="PP23" s="553">
        <f t="shared" si="381"/>
        <v>0</v>
      </c>
      <c r="PQ23" s="553">
        <f t="shared" si="382"/>
        <v>1</v>
      </c>
      <c r="PR23" s="553">
        <f t="shared" si="383"/>
        <v>4</v>
      </c>
      <c r="PS23" s="553" t="b">
        <f t="shared" si="384"/>
        <v>0</v>
      </c>
      <c r="PT23" s="553">
        <f t="shared" si="385"/>
        <v>0</v>
      </c>
      <c r="PU23" s="553" t="b">
        <f t="shared" si="386"/>
        <v>0</v>
      </c>
      <c r="PV23" s="553">
        <f t="shared" si="387"/>
        <v>0</v>
      </c>
      <c r="PW23" s="553" t="b">
        <f t="shared" si="388"/>
        <v>0</v>
      </c>
      <c r="PX23" s="553">
        <f t="shared" si="389"/>
        <v>0</v>
      </c>
      <c r="PY23" s="553" t="b">
        <f t="shared" si="390"/>
        <v>0</v>
      </c>
      <c r="PZ23" s="553">
        <f t="shared" si="391"/>
        <v>0</v>
      </c>
      <c r="QA23" s="553" t="b">
        <f t="shared" si="392"/>
        <v>0</v>
      </c>
      <c r="QB23" s="553">
        <f t="shared" si="393"/>
        <v>0</v>
      </c>
      <c r="QC23" s="553" t="b">
        <f t="shared" si="394"/>
        <v>0</v>
      </c>
      <c r="QD23" s="553">
        <f t="shared" si="395"/>
        <v>0</v>
      </c>
      <c r="QE23" s="541">
        <f t="shared" si="396"/>
        <v>4</v>
      </c>
      <c r="QF23" s="555" t="str">
        <f t="shared" si="397"/>
        <v>4th</v>
      </c>
      <c r="QG23" s="605" t="s">
        <v>4606</v>
      </c>
      <c r="QH23" s="606">
        <f>'print 10 lane'!AB148</f>
        <v>5</v>
      </c>
      <c r="QI23" s="607" t="s">
        <v>4607</v>
      </c>
      <c r="QJ23" s="606">
        <f>'print 10 lane'!AB149</f>
        <v>7</v>
      </c>
      <c r="QK23" s="608" t="s">
        <v>4608</v>
      </c>
      <c r="QL23" s="609">
        <f>'print 10 lane'!AB150</f>
        <v>11</v>
      </c>
      <c r="QM23" s="561" t="s">
        <v>4609</v>
      </c>
      <c r="QN23" s="562">
        <f>'print 10 lane'!AB151</f>
        <v>11</v>
      </c>
      <c r="QO23" s="563" t="s">
        <v>4610</v>
      </c>
      <c r="QP23" s="562">
        <f>'print 10 lane'!AB152</f>
        <v>6</v>
      </c>
      <c r="QQ23" s="564" t="s">
        <v>4611</v>
      </c>
      <c r="QR23" s="562">
        <f>'print 10 lane'!AB153</f>
        <v>6</v>
      </c>
      <c r="QS23" s="565" t="s">
        <v>4612</v>
      </c>
      <c r="QT23" s="562">
        <f>'print 10 lane'!AB154</f>
        <v>2</v>
      </c>
      <c r="QU23" s="566" t="s">
        <v>4613</v>
      </c>
      <c r="QV23" s="562">
        <f>'print 10 lane'!AB155</f>
        <v>0</v>
      </c>
      <c r="QW23" s="567" t="s">
        <v>4614</v>
      </c>
      <c r="QX23" s="562">
        <f>'print 10 lane'!AB156</f>
        <v>0</v>
      </c>
      <c r="QY23" s="568" t="s">
        <v>4615</v>
      </c>
      <c r="QZ23" s="562">
        <f>'print 10 lane'!AB157</f>
        <v>0</v>
      </c>
      <c r="RC23" s="610" t="e">
        <f t="shared" si="398"/>
        <v>#REF!</v>
      </c>
      <c r="RD23" s="611">
        <f t="shared" si="399"/>
        <v>0</v>
      </c>
      <c r="RR23" s="502">
        <f t="shared" si="400"/>
        <v>7</v>
      </c>
      <c r="RS23" s="1183" t="str">
        <f t="shared" si="401"/>
        <v>HARINGEY AQUATICS</v>
      </c>
      <c r="RT23" s="1183"/>
      <c r="RU23" s="1183"/>
      <c r="RV23" s="1183"/>
      <c r="RW23" s="1184" t="str">
        <f t="shared" si="402"/>
        <v>7th</v>
      </c>
      <c r="RX23" s="1184"/>
      <c r="RY23" s="1185" t="e">
        <f t="shared" si="403"/>
        <v>#REF!</v>
      </c>
      <c r="RZ23" s="1185"/>
      <c r="SA23" s="1185"/>
      <c r="SB23" s="571">
        <f t="shared" si="404"/>
        <v>152</v>
      </c>
      <c r="SC23" s="572" t="str">
        <f t="shared" si="405"/>
        <v>7th</v>
      </c>
      <c r="SD23" s="573">
        <f t="shared" si="406"/>
        <v>0</v>
      </c>
      <c r="SE23" s="574" t="b">
        <f t="shared" si="407"/>
        <v>0</v>
      </c>
      <c r="SF23" s="575">
        <f t="shared" si="408"/>
        <v>0</v>
      </c>
      <c r="SG23" s="575">
        <f t="shared" si="409"/>
        <v>0</v>
      </c>
      <c r="SH23" s="576" t="b">
        <f t="shared" si="410"/>
        <v>0</v>
      </c>
      <c r="SI23" s="575">
        <f t="shared" si="411"/>
        <v>0</v>
      </c>
      <c r="SJ23" s="575">
        <f t="shared" si="412"/>
        <v>0</v>
      </c>
      <c r="SK23" s="576" t="b">
        <f t="shared" si="413"/>
        <v>0</v>
      </c>
      <c r="SL23" s="575">
        <f t="shared" si="414"/>
        <v>0</v>
      </c>
      <c r="SM23" s="575">
        <f t="shared" si="415"/>
        <v>0</v>
      </c>
      <c r="SN23" s="576" t="b">
        <f t="shared" si="416"/>
        <v>0</v>
      </c>
      <c r="SO23" s="575">
        <f t="shared" si="417"/>
        <v>0</v>
      </c>
      <c r="SP23" s="575" t="e">
        <f t="shared" si="418"/>
        <v>#REF!</v>
      </c>
      <c r="SQ23" s="576" t="e">
        <f t="shared" si="419"/>
        <v>#REF!</v>
      </c>
      <c r="SR23" s="575" t="e">
        <f t="shared" si="420"/>
        <v>#REF!</v>
      </c>
      <c r="SS23" s="575" t="e">
        <f t="shared" si="421"/>
        <v>#REF!</v>
      </c>
      <c r="ST23" s="576" t="e">
        <f t="shared" si="422"/>
        <v>#REF!</v>
      </c>
      <c r="SU23" s="575" t="e">
        <f t="shared" si="423"/>
        <v>#REF!</v>
      </c>
      <c r="SV23" s="575" t="e">
        <f t="shared" si="424"/>
        <v>#REF!</v>
      </c>
      <c r="SW23" s="576" t="e">
        <f t="shared" si="425"/>
        <v>#REF!</v>
      </c>
      <c r="SX23" s="575" t="e">
        <f t="shared" si="426"/>
        <v>#REF!</v>
      </c>
      <c r="SY23" s="575" t="e">
        <f t="shared" si="427"/>
        <v>#REF!</v>
      </c>
      <c r="SZ23" s="576" t="e">
        <f t="shared" si="428"/>
        <v>#REF!</v>
      </c>
      <c r="TA23" s="575" t="e">
        <f t="shared" si="429"/>
        <v>#REF!</v>
      </c>
      <c r="TB23" s="575" t="e">
        <f t="shared" si="430"/>
        <v>#REF!</v>
      </c>
      <c r="TC23" s="576" t="e">
        <f t="shared" si="431"/>
        <v>#REF!</v>
      </c>
      <c r="TD23" s="575" t="e">
        <f t="shared" si="432"/>
        <v>#REF!</v>
      </c>
      <c r="TE23" s="575" t="e">
        <f t="shared" si="433"/>
        <v>#REF!</v>
      </c>
      <c r="TF23" s="576" t="e">
        <f t="shared" si="434"/>
        <v>#REF!</v>
      </c>
      <c r="TG23" s="575" t="e">
        <f t="shared" si="435"/>
        <v>#REF!</v>
      </c>
      <c r="TH23" s="575" t="e">
        <f t="shared" si="436"/>
        <v>#REF!</v>
      </c>
      <c r="TI23" s="576" t="e">
        <f t="shared" si="437"/>
        <v>#REF!</v>
      </c>
      <c r="TJ23" s="575" t="e">
        <f t="shared" si="438"/>
        <v>#REF!</v>
      </c>
      <c r="TK23" s="575" t="e">
        <f>IF(#REF!=0,0,IF(SI23=1,1,IF(SI23=2,2,IF(SI23=3,3,IF(SI23=4,4,IF(SI23=5,5,IF(SI23=6,6,IF(SI23=7,7,IF(SI23=8,8,IF(SI23=9,9,IF(SI23=10,10,IF(SL23=2,2,IF(SL23=3,3,IF(SL23=4,4,IF(SL23=5,5,IF(SL23=6,6,IF(SL23=7,7,IF(SL23=8,8,IF(SL23=9,9,IF(SL23=10,10,IF(SO23=3,3,IF(SO23=4,4,IF(SO23=5,5,IF(SO23=6,6,IF(SO23=7,7,IF(SO23=8,8,IF(SO23=9,9,IF(SO23=10,10,IF(SR23=4,4,IF(SR23=5,5,IF(SR23=6,6,IF(SR23=7,7,IF(SR23=8,8,IF(SR23=9,9,IF(SR23=10,10,IF(SU23=5,5,IF(SU23=6,6,IF(SU23=7,7,IF(SU23=8,8,IF(SU23=9,9,IF(SU23=10,10,IF(SX23=6,6,IF(SX23=5,5,IF(SX23=7,7,IF(SX23=8,8,IF(SX23=9,9,IF(SX23=10,10,IF(TA23=7,7,IF(TA23=8,8,IF(TA23=9,9,IF(TA23=10,10,IF(TD23=8,8,IF(TD23=9,9,IF(TD23=10,10,IF(TG23=9,9,IF(TG23=10,10,IF(TI23=10,10,(SF23))))))))))))))))))))))))))))))))))))))))))))))))))))))))))</f>
        <v>#REF!</v>
      </c>
      <c r="TL23" s="575" t="e">
        <f>IF(#REF!=0,0,IF(TK23=1,"1st",IF(TK23=2,"2nd",IF(TK23=3,"3rd",IF(TK23=4,"4th",IF(TK23=5,"5th",IF(TK23=6,"6th",IF(TK23=7,"7th",IF(TK23=8,"8th",IF(TK23=9,"9th",IF(TK23=10,"10th")))))))))))</f>
        <v>#REF!</v>
      </c>
      <c r="TM23" s="1186" t="e">
        <f t="shared" si="439"/>
        <v>#REF!</v>
      </c>
      <c r="TN23" s="1186"/>
      <c r="TO23" s="1186"/>
      <c r="TP23" s="1187">
        <f t="shared" si="440"/>
        <v>0</v>
      </c>
      <c r="TQ23" s="1187"/>
      <c r="TR23" s="1187"/>
    </row>
    <row r="24" spans="1:538" ht="30" customHeight="1" x14ac:dyDescent="0.25">
      <c r="A24" s="451">
        <f t="shared" si="1"/>
        <v>0</v>
      </c>
      <c r="B24" s="577">
        <f>'Gala Setup'!$N11</f>
        <v>0</v>
      </c>
      <c r="C24" s="524">
        <f>'Gala Setup'!P11</f>
        <v>0</v>
      </c>
      <c r="D24" s="578"/>
      <c r="E24" s="579"/>
      <c r="F24" s="452"/>
      <c r="G24" s="527" t="str">
        <f>IF($CG$17="8th",CC$17,IF($CG$18="8th",CC$18,IF($CG$19="8th",CC$19,IF($CG$20="8th",CC$20,IF($CG$21="8th",CC$21,IF($CG$22="8th",CC$22,IF($CG$23="8th",CC$23,IF($CG$24="8th",CC$24,IF($CG$25="8th",CC$25,IF($CG$26="8th",CC$26,"More results required for accuracy"))))))))))</f>
        <v>More results required for accuracy</v>
      </c>
      <c r="H24" s="528">
        <f>IF(C24=0,0,"8th")</f>
        <v>0</v>
      </c>
      <c r="I24" s="528" t="b">
        <f>IF($CG$17="8th",CE$17,IF($CG$18="8th",CE$18,IF($CG$19="8th",CE$19,IF($CG$20="8th",CE$20,IF($CG$21="8th",CE$21,IF($CG$22="8th",CE$22,IF($CG$23="8th",CE$23,IF($CG$24="8th",CE$24,IF($CG$25="8th",CE$25,IF($CG$26="8th",CE$26))))))))))</f>
        <v>0</v>
      </c>
      <c r="J24" s="529" t="b">
        <f>IF(B$4=0,I24,IF(B$4&gt;0,I24*B$4))</f>
        <v>0</v>
      </c>
      <c r="K24" s="529" t="b">
        <f t="shared" si="3"/>
        <v>0</v>
      </c>
      <c r="L24" s="530"/>
      <c r="M24" s="530" t="b">
        <f>IF($CG$17="8th",CF$17,IF($CG$18="8th",CF$18,IF($CG$19="8th",CF$19,IF($CG$20="8th",CF$20,IF($CG$21="8th",CF$21,IF($CG$22="8th",CF$22,IF($CG$23="8th",CF$23,IF($CG$24="8th",CF$24,IF($CG$25="8th",CF$25,IF($CG$26="8th",CF$26))))))))))</f>
        <v>0</v>
      </c>
      <c r="N24" s="1200"/>
      <c r="O24" s="1200"/>
      <c r="P24" s="1200"/>
      <c r="Q24" s="1200"/>
      <c r="R24" s="1200"/>
      <c r="S24" s="1200"/>
      <c r="T24" s="467"/>
      <c r="U24" s="580">
        <f>IF(C24=0,0,"8th")</f>
        <v>0</v>
      </c>
      <c r="V24" s="581" t="b">
        <f>IF(C24=G24,E24,IF(C25=G24,E25,IF(C26=G24,E26,IF(C17=G24,E17,IF(C18=G24,E18,IF(C19=G24,E19,IF(C20=G24,E20,IF(C21=G24,E21,IF(C22=G24,E22,IF(C23=G24,E23))))))))))</f>
        <v>0</v>
      </c>
      <c r="W24" s="582"/>
      <c r="X24" s="583">
        <f>IF(C24=0,0,IF($CQ$17="8th",CO$17,IF($CQ$18="8th",CO$18,IF($CQ$19="8th",CO$19,IF($CQ$20="8th",CO$20,IF($CQ$21="8th",CO$21,IF($CQ$22="8th",CO$22,IF($CQ$23="8th",CO$23,IF($CQ$24="8th",CO$24,IF($CQ$25="8th",CO$25,IF($CQ$26="8th",CO$26)))))))))))+D4</f>
        <v>0</v>
      </c>
      <c r="Y24" s="584"/>
      <c r="Z24" s="585">
        <f t="shared" si="4"/>
        <v>0</v>
      </c>
      <c r="AA24" s="530">
        <f>IF(C24=0,0,IF($CQ$17="8th",CP$17,IF($CQ$18="8th",CP$18,IF($CQ$19="8th",CP$19,IF($CQ$20="8th",CP$20,IF($CQ$21="8th",CP$21,IF($CQ$22="8th",CP$22,IF($CQ$23="8th",CP$23,IF($CQ$24="8th",CP$24,IF($CQ$25="8th",CP$25,IF($CQ$26="8th",CP$26)))))))))))</f>
        <v>0</v>
      </c>
      <c r="AB24" s="586">
        <f t="shared" si="5"/>
        <v>0</v>
      </c>
      <c r="AC24" s="586">
        <f t="shared" si="6"/>
        <v>0</v>
      </c>
      <c r="AD24" s="587" t="b">
        <f t="shared" si="7"/>
        <v>0</v>
      </c>
      <c r="AE24" s="588">
        <f t="shared" si="8"/>
        <v>0</v>
      </c>
      <c r="AF24" s="586">
        <f t="shared" si="9"/>
        <v>0</v>
      </c>
      <c r="AG24" s="587" t="b">
        <f t="shared" si="10"/>
        <v>0</v>
      </c>
      <c r="AH24" s="588">
        <f t="shared" si="11"/>
        <v>0</v>
      </c>
      <c r="AI24" s="586">
        <f t="shared" si="12"/>
        <v>0</v>
      </c>
      <c r="AJ24" s="587" t="b">
        <f t="shared" si="13"/>
        <v>0</v>
      </c>
      <c r="AK24" s="588">
        <f t="shared" si="14"/>
        <v>0</v>
      </c>
      <c r="AL24" s="586">
        <f t="shared" si="15"/>
        <v>0</v>
      </c>
      <c r="AM24" s="587" t="b">
        <f t="shared" si="16"/>
        <v>0</v>
      </c>
      <c r="AN24" s="588">
        <f t="shared" si="17"/>
        <v>0</v>
      </c>
      <c r="AO24" s="586">
        <f t="shared" si="18"/>
        <v>0</v>
      </c>
      <c r="AP24" s="587" t="b">
        <f t="shared" si="19"/>
        <v>0</v>
      </c>
      <c r="AQ24" s="588">
        <f t="shared" si="20"/>
        <v>0</v>
      </c>
      <c r="AR24" s="586">
        <f t="shared" si="21"/>
        <v>0</v>
      </c>
      <c r="AS24" s="587" t="b">
        <f t="shared" si="22"/>
        <v>0</v>
      </c>
      <c r="AT24" s="588">
        <f t="shared" si="23"/>
        <v>0</v>
      </c>
      <c r="AU24" s="586">
        <f t="shared" si="24"/>
        <v>0</v>
      </c>
      <c r="AV24" s="587" t="b">
        <f t="shared" si="25"/>
        <v>0</v>
      </c>
      <c r="AW24" s="588">
        <f t="shared" si="26"/>
        <v>0</v>
      </c>
      <c r="AX24" s="586">
        <f t="shared" si="27"/>
        <v>0</v>
      </c>
      <c r="AY24" s="587" t="b">
        <f t="shared" si="28"/>
        <v>0</v>
      </c>
      <c r="AZ24" s="588">
        <f t="shared" si="29"/>
        <v>0</v>
      </c>
      <c r="BA24" s="586">
        <f t="shared" si="30"/>
        <v>0</v>
      </c>
      <c r="BB24" s="587" t="b">
        <f t="shared" si="31"/>
        <v>0</v>
      </c>
      <c r="BC24" s="588">
        <f t="shared" si="32"/>
        <v>0</v>
      </c>
      <c r="BD24" s="586">
        <f t="shared" si="33"/>
        <v>0</v>
      </c>
      <c r="BE24" s="587" t="b">
        <f t="shared" si="34"/>
        <v>0</v>
      </c>
      <c r="BF24" s="588">
        <f t="shared" si="35"/>
        <v>0</v>
      </c>
      <c r="BG24" s="588">
        <f t="shared" si="36"/>
        <v>0</v>
      </c>
      <c r="BH24" s="586">
        <f t="shared" si="37"/>
        <v>0</v>
      </c>
      <c r="BI24" s="1179">
        <f t="shared" si="38"/>
        <v>0</v>
      </c>
      <c r="BJ24" s="1179"/>
      <c r="BK24" s="1179"/>
      <c r="BL24" s="584"/>
      <c r="BM24" s="1180"/>
      <c r="BN24" s="1180"/>
      <c r="BO24" s="1180"/>
      <c r="BP24" s="1224"/>
      <c r="BQ24" s="1181"/>
      <c r="BR24" s="470"/>
      <c r="BS24" s="613"/>
      <c r="BW24" s="589">
        <f t="shared" si="39"/>
        <v>0</v>
      </c>
      <c r="BX24" s="590">
        <f t="shared" si="40"/>
        <v>0</v>
      </c>
      <c r="BY24" s="590">
        <f t="shared" si="41"/>
        <v>0</v>
      </c>
      <c r="BZ24" s="542" t="b">
        <f>IF($CG$17="8th",BW$17,IF($CG$18="8th",BW$18,IF($CG$19="8th",BW$19,IF($CG$20="8th",BW$20,IF($CG$21="8th",BW$21,IF($CG$22="8th",BW$22,IF($CG$23="8th",BW$23,IF($CG$24="8th",BW$24,IF($CG$25="8th",BW$25,IF($CG$26="8th",BW$26))))))))))</f>
        <v>0</v>
      </c>
      <c r="CA24" s="253" t="b">
        <f>IF($CG$17="8th",BX$17,IF($CG$18="8th",BX$18,IF($CG$19="8th",BX$19,IF($CG$20="8th",BX$20,IF($CG$21="8th",BX$21,IF($CG$22="8th",BX$22,IF($CG$23="8th",BX$23,IF($CG$24="8th",BX$24,IF($CG$25="8th",BX$25,IF($CG$26="8th",BX$26))))))))))</f>
        <v>0</v>
      </c>
      <c r="CB24" s="253" t="b">
        <f>IF($CG$17="8th",BY$17,IF($CG$18="8th",BY$18,IF($CG$19="8th",BY$19,IF($CG$20="8th",BY$20,IF($CG$21="8th",BY$21,IF($CG$22="8th",BY$22,IF($CG$23="8th",BY$23,IF($CG$24="8th",BY$24,IF($CG$25="8th",BY$25,IF($CG$26="8th",BY$26))))))))))</f>
        <v>0</v>
      </c>
      <c r="CC24" s="591">
        <f t="shared" si="42"/>
        <v>0</v>
      </c>
      <c r="CD24" s="592" t="b">
        <f t="shared" si="43"/>
        <v>0</v>
      </c>
      <c r="CE24" s="590">
        <f t="shared" si="44"/>
        <v>0</v>
      </c>
      <c r="CF24" s="590">
        <f t="shared" si="45"/>
        <v>0</v>
      </c>
      <c r="CG24" s="592" t="b">
        <f t="shared" si="46"/>
        <v>0</v>
      </c>
      <c r="CH24" s="593" t="str">
        <f t="shared" si="47"/>
        <v>1st</v>
      </c>
      <c r="CI24" s="593">
        <f t="shared" si="48"/>
        <v>0</v>
      </c>
      <c r="CJ24" s="593" t="str">
        <f t="shared" si="49"/>
        <v>2nd</v>
      </c>
      <c r="CK24" s="593">
        <f t="shared" si="50"/>
        <v>0</v>
      </c>
      <c r="CL24" s="593" t="str">
        <f t="shared" si="51"/>
        <v>3rd</v>
      </c>
      <c r="CM24" s="594">
        <f t="shared" si="52"/>
        <v>0</v>
      </c>
      <c r="CO24" s="595">
        <f t="shared" si="53"/>
        <v>0</v>
      </c>
      <c r="CP24" s="590">
        <f t="shared" si="54"/>
        <v>0</v>
      </c>
      <c r="CQ24" s="590">
        <f t="shared" si="55"/>
        <v>0</v>
      </c>
      <c r="CR24" s="1182">
        <f t="shared" si="56"/>
        <v>0</v>
      </c>
      <c r="CS24" s="1182"/>
      <c r="CT24" s="1182"/>
      <c r="CU24" s="459"/>
      <c r="CW24" s="596">
        <f>'print 10 lane'!$AD6</f>
        <v>0</v>
      </c>
      <c r="CX24" s="597" t="b">
        <f>IF(DB24=1,(10-#REF!),IF(DB24=2,(9-#REF!),IF(DB24=3,(8-#REF!),IF(DB24=4,(7-#REF!),IF(DB24=5,(6-#REF!),IF(DB24=6,(5-#REF!),IF(DB24=7,(4-#REF!),IF(DB24=8,(3-#REF!),IF(DB24=9,(2-#REF!),IF(DB24=10,1))))))))))</f>
        <v>0</v>
      </c>
      <c r="CY24" s="597"/>
      <c r="CZ24" s="598">
        <f t="shared" si="57"/>
        <v>0</v>
      </c>
      <c r="DA24" s="599">
        <f>'print 10 lane'!AE$9</f>
        <v>0</v>
      </c>
      <c r="DB24" s="590" t="str">
        <f>'print 10 lane'!AE$7</f>
        <v/>
      </c>
      <c r="DC24" s="600">
        <f t="shared" si="58"/>
        <v>0</v>
      </c>
      <c r="DD24" s="601" t="b">
        <f t="shared" si="59"/>
        <v>0</v>
      </c>
      <c r="DE24" s="553">
        <f t="shared" si="60"/>
        <v>0</v>
      </c>
      <c r="DF24" s="600">
        <f t="shared" si="61"/>
        <v>0</v>
      </c>
      <c r="DG24" s="601" t="b">
        <f t="shared" si="62"/>
        <v>0</v>
      </c>
      <c r="DH24" s="601" t="b">
        <f t="shared" si="63"/>
        <v>0</v>
      </c>
      <c r="DI24" s="600">
        <f t="shared" si="64"/>
        <v>0</v>
      </c>
      <c r="DJ24" s="601" t="b">
        <f t="shared" si="65"/>
        <v>0</v>
      </c>
      <c r="DK24" s="601" t="b">
        <f t="shared" si="66"/>
        <v>0</v>
      </c>
      <c r="DL24" s="600">
        <f t="shared" si="67"/>
        <v>0</v>
      </c>
      <c r="DM24" s="601" t="b">
        <f t="shared" si="68"/>
        <v>0</v>
      </c>
      <c r="DN24" s="601" t="b">
        <f t="shared" si="69"/>
        <v>0</v>
      </c>
      <c r="DO24" s="600">
        <f t="shared" si="70"/>
        <v>0</v>
      </c>
      <c r="DP24" s="601" t="b">
        <f t="shared" si="71"/>
        <v>0</v>
      </c>
      <c r="DQ24" s="601" t="b">
        <f t="shared" si="72"/>
        <v>0</v>
      </c>
      <c r="DR24" s="600">
        <f t="shared" si="73"/>
        <v>0</v>
      </c>
      <c r="DS24" s="552" t="b">
        <f t="shared" si="74"/>
        <v>0</v>
      </c>
      <c r="DT24" s="601" t="b">
        <f t="shared" si="75"/>
        <v>0</v>
      </c>
      <c r="DU24" s="600">
        <f t="shared" si="76"/>
        <v>0</v>
      </c>
      <c r="DV24" s="601" t="b">
        <f t="shared" si="77"/>
        <v>0</v>
      </c>
      <c r="DW24" s="601" t="b">
        <f t="shared" si="78"/>
        <v>0</v>
      </c>
      <c r="DX24" s="600">
        <f t="shared" si="79"/>
        <v>0</v>
      </c>
      <c r="DY24" s="601" t="b">
        <f t="shared" si="80"/>
        <v>0</v>
      </c>
      <c r="DZ24" s="601" t="b">
        <f t="shared" si="81"/>
        <v>0</v>
      </c>
      <c r="EA24" s="600">
        <f t="shared" si="82"/>
        <v>0</v>
      </c>
      <c r="EB24" s="601" t="b">
        <f t="shared" si="83"/>
        <v>0</v>
      </c>
      <c r="EC24" s="601" t="b">
        <f t="shared" si="84"/>
        <v>0</v>
      </c>
      <c r="ED24" s="600">
        <f t="shared" si="85"/>
        <v>0</v>
      </c>
      <c r="EE24" s="601" t="b">
        <f t="shared" si="86"/>
        <v>0</v>
      </c>
      <c r="EF24" s="552" t="b">
        <f t="shared" si="87"/>
        <v>0</v>
      </c>
      <c r="EG24" s="541" t="str">
        <f t="shared" si="88"/>
        <v/>
      </c>
      <c r="EH24" s="602">
        <f t="shared" si="89"/>
        <v>0</v>
      </c>
      <c r="EI24" s="602">
        <f t="shared" si="90"/>
        <v>0</v>
      </c>
      <c r="EJ24" s="602">
        <f t="shared" si="91"/>
        <v>0</v>
      </c>
      <c r="EK24" s="602">
        <f t="shared" si="92"/>
        <v>0</v>
      </c>
      <c r="EL24" s="602">
        <f t="shared" si="93"/>
        <v>0</v>
      </c>
      <c r="EM24" s="602">
        <f t="shared" si="94"/>
        <v>0</v>
      </c>
      <c r="EN24" s="602">
        <f t="shared" si="95"/>
        <v>0</v>
      </c>
      <c r="EO24" s="602">
        <f t="shared" si="96"/>
        <v>0</v>
      </c>
      <c r="EP24" s="602">
        <f t="shared" si="97"/>
        <v>0</v>
      </c>
      <c r="EQ24" s="602">
        <f t="shared" si="98"/>
        <v>0</v>
      </c>
      <c r="ER24" s="552" t="b">
        <f t="shared" si="99"/>
        <v>0</v>
      </c>
      <c r="ES24" s="553">
        <f t="shared" si="100"/>
        <v>0</v>
      </c>
      <c r="ET24" s="601" t="b">
        <f t="shared" si="101"/>
        <v>0</v>
      </c>
      <c r="EU24" s="553">
        <f t="shared" si="102"/>
        <v>0</v>
      </c>
      <c r="EV24" s="601" t="b">
        <f t="shared" si="103"/>
        <v>0</v>
      </c>
      <c r="EW24" s="553">
        <f t="shared" si="104"/>
        <v>0</v>
      </c>
      <c r="EX24" s="601" t="b">
        <f t="shared" si="105"/>
        <v>0</v>
      </c>
      <c r="EY24" s="553">
        <f t="shared" si="106"/>
        <v>0</v>
      </c>
      <c r="EZ24" s="601" t="b">
        <f t="shared" si="107"/>
        <v>0</v>
      </c>
      <c r="FA24" s="553">
        <f t="shared" si="108"/>
        <v>0</v>
      </c>
      <c r="FB24" s="601" t="b">
        <f t="shared" si="109"/>
        <v>0</v>
      </c>
      <c r="FC24" s="553">
        <f t="shared" si="110"/>
        <v>0</v>
      </c>
      <c r="FD24" s="603" t="b">
        <f t="shared" si="111"/>
        <v>0</v>
      </c>
      <c r="FE24" s="604">
        <f t="shared" si="441"/>
        <v>0</v>
      </c>
      <c r="FF24" s="601" t="b">
        <f t="shared" si="112"/>
        <v>0</v>
      </c>
      <c r="FG24" s="553">
        <f t="shared" si="113"/>
        <v>0</v>
      </c>
      <c r="FH24" s="601" t="b">
        <f t="shared" si="114"/>
        <v>0</v>
      </c>
      <c r="FI24" s="604">
        <f t="shared" si="115"/>
        <v>0</v>
      </c>
      <c r="FJ24" s="601" t="b">
        <f t="shared" si="116"/>
        <v>0</v>
      </c>
      <c r="FK24" s="604">
        <f t="shared" si="117"/>
        <v>0</v>
      </c>
      <c r="FL24" s="541" t="str">
        <f t="shared" si="118"/>
        <v/>
      </c>
      <c r="FM24" s="602">
        <f t="shared" si="119"/>
        <v>0</v>
      </c>
      <c r="FN24" s="602">
        <f t="shared" si="120"/>
        <v>0</v>
      </c>
      <c r="FO24" s="602">
        <f t="shared" si="121"/>
        <v>0</v>
      </c>
      <c r="FP24" s="602">
        <f t="shared" si="122"/>
        <v>0</v>
      </c>
      <c r="FQ24" s="602">
        <f t="shared" si="123"/>
        <v>0</v>
      </c>
      <c r="FR24" s="602">
        <f t="shared" si="124"/>
        <v>0</v>
      </c>
      <c r="FS24" s="602">
        <f t="shared" si="125"/>
        <v>0</v>
      </c>
      <c r="FT24" s="602">
        <f t="shared" si="126"/>
        <v>0</v>
      </c>
      <c r="FU24" s="602">
        <f t="shared" si="127"/>
        <v>0</v>
      </c>
      <c r="FV24" s="602">
        <f t="shared" si="128"/>
        <v>0</v>
      </c>
      <c r="FW24" s="601" t="b">
        <f t="shared" si="129"/>
        <v>0</v>
      </c>
      <c r="FX24" s="553">
        <f t="shared" si="130"/>
        <v>0</v>
      </c>
      <c r="FY24" s="601" t="b">
        <f t="shared" si="131"/>
        <v>0</v>
      </c>
      <c r="FZ24" s="553">
        <f t="shared" si="132"/>
        <v>0</v>
      </c>
      <c r="GA24" s="552" t="b">
        <f t="shared" si="133"/>
        <v>0</v>
      </c>
      <c r="GB24" s="553">
        <f t="shared" si="134"/>
        <v>0</v>
      </c>
      <c r="GC24" s="601" t="b">
        <f t="shared" si="135"/>
        <v>0</v>
      </c>
      <c r="GD24" s="553">
        <f t="shared" si="136"/>
        <v>0</v>
      </c>
      <c r="GE24" s="601" t="b">
        <f t="shared" si="137"/>
        <v>0</v>
      </c>
      <c r="GF24" s="553">
        <f t="shared" si="138"/>
        <v>0</v>
      </c>
      <c r="GG24" s="601" t="b">
        <f t="shared" si="139"/>
        <v>0</v>
      </c>
      <c r="GH24" s="553">
        <f t="shared" si="140"/>
        <v>0</v>
      </c>
      <c r="GI24" s="601" t="b">
        <f t="shared" si="141"/>
        <v>0</v>
      </c>
      <c r="GJ24" s="604">
        <f t="shared" si="442"/>
        <v>0</v>
      </c>
      <c r="GK24" s="601" t="b">
        <f t="shared" si="142"/>
        <v>0</v>
      </c>
      <c r="GL24" s="553">
        <f t="shared" si="143"/>
        <v>0</v>
      </c>
      <c r="GM24" s="601" t="b">
        <f t="shared" si="144"/>
        <v>0</v>
      </c>
      <c r="GN24" s="604">
        <f t="shared" si="145"/>
        <v>0</v>
      </c>
      <c r="GO24" s="601" t="b">
        <f t="shared" si="146"/>
        <v>0</v>
      </c>
      <c r="GP24" s="604">
        <f t="shared" si="147"/>
        <v>0</v>
      </c>
      <c r="GQ24" s="541" t="str">
        <f t="shared" si="148"/>
        <v/>
      </c>
      <c r="GR24" s="554">
        <f t="shared" si="149"/>
        <v>0</v>
      </c>
      <c r="GS24" s="554">
        <f t="shared" si="150"/>
        <v>0</v>
      </c>
      <c r="GT24" s="554">
        <f t="shared" si="151"/>
        <v>0</v>
      </c>
      <c r="GU24" s="554">
        <f t="shared" si="152"/>
        <v>0</v>
      </c>
      <c r="GV24" s="554">
        <f t="shared" si="153"/>
        <v>0</v>
      </c>
      <c r="GW24" s="554">
        <f t="shared" si="154"/>
        <v>0</v>
      </c>
      <c r="GX24" s="554">
        <f t="shared" si="155"/>
        <v>0</v>
      </c>
      <c r="GY24" s="554">
        <f t="shared" si="156"/>
        <v>0</v>
      </c>
      <c r="GZ24" s="554">
        <f t="shared" si="157"/>
        <v>0</v>
      </c>
      <c r="HA24" s="554">
        <f t="shared" si="158"/>
        <v>0</v>
      </c>
      <c r="HB24" s="553" t="b">
        <f t="shared" si="159"/>
        <v>0</v>
      </c>
      <c r="HC24" s="553">
        <f t="shared" si="160"/>
        <v>0</v>
      </c>
      <c r="HD24" s="553" t="b">
        <f t="shared" si="161"/>
        <v>0</v>
      </c>
      <c r="HE24" s="553">
        <f t="shared" si="162"/>
        <v>0</v>
      </c>
      <c r="HF24" s="553" t="b">
        <f t="shared" si="163"/>
        <v>0</v>
      </c>
      <c r="HG24" s="553">
        <f t="shared" si="164"/>
        <v>0</v>
      </c>
      <c r="HH24" s="553" t="b">
        <f t="shared" si="165"/>
        <v>0</v>
      </c>
      <c r="HI24" s="553">
        <f t="shared" si="166"/>
        <v>0</v>
      </c>
      <c r="HJ24" s="553" t="b">
        <f t="shared" si="167"/>
        <v>0</v>
      </c>
      <c r="HK24" s="553">
        <f t="shared" si="168"/>
        <v>0</v>
      </c>
      <c r="HL24" s="553" t="b">
        <f t="shared" si="169"/>
        <v>0</v>
      </c>
      <c r="HM24" s="553">
        <f t="shared" si="170"/>
        <v>0</v>
      </c>
      <c r="HN24" s="553" t="b">
        <f t="shared" si="171"/>
        <v>0</v>
      </c>
      <c r="HO24" s="553">
        <f t="shared" si="172"/>
        <v>0</v>
      </c>
      <c r="HP24" s="553" t="b">
        <f t="shared" si="173"/>
        <v>0</v>
      </c>
      <c r="HQ24" s="553">
        <f t="shared" si="174"/>
        <v>0</v>
      </c>
      <c r="HR24" s="553" t="b">
        <f t="shared" si="175"/>
        <v>0</v>
      </c>
      <c r="HS24" s="553">
        <f t="shared" si="176"/>
        <v>0</v>
      </c>
      <c r="HT24" s="553" t="b">
        <f t="shared" si="177"/>
        <v>0</v>
      </c>
      <c r="HU24" s="553">
        <f t="shared" si="178"/>
        <v>0</v>
      </c>
      <c r="HV24" s="541" t="str">
        <f t="shared" si="179"/>
        <v/>
      </c>
      <c r="HW24" s="554">
        <f t="shared" si="180"/>
        <v>0</v>
      </c>
      <c r="HX24" s="554">
        <f t="shared" si="181"/>
        <v>0</v>
      </c>
      <c r="HY24" s="554">
        <f t="shared" si="182"/>
        <v>0</v>
      </c>
      <c r="HZ24" s="554">
        <f t="shared" si="183"/>
        <v>0</v>
      </c>
      <c r="IA24" s="554">
        <f t="shared" si="184"/>
        <v>0</v>
      </c>
      <c r="IB24" s="554">
        <f t="shared" si="185"/>
        <v>0</v>
      </c>
      <c r="IC24" s="554">
        <f t="shared" si="186"/>
        <v>0</v>
      </c>
      <c r="ID24" s="554">
        <f t="shared" si="187"/>
        <v>0</v>
      </c>
      <c r="IE24" s="554">
        <f t="shared" si="188"/>
        <v>0</v>
      </c>
      <c r="IF24" s="554">
        <f t="shared" si="189"/>
        <v>0</v>
      </c>
      <c r="IG24" s="553" t="b">
        <f t="shared" si="190"/>
        <v>0</v>
      </c>
      <c r="IH24" s="553">
        <f t="shared" si="191"/>
        <v>0</v>
      </c>
      <c r="II24" s="553" t="b">
        <f t="shared" si="192"/>
        <v>0</v>
      </c>
      <c r="IJ24" s="553">
        <f t="shared" si="193"/>
        <v>0</v>
      </c>
      <c r="IK24" s="553" t="b">
        <f t="shared" si="194"/>
        <v>0</v>
      </c>
      <c r="IL24" s="553">
        <f t="shared" si="195"/>
        <v>0</v>
      </c>
      <c r="IM24" s="553" t="b">
        <f t="shared" si="196"/>
        <v>0</v>
      </c>
      <c r="IN24" s="553">
        <f t="shared" si="197"/>
        <v>0</v>
      </c>
      <c r="IO24" s="553" t="b">
        <f t="shared" si="198"/>
        <v>0</v>
      </c>
      <c r="IP24" s="553">
        <f t="shared" si="199"/>
        <v>0</v>
      </c>
      <c r="IQ24" s="553" t="b">
        <f t="shared" si="200"/>
        <v>0</v>
      </c>
      <c r="IR24" s="553">
        <f t="shared" si="201"/>
        <v>0</v>
      </c>
      <c r="IS24" s="553" t="b">
        <f t="shared" si="202"/>
        <v>0</v>
      </c>
      <c r="IT24" s="553">
        <f t="shared" si="203"/>
        <v>0</v>
      </c>
      <c r="IU24" s="553" t="b">
        <f t="shared" si="204"/>
        <v>0</v>
      </c>
      <c r="IV24" s="553">
        <f t="shared" si="205"/>
        <v>0</v>
      </c>
      <c r="IW24" s="553" t="b">
        <f t="shared" si="206"/>
        <v>0</v>
      </c>
      <c r="IX24" s="553">
        <f t="shared" si="207"/>
        <v>0</v>
      </c>
      <c r="IY24" s="553" t="b">
        <f t="shared" si="208"/>
        <v>0</v>
      </c>
      <c r="IZ24" s="553">
        <f t="shared" si="209"/>
        <v>0</v>
      </c>
      <c r="JA24" s="541" t="str">
        <f t="shared" si="210"/>
        <v/>
      </c>
      <c r="JB24" s="554">
        <f t="shared" si="211"/>
        <v>0</v>
      </c>
      <c r="JC24" s="554">
        <f t="shared" si="212"/>
        <v>0</v>
      </c>
      <c r="JD24" s="554">
        <f t="shared" si="213"/>
        <v>0</v>
      </c>
      <c r="JE24" s="554">
        <f t="shared" si="214"/>
        <v>0</v>
      </c>
      <c r="JF24" s="554">
        <f t="shared" si="215"/>
        <v>0</v>
      </c>
      <c r="JG24" s="554">
        <f t="shared" si="216"/>
        <v>0</v>
      </c>
      <c r="JH24" s="554">
        <f t="shared" si="217"/>
        <v>0</v>
      </c>
      <c r="JI24" s="554">
        <f t="shared" si="218"/>
        <v>0</v>
      </c>
      <c r="JJ24" s="554">
        <f t="shared" si="219"/>
        <v>0</v>
      </c>
      <c r="JK24" s="554">
        <f t="shared" si="220"/>
        <v>0</v>
      </c>
      <c r="JL24" s="553" t="b">
        <f t="shared" si="221"/>
        <v>0</v>
      </c>
      <c r="JM24" s="553">
        <f t="shared" si="222"/>
        <v>0</v>
      </c>
      <c r="JN24" s="553" t="b">
        <f t="shared" si="223"/>
        <v>0</v>
      </c>
      <c r="JO24" s="553">
        <f t="shared" si="224"/>
        <v>0</v>
      </c>
      <c r="JP24" s="553" t="b">
        <f t="shared" si="225"/>
        <v>0</v>
      </c>
      <c r="JQ24" s="553">
        <f t="shared" si="226"/>
        <v>0</v>
      </c>
      <c r="JR24" s="553" t="b">
        <f t="shared" si="227"/>
        <v>0</v>
      </c>
      <c r="JS24" s="553">
        <f t="shared" si="228"/>
        <v>0</v>
      </c>
      <c r="JT24" s="553" t="b">
        <f t="shared" si="229"/>
        <v>0</v>
      </c>
      <c r="JU24" s="553">
        <f t="shared" si="230"/>
        <v>0</v>
      </c>
      <c r="JV24" s="553" t="b">
        <f t="shared" si="231"/>
        <v>0</v>
      </c>
      <c r="JW24" s="553">
        <f t="shared" si="232"/>
        <v>0</v>
      </c>
      <c r="JX24" s="553" t="b">
        <f t="shared" si="233"/>
        <v>0</v>
      </c>
      <c r="JY24" s="553">
        <f t="shared" si="234"/>
        <v>0</v>
      </c>
      <c r="JZ24" s="553" t="b">
        <f t="shared" si="235"/>
        <v>0</v>
      </c>
      <c r="KA24" s="553">
        <f t="shared" si="236"/>
        <v>0</v>
      </c>
      <c r="KB24" s="553" t="b">
        <f t="shared" si="237"/>
        <v>0</v>
      </c>
      <c r="KC24" s="553">
        <f t="shared" si="238"/>
        <v>0</v>
      </c>
      <c r="KD24" s="553" t="b">
        <f t="shared" si="239"/>
        <v>0</v>
      </c>
      <c r="KE24" s="553">
        <f t="shared" si="240"/>
        <v>0</v>
      </c>
      <c r="KF24" s="541" t="str">
        <f t="shared" si="241"/>
        <v/>
      </c>
      <c r="KG24" s="554">
        <f t="shared" si="242"/>
        <v>0</v>
      </c>
      <c r="KH24" s="554">
        <f t="shared" si="243"/>
        <v>0</v>
      </c>
      <c r="KI24" s="554">
        <f t="shared" si="244"/>
        <v>0</v>
      </c>
      <c r="KJ24" s="554">
        <f t="shared" si="245"/>
        <v>0</v>
      </c>
      <c r="KK24" s="554">
        <f t="shared" si="246"/>
        <v>0</v>
      </c>
      <c r="KL24" s="554">
        <f t="shared" si="247"/>
        <v>0</v>
      </c>
      <c r="KM24" s="554">
        <f t="shared" si="248"/>
        <v>0</v>
      </c>
      <c r="KN24" s="554">
        <f t="shared" si="249"/>
        <v>0</v>
      </c>
      <c r="KO24" s="554">
        <f t="shared" si="250"/>
        <v>0</v>
      </c>
      <c r="KP24" s="554">
        <f t="shared" si="251"/>
        <v>0</v>
      </c>
      <c r="KQ24" s="553" t="b">
        <f t="shared" si="252"/>
        <v>0</v>
      </c>
      <c r="KR24" s="553">
        <f t="shared" si="253"/>
        <v>0</v>
      </c>
      <c r="KS24" s="553" t="b">
        <f t="shared" si="254"/>
        <v>0</v>
      </c>
      <c r="KT24" s="553">
        <f t="shared" si="255"/>
        <v>0</v>
      </c>
      <c r="KU24" s="553" t="b">
        <f t="shared" si="256"/>
        <v>0</v>
      </c>
      <c r="KV24" s="553">
        <f t="shared" si="257"/>
        <v>0</v>
      </c>
      <c r="KW24" s="553" t="b">
        <f t="shared" si="258"/>
        <v>0</v>
      </c>
      <c r="KX24" s="553">
        <f t="shared" si="259"/>
        <v>0</v>
      </c>
      <c r="KY24" s="553" t="b">
        <f t="shared" si="260"/>
        <v>0</v>
      </c>
      <c r="KZ24" s="553">
        <f t="shared" si="261"/>
        <v>0</v>
      </c>
      <c r="LA24" s="553" t="b">
        <f t="shared" si="262"/>
        <v>0</v>
      </c>
      <c r="LB24" s="553">
        <f t="shared" si="263"/>
        <v>0</v>
      </c>
      <c r="LC24" s="553" t="b">
        <f t="shared" si="264"/>
        <v>0</v>
      </c>
      <c r="LD24" s="553">
        <f t="shared" si="265"/>
        <v>0</v>
      </c>
      <c r="LE24" s="553" t="b">
        <f t="shared" si="266"/>
        <v>0</v>
      </c>
      <c r="LF24" s="553">
        <f t="shared" si="267"/>
        <v>0</v>
      </c>
      <c r="LG24" s="553" t="b">
        <f t="shared" si="268"/>
        <v>0</v>
      </c>
      <c r="LH24" s="553">
        <f t="shared" si="269"/>
        <v>0</v>
      </c>
      <c r="LI24" s="553" t="b">
        <f t="shared" si="270"/>
        <v>0</v>
      </c>
      <c r="LJ24" s="553">
        <f t="shared" si="271"/>
        <v>0</v>
      </c>
      <c r="LK24" s="541" t="str">
        <f t="shared" si="272"/>
        <v/>
      </c>
      <c r="LL24" s="554">
        <f t="shared" si="273"/>
        <v>0</v>
      </c>
      <c r="LM24" s="554">
        <f t="shared" si="274"/>
        <v>0</v>
      </c>
      <c r="LN24" s="554">
        <f t="shared" si="275"/>
        <v>0</v>
      </c>
      <c r="LO24" s="554">
        <f t="shared" si="276"/>
        <v>0</v>
      </c>
      <c r="LP24" s="554">
        <f t="shared" si="277"/>
        <v>0</v>
      </c>
      <c r="LQ24" s="554">
        <f t="shared" si="278"/>
        <v>0</v>
      </c>
      <c r="LR24" s="554">
        <f t="shared" si="279"/>
        <v>0</v>
      </c>
      <c r="LS24" s="554">
        <f t="shared" si="280"/>
        <v>0</v>
      </c>
      <c r="LT24" s="554">
        <f t="shared" si="281"/>
        <v>0</v>
      </c>
      <c r="LU24" s="554">
        <f t="shared" si="282"/>
        <v>0</v>
      </c>
      <c r="LV24" s="553" t="b">
        <f t="shared" si="283"/>
        <v>0</v>
      </c>
      <c r="LW24" s="553">
        <f t="shared" si="284"/>
        <v>0</v>
      </c>
      <c r="LX24" s="553" t="b">
        <f t="shared" si="285"/>
        <v>0</v>
      </c>
      <c r="LY24" s="553">
        <f t="shared" si="286"/>
        <v>0</v>
      </c>
      <c r="LZ24" s="553" t="b">
        <f t="shared" si="287"/>
        <v>0</v>
      </c>
      <c r="MA24" s="553">
        <f t="shared" si="288"/>
        <v>0</v>
      </c>
      <c r="MB24" s="553" t="b">
        <f t="shared" si="289"/>
        <v>0</v>
      </c>
      <c r="MC24" s="553">
        <f t="shared" si="290"/>
        <v>0</v>
      </c>
      <c r="MD24" s="553" t="b">
        <f t="shared" si="291"/>
        <v>0</v>
      </c>
      <c r="ME24" s="553">
        <f t="shared" si="292"/>
        <v>0</v>
      </c>
      <c r="MF24" s="553" t="b">
        <f t="shared" si="293"/>
        <v>0</v>
      </c>
      <c r="MG24" s="553">
        <f t="shared" si="294"/>
        <v>0</v>
      </c>
      <c r="MH24" s="553" t="b">
        <f t="shared" si="295"/>
        <v>0</v>
      </c>
      <c r="MI24" s="553">
        <f t="shared" si="296"/>
        <v>0</v>
      </c>
      <c r="MJ24" s="553" t="b">
        <f t="shared" si="297"/>
        <v>0</v>
      </c>
      <c r="MK24" s="553">
        <f t="shared" si="298"/>
        <v>0</v>
      </c>
      <c r="ML24" s="553" t="b">
        <f t="shared" si="299"/>
        <v>0</v>
      </c>
      <c r="MM24" s="553">
        <f t="shared" si="300"/>
        <v>0</v>
      </c>
      <c r="MN24" s="553" t="b">
        <f t="shared" si="301"/>
        <v>0</v>
      </c>
      <c r="MO24" s="553">
        <f t="shared" si="302"/>
        <v>0</v>
      </c>
      <c r="MP24" s="541" t="str">
        <f t="shared" si="303"/>
        <v/>
      </c>
      <c r="MQ24" s="554">
        <f t="shared" si="304"/>
        <v>0</v>
      </c>
      <c r="MR24" s="554">
        <f t="shared" si="305"/>
        <v>0</v>
      </c>
      <c r="MS24" s="554">
        <f t="shared" si="306"/>
        <v>0</v>
      </c>
      <c r="MT24" s="554">
        <f t="shared" si="307"/>
        <v>0</v>
      </c>
      <c r="MU24" s="554">
        <f t="shared" si="308"/>
        <v>0</v>
      </c>
      <c r="MV24" s="554">
        <f t="shared" si="309"/>
        <v>0</v>
      </c>
      <c r="MW24" s="554">
        <f t="shared" si="310"/>
        <v>0</v>
      </c>
      <c r="MX24" s="554">
        <f t="shared" si="311"/>
        <v>0</v>
      </c>
      <c r="MY24" s="554">
        <f t="shared" si="312"/>
        <v>0</v>
      </c>
      <c r="MZ24" s="554">
        <f t="shared" si="313"/>
        <v>0</v>
      </c>
      <c r="NA24" s="553" t="b">
        <f t="shared" si="314"/>
        <v>0</v>
      </c>
      <c r="NB24" s="553">
        <f t="shared" si="315"/>
        <v>0</v>
      </c>
      <c r="NC24" s="553" t="b">
        <f t="shared" si="316"/>
        <v>0</v>
      </c>
      <c r="ND24" s="553">
        <f t="shared" si="317"/>
        <v>0</v>
      </c>
      <c r="NE24" s="553" t="b">
        <f t="shared" si="318"/>
        <v>0</v>
      </c>
      <c r="NF24" s="553">
        <f t="shared" si="319"/>
        <v>0</v>
      </c>
      <c r="NG24" s="553" t="b">
        <f t="shared" si="320"/>
        <v>0</v>
      </c>
      <c r="NH24" s="553">
        <f t="shared" si="321"/>
        <v>0</v>
      </c>
      <c r="NI24" s="553" t="b">
        <f t="shared" si="322"/>
        <v>0</v>
      </c>
      <c r="NJ24" s="553">
        <f t="shared" si="323"/>
        <v>0</v>
      </c>
      <c r="NK24" s="553" t="b">
        <f t="shared" si="324"/>
        <v>0</v>
      </c>
      <c r="NL24" s="553">
        <f t="shared" si="325"/>
        <v>0</v>
      </c>
      <c r="NM24" s="553" t="b">
        <f t="shared" si="326"/>
        <v>0</v>
      </c>
      <c r="NN24" s="553">
        <f t="shared" si="327"/>
        <v>0</v>
      </c>
      <c r="NO24" s="553" t="b">
        <f t="shared" si="328"/>
        <v>0</v>
      </c>
      <c r="NP24" s="553">
        <f t="shared" si="329"/>
        <v>0</v>
      </c>
      <c r="NQ24" s="553" t="b">
        <f t="shared" si="330"/>
        <v>0</v>
      </c>
      <c r="NR24" s="553">
        <f t="shared" si="331"/>
        <v>0</v>
      </c>
      <c r="NS24" s="553" t="b">
        <f t="shared" si="332"/>
        <v>0</v>
      </c>
      <c r="NT24" s="553">
        <f t="shared" si="333"/>
        <v>0</v>
      </c>
      <c r="NU24" s="541" t="str">
        <f t="shared" si="334"/>
        <v/>
      </c>
      <c r="NV24" s="554">
        <f t="shared" si="335"/>
        <v>0</v>
      </c>
      <c r="NW24" s="554">
        <f t="shared" si="336"/>
        <v>0</v>
      </c>
      <c r="NX24" s="554">
        <f t="shared" si="337"/>
        <v>0</v>
      </c>
      <c r="NY24" s="554">
        <f t="shared" si="338"/>
        <v>0</v>
      </c>
      <c r="NZ24" s="554">
        <f t="shared" si="339"/>
        <v>0</v>
      </c>
      <c r="OA24" s="554">
        <f t="shared" si="340"/>
        <v>0</v>
      </c>
      <c r="OB24" s="554">
        <f t="shared" si="341"/>
        <v>0</v>
      </c>
      <c r="OC24" s="554">
        <f t="shared" si="342"/>
        <v>0</v>
      </c>
      <c r="OD24" s="554">
        <f t="shared" si="343"/>
        <v>0</v>
      </c>
      <c r="OE24" s="554">
        <f t="shared" si="344"/>
        <v>0</v>
      </c>
      <c r="OF24" s="553" t="b">
        <f t="shared" si="345"/>
        <v>0</v>
      </c>
      <c r="OG24" s="553">
        <f t="shared" si="346"/>
        <v>0</v>
      </c>
      <c r="OH24" s="553" t="b">
        <f t="shared" si="347"/>
        <v>0</v>
      </c>
      <c r="OI24" s="553">
        <f t="shared" si="348"/>
        <v>0</v>
      </c>
      <c r="OJ24" s="553" t="b">
        <f t="shared" si="349"/>
        <v>0</v>
      </c>
      <c r="OK24" s="553">
        <f t="shared" si="350"/>
        <v>0</v>
      </c>
      <c r="OL24" s="553" t="b">
        <f t="shared" si="351"/>
        <v>0</v>
      </c>
      <c r="OM24" s="553">
        <f t="shared" si="352"/>
        <v>0</v>
      </c>
      <c r="ON24" s="553" t="b">
        <f t="shared" si="353"/>
        <v>0</v>
      </c>
      <c r="OO24" s="553">
        <f t="shared" si="354"/>
        <v>0</v>
      </c>
      <c r="OP24" s="553" t="b">
        <f t="shared" si="355"/>
        <v>0</v>
      </c>
      <c r="OQ24" s="553">
        <f t="shared" si="356"/>
        <v>0</v>
      </c>
      <c r="OR24" s="553" t="b">
        <f t="shared" si="357"/>
        <v>0</v>
      </c>
      <c r="OS24" s="553">
        <f t="shared" si="358"/>
        <v>0</v>
      </c>
      <c r="OT24" s="553" t="b">
        <f t="shared" si="359"/>
        <v>0</v>
      </c>
      <c r="OU24" s="553">
        <f t="shared" si="360"/>
        <v>0</v>
      </c>
      <c r="OV24" s="553" t="b">
        <f t="shared" si="361"/>
        <v>0</v>
      </c>
      <c r="OW24" s="553">
        <f t="shared" si="362"/>
        <v>0</v>
      </c>
      <c r="OX24" s="553" t="b">
        <f t="shared" si="363"/>
        <v>0</v>
      </c>
      <c r="OY24" s="553">
        <f t="shared" si="364"/>
        <v>0</v>
      </c>
      <c r="OZ24" s="541" t="str">
        <f t="shared" si="365"/>
        <v/>
      </c>
      <c r="PA24" s="554">
        <f t="shared" si="366"/>
        <v>0</v>
      </c>
      <c r="PB24" s="554">
        <f t="shared" si="367"/>
        <v>0</v>
      </c>
      <c r="PC24" s="554">
        <f t="shared" si="368"/>
        <v>0</v>
      </c>
      <c r="PD24" s="554">
        <f t="shared" si="369"/>
        <v>0</v>
      </c>
      <c r="PE24" s="554">
        <f t="shared" si="370"/>
        <v>0</v>
      </c>
      <c r="PF24" s="554">
        <f t="shared" si="371"/>
        <v>0</v>
      </c>
      <c r="PG24" s="554">
        <f t="shared" si="372"/>
        <v>0</v>
      </c>
      <c r="PH24" s="554">
        <f t="shared" si="373"/>
        <v>0</v>
      </c>
      <c r="PI24" s="554">
        <f t="shared" si="374"/>
        <v>0</v>
      </c>
      <c r="PJ24" s="554">
        <f t="shared" si="375"/>
        <v>0</v>
      </c>
      <c r="PK24" s="553" t="b">
        <f t="shared" si="376"/>
        <v>0</v>
      </c>
      <c r="PL24" s="553">
        <f t="shared" si="377"/>
        <v>0</v>
      </c>
      <c r="PM24" s="553" t="b">
        <f t="shared" si="378"/>
        <v>0</v>
      </c>
      <c r="PN24" s="553">
        <f t="shared" si="379"/>
        <v>0</v>
      </c>
      <c r="PO24" s="553" t="b">
        <f t="shared" si="380"/>
        <v>0</v>
      </c>
      <c r="PP24" s="553">
        <f t="shared" si="381"/>
        <v>0</v>
      </c>
      <c r="PQ24" s="553" t="b">
        <f t="shared" si="382"/>
        <v>0</v>
      </c>
      <c r="PR24" s="553">
        <f t="shared" si="383"/>
        <v>0</v>
      </c>
      <c r="PS24" s="553" t="b">
        <f t="shared" si="384"/>
        <v>0</v>
      </c>
      <c r="PT24" s="553">
        <f t="shared" si="385"/>
        <v>0</v>
      </c>
      <c r="PU24" s="553" t="b">
        <f t="shared" si="386"/>
        <v>0</v>
      </c>
      <c r="PV24" s="553">
        <f t="shared" si="387"/>
        <v>0</v>
      </c>
      <c r="PW24" s="553" t="b">
        <f t="shared" si="388"/>
        <v>0</v>
      </c>
      <c r="PX24" s="553">
        <f t="shared" si="389"/>
        <v>0</v>
      </c>
      <c r="PY24" s="553" t="b">
        <f t="shared" si="390"/>
        <v>0</v>
      </c>
      <c r="PZ24" s="553">
        <f t="shared" si="391"/>
        <v>0</v>
      </c>
      <c r="QA24" s="553" t="b">
        <f t="shared" si="392"/>
        <v>0</v>
      </c>
      <c r="QB24" s="553">
        <f t="shared" si="393"/>
        <v>0</v>
      </c>
      <c r="QC24" s="553" t="b">
        <f t="shared" si="394"/>
        <v>0</v>
      </c>
      <c r="QD24" s="553">
        <f t="shared" si="395"/>
        <v>0</v>
      </c>
      <c r="QE24" s="541" t="str">
        <f t="shared" si="396"/>
        <v/>
      </c>
      <c r="QF24" s="555" t="b">
        <f t="shared" si="397"/>
        <v>0</v>
      </c>
      <c r="QG24" s="605" t="s">
        <v>4606</v>
      </c>
      <c r="QH24" s="606">
        <f>'print 10 lane'!AE148</f>
        <v>0</v>
      </c>
      <c r="QI24" s="607" t="s">
        <v>4607</v>
      </c>
      <c r="QJ24" s="606">
        <f>'print 10 lane'!AE149</f>
        <v>0</v>
      </c>
      <c r="QK24" s="608" t="s">
        <v>4608</v>
      </c>
      <c r="QL24" s="609">
        <f>'print 10 lane'!AE150</f>
        <v>0</v>
      </c>
      <c r="QM24" s="561" t="s">
        <v>4609</v>
      </c>
      <c r="QN24" s="562">
        <f>'print 10 lane'!AE151</f>
        <v>0</v>
      </c>
      <c r="QO24" s="563" t="s">
        <v>4610</v>
      </c>
      <c r="QP24" s="562">
        <f>'print 10 lane'!AE152</f>
        <v>0</v>
      </c>
      <c r="QQ24" s="564" t="s">
        <v>4611</v>
      </c>
      <c r="QR24" s="562">
        <f>'print 10 lane'!AE153</f>
        <v>0</v>
      </c>
      <c r="QS24" s="565" t="s">
        <v>4612</v>
      </c>
      <c r="QT24" s="562">
        <f>'print 10 lane'!AE154</f>
        <v>0</v>
      </c>
      <c r="QU24" s="566" t="s">
        <v>4613</v>
      </c>
      <c r="QV24" s="562">
        <f>'print 10 lane'!AE155</f>
        <v>0</v>
      </c>
      <c r="QW24" s="567" t="s">
        <v>4614</v>
      </c>
      <c r="QX24" s="562">
        <f>'print 10 lane'!AE156</f>
        <v>0</v>
      </c>
      <c r="QY24" s="568" t="s">
        <v>4615</v>
      </c>
      <c r="QZ24" s="562">
        <f>'print 10 lane'!AE157</f>
        <v>0</v>
      </c>
      <c r="RC24" s="610">
        <f t="shared" si="398"/>
        <v>0</v>
      </c>
      <c r="RD24" s="611">
        <f t="shared" si="399"/>
        <v>0</v>
      </c>
      <c r="RR24" s="502">
        <f t="shared" si="400"/>
        <v>0</v>
      </c>
      <c r="RS24" s="1183" t="str">
        <f t="shared" si="401"/>
        <v>More results required for accuracy</v>
      </c>
      <c r="RT24" s="1183"/>
      <c r="RU24" s="1183"/>
      <c r="RV24" s="1183"/>
      <c r="RW24" s="1184">
        <f t="shared" si="402"/>
        <v>0</v>
      </c>
      <c r="RX24" s="1184"/>
      <c r="RY24" s="1185" t="b">
        <f t="shared" si="403"/>
        <v>0</v>
      </c>
      <c r="RZ24" s="1185"/>
      <c r="SA24" s="1185"/>
      <c r="SB24" s="571" t="b">
        <f t="shared" si="404"/>
        <v>0</v>
      </c>
      <c r="SC24" s="572">
        <f t="shared" si="405"/>
        <v>0</v>
      </c>
      <c r="SD24" s="573">
        <f t="shared" si="406"/>
        <v>0</v>
      </c>
      <c r="SE24" s="573">
        <f t="shared" si="407"/>
        <v>0</v>
      </c>
      <c r="SF24" s="575">
        <f t="shared" si="408"/>
        <v>0</v>
      </c>
      <c r="SG24" s="575">
        <f t="shared" si="409"/>
        <v>0</v>
      </c>
      <c r="SH24" s="576" t="b">
        <f t="shared" si="410"/>
        <v>0</v>
      </c>
      <c r="SI24" s="575">
        <f t="shared" si="411"/>
        <v>0</v>
      </c>
      <c r="SJ24" s="575">
        <f t="shared" si="412"/>
        <v>0</v>
      </c>
      <c r="SK24" s="576" t="b">
        <f t="shared" si="413"/>
        <v>0</v>
      </c>
      <c r="SL24" s="575">
        <f t="shared" si="414"/>
        <v>0</v>
      </c>
      <c r="SM24" s="575">
        <f t="shared" si="415"/>
        <v>0</v>
      </c>
      <c r="SN24" s="576" t="b">
        <f t="shared" si="416"/>
        <v>0</v>
      </c>
      <c r="SO24" s="575">
        <f t="shared" si="417"/>
        <v>0</v>
      </c>
      <c r="SP24" s="575">
        <f t="shared" si="418"/>
        <v>0</v>
      </c>
      <c r="SQ24" s="576" t="b">
        <f t="shared" si="419"/>
        <v>0</v>
      </c>
      <c r="SR24" s="575">
        <f t="shared" si="420"/>
        <v>0</v>
      </c>
      <c r="SS24" s="575">
        <f t="shared" si="421"/>
        <v>0</v>
      </c>
      <c r="ST24" s="576" t="b">
        <f t="shared" si="422"/>
        <v>0</v>
      </c>
      <c r="SU24" s="575">
        <f t="shared" si="423"/>
        <v>0</v>
      </c>
      <c r="SV24" s="575">
        <f t="shared" si="424"/>
        <v>0</v>
      </c>
      <c r="SW24" s="576" t="b">
        <f t="shared" si="425"/>
        <v>0</v>
      </c>
      <c r="SX24" s="575">
        <f t="shared" si="426"/>
        <v>0</v>
      </c>
      <c r="SY24" s="575">
        <f t="shared" si="427"/>
        <v>0</v>
      </c>
      <c r="SZ24" s="576" t="b">
        <f t="shared" si="428"/>
        <v>0</v>
      </c>
      <c r="TA24" s="575">
        <f t="shared" si="429"/>
        <v>0</v>
      </c>
      <c r="TB24" s="575">
        <f t="shared" si="430"/>
        <v>0</v>
      </c>
      <c r="TC24" s="576" t="b">
        <f t="shared" si="431"/>
        <v>0</v>
      </c>
      <c r="TD24" s="575">
        <f t="shared" si="432"/>
        <v>0</v>
      </c>
      <c r="TE24" s="575">
        <f t="shared" si="433"/>
        <v>0</v>
      </c>
      <c r="TF24" s="576" t="b">
        <f t="shared" si="434"/>
        <v>0</v>
      </c>
      <c r="TG24" s="575">
        <f t="shared" si="435"/>
        <v>0</v>
      </c>
      <c r="TH24" s="575">
        <f t="shared" si="436"/>
        <v>0</v>
      </c>
      <c r="TI24" s="576" t="b">
        <f t="shared" si="437"/>
        <v>0</v>
      </c>
      <c r="TJ24" s="575">
        <f t="shared" si="438"/>
        <v>0</v>
      </c>
      <c r="TK24" s="575" t="e">
        <f>IF(#REF!=0,0,IF(SI24=1,1,IF(SI24=2,2,IF(SI24=3,3,IF(SI24=4,4,IF(SI24=5,5,IF(SI24=6,6,IF(SI24=7,7,IF(SI24=8,8,IF(SI24=9,9,IF(SI24=10,10,IF(SL24=2,2,IF(SL24=3,3,IF(SL24=4,4,IF(SL24=5,5,IF(SL24=6,6,IF(SL24=7,7,IF(SL24=8,8,IF(SL24=9,9,IF(SL24=10,10,IF(SO24=3,3,IF(SO24=4,4,IF(SO24=5,5,IF(SO24=6,6,IF(SO24=7,7,IF(SO24=8,8,IF(SO24=9,9,IF(SO24=10,10,IF(SR24=4,4,IF(SR24=5,5,IF(SR24=6,6,IF(SR24=7,7,IF(SR24=8,8,IF(SR24=9,9,IF(SR24=10,10,IF(SU24=5,5,IF(SU24=6,6,IF(SU24=7,7,IF(SU24=8,8,IF(SU24=9,9,IF(SU24=10,10,IF(SX24=6,6,IF(SX24=5,5,IF(SX24=7,7,IF(SX24=8,8,IF(SX24=9,9,IF(SX24=10,10,IF(TA24=7,7,IF(TA24=8,8,IF(TA24=9,9,IF(TA24=10,10,IF(TD24=8,8,IF(TD24=9,9,IF(TD24=10,10,IF(TG24=9,9,IF(TG24=10,10,IF(TI24=10,10,(SF24))))))))))))))))))))))))))))))))))))))))))))))))))))))))))</f>
        <v>#REF!</v>
      </c>
      <c r="TL24" s="575" t="e">
        <f>IF(#REF!=0,0,IF(TK24=1,"1st",IF(TK24=2,"2nd",IF(TK24=3,"3rd",IF(TK24=4,"4th",IF(TK24=5,"5th",IF(TK24=6,"6th",IF(TK24=7,"7th",IF(TK24=8,"8th",IF(TK24=9,"9th",IF(TK24=10,"10th")))))))))))</f>
        <v>#REF!</v>
      </c>
      <c r="TM24" s="1186" t="e">
        <f t="shared" si="439"/>
        <v>#REF!</v>
      </c>
      <c r="TN24" s="1186"/>
      <c r="TO24" s="1186"/>
      <c r="TP24" s="1187">
        <f t="shared" si="440"/>
        <v>0</v>
      </c>
      <c r="TQ24" s="1187"/>
      <c r="TR24" s="1187"/>
    </row>
    <row r="25" spans="1:538" ht="30" customHeight="1" x14ac:dyDescent="0.25">
      <c r="A25" s="451">
        <f t="shared" si="1"/>
        <v>0</v>
      </c>
      <c r="B25" s="577">
        <f>'Gala Setup'!$N12</f>
        <v>0</v>
      </c>
      <c r="C25" s="524">
        <f>'Gala Setup'!P12</f>
        <v>0</v>
      </c>
      <c r="D25" s="578"/>
      <c r="E25" s="579"/>
      <c r="F25" s="452"/>
      <c r="G25" s="527" t="str">
        <f>IF($CG$17="9th",CC$17,IF($CG$18="9th",CC$18,IF($CG$19="9th",CC$19,IF($CG$20="9th",CC$20,IF($CG$21="9th",CC$21,IF($CG$22="9th",CC$22,IF($CG$23="9th",CC$23,IF($CG$24="9th",CC$24,IF($CG$25="9th",CC$25,IF($CG$26="9th",CC$26,"More results required for accuracy"))))))))))</f>
        <v>More results required for accuracy</v>
      </c>
      <c r="H25" s="528">
        <f>IF(C25=0,0,"9th")</f>
        <v>0</v>
      </c>
      <c r="I25" s="528" t="b">
        <f>IF($CG$17="9th",CE$17,IF($CG$18="9th",CE$18,IF($CG$19="9th",CE$19,IF($CG$20="9th",CE$20,IF($CG$21="9th",CE$21,IF($CG$22="9th",CE$22,IF($CG$23="9th",CE$23,IF($CG$24="9th",CE$24,IF($CG$25="9th",CE$25,IF($CG$26="9th",CE$26))))))))))</f>
        <v>0</v>
      </c>
      <c r="J25" s="529" t="b">
        <f>IF(B$4=0,I25,IF(B$4&gt;0,I25*B$4))</f>
        <v>0</v>
      </c>
      <c r="K25" s="529" t="b">
        <f t="shared" si="3"/>
        <v>0</v>
      </c>
      <c r="L25" s="530"/>
      <c r="M25" s="530" t="b">
        <f>IF($CG$17="9th",CF$17,IF($CG$18="9th",CF$18,IF($CG$19="9th",CF$19,IF($CG$20="9th",CF$20,IF($CG$21="9th",CF$21,IF($CG$22="9th",CF$22,IF($CG$23="9th",CF$23,IF($CG$24="9th",CF$24,IF($CG$25="9th",CF$25,IF($CG$26="9th",CF$26))))))))))</f>
        <v>0</v>
      </c>
      <c r="N25" s="1200"/>
      <c r="O25" s="1200"/>
      <c r="P25" s="1200"/>
      <c r="Q25" s="1200"/>
      <c r="R25" s="1200"/>
      <c r="S25" s="1200"/>
      <c r="T25" s="467"/>
      <c r="U25" s="580">
        <f>IF(C25=0,0,"9th")</f>
        <v>0</v>
      </c>
      <c r="V25" s="581" t="b">
        <f>IF(C25=G25,E25,IF(C26=G25,E26,IF(C17=G25,E17,IF(C18=G25,E18,IF(C19=G25,E19,IF(C20=G25,E20,IF(C21=G25,E21,IF(C22=G25,E22,IF(C23=G25,E23,IF(C24=G25,E24))))))))))</f>
        <v>0</v>
      </c>
      <c r="W25" s="582"/>
      <c r="X25" s="614">
        <f>IF(C25=0,0,IF($CQ$17="9th",CO$17,IF($CQ$18="9th",CO$18,IF($CQ$19="9th",CO$19,IF($CQ$20="9th",CO$20,IF($CQ$21="9th",CO$21,IF($CQ$22="9th",CO$22,IF($CQ$23="9th",CO$23,IF($CQ$24="9th",CO$24,IF($CQ$25="9th",CO$25,IF($CQ$26="9th",CO$26)))))))))))+D4</f>
        <v>0</v>
      </c>
      <c r="Y25" s="584"/>
      <c r="Z25" s="585">
        <f t="shared" si="4"/>
        <v>0</v>
      </c>
      <c r="AA25" s="615">
        <f>IF(C25=0,0,IF($CQ$17="9th",CP$17,IF($CQ$18="9th",CP$18,IF($CQ$19="9th",CP$19,IF($CQ$20="9th",CP$20,IF($CQ$21="9th",CP$21,IF($CQ$22="9th",CP$22,IF($CQ$23="9th",CP$23,IF($CQ$24="9th",CP$24,IF($CQ$25="9th",CP$25,IF($CQ$26="9th",CP$26)))))))))))</f>
        <v>0</v>
      </c>
      <c r="AB25" s="586">
        <f t="shared" si="5"/>
        <v>0</v>
      </c>
      <c r="AC25" s="586">
        <f t="shared" si="6"/>
        <v>0</v>
      </c>
      <c r="AD25" s="587" t="b">
        <f t="shared" si="7"/>
        <v>0</v>
      </c>
      <c r="AE25" s="588">
        <f t="shared" si="8"/>
        <v>0</v>
      </c>
      <c r="AF25" s="586">
        <f t="shared" si="9"/>
        <v>0</v>
      </c>
      <c r="AG25" s="587" t="b">
        <f t="shared" si="10"/>
        <v>0</v>
      </c>
      <c r="AH25" s="588">
        <f t="shared" si="11"/>
        <v>0</v>
      </c>
      <c r="AI25" s="586">
        <f t="shared" si="12"/>
        <v>0</v>
      </c>
      <c r="AJ25" s="587" t="b">
        <f t="shared" si="13"/>
        <v>0</v>
      </c>
      <c r="AK25" s="588">
        <f t="shared" si="14"/>
        <v>0</v>
      </c>
      <c r="AL25" s="586">
        <f t="shared" si="15"/>
        <v>0</v>
      </c>
      <c r="AM25" s="587" t="b">
        <f t="shared" si="16"/>
        <v>0</v>
      </c>
      <c r="AN25" s="588">
        <f t="shared" si="17"/>
        <v>0</v>
      </c>
      <c r="AO25" s="586">
        <f t="shared" si="18"/>
        <v>0</v>
      </c>
      <c r="AP25" s="587" t="b">
        <f t="shared" si="19"/>
        <v>0</v>
      </c>
      <c r="AQ25" s="588">
        <f t="shared" si="20"/>
        <v>0</v>
      </c>
      <c r="AR25" s="586">
        <f t="shared" si="21"/>
        <v>0</v>
      </c>
      <c r="AS25" s="587" t="b">
        <f t="shared" si="22"/>
        <v>0</v>
      </c>
      <c r="AT25" s="588">
        <f t="shared" si="23"/>
        <v>0</v>
      </c>
      <c r="AU25" s="586">
        <f t="shared" si="24"/>
        <v>0</v>
      </c>
      <c r="AV25" s="587" t="b">
        <f t="shared" si="25"/>
        <v>0</v>
      </c>
      <c r="AW25" s="588">
        <f t="shared" si="26"/>
        <v>0</v>
      </c>
      <c r="AX25" s="586">
        <f t="shared" si="27"/>
        <v>0</v>
      </c>
      <c r="AY25" s="587" t="b">
        <f t="shared" si="28"/>
        <v>0</v>
      </c>
      <c r="AZ25" s="588">
        <f t="shared" si="29"/>
        <v>0</v>
      </c>
      <c r="BA25" s="586">
        <f t="shared" si="30"/>
        <v>0</v>
      </c>
      <c r="BB25" s="587" t="b">
        <f t="shared" si="31"/>
        <v>0</v>
      </c>
      <c r="BC25" s="588">
        <f t="shared" si="32"/>
        <v>0</v>
      </c>
      <c r="BD25" s="586">
        <f t="shared" si="33"/>
        <v>0</v>
      </c>
      <c r="BE25" s="587" t="b">
        <f t="shared" si="34"/>
        <v>0</v>
      </c>
      <c r="BF25" s="588">
        <f t="shared" si="35"/>
        <v>0</v>
      </c>
      <c r="BG25" s="588">
        <f t="shared" si="36"/>
        <v>0</v>
      </c>
      <c r="BH25" s="586">
        <f t="shared" si="37"/>
        <v>0</v>
      </c>
      <c r="BI25" s="1179">
        <f t="shared" si="38"/>
        <v>0</v>
      </c>
      <c r="BJ25" s="1179"/>
      <c r="BK25" s="1179"/>
      <c r="BL25" s="584"/>
      <c r="BM25" s="1180"/>
      <c r="BN25" s="1180"/>
      <c r="BO25" s="1180"/>
      <c r="BP25" s="1224"/>
      <c r="BQ25" s="1181" t="s">
        <v>4619</v>
      </c>
      <c r="BR25" s="456"/>
      <c r="BS25" s="613"/>
      <c r="BW25" s="589">
        <f t="shared" si="39"/>
        <v>0</v>
      </c>
      <c r="BX25" s="590">
        <f t="shared" si="40"/>
        <v>0</v>
      </c>
      <c r="BY25" s="590">
        <f t="shared" si="41"/>
        <v>0</v>
      </c>
      <c r="BZ25" s="542" t="b">
        <f>IF($CG$17="9th",BW$17,IF($CG$18="9th",BW$18,IF($CG$19="9th",BW$19,IF($CG$20="9th",BW$20,IF($CG$21="9th",BW$21,IF($CG$22="9th",BW$22,IF($CG$23="9th",BW$23,IF($CG$24="9th",BW$24,IF($CG$25="9th",BW$25,IF($CG$26="9th",BW$26))))))))))</f>
        <v>0</v>
      </c>
      <c r="CA25" s="253" t="b">
        <f>IF($CG$17="9th",BX$17,IF($CG$18="9th",BX$18,IF($CG$19="9th",BX$19,IF($CG$20="9th",BX$20,IF($CG$21="9th",BX$21,IF($CG$22="9th",BX$22,IF($CG$23="9th",BX$23,IF($CG$24="9th",BX$24,IF($CG$25="9th",BX$25,IF($CG$26="9th",BX$26))))))))))</f>
        <v>0</v>
      </c>
      <c r="CB25" s="253" t="b">
        <f>IF($CG$17="9th",BY$17,IF($CG$18="9th",BY$18,IF($CG$19="9th",BY$19,IF($CG$20="9th",BY$20,IF($CG$21="9th",BY$21,IF($CG$22="9th",BY$22,IF($CG$23="9th",BY$23,IF($CG$24="9th",BY$24,IF($CG$25="9th",BY$25,IF($CG$26="9th",BY$26))))))))))</f>
        <v>0</v>
      </c>
      <c r="CC25" s="591">
        <f t="shared" si="42"/>
        <v>0</v>
      </c>
      <c r="CD25" s="592" t="b">
        <f t="shared" si="43"/>
        <v>0</v>
      </c>
      <c r="CE25" s="590">
        <f t="shared" si="44"/>
        <v>0</v>
      </c>
      <c r="CF25" s="590">
        <f t="shared" si="45"/>
        <v>0</v>
      </c>
      <c r="CG25" s="592" t="b">
        <f t="shared" si="46"/>
        <v>0</v>
      </c>
      <c r="CH25" s="593" t="str">
        <f t="shared" si="47"/>
        <v>1st</v>
      </c>
      <c r="CI25" s="593">
        <f t="shared" si="48"/>
        <v>0</v>
      </c>
      <c r="CJ25" s="593" t="str">
        <f t="shared" si="49"/>
        <v>2nd</v>
      </c>
      <c r="CK25" s="593">
        <f t="shared" si="50"/>
        <v>0</v>
      </c>
      <c r="CL25" s="593" t="str">
        <f t="shared" si="51"/>
        <v>3rd</v>
      </c>
      <c r="CM25" s="594">
        <f t="shared" si="52"/>
        <v>0</v>
      </c>
      <c r="CO25" s="595">
        <f t="shared" si="53"/>
        <v>0</v>
      </c>
      <c r="CP25" s="590">
        <f t="shared" si="54"/>
        <v>0</v>
      </c>
      <c r="CQ25" s="590">
        <f t="shared" si="55"/>
        <v>0</v>
      </c>
      <c r="CR25" s="1182">
        <f t="shared" si="56"/>
        <v>0</v>
      </c>
      <c r="CS25" s="1182"/>
      <c r="CT25" s="1182"/>
      <c r="CU25" s="459"/>
      <c r="CW25" s="596">
        <f>'print 10 lane'!$AG6</f>
        <v>0</v>
      </c>
      <c r="CX25" s="597" t="b">
        <f>IF(DB25=1,(10-#REF!),IF(DB25=2,(9-#REF!),IF(DB25=3,(8-#REF!),IF(DB25=4,(7-#REF!),IF(DB25=5,(6-#REF!),IF(DB25=6,(5-#REF!),IF(DB25=7,(4-#REF!),IF(DB25=8,(3-#REF!),IF(DB25=9,(2-#REF!),IF(DB25=10,1))))))))))</f>
        <v>0</v>
      </c>
      <c r="CY25" s="597"/>
      <c r="CZ25" s="598">
        <f t="shared" si="57"/>
        <v>0</v>
      </c>
      <c r="DA25" s="599">
        <f>'print 10 lane'!AH$9</f>
        <v>0</v>
      </c>
      <c r="DB25" s="590" t="str">
        <f>'print 10 lane'!AH$7</f>
        <v/>
      </c>
      <c r="DC25" s="600">
        <f t="shared" si="58"/>
        <v>0</v>
      </c>
      <c r="DD25" s="601" t="b">
        <f t="shared" si="59"/>
        <v>0</v>
      </c>
      <c r="DE25" s="553">
        <f t="shared" si="60"/>
        <v>0</v>
      </c>
      <c r="DF25" s="600">
        <f t="shared" si="61"/>
        <v>0</v>
      </c>
      <c r="DG25" s="601" t="b">
        <f t="shared" si="62"/>
        <v>0</v>
      </c>
      <c r="DH25" s="601" t="b">
        <f t="shared" si="63"/>
        <v>0</v>
      </c>
      <c r="DI25" s="600">
        <f t="shared" si="64"/>
        <v>0</v>
      </c>
      <c r="DJ25" s="601" t="b">
        <f t="shared" si="65"/>
        <v>0</v>
      </c>
      <c r="DK25" s="601" t="b">
        <f t="shared" si="66"/>
        <v>0</v>
      </c>
      <c r="DL25" s="600">
        <f t="shared" si="67"/>
        <v>0</v>
      </c>
      <c r="DM25" s="601" t="b">
        <f t="shared" si="68"/>
        <v>0</v>
      </c>
      <c r="DN25" s="601" t="b">
        <f t="shared" si="69"/>
        <v>0</v>
      </c>
      <c r="DO25" s="600">
        <f t="shared" si="70"/>
        <v>0</v>
      </c>
      <c r="DP25" s="601" t="b">
        <f t="shared" si="71"/>
        <v>0</v>
      </c>
      <c r="DQ25" s="601" t="b">
        <f t="shared" si="72"/>
        <v>0</v>
      </c>
      <c r="DR25" s="600">
        <f t="shared" si="73"/>
        <v>0</v>
      </c>
      <c r="DS25" s="552" t="b">
        <f t="shared" si="74"/>
        <v>0</v>
      </c>
      <c r="DT25" s="601" t="b">
        <f t="shared" si="75"/>
        <v>0</v>
      </c>
      <c r="DU25" s="600">
        <f t="shared" si="76"/>
        <v>0</v>
      </c>
      <c r="DV25" s="601" t="b">
        <f t="shared" si="77"/>
        <v>0</v>
      </c>
      <c r="DW25" s="601" t="b">
        <f t="shared" si="78"/>
        <v>0</v>
      </c>
      <c r="DX25" s="600">
        <f t="shared" si="79"/>
        <v>0</v>
      </c>
      <c r="DY25" s="601" t="b">
        <f t="shared" si="80"/>
        <v>0</v>
      </c>
      <c r="DZ25" s="601" t="b">
        <f t="shared" si="81"/>
        <v>0</v>
      </c>
      <c r="EA25" s="600">
        <f t="shared" si="82"/>
        <v>0</v>
      </c>
      <c r="EB25" s="601" t="b">
        <f t="shared" si="83"/>
        <v>0</v>
      </c>
      <c r="EC25" s="601" t="b">
        <f t="shared" si="84"/>
        <v>0</v>
      </c>
      <c r="ED25" s="600">
        <f t="shared" si="85"/>
        <v>0</v>
      </c>
      <c r="EE25" s="601" t="b">
        <f t="shared" si="86"/>
        <v>0</v>
      </c>
      <c r="EF25" s="552" t="b">
        <f t="shared" si="87"/>
        <v>0</v>
      </c>
      <c r="EG25" s="541" t="str">
        <f t="shared" si="88"/>
        <v/>
      </c>
      <c r="EH25" s="602">
        <f t="shared" si="89"/>
        <v>0</v>
      </c>
      <c r="EI25" s="602">
        <f t="shared" si="90"/>
        <v>0</v>
      </c>
      <c r="EJ25" s="602">
        <f t="shared" si="91"/>
        <v>0</v>
      </c>
      <c r="EK25" s="602">
        <f t="shared" si="92"/>
        <v>0</v>
      </c>
      <c r="EL25" s="602">
        <f t="shared" si="93"/>
        <v>0</v>
      </c>
      <c r="EM25" s="602">
        <f t="shared" si="94"/>
        <v>0</v>
      </c>
      <c r="EN25" s="602">
        <f t="shared" si="95"/>
        <v>0</v>
      </c>
      <c r="EO25" s="602">
        <f t="shared" si="96"/>
        <v>0</v>
      </c>
      <c r="EP25" s="602">
        <f t="shared" si="97"/>
        <v>0</v>
      </c>
      <c r="EQ25" s="602">
        <f t="shared" si="98"/>
        <v>0</v>
      </c>
      <c r="ER25" s="552" t="b">
        <f t="shared" si="99"/>
        <v>0</v>
      </c>
      <c r="ES25" s="553">
        <f t="shared" si="100"/>
        <v>0</v>
      </c>
      <c r="ET25" s="601" t="b">
        <f t="shared" si="101"/>
        <v>0</v>
      </c>
      <c r="EU25" s="553">
        <f t="shared" si="102"/>
        <v>0</v>
      </c>
      <c r="EV25" s="601" t="b">
        <f t="shared" si="103"/>
        <v>0</v>
      </c>
      <c r="EW25" s="553">
        <f t="shared" si="104"/>
        <v>0</v>
      </c>
      <c r="EX25" s="601" t="b">
        <f t="shared" si="105"/>
        <v>0</v>
      </c>
      <c r="EY25" s="553">
        <f t="shared" si="106"/>
        <v>0</v>
      </c>
      <c r="EZ25" s="601" t="b">
        <f t="shared" si="107"/>
        <v>0</v>
      </c>
      <c r="FA25" s="553">
        <f t="shared" si="108"/>
        <v>0</v>
      </c>
      <c r="FB25" s="601" t="b">
        <f t="shared" si="109"/>
        <v>0</v>
      </c>
      <c r="FC25" s="553">
        <f t="shared" si="110"/>
        <v>0</v>
      </c>
      <c r="FD25" s="603" t="b">
        <f t="shared" si="111"/>
        <v>0</v>
      </c>
      <c r="FE25" s="604">
        <f t="shared" si="441"/>
        <v>0</v>
      </c>
      <c r="FF25" s="601" t="b">
        <f t="shared" si="112"/>
        <v>0</v>
      </c>
      <c r="FG25" s="553">
        <f t="shared" si="113"/>
        <v>0</v>
      </c>
      <c r="FH25" s="601" t="b">
        <f t="shared" si="114"/>
        <v>0</v>
      </c>
      <c r="FI25" s="604">
        <f t="shared" si="115"/>
        <v>0</v>
      </c>
      <c r="FJ25" s="601" t="b">
        <f t="shared" si="116"/>
        <v>0</v>
      </c>
      <c r="FK25" s="604">
        <f t="shared" si="117"/>
        <v>0</v>
      </c>
      <c r="FL25" s="541" t="str">
        <f t="shared" si="118"/>
        <v/>
      </c>
      <c r="FM25" s="602">
        <f t="shared" si="119"/>
        <v>0</v>
      </c>
      <c r="FN25" s="602">
        <f t="shared" si="120"/>
        <v>0</v>
      </c>
      <c r="FO25" s="602">
        <f t="shared" si="121"/>
        <v>0</v>
      </c>
      <c r="FP25" s="602">
        <f t="shared" si="122"/>
        <v>0</v>
      </c>
      <c r="FQ25" s="602">
        <f t="shared" si="123"/>
        <v>0</v>
      </c>
      <c r="FR25" s="602">
        <f t="shared" si="124"/>
        <v>0</v>
      </c>
      <c r="FS25" s="602">
        <f t="shared" si="125"/>
        <v>0</v>
      </c>
      <c r="FT25" s="602">
        <f t="shared" si="126"/>
        <v>0</v>
      </c>
      <c r="FU25" s="602">
        <f t="shared" si="127"/>
        <v>0</v>
      </c>
      <c r="FV25" s="602">
        <f t="shared" si="128"/>
        <v>0</v>
      </c>
      <c r="FW25" s="601" t="b">
        <f t="shared" si="129"/>
        <v>0</v>
      </c>
      <c r="FX25" s="553">
        <f t="shared" si="130"/>
        <v>0</v>
      </c>
      <c r="FY25" s="601" t="b">
        <f t="shared" si="131"/>
        <v>0</v>
      </c>
      <c r="FZ25" s="553">
        <f t="shared" si="132"/>
        <v>0</v>
      </c>
      <c r="GA25" s="552" t="b">
        <f t="shared" si="133"/>
        <v>0</v>
      </c>
      <c r="GB25" s="553">
        <f t="shared" si="134"/>
        <v>0</v>
      </c>
      <c r="GC25" s="601" t="b">
        <f t="shared" si="135"/>
        <v>0</v>
      </c>
      <c r="GD25" s="553">
        <f t="shared" si="136"/>
        <v>0</v>
      </c>
      <c r="GE25" s="601" t="b">
        <f t="shared" si="137"/>
        <v>0</v>
      </c>
      <c r="GF25" s="553">
        <f t="shared" si="138"/>
        <v>0</v>
      </c>
      <c r="GG25" s="601" t="b">
        <f t="shared" si="139"/>
        <v>0</v>
      </c>
      <c r="GH25" s="553">
        <f t="shared" si="140"/>
        <v>0</v>
      </c>
      <c r="GI25" s="601" t="b">
        <f t="shared" si="141"/>
        <v>0</v>
      </c>
      <c r="GJ25" s="604">
        <f t="shared" si="442"/>
        <v>0</v>
      </c>
      <c r="GK25" s="601" t="b">
        <f t="shared" si="142"/>
        <v>0</v>
      </c>
      <c r="GL25" s="553">
        <f t="shared" si="143"/>
        <v>0</v>
      </c>
      <c r="GM25" s="601" t="b">
        <f t="shared" si="144"/>
        <v>0</v>
      </c>
      <c r="GN25" s="604">
        <f t="shared" si="145"/>
        <v>0</v>
      </c>
      <c r="GO25" s="601" t="b">
        <f t="shared" si="146"/>
        <v>0</v>
      </c>
      <c r="GP25" s="604">
        <f t="shared" si="147"/>
        <v>0</v>
      </c>
      <c r="GQ25" s="541" t="str">
        <f t="shared" si="148"/>
        <v/>
      </c>
      <c r="GR25" s="554">
        <f t="shared" si="149"/>
        <v>0</v>
      </c>
      <c r="GS25" s="554">
        <f t="shared" si="150"/>
        <v>0</v>
      </c>
      <c r="GT25" s="554">
        <f t="shared" si="151"/>
        <v>0</v>
      </c>
      <c r="GU25" s="554">
        <f t="shared" si="152"/>
        <v>0</v>
      </c>
      <c r="GV25" s="554">
        <f t="shared" si="153"/>
        <v>0</v>
      </c>
      <c r="GW25" s="554">
        <f t="shared" si="154"/>
        <v>0</v>
      </c>
      <c r="GX25" s="554">
        <f t="shared" si="155"/>
        <v>0</v>
      </c>
      <c r="GY25" s="554">
        <f t="shared" si="156"/>
        <v>0</v>
      </c>
      <c r="GZ25" s="554">
        <f t="shared" si="157"/>
        <v>0</v>
      </c>
      <c r="HA25" s="554">
        <f t="shared" si="158"/>
        <v>0</v>
      </c>
      <c r="HB25" s="553" t="b">
        <f t="shared" si="159"/>
        <v>0</v>
      </c>
      <c r="HC25" s="553">
        <f t="shared" si="160"/>
        <v>0</v>
      </c>
      <c r="HD25" s="553" t="b">
        <f t="shared" si="161"/>
        <v>0</v>
      </c>
      <c r="HE25" s="553">
        <f t="shared" si="162"/>
        <v>0</v>
      </c>
      <c r="HF25" s="553" t="b">
        <f t="shared" si="163"/>
        <v>0</v>
      </c>
      <c r="HG25" s="553">
        <f t="shared" si="164"/>
        <v>0</v>
      </c>
      <c r="HH25" s="553" t="b">
        <f t="shared" si="165"/>
        <v>0</v>
      </c>
      <c r="HI25" s="553">
        <f t="shared" si="166"/>
        <v>0</v>
      </c>
      <c r="HJ25" s="553" t="b">
        <f t="shared" si="167"/>
        <v>0</v>
      </c>
      <c r="HK25" s="553">
        <f t="shared" si="168"/>
        <v>0</v>
      </c>
      <c r="HL25" s="553" t="b">
        <f t="shared" si="169"/>
        <v>0</v>
      </c>
      <c r="HM25" s="553">
        <f t="shared" si="170"/>
        <v>0</v>
      </c>
      <c r="HN25" s="553" t="b">
        <f t="shared" si="171"/>
        <v>0</v>
      </c>
      <c r="HO25" s="553">
        <f t="shared" si="172"/>
        <v>0</v>
      </c>
      <c r="HP25" s="553" t="b">
        <f t="shared" si="173"/>
        <v>0</v>
      </c>
      <c r="HQ25" s="553">
        <f t="shared" si="174"/>
        <v>0</v>
      </c>
      <c r="HR25" s="553" t="b">
        <f t="shared" si="175"/>
        <v>0</v>
      </c>
      <c r="HS25" s="553">
        <f t="shared" si="176"/>
        <v>0</v>
      </c>
      <c r="HT25" s="553" t="b">
        <f t="shared" si="177"/>
        <v>0</v>
      </c>
      <c r="HU25" s="553">
        <f t="shared" si="178"/>
        <v>0</v>
      </c>
      <c r="HV25" s="541" t="str">
        <f t="shared" si="179"/>
        <v/>
      </c>
      <c r="HW25" s="554">
        <f t="shared" si="180"/>
        <v>0</v>
      </c>
      <c r="HX25" s="554">
        <f t="shared" si="181"/>
        <v>0</v>
      </c>
      <c r="HY25" s="554">
        <f t="shared" si="182"/>
        <v>0</v>
      </c>
      <c r="HZ25" s="554">
        <f t="shared" si="183"/>
        <v>0</v>
      </c>
      <c r="IA25" s="554">
        <f t="shared" si="184"/>
        <v>0</v>
      </c>
      <c r="IB25" s="554">
        <f t="shared" si="185"/>
        <v>0</v>
      </c>
      <c r="IC25" s="554">
        <f t="shared" si="186"/>
        <v>0</v>
      </c>
      <c r="ID25" s="554">
        <f t="shared" si="187"/>
        <v>0</v>
      </c>
      <c r="IE25" s="554">
        <f t="shared" si="188"/>
        <v>0</v>
      </c>
      <c r="IF25" s="554">
        <f t="shared" si="189"/>
        <v>0</v>
      </c>
      <c r="IG25" s="553" t="b">
        <f t="shared" si="190"/>
        <v>0</v>
      </c>
      <c r="IH25" s="553">
        <f t="shared" si="191"/>
        <v>0</v>
      </c>
      <c r="II25" s="553" t="b">
        <f t="shared" si="192"/>
        <v>0</v>
      </c>
      <c r="IJ25" s="553">
        <f t="shared" si="193"/>
        <v>0</v>
      </c>
      <c r="IK25" s="553" t="b">
        <f t="shared" si="194"/>
        <v>0</v>
      </c>
      <c r="IL25" s="553">
        <f t="shared" si="195"/>
        <v>0</v>
      </c>
      <c r="IM25" s="553" t="b">
        <f t="shared" si="196"/>
        <v>0</v>
      </c>
      <c r="IN25" s="553">
        <f t="shared" si="197"/>
        <v>0</v>
      </c>
      <c r="IO25" s="553" t="b">
        <f t="shared" si="198"/>
        <v>0</v>
      </c>
      <c r="IP25" s="553">
        <f t="shared" si="199"/>
        <v>0</v>
      </c>
      <c r="IQ25" s="553" t="b">
        <f t="shared" si="200"/>
        <v>0</v>
      </c>
      <c r="IR25" s="553">
        <f t="shared" si="201"/>
        <v>0</v>
      </c>
      <c r="IS25" s="553" t="b">
        <f t="shared" si="202"/>
        <v>0</v>
      </c>
      <c r="IT25" s="553">
        <f t="shared" si="203"/>
        <v>0</v>
      </c>
      <c r="IU25" s="553" t="b">
        <f t="shared" si="204"/>
        <v>0</v>
      </c>
      <c r="IV25" s="553">
        <f t="shared" si="205"/>
        <v>0</v>
      </c>
      <c r="IW25" s="553" t="b">
        <f t="shared" si="206"/>
        <v>0</v>
      </c>
      <c r="IX25" s="553">
        <f t="shared" si="207"/>
        <v>0</v>
      </c>
      <c r="IY25" s="553" t="b">
        <f t="shared" si="208"/>
        <v>0</v>
      </c>
      <c r="IZ25" s="553">
        <f t="shared" si="209"/>
        <v>0</v>
      </c>
      <c r="JA25" s="541" t="str">
        <f t="shared" si="210"/>
        <v/>
      </c>
      <c r="JB25" s="554">
        <f t="shared" si="211"/>
        <v>0</v>
      </c>
      <c r="JC25" s="554">
        <f t="shared" si="212"/>
        <v>0</v>
      </c>
      <c r="JD25" s="554">
        <f t="shared" si="213"/>
        <v>0</v>
      </c>
      <c r="JE25" s="554">
        <f t="shared" si="214"/>
        <v>0</v>
      </c>
      <c r="JF25" s="554">
        <f t="shared" si="215"/>
        <v>0</v>
      </c>
      <c r="JG25" s="554">
        <f t="shared" si="216"/>
        <v>0</v>
      </c>
      <c r="JH25" s="554">
        <f t="shared" si="217"/>
        <v>0</v>
      </c>
      <c r="JI25" s="554">
        <f t="shared" si="218"/>
        <v>0</v>
      </c>
      <c r="JJ25" s="554">
        <f t="shared" si="219"/>
        <v>0</v>
      </c>
      <c r="JK25" s="554">
        <f t="shared" si="220"/>
        <v>0</v>
      </c>
      <c r="JL25" s="553" t="b">
        <f t="shared" si="221"/>
        <v>0</v>
      </c>
      <c r="JM25" s="553">
        <f t="shared" si="222"/>
        <v>0</v>
      </c>
      <c r="JN25" s="553" t="b">
        <f t="shared" si="223"/>
        <v>0</v>
      </c>
      <c r="JO25" s="553">
        <f t="shared" si="224"/>
        <v>0</v>
      </c>
      <c r="JP25" s="553" t="b">
        <f t="shared" si="225"/>
        <v>0</v>
      </c>
      <c r="JQ25" s="553">
        <f t="shared" si="226"/>
        <v>0</v>
      </c>
      <c r="JR25" s="553" t="b">
        <f t="shared" si="227"/>
        <v>0</v>
      </c>
      <c r="JS25" s="553">
        <f t="shared" si="228"/>
        <v>0</v>
      </c>
      <c r="JT25" s="553" t="b">
        <f t="shared" si="229"/>
        <v>0</v>
      </c>
      <c r="JU25" s="553">
        <f t="shared" si="230"/>
        <v>0</v>
      </c>
      <c r="JV25" s="553" t="b">
        <f t="shared" si="231"/>
        <v>0</v>
      </c>
      <c r="JW25" s="553">
        <f t="shared" si="232"/>
        <v>0</v>
      </c>
      <c r="JX25" s="553" t="b">
        <f t="shared" si="233"/>
        <v>0</v>
      </c>
      <c r="JY25" s="553">
        <f t="shared" si="234"/>
        <v>0</v>
      </c>
      <c r="JZ25" s="553" t="b">
        <f t="shared" si="235"/>
        <v>0</v>
      </c>
      <c r="KA25" s="553">
        <f t="shared" si="236"/>
        <v>0</v>
      </c>
      <c r="KB25" s="553" t="b">
        <f t="shared" si="237"/>
        <v>0</v>
      </c>
      <c r="KC25" s="553">
        <f t="shared" si="238"/>
        <v>0</v>
      </c>
      <c r="KD25" s="553" t="b">
        <f t="shared" si="239"/>
        <v>0</v>
      </c>
      <c r="KE25" s="553">
        <f t="shared" si="240"/>
        <v>0</v>
      </c>
      <c r="KF25" s="541" t="str">
        <f t="shared" si="241"/>
        <v/>
      </c>
      <c r="KG25" s="554">
        <f t="shared" si="242"/>
        <v>0</v>
      </c>
      <c r="KH25" s="554">
        <f t="shared" si="243"/>
        <v>0</v>
      </c>
      <c r="KI25" s="554">
        <f t="shared" si="244"/>
        <v>0</v>
      </c>
      <c r="KJ25" s="554">
        <f t="shared" si="245"/>
        <v>0</v>
      </c>
      <c r="KK25" s="554">
        <f t="shared" si="246"/>
        <v>0</v>
      </c>
      <c r="KL25" s="554">
        <f t="shared" si="247"/>
        <v>0</v>
      </c>
      <c r="KM25" s="554">
        <f t="shared" si="248"/>
        <v>0</v>
      </c>
      <c r="KN25" s="554">
        <f t="shared" si="249"/>
        <v>0</v>
      </c>
      <c r="KO25" s="554">
        <f t="shared" si="250"/>
        <v>0</v>
      </c>
      <c r="KP25" s="554">
        <f t="shared" si="251"/>
        <v>0</v>
      </c>
      <c r="KQ25" s="553" t="b">
        <f t="shared" si="252"/>
        <v>0</v>
      </c>
      <c r="KR25" s="553">
        <f t="shared" si="253"/>
        <v>0</v>
      </c>
      <c r="KS25" s="553" t="b">
        <f t="shared" si="254"/>
        <v>0</v>
      </c>
      <c r="KT25" s="553">
        <f t="shared" si="255"/>
        <v>0</v>
      </c>
      <c r="KU25" s="553" t="b">
        <f t="shared" si="256"/>
        <v>0</v>
      </c>
      <c r="KV25" s="553">
        <f t="shared" si="257"/>
        <v>0</v>
      </c>
      <c r="KW25" s="553" t="b">
        <f t="shared" si="258"/>
        <v>0</v>
      </c>
      <c r="KX25" s="553">
        <f t="shared" si="259"/>
        <v>0</v>
      </c>
      <c r="KY25" s="553" t="b">
        <f t="shared" si="260"/>
        <v>0</v>
      </c>
      <c r="KZ25" s="553">
        <f t="shared" si="261"/>
        <v>0</v>
      </c>
      <c r="LA25" s="553" t="b">
        <f t="shared" si="262"/>
        <v>0</v>
      </c>
      <c r="LB25" s="553">
        <f t="shared" si="263"/>
        <v>0</v>
      </c>
      <c r="LC25" s="553" t="b">
        <f t="shared" si="264"/>
        <v>0</v>
      </c>
      <c r="LD25" s="553">
        <f t="shared" si="265"/>
        <v>0</v>
      </c>
      <c r="LE25" s="553" t="b">
        <f t="shared" si="266"/>
        <v>0</v>
      </c>
      <c r="LF25" s="553">
        <f t="shared" si="267"/>
        <v>0</v>
      </c>
      <c r="LG25" s="553" t="b">
        <f t="shared" si="268"/>
        <v>0</v>
      </c>
      <c r="LH25" s="553">
        <f t="shared" si="269"/>
        <v>0</v>
      </c>
      <c r="LI25" s="553" t="b">
        <f t="shared" si="270"/>
        <v>0</v>
      </c>
      <c r="LJ25" s="553">
        <f t="shared" si="271"/>
        <v>0</v>
      </c>
      <c r="LK25" s="541" t="str">
        <f t="shared" si="272"/>
        <v/>
      </c>
      <c r="LL25" s="554">
        <f t="shared" si="273"/>
        <v>0</v>
      </c>
      <c r="LM25" s="554">
        <f t="shared" si="274"/>
        <v>0</v>
      </c>
      <c r="LN25" s="554">
        <f t="shared" si="275"/>
        <v>0</v>
      </c>
      <c r="LO25" s="554">
        <f t="shared" si="276"/>
        <v>0</v>
      </c>
      <c r="LP25" s="554">
        <f t="shared" si="277"/>
        <v>0</v>
      </c>
      <c r="LQ25" s="554">
        <f t="shared" si="278"/>
        <v>0</v>
      </c>
      <c r="LR25" s="554">
        <f t="shared" si="279"/>
        <v>0</v>
      </c>
      <c r="LS25" s="554">
        <f t="shared" si="280"/>
        <v>0</v>
      </c>
      <c r="LT25" s="554">
        <f t="shared" si="281"/>
        <v>0</v>
      </c>
      <c r="LU25" s="554">
        <f t="shared" si="282"/>
        <v>0</v>
      </c>
      <c r="LV25" s="553" t="b">
        <f t="shared" si="283"/>
        <v>0</v>
      </c>
      <c r="LW25" s="553">
        <f t="shared" si="284"/>
        <v>0</v>
      </c>
      <c r="LX25" s="553" t="b">
        <f t="shared" si="285"/>
        <v>0</v>
      </c>
      <c r="LY25" s="553">
        <f t="shared" si="286"/>
        <v>0</v>
      </c>
      <c r="LZ25" s="553" t="b">
        <f t="shared" si="287"/>
        <v>0</v>
      </c>
      <c r="MA25" s="553">
        <f t="shared" si="288"/>
        <v>0</v>
      </c>
      <c r="MB25" s="553" t="b">
        <f t="shared" si="289"/>
        <v>0</v>
      </c>
      <c r="MC25" s="553">
        <f t="shared" si="290"/>
        <v>0</v>
      </c>
      <c r="MD25" s="553" t="b">
        <f t="shared" si="291"/>
        <v>0</v>
      </c>
      <c r="ME25" s="553">
        <f t="shared" si="292"/>
        <v>0</v>
      </c>
      <c r="MF25" s="553" t="b">
        <f t="shared" si="293"/>
        <v>0</v>
      </c>
      <c r="MG25" s="553">
        <f t="shared" si="294"/>
        <v>0</v>
      </c>
      <c r="MH25" s="553" t="b">
        <f t="shared" si="295"/>
        <v>0</v>
      </c>
      <c r="MI25" s="553">
        <f t="shared" si="296"/>
        <v>0</v>
      </c>
      <c r="MJ25" s="553" t="b">
        <f t="shared" si="297"/>
        <v>0</v>
      </c>
      <c r="MK25" s="553">
        <f t="shared" si="298"/>
        <v>0</v>
      </c>
      <c r="ML25" s="553" t="b">
        <f t="shared" si="299"/>
        <v>0</v>
      </c>
      <c r="MM25" s="553">
        <f t="shared" si="300"/>
        <v>0</v>
      </c>
      <c r="MN25" s="553" t="b">
        <f t="shared" si="301"/>
        <v>0</v>
      </c>
      <c r="MO25" s="553">
        <f t="shared" si="302"/>
        <v>0</v>
      </c>
      <c r="MP25" s="541" t="str">
        <f t="shared" si="303"/>
        <v/>
      </c>
      <c r="MQ25" s="554">
        <f t="shared" si="304"/>
        <v>0</v>
      </c>
      <c r="MR25" s="554">
        <f t="shared" si="305"/>
        <v>0</v>
      </c>
      <c r="MS25" s="554">
        <f t="shared" si="306"/>
        <v>0</v>
      </c>
      <c r="MT25" s="554">
        <f t="shared" si="307"/>
        <v>0</v>
      </c>
      <c r="MU25" s="554">
        <f t="shared" si="308"/>
        <v>0</v>
      </c>
      <c r="MV25" s="554">
        <f t="shared" si="309"/>
        <v>0</v>
      </c>
      <c r="MW25" s="554">
        <f t="shared" si="310"/>
        <v>0</v>
      </c>
      <c r="MX25" s="554">
        <f t="shared" si="311"/>
        <v>0</v>
      </c>
      <c r="MY25" s="554">
        <f t="shared" si="312"/>
        <v>0</v>
      </c>
      <c r="MZ25" s="554">
        <f t="shared" si="313"/>
        <v>0</v>
      </c>
      <c r="NA25" s="553" t="b">
        <f t="shared" si="314"/>
        <v>0</v>
      </c>
      <c r="NB25" s="553">
        <f t="shared" si="315"/>
        <v>0</v>
      </c>
      <c r="NC25" s="553" t="b">
        <f t="shared" si="316"/>
        <v>0</v>
      </c>
      <c r="ND25" s="553">
        <f t="shared" si="317"/>
        <v>0</v>
      </c>
      <c r="NE25" s="553" t="b">
        <f t="shared" si="318"/>
        <v>0</v>
      </c>
      <c r="NF25" s="553">
        <f t="shared" si="319"/>
        <v>0</v>
      </c>
      <c r="NG25" s="553" t="b">
        <f t="shared" si="320"/>
        <v>0</v>
      </c>
      <c r="NH25" s="553">
        <f t="shared" si="321"/>
        <v>0</v>
      </c>
      <c r="NI25" s="553" t="b">
        <f t="shared" si="322"/>
        <v>0</v>
      </c>
      <c r="NJ25" s="553">
        <f t="shared" si="323"/>
        <v>0</v>
      </c>
      <c r="NK25" s="553" t="b">
        <f t="shared" si="324"/>
        <v>0</v>
      </c>
      <c r="NL25" s="553">
        <f t="shared" si="325"/>
        <v>0</v>
      </c>
      <c r="NM25" s="553" t="b">
        <f t="shared" si="326"/>
        <v>0</v>
      </c>
      <c r="NN25" s="553">
        <f t="shared" si="327"/>
        <v>0</v>
      </c>
      <c r="NO25" s="553" t="b">
        <f t="shared" si="328"/>
        <v>0</v>
      </c>
      <c r="NP25" s="553">
        <f t="shared" si="329"/>
        <v>0</v>
      </c>
      <c r="NQ25" s="553" t="b">
        <f t="shared" si="330"/>
        <v>0</v>
      </c>
      <c r="NR25" s="553">
        <f t="shared" si="331"/>
        <v>0</v>
      </c>
      <c r="NS25" s="553" t="b">
        <f t="shared" si="332"/>
        <v>0</v>
      </c>
      <c r="NT25" s="553">
        <f t="shared" si="333"/>
        <v>0</v>
      </c>
      <c r="NU25" s="541" t="str">
        <f t="shared" si="334"/>
        <v/>
      </c>
      <c r="NV25" s="554">
        <f t="shared" si="335"/>
        <v>0</v>
      </c>
      <c r="NW25" s="554">
        <f t="shared" si="336"/>
        <v>0</v>
      </c>
      <c r="NX25" s="554">
        <f t="shared" si="337"/>
        <v>0</v>
      </c>
      <c r="NY25" s="554">
        <f t="shared" si="338"/>
        <v>0</v>
      </c>
      <c r="NZ25" s="554">
        <f t="shared" si="339"/>
        <v>0</v>
      </c>
      <c r="OA25" s="554">
        <f t="shared" si="340"/>
        <v>0</v>
      </c>
      <c r="OB25" s="554">
        <f t="shared" si="341"/>
        <v>0</v>
      </c>
      <c r="OC25" s="554">
        <f t="shared" si="342"/>
        <v>0</v>
      </c>
      <c r="OD25" s="554">
        <f t="shared" si="343"/>
        <v>0</v>
      </c>
      <c r="OE25" s="554">
        <f t="shared" si="344"/>
        <v>0</v>
      </c>
      <c r="OF25" s="553" t="b">
        <f t="shared" si="345"/>
        <v>0</v>
      </c>
      <c r="OG25" s="553">
        <f t="shared" si="346"/>
        <v>0</v>
      </c>
      <c r="OH25" s="553" t="b">
        <f t="shared" si="347"/>
        <v>0</v>
      </c>
      <c r="OI25" s="553">
        <f t="shared" si="348"/>
        <v>0</v>
      </c>
      <c r="OJ25" s="553" t="b">
        <f t="shared" si="349"/>
        <v>0</v>
      </c>
      <c r="OK25" s="553">
        <f t="shared" si="350"/>
        <v>0</v>
      </c>
      <c r="OL25" s="553" t="b">
        <f t="shared" si="351"/>
        <v>0</v>
      </c>
      <c r="OM25" s="553">
        <f t="shared" si="352"/>
        <v>0</v>
      </c>
      <c r="ON25" s="553" t="b">
        <f t="shared" si="353"/>
        <v>0</v>
      </c>
      <c r="OO25" s="553">
        <f t="shared" si="354"/>
        <v>0</v>
      </c>
      <c r="OP25" s="553" t="b">
        <f t="shared" si="355"/>
        <v>0</v>
      </c>
      <c r="OQ25" s="553">
        <f t="shared" si="356"/>
        <v>0</v>
      </c>
      <c r="OR25" s="553" t="b">
        <f t="shared" si="357"/>
        <v>0</v>
      </c>
      <c r="OS25" s="553">
        <f t="shared" si="358"/>
        <v>0</v>
      </c>
      <c r="OT25" s="553" t="b">
        <f t="shared" si="359"/>
        <v>0</v>
      </c>
      <c r="OU25" s="553">
        <f t="shared" si="360"/>
        <v>0</v>
      </c>
      <c r="OV25" s="553" t="b">
        <f t="shared" si="361"/>
        <v>0</v>
      </c>
      <c r="OW25" s="553">
        <f t="shared" si="362"/>
        <v>0</v>
      </c>
      <c r="OX25" s="553" t="b">
        <f t="shared" si="363"/>
        <v>0</v>
      </c>
      <c r="OY25" s="553">
        <f t="shared" si="364"/>
        <v>0</v>
      </c>
      <c r="OZ25" s="541" t="str">
        <f t="shared" si="365"/>
        <v/>
      </c>
      <c r="PA25" s="554">
        <f t="shared" si="366"/>
        <v>0</v>
      </c>
      <c r="PB25" s="554">
        <f t="shared" si="367"/>
        <v>0</v>
      </c>
      <c r="PC25" s="554">
        <f t="shared" si="368"/>
        <v>0</v>
      </c>
      <c r="PD25" s="554">
        <f t="shared" si="369"/>
        <v>0</v>
      </c>
      <c r="PE25" s="554">
        <f t="shared" si="370"/>
        <v>0</v>
      </c>
      <c r="PF25" s="554">
        <f t="shared" si="371"/>
        <v>0</v>
      </c>
      <c r="PG25" s="554">
        <f t="shared" si="372"/>
        <v>0</v>
      </c>
      <c r="PH25" s="554">
        <f t="shared" si="373"/>
        <v>0</v>
      </c>
      <c r="PI25" s="554">
        <f t="shared" si="374"/>
        <v>0</v>
      </c>
      <c r="PJ25" s="554">
        <f t="shared" si="375"/>
        <v>0</v>
      </c>
      <c r="PK25" s="553" t="b">
        <f t="shared" si="376"/>
        <v>0</v>
      </c>
      <c r="PL25" s="553">
        <f t="shared" si="377"/>
        <v>0</v>
      </c>
      <c r="PM25" s="553" t="b">
        <f t="shared" si="378"/>
        <v>0</v>
      </c>
      <c r="PN25" s="553">
        <f t="shared" si="379"/>
        <v>0</v>
      </c>
      <c r="PO25" s="553" t="b">
        <f t="shared" si="380"/>
        <v>0</v>
      </c>
      <c r="PP25" s="553">
        <f t="shared" si="381"/>
        <v>0</v>
      </c>
      <c r="PQ25" s="553" t="b">
        <f t="shared" si="382"/>
        <v>0</v>
      </c>
      <c r="PR25" s="553">
        <f t="shared" si="383"/>
        <v>0</v>
      </c>
      <c r="PS25" s="553" t="b">
        <f t="shared" si="384"/>
        <v>0</v>
      </c>
      <c r="PT25" s="553">
        <f t="shared" si="385"/>
        <v>0</v>
      </c>
      <c r="PU25" s="553" t="b">
        <f t="shared" si="386"/>
        <v>0</v>
      </c>
      <c r="PV25" s="553">
        <f t="shared" si="387"/>
        <v>0</v>
      </c>
      <c r="PW25" s="553" t="b">
        <f t="shared" si="388"/>
        <v>0</v>
      </c>
      <c r="PX25" s="553">
        <f t="shared" si="389"/>
        <v>0</v>
      </c>
      <c r="PY25" s="553" t="b">
        <f t="shared" si="390"/>
        <v>0</v>
      </c>
      <c r="PZ25" s="553">
        <f t="shared" si="391"/>
        <v>0</v>
      </c>
      <c r="QA25" s="553" t="b">
        <f t="shared" si="392"/>
        <v>0</v>
      </c>
      <c r="QB25" s="553">
        <f t="shared" si="393"/>
        <v>0</v>
      </c>
      <c r="QC25" s="553" t="b">
        <f t="shared" si="394"/>
        <v>0</v>
      </c>
      <c r="QD25" s="553">
        <f t="shared" si="395"/>
        <v>0</v>
      </c>
      <c r="QE25" s="541" t="str">
        <f t="shared" si="396"/>
        <v/>
      </c>
      <c r="QF25" s="555" t="b">
        <f t="shared" si="397"/>
        <v>0</v>
      </c>
      <c r="QG25" s="605" t="s">
        <v>4606</v>
      </c>
      <c r="QH25" s="606">
        <f>'print 10 lane'!AH148</f>
        <v>0</v>
      </c>
      <c r="QI25" s="607" t="s">
        <v>4607</v>
      </c>
      <c r="QJ25" s="606">
        <f>'print 10 lane'!AH149</f>
        <v>0</v>
      </c>
      <c r="QK25" s="608" t="s">
        <v>4608</v>
      </c>
      <c r="QL25" s="609">
        <f>'print 10 lane'!AH150</f>
        <v>0</v>
      </c>
      <c r="QM25" s="561" t="s">
        <v>4609</v>
      </c>
      <c r="QN25" s="562">
        <f>'print 10 lane'!AH151</f>
        <v>0</v>
      </c>
      <c r="QO25" s="563" t="s">
        <v>4610</v>
      </c>
      <c r="QP25" s="562">
        <f>'print 10 lane'!AH152</f>
        <v>0</v>
      </c>
      <c r="QQ25" s="564" t="s">
        <v>4611</v>
      </c>
      <c r="QR25" s="562">
        <f>'print 10 lane'!AH153</f>
        <v>0</v>
      </c>
      <c r="QS25" s="565" t="s">
        <v>4612</v>
      </c>
      <c r="QT25" s="562">
        <f>'print 10 lane'!AH154</f>
        <v>0</v>
      </c>
      <c r="QU25" s="566" t="s">
        <v>4613</v>
      </c>
      <c r="QV25" s="562">
        <f>'print 10 lane'!AH155</f>
        <v>0</v>
      </c>
      <c r="QW25" s="567" t="s">
        <v>4614</v>
      </c>
      <c r="QX25" s="562">
        <f>'print 10 lane'!AH156</f>
        <v>0</v>
      </c>
      <c r="QY25" s="568" t="s">
        <v>4615</v>
      </c>
      <c r="QZ25" s="562">
        <f>'print 10 lane'!AH157</f>
        <v>0</v>
      </c>
      <c r="RC25" s="610">
        <f t="shared" si="398"/>
        <v>0</v>
      </c>
      <c r="RD25" s="611">
        <f t="shared" si="399"/>
        <v>0</v>
      </c>
      <c r="RR25" s="502">
        <f t="shared" si="400"/>
        <v>0</v>
      </c>
      <c r="RS25" s="1183" t="str">
        <f t="shared" si="401"/>
        <v>More results required for accuracy</v>
      </c>
      <c r="RT25" s="1183"/>
      <c r="RU25" s="1183"/>
      <c r="RV25" s="1183"/>
      <c r="RW25" s="1184">
        <f t="shared" si="402"/>
        <v>0</v>
      </c>
      <c r="RX25" s="1184"/>
      <c r="RY25" s="1185" t="b">
        <f t="shared" si="403"/>
        <v>0</v>
      </c>
      <c r="RZ25" s="1185"/>
      <c r="SA25" s="1185"/>
      <c r="SB25" s="571" t="b">
        <f t="shared" si="404"/>
        <v>0</v>
      </c>
      <c r="SC25" s="572">
        <f t="shared" si="405"/>
        <v>0</v>
      </c>
      <c r="SD25" s="573">
        <f t="shared" si="406"/>
        <v>0</v>
      </c>
      <c r="SE25" s="573">
        <f t="shared" si="407"/>
        <v>0</v>
      </c>
      <c r="SF25" s="575">
        <f t="shared" si="408"/>
        <v>0</v>
      </c>
      <c r="SG25" s="575">
        <f t="shared" si="409"/>
        <v>0</v>
      </c>
      <c r="SH25" s="576" t="b">
        <f t="shared" si="410"/>
        <v>0</v>
      </c>
      <c r="SI25" s="575">
        <f t="shared" si="411"/>
        <v>0</v>
      </c>
      <c r="SJ25" s="575">
        <f t="shared" si="412"/>
        <v>0</v>
      </c>
      <c r="SK25" s="576" t="b">
        <f t="shared" si="413"/>
        <v>0</v>
      </c>
      <c r="SL25" s="575">
        <f t="shared" si="414"/>
        <v>0</v>
      </c>
      <c r="SM25" s="575">
        <f t="shared" si="415"/>
        <v>0</v>
      </c>
      <c r="SN25" s="576" t="b">
        <f t="shared" si="416"/>
        <v>0</v>
      </c>
      <c r="SO25" s="575">
        <f t="shared" si="417"/>
        <v>0</v>
      </c>
      <c r="SP25" s="575">
        <f t="shared" si="418"/>
        <v>0</v>
      </c>
      <c r="SQ25" s="576" t="b">
        <f t="shared" si="419"/>
        <v>0</v>
      </c>
      <c r="SR25" s="575">
        <f t="shared" si="420"/>
        <v>0</v>
      </c>
      <c r="SS25" s="575">
        <f t="shared" si="421"/>
        <v>0</v>
      </c>
      <c r="ST25" s="576" t="b">
        <f t="shared" si="422"/>
        <v>0</v>
      </c>
      <c r="SU25" s="575">
        <f t="shared" si="423"/>
        <v>0</v>
      </c>
      <c r="SV25" s="575">
        <f t="shared" si="424"/>
        <v>0</v>
      </c>
      <c r="SW25" s="576" t="b">
        <f t="shared" si="425"/>
        <v>0</v>
      </c>
      <c r="SX25" s="575">
        <f t="shared" si="426"/>
        <v>0</v>
      </c>
      <c r="SY25" s="575">
        <f t="shared" si="427"/>
        <v>0</v>
      </c>
      <c r="SZ25" s="576" t="b">
        <f t="shared" si="428"/>
        <v>0</v>
      </c>
      <c r="TA25" s="575">
        <f t="shared" si="429"/>
        <v>0</v>
      </c>
      <c r="TB25" s="575">
        <f t="shared" si="430"/>
        <v>0</v>
      </c>
      <c r="TC25" s="576" t="b">
        <f t="shared" si="431"/>
        <v>0</v>
      </c>
      <c r="TD25" s="575">
        <f t="shared" si="432"/>
        <v>0</v>
      </c>
      <c r="TE25" s="575">
        <f t="shared" si="433"/>
        <v>0</v>
      </c>
      <c r="TF25" s="576" t="b">
        <f t="shared" si="434"/>
        <v>0</v>
      </c>
      <c r="TG25" s="575">
        <f t="shared" si="435"/>
        <v>0</v>
      </c>
      <c r="TH25" s="575">
        <f t="shared" si="436"/>
        <v>0</v>
      </c>
      <c r="TI25" s="576" t="b">
        <f t="shared" si="437"/>
        <v>0</v>
      </c>
      <c r="TJ25" s="575">
        <f t="shared" si="438"/>
        <v>0</v>
      </c>
      <c r="TK25" s="575" t="e">
        <f>IF(#REF!=0,0,IF(SI25=1,1,IF(SI25=2,2,IF(SI25=3,3,IF(SI25=4,4,IF(SI25=5,5,IF(SI25=6,6,IF(SI25=7,7,IF(SI25=8,8,IF(SI25=9,9,IF(SI25=10,10,IF(SL25=2,2,IF(SL25=3,3,IF(SL25=4,4,IF(SL25=5,5,IF(SL25=6,6,IF(SL25=7,7,IF(SL25=8,8,IF(SL25=9,9,IF(SL25=10,10,IF(SO25=3,3,IF(SO25=4,4,IF(SO25=5,5,IF(SO25=6,6,IF(SO25=7,7,IF(SO25=8,8,IF(SO25=9,9,IF(SO25=10,10,IF(SR25=4,4,IF(SR25=5,5,IF(SR25=6,6,IF(SR25=7,7,IF(SR25=8,8,IF(SR25=9,9,IF(SR25=10,10,IF(SU25=5,5,IF(SU25=6,6,IF(SU25=7,7,IF(SU25=8,8,IF(SU25=9,9,IF(SU25=10,10,IF(SX25=6,6,IF(SX25=5,5,IF(SX25=7,7,IF(SX25=8,8,IF(SX25=9,9,IF(SX25=10,10,IF(TA25=7,7,IF(TA25=8,8,IF(TA25=9,9,IF(TA25=10,10,IF(TD25=8,8,IF(TD25=9,9,IF(TD25=10,10,IF(TG25=9,9,IF(TG25=10,10,IF(TI25=10,10,(SF25))))))))))))))))))))))))))))))))))))))))))))))))))))))))))</f>
        <v>#REF!</v>
      </c>
      <c r="TL25" s="575" t="e">
        <f>IF(#REF!=0,0,IF(TK25=1,"1st",IF(TK25=2,"2nd",IF(TK25=3,"3rd",IF(TK25=4,"4th",IF(TK25=5,"5th",IF(TK25=6,"6th",IF(TK25=7,"7th",IF(TK25=8,"8th",IF(TK25=9,"9th",IF(TK25=10,"10th")))))))))))</f>
        <v>#REF!</v>
      </c>
      <c r="TM25" s="1186" t="e">
        <f t="shared" si="439"/>
        <v>#REF!</v>
      </c>
      <c r="TN25" s="1186"/>
      <c r="TO25" s="1186"/>
      <c r="TP25" s="1187">
        <f t="shared" si="440"/>
        <v>0</v>
      </c>
      <c r="TQ25" s="1187"/>
      <c r="TR25" s="1187"/>
    </row>
    <row r="26" spans="1:538" ht="30" customHeight="1" x14ac:dyDescent="0.25">
      <c r="A26" s="616">
        <f t="shared" si="1"/>
        <v>0</v>
      </c>
      <c r="B26" s="617">
        <f>'Gala Setup'!$N13</f>
        <v>0</v>
      </c>
      <c r="C26" s="524">
        <f>'Gala Setup'!P13</f>
        <v>0</v>
      </c>
      <c r="D26" s="618"/>
      <c r="E26" s="619"/>
      <c r="F26" s="620"/>
      <c r="G26" s="621" t="str">
        <f>IF($CG$17="10th",CC$17,IF($CG$18="10th",CC$18,IF($CG$19="10th",CC$19,IF($CG$20="10th",CC$20,IF($HCV$34="10th",CC$21,IF($CG$22="10th",CC$22,IF($CG$23="10th",CC$23,IF($CG$24="10th",CC$24,IF($CG$25="10th",CC$25,IF($CG$26="10th",CC$26,"More results required for accuracy"))))))))))</f>
        <v>More results required for accuracy</v>
      </c>
      <c r="H26" s="622">
        <f>IF(C26=0,0,"10th")</f>
        <v>0</v>
      </c>
      <c r="I26" s="622" t="b">
        <f>IF($CG$17="10th",CE$17,IF($CG$18="10th",CE$18,IF($CG$19="10th",CE$19,IF($CG$20="10th",CE$20,IF($HCV$34="10th",CE$21,IF($CG$22="10th",CE$22,IF($CG$23="10th",CE$23,IF($CG$24="10th",CE$24,IF($CG$25="10th",CE$25,IF($CG$26="10th",CE$26))))))))))</f>
        <v>0</v>
      </c>
      <c r="J26" s="623" t="b">
        <f>IF(B$4=0,I26,IF(B$4&gt;0,I26*B$4))</f>
        <v>0</v>
      </c>
      <c r="K26" s="623" t="b">
        <f t="shared" si="3"/>
        <v>0</v>
      </c>
      <c r="L26" s="624"/>
      <c r="M26" s="624" t="b">
        <f>IF($CG$17="10th",CF$17,IF($CG$18="10th",CF$18,IF($CG$19="10th",CF$19,IF($CG$20="10th",CF$20,IF($HCV$34="10th",CF$21,IF($CG$22="10th",CF$22,IF($CG$23="10th",CF$23,IF($CG$24="10th",CF$24,IF($CG$25="10th",CF$25,IF($CG$26="10th",CF$26))))))))))</f>
        <v>0</v>
      </c>
      <c r="N26" s="1200"/>
      <c r="O26" s="1200"/>
      <c r="P26" s="1200"/>
      <c r="Q26" s="1200"/>
      <c r="R26" s="1200"/>
      <c r="S26" s="1200"/>
      <c r="T26" s="625"/>
      <c r="U26" s="626">
        <f>IF(C26=0,0,"10th")</f>
        <v>0</v>
      </c>
      <c r="V26" s="627" t="b">
        <f>IF(C26=G26,E26,IF(C17=G26,E17,IF(C18=G26,E18,IF(C19=G26,E19,IF(C20=G26,E20,IF(C21=G26,E21,IF(C22=G26,E22,IF(C23=G26,E23,IF(C24=G26,E24,IF(C25=G26,E25))))))))))</f>
        <v>0</v>
      </c>
      <c r="W26" s="628"/>
      <c r="X26" s="629">
        <f>IF(C26=0,0,IF($CQ$17="10th",CO$17,IF($CQ$18="10th",CO$18,IF($CQ$19="10th",CO$19,IF($CQ$20="10th",CO$20,IF($CQ$21="10th",CO$21,IF($CQ$22="10th",CO$22,IF($CQ$23="10th",CO$23,IF($CQ$24="10th",CO$24,IF($CQ$25="10th",CO$25,IF($CQ$26="10th",CO$26)))))))))))+D4</f>
        <v>0</v>
      </c>
      <c r="Y26" s="630"/>
      <c r="Z26" s="631">
        <f t="shared" si="4"/>
        <v>0</v>
      </c>
      <c r="AA26" s="624">
        <f>IF(C26=0,0,IF($CQ$17="10th",CP$17,IF($CQ$18="10th",CP$18,IF($CQ$19="10th",CP$19,IF($CQ$20="10th",CP$20,IF($CQ$21="10th",CP$21,IF($CQ$22="10th",CP$22,IF($CQ$23="10th",CP$23,IF($CQ$24="10th",CP$24,IF($CQ$25="10th",CP$25,IF($CQ$26="10th",CP$26)))))))))))</f>
        <v>0</v>
      </c>
      <c r="AB26" s="632">
        <f t="shared" si="5"/>
        <v>0</v>
      </c>
      <c r="AC26" s="632">
        <f t="shared" si="6"/>
        <v>0</v>
      </c>
      <c r="AD26" s="633" t="b">
        <f t="shared" si="7"/>
        <v>0</v>
      </c>
      <c r="AE26" s="634">
        <f t="shared" si="8"/>
        <v>0</v>
      </c>
      <c r="AF26" s="632">
        <f t="shared" si="9"/>
        <v>0</v>
      </c>
      <c r="AG26" s="633" t="b">
        <f t="shared" si="10"/>
        <v>0</v>
      </c>
      <c r="AH26" s="634">
        <f t="shared" si="11"/>
        <v>0</v>
      </c>
      <c r="AI26" s="632">
        <f t="shared" si="12"/>
        <v>0</v>
      </c>
      <c r="AJ26" s="633" t="b">
        <f t="shared" si="13"/>
        <v>0</v>
      </c>
      <c r="AK26" s="634">
        <f t="shared" si="14"/>
        <v>0</v>
      </c>
      <c r="AL26" s="632">
        <f t="shared" si="15"/>
        <v>0</v>
      </c>
      <c r="AM26" s="633" t="b">
        <f t="shared" si="16"/>
        <v>0</v>
      </c>
      <c r="AN26" s="634">
        <f t="shared" si="17"/>
        <v>0</v>
      </c>
      <c r="AO26" s="632">
        <f t="shared" si="18"/>
        <v>0</v>
      </c>
      <c r="AP26" s="633" t="b">
        <f t="shared" si="19"/>
        <v>0</v>
      </c>
      <c r="AQ26" s="634">
        <f t="shared" si="20"/>
        <v>0</v>
      </c>
      <c r="AR26" s="632">
        <f t="shared" si="21"/>
        <v>0</v>
      </c>
      <c r="AS26" s="633" t="b">
        <f t="shared" si="22"/>
        <v>0</v>
      </c>
      <c r="AT26" s="634">
        <f t="shared" si="23"/>
        <v>0</v>
      </c>
      <c r="AU26" s="632">
        <f t="shared" si="24"/>
        <v>0</v>
      </c>
      <c r="AV26" s="633" t="b">
        <f t="shared" si="25"/>
        <v>0</v>
      </c>
      <c r="AW26" s="634">
        <f t="shared" si="26"/>
        <v>0</v>
      </c>
      <c r="AX26" s="632">
        <f t="shared" si="27"/>
        <v>0</v>
      </c>
      <c r="AY26" s="633" t="b">
        <f t="shared" si="28"/>
        <v>0</v>
      </c>
      <c r="AZ26" s="634">
        <f t="shared" si="29"/>
        <v>0</v>
      </c>
      <c r="BA26" s="632">
        <f t="shared" si="30"/>
        <v>0</v>
      </c>
      <c r="BB26" s="633" t="b">
        <f t="shared" si="31"/>
        <v>0</v>
      </c>
      <c r="BC26" s="634">
        <f t="shared" si="32"/>
        <v>0</v>
      </c>
      <c r="BD26" s="632">
        <f t="shared" si="33"/>
        <v>0</v>
      </c>
      <c r="BE26" s="633" t="b">
        <f t="shared" si="34"/>
        <v>0</v>
      </c>
      <c r="BF26" s="634">
        <f t="shared" si="35"/>
        <v>0</v>
      </c>
      <c r="BG26" s="634">
        <f t="shared" si="36"/>
        <v>0</v>
      </c>
      <c r="BH26" s="632">
        <f t="shared" si="37"/>
        <v>0</v>
      </c>
      <c r="BI26" s="1188">
        <f t="shared" si="38"/>
        <v>0</v>
      </c>
      <c r="BJ26" s="1188"/>
      <c r="BK26" s="1188"/>
      <c r="BL26" s="630"/>
      <c r="BM26" s="1189"/>
      <c r="BN26" s="1189"/>
      <c r="BO26" s="1189"/>
      <c r="BP26" s="1224"/>
      <c r="BQ26" s="1181"/>
      <c r="BR26" s="456"/>
      <c r="BS26" s="613"/>
      <c r="BW26" s="635">
        <f t="shared" si="39"/>
        <v>0</v>
      </c>
      <c r="BX26" s="636">
        <f t="shared" si="40"/>
        <v>0</v>
      </c>
      <c r="BY26" s="636">
        <f t="shared" si="41"/>
        <v>0</v>
      </c>
      <c r="BZ26" s="542" t="b">
        <f>IF($CG$17="10th",BW$17,IF($CG$18="10th",BW$18,IF($CG$19="10th",BW$19,IF($CG$20="10th",BW$20,IF($HCV$34="10th",BW$21,IF($CG$22="10th",BW$22,IF($CG$23="10th",BW$23,IF($CG$24="10th",BW$24,IF($CG$25="10th",BW$25,IF($CG$26="10th",BW$26))))))))))</f>
        <v>0</v>
      </c>
      <c r="CA26" s="253" t="b">
        <f>IF($CG$17="10th",BX$17,IF($CG$18="10th",BX$18,IF($CG$19="10th",BX$19,IF($CG$20="10th",BX$20,IF($HCV$34="10th",BX$21,IF($CG$22="10th",BX$22,IF($CG$23="10th",BX$23,IF($CG$24="10th",BX$24,IF($CG$25="10th",BX$25,IF($CG$26="10th",BX$26))))))))))</f>
        <v>0</v>
      </c>
      <c r="CB26" s="253" t="b">
        <f>IF($CG$17="10th",BY$17,IF($CG$18="10th",BY$18,IF($CG$19="10th",BY$19,IF($CG$20="10th",BY$20,IF($HCV$34="10th",BY$21,IF($CG$22="10th",BY$22,IF($CG$23="10th",BY$23,IF($CG$24="10th",BY$24,IF($CG$25="10th",BY$25,IF($CG$26="10th",BY$26))))))))))</f>
        <v>0</v>
      </c>
      <c r="CC26" s="637">
        <f t="shared" si="42"/>
        <v>0</v>
      </c>
      <c r="CD26" s="638" t="b">
        <f t="shared" si="43"/>
        <v>0</v>
      </c>
      <c r="CE26" s="636">
        <f t="shared" si="44"/>
        <v>0</v>
      </c>
      <c r="CF26" s="636">
        <f t="shared" si="45"/>
        <v>0</v>
      </c>
      <c r="CG26" s="638" t="b">
        <f t="shared" si="46"/>
        <v>0</v>
      </c>
      <c r="CH26" s="639" t="str">
        <f t="shared" si="47"/>
        <v>1st</v>
      </c>
      <c r="CI26" s="639">
        <f t="shared" si="48"/>
        <v>0</v>
      </c>
      <c r="CJ26" s="639" t="str">
        <f t="shared" si="49"/>
        <v>2nd</v>
      </c>
      <c r="CK26" s="639">
        <f t="shared" si="50"/>
        <v>0</v>
      </c>
      <c r="CL26" s="639" t="str">
        <f t="shared" si="51"/>
        <v>3rd</v>
      </c>
      <c r="CM26" s="640">
        <f t="shared" si="52"/>
        <v>0</v>
      </c>
      <c r="CO26" s="641">
        <f t="shared" si="53"/>
        <v>0</v>
      </c>
      <c r="CP26" s="636">
        <f t="shared" si="54"/>
        <v>0</v>
      </c>
      <c r="CQ26" s="636">
        <f t="shared" si="55"/>
        <v>0</v>
      </c>
      <c r="CR26" s="1190">
        <f t="shared" si="56"/>
        <v>0</v>
      </c>
      <c r="CS26" s="1190"/>
      <c r="CT26" s="1190"/>
      <c r="CU26" s="459"/>
      <c r="CW26" s="642">
        <f>'print 10 lane'!$AJ6</f>
        <v>0</v>
      </c>
      <c r="CX26" s="643" t="b">
        <f>IF(DB26=1,(10-#REF!),IF(DB26=2,(9-#REF!),IF(DB26=3,(8-#REF!),IF(DB26=4,(7-#REF!),IF(DB26=5,(6-#REF!),IF(DB26=6,(5-#REF!),IF(DB26=7,(4-#REF!),IF(DB26=8,(3-#REF!),IF(DB26=9,(2-#REF!),IF(DB26=10,1))))))))))</f>
        <v>0</v>
      </c>
      <c r="CY26" s="643"/>
      <c r="CZ26" s="644">
        <f t="shared" si="57"/>
        <v>0</v>
      </c>
      <c r="DA26" s="645">
        <f>'print 10 lane'!AK$9</f>
        <v>0</v>
      </c>
      <c r="DB26" s="636" t="str">
        <f>'print 10 lane'!AK$7</f>
        <v/>
      </c>
      <c r="DC26" s="646">
        <f t="shared" si="58"/>
        <v>0</v>
      </c>
      <c r="DD26" s="647" t="b">
        <f t="shared" si="59"/>
        <v>0</v>
      </c>
      <c r="DE26" s="553">
        <f t="shared" si="60"/>
        <v>0</v>
      </c>
      <c r="DF26" s="646">
        <f t="shared" si="61"/>
        <v>0</v>
      </c>
      <c r="DG26" s="647" t="b">
        <f t="shared" si="62"/>
        <v>0</v>
      </c>
      <c r="DH26" s="647" t="b">
        <f t="shared" si="63"/>
        <v>0</v>
      </c>
      <c r="DI26" s="646">
        <f t="shared" si="64"/>
        <v>0</v>
      </c>
      <c r="DJ26" s="647" t="b">
        <f t="shared" si="65"/>
        <v>0</v>
      </c>
      <c r="DK26" s="647" t="b">
        <f t="shared" si="66"/>
        <v>0</v>
      </c>
      <c r="DL26" s="646">
        <f t="shared" si="67"/>
        <v>0</v>
      </c>
      <c r="DM26" s="647" t="b">
        <f t="shared" si="68"/>
        <v>0</v>
      </c>
      <c r="DN26" s="647" t="b">
        <f t="shared" si="69"/>
        <v>0</v>
      </c>
      <c r="DO26" s="646">
        <f t="shared" si="70"/>
        <v>0</v>
      </c>
      <c r="DP26" s="647" t="b">
        <f t="shared" si="71"/>
        <v>0</v>
      </c>
      <c r="DQ26" s="647" t="b">
        <f t="shared" si="72"/>
        <v>0</v>
      </c>
      <c r="DR26" s="646">
        <f t="shared" si="73"/>
        <v>0</v>
      </c>
      <c r="DS26" s="552" t="b">
        <f t="shared" si="74"/>
        <v>0</v>
      </c>
      <c r="DT26" s="647" t="b">
        <f t="shared" si="75"/>
        <v>0</v>
      </c>
      <c r="DU26" s="646">
        <f t="shared" si="76"/>
        <v>0</v>
      </c>
      <c r="DV26" s="647" t="b">
        <f t="shared" si="77"/>
        <v>0</v>
      </c>
      <c r="DW26" s="647" t="b">
        <f t="shared" si="78"/>
        <v>0</v>
      </c>
      <c r="DX26" s="646">
        <f t="shared" si="79"/>
        <v>0</v>
      </c>
      <c r="DY26" s="647" t="b">
        <f t="shared" si="80"/>
        <v>0</v>
      </c>
      <c r="DZ26" s="647" t="b">
        <f t="shared" si="81"/>
        <v>0</v>
      </c>
      <c r="EA26" s="646">
        <f t="shared" si="82"/>
        <v>0</v>
      </c>
      <c r="EB26" s="647" t="b">
        <f t="shared" si="83"/>
        <v>0</v>
      </c>
      <c r="EC26" s="647" t="b">
        <f t="shared" si="84"/>
        <v>0</v>
      </c>
      <c r="ED26" s="646">
        <f t="shared" si="85"/>
        <v>0</v>
      </c>
      <c r="EE26" s="647" t="b">
        <f t="shared" si="86"/>
        <v>0</v>
      </c>
      <c r="EF26" s="552" t="b">
        <f t="shared" si="87"/>
        <v>0</v>
      </c>
      <c r="EG26" s="541" t="str">
        <f t="shared" si="88"/>
        <v/>
      </c>
      <c r="EH26" s="648">
        <f t="shared" si="89"/>
        <v>0</v>
      </c>
      <c r="EI26" s="648">
        <f t="shared" si="90"/>
        <v>0</v>
      </c>
      <c r="EJ26" s="648">
        <f t="shared" si="91"/>
        <v>0</v>
      </c>
      <c r="EK26" s="648">
        <f t="shared" si="92"/>
        <v>0</v>
      </c>
      <c r="EL26" s="648">
        <f t="shared" si="93"/>
        <v>0</v>
      </c>
      <c r="EM26" s="648">
        <f t="shared" si="94"/>
        <v>0</v>
      </c>
      <c r="EN26" s="648">
        <f t="shared" si="95"/>
        <v>0</v>
      </c>
      <c r="EO26" s="648">
        <f t="shared" si="96"/>
        <v>0</v>
      </c>
      <c r="EP26" s="648">
        <f t="shared" si="97"/>
        <v>0</v>
      </c>
      <c r="EQ26" s="648">
        <f t="shared" si="98"/>
        <v>0</v>
      </c>
      <c r="ER26" s="552" t="b">
        <f t="shared" si="99"/>
        <v>0</v>
      </c>
      <c r="ES26" s="553">
        <f t="shared" si="100"/>
        <v>0</v>
      </c>
      <c r="ET26" s="647" t="b">
        <f t="shared" si="101"/>
        <v>0</v>
      </c>
      <c r="EU26" s="553">
        <f t="shared" si="102"/>
        <v>0</v>
      </c>
      <c r="EV26" s="647" t="b">
        <f t="shared" si="103"/>
        <v>0</v>
      </c>
      <c r="EW26" s="553">
        <f t="shared" si="104"/>
        <v>0</v>
      </c>
      <c r="EX26" s="647" t="b">
        <f t="shared" si="105"/>
        <v>0</v>
      </c>
      <c r="EY26" s="553">
        <f t="shared" si="106"/>
        <v>0</v>
      </c>
      <c r="EZ26" s="647" t="b">
        <f t="shared" si="107"/>
        <v>0</v>
      </c>
      <c r="FA26" s="553">
        <f t="shared" si="108"/>
        <v>0</v>
      </c>
      <c r="FB26" s="647" t="b">
        <f t="shared" si="109"/>
        <v>0</v>
      </c>
      <c r="FC26" s="553">
        <f t="shared" si="110"/>
        <v>0</v>
      </c>
      <c r="FD26" s="649" t="b">
        <f t="shared" si="111"/>
        <v>0</v>
      </c>
      <c r="FE26" s="650">
        <f t="shared" si="441"/>
        <v>0</v>
      </c>
      <c r="FF26" s="647" t="b">
        <f t="shared" si="112"/>
        <v>0</v>
      </c>
      <c r="FG26" s="553">
        <f t="shared" si="113"/>
        <v>0</v>
      </c>
      <c r="FH26" s="647" t="b">
        <f t="shared" si="114"/>
        <v>0</v>
      </c>
      <c r="FI26" s="650">
        <f t="shared" si="115"/>
        <v>0</v>
      </c>
      <c r="FJ26" s="647" t="b">
        <f t="shared" si="116"/>
        <v>0</v>
      </c>
      <c r="FK26" s="650">
        <f t="shared" si="117"/>
        <v>0</v>
      </c>
      <c r="FL26" s="541" t="str">
        <f t="shared" si="118"/>
        <v/>
      </c>
      <c r="FM26" s="648">
        <f t="shared" si="119"/>
        <v>0</v>
      </c>
      <c r="FN26" s="648">
        <f t="shared" si="120"/>
        <v>0</v>
      </c>
      <c r="FO26" s="648">
        <f t="shared" si="121"/>
        <v>0</v>
      </c>
      <c r="FP26" s="648">
        <f t="shared" si="122"/>
        <v>0</v>
      </c>
      <c r="FQ26" s="648">
        <f t="shared" si="123"/>
        <v>0</v>
      </c>
      <c r="FR26" s="648">
        <f t="shared" si="124"/>
        <v>0</v>
      </c>
      <c r="FS26" s="648">
        <f t="shared" si="125"/>
        <v>0</v>
      </c>
      <c r="FT26" s="648">
        <f t="shared" si="126"/>
        <v>0</v>
      </c>
      <c r="FU26" s="648">
        <f t="shared" si="127"/>
        <v>0</v>
      </c>
      <c r="FV26" s="648">
        <f t="shared" si="128"/>
        <v>0</v>
      </c>
      <c r="FW26" s="647" t="b">
        <f t="shared" si="129"/>
        <v>0</v>
      </c>
      <c r="FX26" s="553">
        <f t="shared" si="130"/>
        <v>0</v>
      </c>
      <c r="FY26" s="647" t="b">
        <f t="shared" si="131"/>
        <v>0</v>
      </c>
      <c r="FZ26" s="553">
        <f t="shared" si="132"/>
        <v>0</v>
      </c>
      <c r="GA26" s="552" t="b">
        <f t="shared" si="133"/>
        <v>0</v>
      </c>
      <c r="GB26" s="553">
        <f t="shared" si="134"/>
        <v>0</v>
      </c>
      <c r="GC26" s="647" t="b">
        <f t="shared" si="135"/>
        <v>0</v>
      </c>
      <c r="GD26" s="553">
        <f t="shared" si="136"/>
        <v>0</v>
      </c>
      <c r="GE26" s="647" t="b">
        <f t="shared" si="137"/>
        <v>0</v>
      </c>
      <c r="GF26" s="553">
        <f t="shared" si="138"/>
        <v>0</v>
      </c>
      <c r="GG26" s="647" t="b">
        <f t="shared" si="139"/>
        <v>0</v>
      </c>
      <c r="GH26" s="553">
        <f t="shared" si="140"/>
        <v>0</v>
      </c>
      <c r="GI26" s="647" t="b">
        <f t="shared" si="141"/>
        <v>0</v>
      </c>
      <c r="GJ26" s="650">
        <f t="shared" si="442"/>
        <v>0</v>
      </c>
      <c r="GK26" s="647" t="b">
        <f t="shared" si="142"/>
        <v>0</v>
      </c>
      <c r="GL26" s="553">
        <f t="shared" si="143"/>
        <v>0</v>
      </c>
      <c r="GM26" s="647" t="b">
        <f t="shared" si="144"/>
        <v>0</v>
      </c>
      <c r="GN26" s="650">
        <f t="shared" si="145"/>
        <v>0</v>
      </c>
      <c r="GO26" s="647" t="b">
        <f t="shared" si="146"/>
        <v>0</v>
      </c>
      <c r="GP26" s="650">
        <f t="shared" si="147"/>
        <v>0</v>
      </c>
      <c r="GQ26" s="541" t="str">
        <f t="shared" si="148"/>
        <v/>
      </c>
      <c r="GR26" s="554">
        <f t="shared" si="149"/>
        <v>0</v>
      </c>
      <c r="GS26" s="554">
        <f t="shared" si="150"/>
        <v>0</v>
      </c>
      <c r="GT26" s="554">
        <f t="shared" si="151"/>
        <v>0</v>
      </c>
      <c r="GU26" s="554">
        <f t="shared" si="152"/>
        <v>0</v>
      </c>
      <c r="GV26" s="554">
        <f t="shared" si="153"/>
        <v>0</v>
      </c>
      <c r="GW26" s="554">
        <f t="shared" si="154"/>
        <v>0</v>
      </c>
      <c r="GX26" s="554">
        <f t="shared" si="155"/>
        <v>0</v>
      </c>
      <c r="GY26" s="554">
        <f t="shared" si="156"/>
        <v>0</v>
      </c>
      <c r="GZ26" s="554">
        <f t="shared" si="157"/>
        <v>0</v>
      </c>
      <c r="HA26" s="554">
        <f t="shared" si="158"/>
        <v>0</v>
      </c>
      <c r="HB26" s="553" t="b">
        <f t="shared" si="159"/>
        <v>0</v>
      </c>
      <c r="HC26" s="553">
        <f t="shared" si="160"/>
        <v>0</v>
      </c>
      <c r="HD26" s="553" t="b">
        <f t="shared" si="161"/>
        <v>0</v>
      </c>
      <c r="HE26" s="553">
        <f t="shared" si="162"/>
        <v>0</v>
      </c>
      <c r="HF26" s="553" t="b">
        <f t="shared" si="163"/>
        <v>0</v>
      </c>
      <c r="HG26" s="553">
        <f t="shared" si="164"/>
        <v>0</v>
      </c>
      <c r="HH26" s="553" t="b">
        <f t="shared" si="165"/>
        <v>0</v>
      </c>
      <c r="HI26" s="553">
        <f t="shared" si="166"/>
        <v>0</v>
      </c>
      <c r="HJ26" s="553" t="b">
        <f t="shared" si="167"/>
        <v>0</v>
      </c>
      <c r="HK26" s="553">
        <f t="shared" si="168"/>
        <v>0</v>
      </c>
      <c r="HL26" s="553" t="b">
        <f t="shared" si="169"/>
        <v>0</v>
      </c>
      <c r="HM26" s="553">
        <f t="shared" si="170"/>
        <v>0</v>
      </c>
      <c r="HN26" s="553" t="b">
        <f t="shared" si="171"/>
        <v>0</v>
      </c>
      <c r="HO26" s="553">
        <f t="shared" si="172"/>
        <v>0</v>
      </c>
      <c r="HP26" s="553" t="b">
        <f t="shared" si="173"/>
        <v>0</v>
      </c>
      <c r="HQ26" s="553">
        <f t="shared" si="174"/>
        <v>0</v>
      </c>
      <c r="HR26" s="553" t="b">
        <f t="shared" si="175"/>
        <v>0</v>
      </c>
      <c r="HS26" s="553">
        <f t="shared" si="176"/>
        <v>0</v>
      </c>
      <c r="HT26" s="553" t="b">
        <f t="shared" si="177"/>
        <v>0</v>
      </c>
      <c r="HU26" s="553">
        <f t="shared" si="178"/>
        <v>0</v>
      </c>
      <c r="HV26" s="541" t="str">
        <f t="shared" si="179"/>
        <v/>
      </c>
      <c r="HW26" s="554">
        <f t="shared" si="180"/>
        <v>0</v>
      </c>
      <c r="HX26" s="554">
        <f t="shared" si="181"/>
        <v>0</v>
      </c>
      <c r="HY26" s="554">
        <f t="shared" si="182"/>
        <v>0</v>
      </c>
      <c r="HZ26" s="554">
        <f t="shared" si="183"/>
        <v>0</v>
      </c>
      <c r="IA26" s="554">
        <f t="shared" si="184"/>
        <v>0</v>
      </c>
      <c r="IB26" s="554">
        <f t="shared" si="185"/>
        <v>0</v>
      </c>
      <c r="IC26" s="554">
        <f t="shared" si="186"/>
        <v>0</v>
      </c>
      <c r="ID26" s="554">
        <f t="shared" si="187"/>
        <v>0</v>
      </c>
      <c r="IE26" s="554">
        <f t="shared" si="188"/>
        <v>0</v>
      </c>
      <c r="IF26" s="554">
        <f t="shared" si="189"/>
        <v>0</v>
      </c>
      <c r="IG26" s="553" t="b">
        <f t="shared" si="190"/>
        <v>0</v>
      </c>
      <c r="IH26" s="553">
        <f t="shared" si="191"/>
        <v>0</v>
      </c>
      <c r="II26" s="553" t="b">
        <f t="shared" si="192"/>
        <v>0</v>
      </c>
      <c r="IJ26" s="553">
        <f t="shared" si="193"/>
        <v>0</v>
      </c>
      <c r="IK26" s="553" t="b">
        <f t="shared" si="194"/>
        <v>0</v>
      </c>
      <c r="IL26" s="553">
        <f t="shared" si="195"/>
        <v>0</v>
      </c>
      <c r="IM26" s="553" t="b">
        <f t="shared" si="196"/>
        <v>0</v>
      </c>
      <c r="IN26" s="553">
        <f t="shared" si="197"/>
        <v>0</v>
      </c>
      <c r="IO26" s="553" t="b">
        <f t="shared" si="198"/>
        <v>0</v>
      </c>
      <c r="IP26" s="553">
        <f t="shared" si="199"/>
        <v>0</v>
      </c>
      <c r="IQ26" s="553" t="b">
        <f t="shared" si="200"/>
        <v>0</v>
      </c>
      <c r="IR26" s="553">
        <f t="shared" si="201"/>
        <v>0</v>
      </c>
      <c r="IS26" s="553" t="b">
        <f t="shared" si="202"/>
        <v>0</v>
      </c>
      <c r="IT26" s="553">
        <f t="shared" si="203"/>
        <v>0</v>
      </c>
      <c r="IU26" s="553" t="b">
        <f t="shared" si="204"/>
        <v>0</v>
      </c>
      <c r="IV26" s="553">
        <f t="shared" si="205"/>
        <v>0</v>
      </c>
      <c r="IW26" s="553" t="b">
        <f t="shared" si="206"/>
        <v>0</v>
      </c>
      <c r="IX26" s="553">
        <f t="shared" si="207"/>
        <v>0</v>
      </c>
      <c r="IY26" s="553" t="b">
        <f t="shared" si="208"/>
        <v>0</v>
      </c>
      <c r="IZ26" s="553">
        <f t="shared" si="209"/>
        <v>0</v>
      </c>
      <c r="JA26" s="541" t="str">
        <f t="shared" si="210"/>
        <v/>
      </c>
      <c r="JB26" s="554">
        <f t="shared" si="211"/>
        <v>0</v>
      </c>
      <c r="JC26" s="554">
        <f t="shared" si="212"/>
        <v>0</v>
      </c>
      <c r="JD26" s="554">
        <f t="shared" si="213"/>
        <v>0</v>
      </c>
      <c r="JE26" s="554">
        <f t="shared" si="214"/>
        <v>0</v>
      </c>
      <c r="JF26" s="554">
        <f t="shared" si="215"/>
        <v>0</v>
      </c>
      <c r="JG26" s="554">
        <f t="shared" si="216"/>
        <v>0</v>
      </c>
      <c r="JH26" s="554">
        <f t="shared" si="217"/>
        <v>0</v>
      </c>
      <c r="JI26" s="554">
        <f t="shared" si="218"/>
        <v>0</v>
      </c>
      <c r="JJ26" s="554">
        <f t="shared" si="219"/>
        <v>0</v>
      </c>
      <c r="JK26" s="554">
        <f t="shared" si="220"/>
        <v>0</v>
      </c>
      <c r="JL26" s="553" t="b">
        <f t="shared" si="221"/>
        <v>0</v>
      </c>
      <c r="JM26" s="553">
        <f t="shared" si="222"/>
        <v>0</v>
      </c>
      <c r="JN26" s="553" t="b">
        <f t="shared" si="223"/>
        <v>0</v>
      </c>
      <c r="JO26" s="553">
        <f t="shared" si="224"/>
        <v>0</v>
      </c>
      <c r="JP26" s="553" t="b">
        <f t="shared" si="225"/>
        <v>0</v>
      </c>
      <c r="JQ26" s="553">
        <f t="shared" si="226"/>
        <v>0</v>
      </c>
      <c r="JR26" s="553" t="b">
        <f t="shared" si="227"/>
        <v>0</v>
      </c>
      <c r="JS26" s="553">
        <f t="shared" si="228"/>
        <v>0</v>
      </c>
      <c r="JT26" s="553" t="b">
        <f t="shared" si="229"/>
        <v>0</v>
      </c>
      <c r="JU26" s="553">
        <f t="shared" si="230"/>
        <v>0</v>
      </c>
      <c r="JV26" s="553" t="b">
        <f t="shared" si="231"/>
        <v>0</v>
      </c>
      <c r="JW26" s="553">
        <f t="shared" si="232"/>
        <v>0</v>
      </c>
      <c r="JX26" s="553" t="b">
        <f t="shared" si="233"/>
        <v>0</v>
      </c>
      <c r="JY26" s="553">
        <f t="shared" si="234"/>
        <v>0</v>
      </c>
      <c r="JZ26" s="553" t="b">
        <f t="shared" si="235"/>
        <v>0</v>
      </c>
      <c r="KA26" s="553">
        <f t="shared" si="236"/>
        <v>0</v>
      </c>
      <c r="KB26" s="553" t="b">
        <f t="shared" si="237"/>
        <v>0</v>
      </c>
      <c r="KC26" s="553">
        <f t="shared" si="238"/>
        <v>0</v>
      </c>
      <c r="KD26" s="553" t="b">
        <f t="shared" si="239"/>
        <v>0</v>
      </c>
      <c r="KE26" s="553">
        <f t="shared" si="240"/>
        <v>0</v>
      </c>
      <c r="KF26" s="541" t="str">
        <f t="shared" si="241"/>
        <v/>
      </c>
      <c r="KG26" s="554">
        <f t="shared" si="242"/>
        <v>0</v>
      </c>
      <c r="KH26" s="554">
        <f t="shared" si="243"/>
        <v>0</v>
      </c>
      <c r="KI26" s="554">
        <f t="shared" si="244"/>
        <v>0</v>
      </c>
      <c r="KJ26" s="554">
        <f t="shared" si="245"/>
        <v>0</v>
      </c>
      <c r="KK26" s="554">
        <f t="shared" si="246"/>
        <v>0</v>
      </c>
      <c r="KL26" s="554">
        <f t="shared" si="247"/>
        <v>0</v>
      </c>
      <c r="KM26" s="554">
        <f t="shared" si="248"/>
        <v>0</v>
      </c>
      <c r="KN26" s="554">
        <f t="shared" si="249"/>
        <v>0</v>
      </c>
      <c r="KO26" s="554">
        <f t="shared" si="250"/>
        <v>0</v>
      </c>
      <c r="KP26" s="554">
        <f t="shared" si="251"/>
        <v>0</v>
      </c>
      <c r="KQ26" s="553" t="b">
        <f t="shared" si="252"/>
        <v>0</v>
      </c>
      <c r="KR26" s="553">
        <f t="shared" si="253"/>
        <v>0</v>
      </c>
      <c r="KS26" s="553" t="b">
        <f t="shared" si="254"/>
        <v>0</v>
      </c>
      <c r="KT26" s="553">
        <f t="shared" si="255"/>
        <v>0</v>
      </c>
      <c r="KU26" s="553" t="b">
        <f t="shared" si="256"/>
        <v>0</v>
      </c>
      <c r="KV26" s="553">
        <f t="shared" si="257"/>
        <v>0</v>
      </c>
      <c r="KW26" s="553" t="b">
        <f t="shared" si="258"/>
        <v>0</v>
      </c>
      <c r="KX26" s="553">
        <f t="shared" si="259"/>
        <v>0</v>
      </c>
      <c r="KY26" s="553" t="b">
        <f t="shared" si="260"/>
        <v>0</v>
      </c>
      <c r="KZ26" s="553">
        <f t="shared" si="261"/>
        <v>0</v>
      </c>
      <c r="LA26" s="553" t="b">
        <f t="shared" si="262"/>
        <v>0</v>
      </c>
      <c r="LB26" s="553">
        <f t="shared" si="263"/>
        <v>0</v>
      </c>
      <c r="LC26" s="553" t="b">
        <f t="shared" si="264"/>
        <v>0</v>
      </c>
      <c r="LD26" s="553">
        <f t="shared" si="265"/>
        <v>0</v>
      </c>
      <c r="LE26" s="553" t="b">
        <f t="shared" si="266"/>
        <v>0</v>
      </c>
      <c r="LF26" s="553">
        <f t="shared" si="267"/>
        <v>0</v>
      </c>
      <c r="LG26" s="553" t="b">
        <f t="shared" si="268"/>
        <v>0</v>
      </c>
      <c r="LH26" s="553">
        <f t="shared" si="269"/>
        <v>0</v>
      </c>
      <c r="LI26" s="553" t="b">
        <f t="shared" si="270"/>
        <v>0</v>
      </c>
      <c r="LJ26" s="553">
        <f t="shared" si="271"/>
        <v>0</v>
      </c>
      <c r="LK26" s="541" t="str">
        <f t="shared" si="272"/>
        <v/>
      </c>
      <c r="LL26" s="554">
        <f t="shared" si="273"/>
        <v>0</v>
      </c>
      <c r="LM26" s="554">
        <f t="shared" si="274"/>
        <v>0</v>
      </c>
      <c r="LN26" s="554">
        <f t="shared" si="275"/>
        <v>0</v>
      </c>
      <c r="LO26" s="554">
        <f t="shared" si="276"/>
        <v>0</v>
      </c>
      <c r="LP26" s="554">
        <f t="shared" si="277"/>
        <v>0</v>
      </c>
      <c r="LQ26" s="554">
        <f t="shared" si="278"/>
        <v>0</v>
      </c>
      <c r="LR26" s="554">
        <f t="shared" si="279"/>
        <v>0</v>
      </c>
      <c r="LS26" s="554">
        <f t="shared" si="280"/>
        <v>0</v>
      </c>
      <c r="LT26" s="554">
        <f t="shared" si="281"/>
        <v>0</v>
      </c>
      <c r="LU26" s="554">
        <f t="shared" si="282"/>
        <v>0</v>
      </c>
      <c r="LV26" s="553" t="b">
        <f t="shared" si="283"/>
        <v>0</v>
      </c>
      <c r="LW26" s="553">
        <f t="shared" si="284"/>
        <v>0</v>
      </c>
      <c r="LX26" s="553" t="b">
        <f t="shared" si="285"/>
        <v>0</v>
      </c>
      <c r="LY26" s="553">
        <f t="shared" si="286"/>
        <v>0</v>
      </c>
      <c r="LZ26" s="553" t="b">
        <f t="shared" si="287"/>
        <v>0</v>
      </c>
      <c r="MA26" s="553">
        <f t="shared" si="288"/>
        <v>0</v>
      </c>
      <c r="MB26" s="553" t="b">
        <f t="shared" si="289"/>
        <v>0</v>
      </c>
      <c r="MC26" s="553">
        <f t="shared" si="290"/>
        <v>0</v>
      </c>
      <c r="MD26" s="553" t="b">
        <f t="shared" si="291"/>
        <v>0</v>
      </c>
      <c r="ME26" s="553">
        <f t="shared" si="292"/>
        <v>0</v>
      </c>
      <c r="MF26" s="553" t="b">
        <f t="shared" si="293"/>
        <v>0</v>
      </c>
      <c r="MG26" s="553">
        <f t="shared" si="294"/>
        <v>0</v>
      </c>
      <c r="MH26" s="553" t="b">
        <f t="shared" si="295"/>
        <v>0</v>
      </c>
      <c r="MI26" s="553">
        <f t="shared" si="296"/>
        <v>0</v>
      </c>
      <c r="MJ26" s="553" t="b">
        <f t="shared" si="297"/>
        <v>0</v>
      </c>
      <c r="MK26" s="553">
        <f t="shared" si="298"/>
        <v>0</v>
      </c>
      <c r="ML26" s="553" t="b">
        <f t="shared" si="299"/>
        <v>0</v>
      </c>
      <c r="MM26" s="553">
        <f t="shared" si="300"/>
        <v>0</v>
      </c>
      <c r="MN26" s="553" t="b">
        <f t="shared" si="301"/>
        <v>0</v>
      </c>
      <c r="MO26" s="553">
        <f t="shared" si="302"/>
        <v>0</v>
      </c>
      <c r="MP26" s="541" t="str">
        <f t="shared" si="303"/>
        <v/>
      </c>
      <c r="MQ26" s="554">
        <f t="shared" si="304"/>
        <v>0</v>
      </c>
      <c r="MR26" s="554">
        <f t="shared" si="305"/>
        <v>0</v>
      </c>
      <c r="MS26" s="554">
        <f t="shared" si="306"/>
        <v>0</v>
      </c>
      <c r="MT26" s="554">
        <f t="shared" si="307"/>
        <v>0</v>
      </c>
      <c r="MU26" s="554">
        <f t="shared" si="308"/>
        <v>0</v>
      </c>
      <c r="MV26" s="554">
        <f t="shared" si="309"/>
        <v>0</v>
      </c>
      <c r="MW26" s="554">
        <f t="shared" si="310"/>
        <v>0</v>
      </c>
      <c r="MX26" s="554">
        <f t="shared" si="311"/>
        <v>0</v>
      </c>
      <c r="MY26" s="554">
        <f t="shared" si="312"/>
        <v>0</v>
      </c>
      <c r="MZ26" s="554">
        <f t="shared" si="313"/>
        <v>0</v>
      </c>
      <c r="NA26" s="553" t="b">
        <f t="shared" si="314"/>
        <v>0</v>
      </c>
      <c r="NB26" s="553">
        <f t="shared" si="315"/>
        <v>0</v>
      </c>
      <c r="NC26" s="553" t="b">
        <f t="shared" si="316"/>
        <v>0</v>
      </c>
      <c r="ND26" s="553">
        <f t="shared" si="317"/>
        <v>0</v>
      </c>
      <c r="NE26" s="553" t="b">
        <f t="shared" si="318"/>
        <v>0</v>
      </c>
      <c r="NF26" s="553">
        <f t="shared" si="319"/>
        <v>0</v>
      </c>
      <c r="NG26" s="553" t="b">
        <f t="shared" si="320"/>
        <v>0</v>
      </c>
      <c r="NH26" s="553">
        <f t="shared" si="321"/>
        <v>0</v>
      </c>
      <c r="NI26" s="553" t="b">
        <f t="shared" si="322"/>
        <v>0</v>
      </c>
      <c r="NJ26" s="553">
        <f t="shared" si="323"/>
        <v>0</v>
      </c>
      <c r="NK26" s="553" t="b">
        <f t="shared" si="324"/>
        <v>0</v>
      </c>
      <c r="NL26" s="553">
        <f t="shared" si="325"/>
        <v>0</v>
      </c>
      <c r="NM26" s="553" t="b">
        <f t="shared" si="326"/>
        <v>0</v>
      </c>
      <c r="NN26" s="553">
        <f t="shared" si="327"/>
        <v>0</v>
      </c>
      <c r="NO26" s="553" t="b">
        <f t="shared" si="328"/>
        <v>0</v>
      </c>
      <c r="NP26" s="553">
        <f t="shared" si="329"/>
        <v>0</v>
      </c>
      <c r="NQ26" s="553" t="b">
        <f t="shared" si="330"/>
        <v>0</v>
      </c>
      <c r="NR26" s="553">
        <f t="shared" si="331"/>
        <v>0</v>
      </c>
      <c r="NS26" s="553" t="b">
        <f t="shared" si="332"/>
        <v>0</v>
      </c>
      <c r="NT26" s="553">
        <f t="shared" si="333"/>
        <v>0</v>
      </c>
      <c r="NU26" s="541" t="str">
        <f t="shared" si="334"/>
        <v/>
      </c>
      <c r="NV26" s="554">
        <f t="shared" si="335"/>
        <v>0</v>
      </c>
      <c r="NW26" s="554">
        <f t="shared" si="336"/>
        <v>0</v>
      </c>
      <c r="NX26" s="554">
        <f t="shared" si="337"/>
        <v>0</v>
      </c>
      <c r="NY26" s="554">
        <f t="shared" si="338"/>
        <v>0</v>
      </c>
      <c r="NZ26" s="554">
        <f t="shared" si="339"/>
        <v>0</v>
      </c>
      <c r="OA26" s="554">
        <f t="shared" si="340"/>
        <v>0</v>
      </c>
      <c r="OB26" s="554">
        <f t="shared" si="341"/>
        <v>0</v>
      </c>
      <c r="OC26" s="554">
        <f t="shared" si="342"/>
        <v>0</v>
      </c>
      <c r="OD26" s="554">
        <f t="shared" si="343"/>
        <v>0</v>
      </c>
      <c r="OE26" s="554">
        <f t="shared" si="344"/>
        <v>0</v>
      </c>
      <c r="OF26" s="553" t="b">
        <f t="shared" si="345"/>
        <v>0</v>
      </c>
      <c r="OG26" s="553">
        <f t="shared" si="346"/>
        <v>0</v>
      </c>
      <c r="OH26" s="553" t="b">
        <f t="shared" si="347"/>
        <v>0</v>
      </c>
      <c r="OI26" s="553">
        <f t="shared" si="348"/>
        <v>0</v>
      </c>
      <c r="OJ26" s="553" t="b">
        <f t="shared" si="349"/>
        <v>0</v>
      </c>
      <c r="OK26" s="553">
        <f t="shared" si="350"/>
        <v>0</v>
      </c>
      <c r="OL26" s="553" t="b">
        <f t="shared" si="351"/>
        <v>0</v>
      </c>
      <c r="OM26" s="553">
        <f t="shared" si="352"/>
        <v>0</v>
      </c>
      <c r="ON26" s="553" t="b">
        <f t="shared" si="353"/>
        <v>0</v>
      </c>
      <c r="OO26" s="553">
        <f t="shared" si="354"/>
        <v>0</v>
      </c>
      <c r="OP26" s="553" t="b">
        <f t="shared" si="355"/>
        <v>0</v>
      </c>
      <c r="OQ26" s="553">
        <f t="shared" si="356"/>
        <v>0</v>
      </c>
      <c r="OR26" s="553" t="b">
        <f t="shared" si="357"/>
        <v>0</v>
      </c>
      <c r="OS26" s="553">
        <f t="shared" si="358"/>
        <v>0</v>
      </c>
      <c r="OT26" s="553" t="b">
        <f t="shared" si="359"/>
        <v>0</v>
      </c>
      <c r="OU26" s="553">
        <f t="shared" si="360"/>
        <v>0</v>
      </c>
      <c r="OV26" s="553" t="b">
        <f t="shared" si="361"/>
        <v>0</v>
      </c>
      <c r="OW26" s="553">
        <f t="shared" si="362"/>
        <v>0</v>
      </c>
      <c r="OX26" s="553" t="b">
        <f t="shared" si="363"/>
        <v>0</v>
      </c>
      <c r="OY26" s="553">
        <f t="shared" si="364"/>
        <v>0</v>
      </c>
      <c r="OZ26" s="541" t="str">
        <f t="shared" si="365"/>
        <v/>
      </c>
      <c r="PA26" s="554">
        <f t="shared" si="366"/>
        <v>0</v>
      </c>
      <c r="PB26" s="554">
        <f t="shared" si="367"/>
        <v>0</v>
      </c>
      <c r="PC26" s="554">
        <f t="shared" si="368"/>
        <v>0</v>
      </c>
      <c r="PD26" s="554">
        <f t="shared" si="369"/>
        <v>0</v>
      </c>
      <c r="PE26" s="554">
        <f t="shared" si="370"/>
        <v>0</v>
      </c>
      <c r="PF26" s="554">
        <f t="shared" si="371"/>
        <v>0</v>
      </c>
      <c r="PG26" s="554">
        <f t="shared" si="372"/>
        <v>0</v>
      </c>
      <c r="PH26" s="554">
        <f t="shared" si="373"/>
        <v>0</v>
      </c>
      <c r="PI26" s="554">
        <f t="shared" si="374"/>
        <v>0</v>
      </c>
      <c r="PJ26" s="554">
        <f t="shared" si="375"/>
        <v>0</v>
      </c>
      <c r="PK26" s="553" t="b">
        <f t="shared" si="376"/>
        <v>0</v>
      </c>
      <c r="PL26" s="553">
        <f t="shared" si="377"/>
        <v>0</v>
      </c>
      <c r="PM26" s="553" t="b">
        <f t="shared" si="378"/>
        <v>0</v>
      </c>
      <c r="PN26" s="553">
        <f t="shared" si="379"/>
        <v>0</v>
      </c>
      <c r="PO26" s="553" t="b">
        <f t="shared" si="380"/>
        <v>0</v>
      </c>
      <c r="PP26" s="553">
        <f t="shared" si="381"/>
        <v>0</v>
      </c>
      <c r="PQ26" s="553" t="b">
        <f t="shared" si="382"/>
        <v>0</v>
      </c>
      <c r="PR26" s="553">
        <f t="shared" si="383"/>
        <v>0</v>
      </c>
      <c r="PS26" s="553" t="b">
        <f t="shared" si="384"/>
        <v>0</v>
      </c>
      <c r="PT26" s="553">
        <f t="shared" si="385"/>
        <v>0</v>
      </c>
      <c r="PU26" s="553" t="b">
        <f t="shared" si="386"/>
        <v>0</v>
      </c>
      <c r="PV26" s="553">
        <f t="shared" si="387"/>
        <v>0</v>
      </c>
      <c r="PW26" s="553" t="b">
        <f t="shared" si="388"/>
        <v>0</v>
      </c>
      <c r="PX26" s="553">
        <f t="shared" si="389"/>
        <v>0</v>
      </c>
      <c r="PY26" s="553" t="b">
        <f t="shared" si="390"/>
        <v>0</v>
      </c>
      <c r="PZ26" s="553">
        <f t="shared" si="391"/>
        <v>0</v>
      </c>
      <c r="QA26" s="553" t="b">
        <f t="shared" si="392"/>
        <v>0</v>
      </c>
      <c r="QB26" s="553">
        <f t="shared" si="393"/>
        <v>0</v>
      </c>
      <c r="QC26" s="553" t="b">
        <f t="shared" si="394"/>
        <v>0</v>
      </c>
      <c r="QD26" s="553">
        <f t="shared" si="395"/>
        <v>0</v>
      </c>
      <c r="QE26" s="541" t="str">
        <f t="shared" si="396"/>
        <v/>
      </c>
      <c r="QF26" s="555" t="b">
        <f t="shared" si="397"/>
        <v>0</v>
      </c>
      <c r="QG26" s="651" t="s">
        <v>4606</v>
      </c>
      <c r="QH26" s="652">
        <f>'print 10 lane'!AK148</f>
        <v>0</v>
      </c>
      <c r="QI26" s="653" t="s">
        <v>4607</v>
      </c>
      <c r="QJ26" s="652">
        <f>'print 10 lane'!AK149</f>
        <v>0</v>
      </c>
      <c r="QK26" s="654" t="s">
        <v>4608</v>
      </c>
      <c r="QL26" s="655">
        <f>'print 10 lane'!AK150</f>
        <v>0</v>
      </c>
      <c r="QM26" s="561" t="s">
        <v>4609</v>
      </c>
      <c r="QN26" s="562">
        <f>'print 10 lane'!AK151</f>
        <v>0</v>
      </c>
      <c r="QO26" s="563" t="s">
        <v>4610</v>
      </c>
      <c r="QP26" s="562">
        <f>'print 10 lane'!AK152</f>
        <v>0</v>
      </c>
      <c r="QQ26" s="564" t="s">
        <v>4611</v>
      </c>
      <c r="QR26" s="562">
        <f>'print 10 lane'!AK153</f>
        <v>0</v>
      </c>
      <c r="QS26" s="565" t="s">
        <v>4612</v>
      </c>
      <c r="QT26" s="562">
        <f>'print 10 lane'!AK154</f>
        <v>0</v>
      </c>
      <c r="QU26" s="566" t="s">
        <v>4613</v>
      </c>
      <c r="QV26" s="562">
        <f>'print 10 lane'!AK155</f>
        <v>0</v>
      </c>
      <c r="QW26" s="567" t="s">
        <v>4614</v>
      </c>
      <c r="QX26" s="562">
        <f>'print 10 lane'!AK156</f>
        <v>0</v>
      </c>
      <c r="QY26" s="568" t="s">
        <v>4615</v>
      </c>
      <c r="QZ26" s="562">
        <f>'print 10 lane'!AK157</f>
        <v>0</v>
      </c>
      <c r="RC26" s="656">
        <f t="shared" si="398"/>
        <v>0</v>
      </c>
      <c r="RD26" s="657">
        <f t="shared" si="399"/>
        <v>0</v>
      </c>
      <c r="RR26" s="658">
        <f t="shared" si="400"/>
        <v>0</v>
      </c>
      <c r="RS26" s="1183" t="str">
        <f t="shared" si="401"/>
        <v>More results required for accuracy</v>
      </c>
      <c r="RT26" s="1183"/>
      <c r="RU26" s="1183"/>
      <c r="RV26" s="1183"/>
      <c r="RW26" s="1191">
        <f t="shared" si="402"/>
        <v>0</v>
      </c>
      <c r="RX26" s="1191"/>
      <c r="RY26" s="1185" t="b">
        <f t="shared" si="403"/>
        <v>0</v>
      </c>
      <c r="RZ26" s="1185"/>
      <c r="SA26" s="1185"/>
      <c r="SB26" s="659" t="b">
        <f t="shared" si="404"/>
        <v>0</v>
      </c>
      <c r="SC26" s="660">
        <f t="shared" si="405"/>
        <v>0</v>
      </c>
      <c r="SD26" s="661">
        <f t="shared" si="406"/>
        <v>0</v>
      </c>
      <c r="SE26" s="661">
        <f t="shared" si="407"/>
        <v>0</v>
      </c>
      <c r="SF26" s="662">
        <f t="shared" si="408"/>
        <v>0</v>
      </c>
      <c r="SG26" s="662">
        <f t="shared" si="409"/>
        <v>0</v>
      </c>
      <c r="SH26" s="663" t="b">
        <f t="shared" si="410"/>
        <v>0</v>
      </c>
      <c r="SI26" s="662">
        <f t="shared" si="411"/>
        <v>0</v>
      </c>
      <c r="SJ26" s="662">
        <f t="shared" si="412"/>
        <v>0</v>
      </c>
      <c r="SK26" s="663" t="b">
        <f t="shared" si="413"/>
        <v>0</v>
      </c>
      <c r="SL26" s="662">
        <f t="shared" si="414"/>
        <v>0</v>
      </c>
      <c r="SM26" s="662">
        <f t="shared" si="415"/>
        <v>0</v>
      </c>
      <c r="SN26" s="663" t="b">
        <f t="shared" si="416"/>
        <v>0</v>
      </c>
      <c r="SO26" s="662">
        <f t="shared" si="417"/>
        <v>0</v>
      </c>
      <c r="SP26" s="662">
        <f t="shared" si="418"/>
        <v>0</v>
      </c>
      <c r="SQ26" s="663" t="b">
        <f t="shared" si="419"/>
        <v>0</v>
      </c>
      <c r="SR26" s="662">
        <f t="shared" si="420"/>
        <v>0</v>
      </c>
      <c r="SS26" s="662">
        <f t="shared" si="421"/>
        <v>0</v>
      </c>
      <c r="ST26" s="663" t="b">
        <f t="shared" si="422"/>
        <v>0</v>
      </c>
      <c r="SU26" s="662">
        <f t="shared" si="423"/>
        <v>0</v>
      </c>
      <c r="SV26" s="662">
        <f t="shared" si="424"/>
        <v>0</v>
      </c>
      <c r="SW26" s="663" t="b">
        <f t="shared" si="425"/>
        <v>0</v>
      </c>
      <c r="SX26" s="662">
        <f t="shared" si="426"/>
        <v>0</v>
      </c>
      <c r="SY26" s="662">
        <f t="shared" si="427"/>
        <v>0</v>
      </c>
      <c r="SZ26" s="663" t="b">
        <f t="shared" si="428"/>
        <v>0</v>
      </c>
      <c r="TA26" s="662">
        <f t="shared" si="429"/>
        <v>0</v>
      </c>
      <c r="TB26" s="662">
        <f t="shared" si="430"/>
        <v>0</v>
      </c>
      <c r="TC26" s="663" t="b">
        <f t="shared" si="431"/>
        <v>0</v>
      </c>
      <c r="TD26" s="662">
        <f t="shared" si="432"/>
        <v>0</v>
      </c>
      <c r="TE26" s="662">
        <f t="shared" si="433"/>
        <v>0</v>
      </c>
      <c r="TF26" s="663" t="b">
        <f t="shared" si="434"/>
        <v>0</v>
      </c>
      <c r="TG26" s="662">
        <f t="shared" si="435"/>
        <v>0</v>
      </c>
      <c r="TH26" s="662">
        <f t="shared" si="436"/>
        <v>0</v>
      </c>
      <c r="TI26" s="663" t="b">
        <f t="shared" si="437"/>
        <v>0</v>
      </c>
      <c r="TJ26" s="662">
        <f t="shared" si="438"/>
        <v>0</v>
      </c>
      <c r="TK26" s="662" t="e">
        <f>IF(#REF!=0,0,IF(SI26=1,1,IF(SI26=2,2,IF(SI26=3,3,IF(SI26=4,4,IF(SI26=5,5,IF(SI26=6,6,IF(SI26=7,7,IF(SI26=8,8,IF(SI26=9,9,IF(SI26=10,10,IF(SL26=2,2,IF(SL26=3,3,IF(SL26=4,4,IF(SL26=5,5,IF(SL26=6,6,IF(SL26=7,7,IF(SL26=8,8,IF(SL26=9,9,IF(SL26=10,10,IF(SO26=3,3,IF(SO26=4,4,IF(SO26=5,5,IF(SO26=6,6,IF(SO26=7,7,IF(SO26=8,8,IF(SO26=9,9,IF(SO26=10,10,IF(SR26=4,4,IF(SR26=5,5,IF(SR26=6,6,IF(SR26=7,7,IF(SR26=8,8,IF(SR26=9,9,IF(SR26=10,10,IF(SU26=5,5,IF(SU26=6,6,IF(SU26=7,7,IF(SU26=8,8,IF(SU26=9,9,IF(SU26=10,10,IF(SX26=6,6,IF(SX26=5,5,IF(SX26=7,7,IF(SX26=8,8,IF(SX26=9,9,IF(SX26=10,10,IF(TA26=7,7,IF(TA26=8,8,IF(TA26=9,9,IF(TA26=10,10,IF(TD26=8,8,IF(TD26=9,9,IF(TD26=10,10,IF(TG26=9,9,IF(TG26=10,10,IF(TI26=10,10,(SF26))))))))))))))))))))))))))))))))))))))))))))))))))))))))))</f>
        <v>#REF!</v>
      </c>
      <c r="TL26" s="662" t="e">
        <f>IF(#REF!=0,0,IF(TK26=1,"1st",IF(TK26=2,"2nd",IF(TK26=3,"3rd",IF(TK26=4,"4th",IF(TK26=5,"5th",IF(TK26=6,"6th",IF(TK26=7,"7th",IF(TK26=8,"8th",IF(TK26=9,"9th",IF(TK26=10,"10th")))))))))))</f>
        <v>#REF!</v>
      </c>
      <c r="TM26" s="1192" t="e">
        <f t="shared" si="439"/>
        <v>#REF!</v>
      </c>
      <c r="TN26" s="1192"/>
      <c r="TO26" s="1192"/>
      <c r="TP26" s="1193">
        <f t="shared" si="440"/>
        <v>0</v>
      </c>
      <c r="TQ26" s="1193"/>
      <c r="TR26" s="1193"/>
    </row>
    <row r="27" spans="1:538" ht="15" customHeight="1" x14ac:dyDescent="0.4">
      <c r="A27" s="664"/>
      <c r="B27" s="665"/>
      <c r="C27" s="666"/>
      <c r="D27" s="667"/>
      <c r="E27" s="668"/>
      <c r="F27" s="669"/>
      <c r="G27" s="670"/>
      <c r="H27" s="671"/>
      <c r="I27" s="671"/>
      <c r="J27" s="671"/>
      <c r="K27" s="671"/>
      <c r="L27" s="671"/>
      <c r="M27" s="671"/>
      <c r="N27" s="672" t="s">
        <v>4620</v>
      </c>
      <c r="O27" s="671"/>
      <c r="P27" s="673"/>
      <c r="Q27" s="671"/>
      <c r="R27" s="673"/>
      <c r="S27" s="671"/>
      <c r="T27" s="674"/>
      <c r="U27" s="671"/>
      <c r="V27" s="671"/>
      <c r="W27" s="671"/>
      <c r="X27" s="671"/>
      <c r="Y27" s="671"/>
      <c r="Z27" s="671"/>
      <c r="AA27" s="671"/>
      <c r="AB27" s="166"/>
      <c r="AC27" s="166"/>
      <c r="AD27" s="166"/>
      <c r="AE27" s="166"/>
      <c r="AF27" s="166"/>
      <c r="AG27" s="166"/>
      <c r="AH27" s="166"/>
      <c r="AI27" s="166"/>
      <c r="AJ27" s="166"/>
      <c r="AK27" s="166"/>
      <c r="AL27" s="166"/>
      <c r="AM27" s="166"/>
      <c r="AN27" s="166"/>
      <c r="AO27" s="166"/>
      <c r="AP27" s="166"/>
      <c r="AQ27" s="166"/>
      <c r="AR27" s="166"/>
      <c r="AS27" s="166"/>
      <c r="AT27" s="166"/>
      <c r="AU27" s="166"/>
      <c r="AV27" s="166"/>
      <c r="AW27" s="166"/>
      <c r="AX27" s="166"/>
      <c r="AY27" s="166"/>
      <c r="AZ27" s="166"/>
      <c r="BA27" s="166"/>
      <c r="BB27" s="166"/>
      <c r="BC27" s="166"/>
      <c r="BD27" s="166"/>
      <c r="BE27" s="166"/>
      <c r="BF27" s="166"/>
      <c r="BG27" s="166"/>
      <c r="BH27" s="166"/>
      <c r="BI27" s="166"/>
      <c r="BJ27" s="166"/>
      <c r="BK27" s="166"/>
      <c r="BL27" s="166"/>
      <c r="BM27" s="675"/>
      <c r="BN27" s="675"/>
      <c r="BO27" s="675"/>
      <c r="BP27" s="676"/>
      <c r="BQ27" s="456"/>
      <c r="BR27" s="677"/>
      <c r="BS27" s="459"/>
      <c r="BZ27" s="678"/>
      <c r="CA27" s="679"/>
      <c r="CB27" s="679"/>
      <c r="CC27" s="48"/>
      <c r="CD27" s="680"/>
      <c r="CE27" s="680"/>
      <c r="CF27" s="680"/>
      <c r="CG27" s="680"/>
      <c r="CH27" s="681"/>
      <c r="CI27" s="681"/>
      <c r="CJ27" s="681"/>
      <c r="CK27" s="681"/>
      <c r="CL27" s="681"/>
      <c r="CM27" s="681"/>
      <c r="CO27" s="680"/>
      <c r="CP27" s="680"/>
      <c r="CQ27" s="680"/>
      <c r="CR27" s="682"/>
      <c r="CS27" s="682"/>
      <c r="CT27" s="682"/>
      <c r="CU27" s="459"/>
      <c r="CW27" s="682"/>
      <c r="CX27" s="683"/>
      <c r="CY27" s="683"/>
      <c r="CZ27" s="684"/>
      <c r="DA27" s="685"/>
      <c r="DB27" s="680"/>
      <c r="DC27" s="686"/>
      <c r="DD27" s="687"/>
      <c r="DE27" s="687"/>
      <c r="DF27" s="686"/>
      <c r="DG27" s="687"/>
      <c r="DH27" s="687"/>
      <c r="DI27" s="686"/>
      <c r="DJ27" s="687"/>
      <c r="DK27" s="687"/>
      <c r="DL27" s="686"/>
      <c r="DM27" s="687"/>
      <c r="DN27" s="687"/>
      <c r="DO27" s="686"/>
      <c r="DP27" s="687"/>
      <c r="DQ27" s="687"/>
      <c r="DR27" s="686"/>
      <c r="DS27" s="687"/>
      <c r="DT27" s="687"/>
      <c r="DU27" s="686"/>
      <c r="DV27" s="687"/>
      <c r="DW27" s="687"/>
      <c r="DX27" s="686"/>
      <c r="DY27" s="687"/>
      <c r="DZ27" s="687"/>
      <c r="EA27" s="686"/>
      <c r="EB27" s="687"/>
      <c r="EC27" s="687"/>
      <c r="ED27" s="686"/>
      <c r="EE27" s="687"/>
      <c r="EF27" s="687"/>
      <c r="EG27" s="680"/>
      <c r="EH27" s="688"/>
      <c r="EI27" s="688"/>
      <c r="EJ27" s="688"/>
      <c r="EK27" s="688"/>
      <c r="EL27" s="688"/>
      <c r="EM27" s="688"/>
      <c r="EN27" s="688"/>
      <c r="EO27" s="688"/>
      <c r="EP27" s="688"/>
      <c r="EQ27" s="688"/>
      <c r="ER27" s="687"/>
      <c r="ES27" s="687"/>
      <c r="ET27" s="687"/>
      <c r="EU27" s="687"/>
      <c r="EV27" s="687"/>
      <c r="EW27" s="687"/>
      <c r="EX27" s="687"/>
      <c r="EY27" s="687"/>
      <c r="EZ27" s="687"/>
      <c r="FA27" s="687"/>
      <c r="FB27" s="687"/>
      <c r="FC27" s="687"/>
      <c r="FD27" s="687"/>
      <c r="FE27" s="687"/>
      <c r="FF27" s="687"/>
      <c r="FG27" s="687"/>
      <c r="FH27" s="687"/>
      <c r="FI27" s="687"/>
      <c r="FJ27" s="687"/>
      <c r="FK27" s="687"/>
      <c r="FL27" s="680"/>
      <c r="FM27" s="688"/>
      <c r="FN27" s="688"/>
      <c r="FO27" s="688"/>
      <c r="FP27" s="688"/>
      <c r="FQ27" s="688"/>
      <c r="FR27" s="688"/>
      <c r="FS27" s="688"/>
      <c r="FT27" s="688"/>
      <c r="FU27" s="688"/>
      <c r="FV27" s="688"/>
      <c r="FW27" s="687"/>
      <c r="FX27" s="687"/>
      <c r="FY27" s="687"/>
      <c r="FZ27" s="687"/>
      <c r="GA27" s="687"/>
      <c r="GB27" s="687"/>
      <c r="GC27" s="687"/>
      <c r="GD27" s="687"/>
      <c r="GE27" s="687"/>
      <c r="GF27" s="687"/>
      <c r="GG27" s="687"/>
      <c r="GH27" s="687"/>
      <c r="GI27" s="687"/>
      <c r="GJ27" s="687"/>
      <c r="GK27" s="687"/>
      <c r="GL27" s="687"/>
      <c r="GM27" s="687"/>
      <c r="GN27" s="687"/>
      <c r="GO27" s="687"/>
      <c r="GP27" s="687"/>
      <c r="GQ27" s="680"/>
      <c r="GR27" s="688"/>
      <c r="GS27" s="688"/>
      <c r="GT27" s="688"/>
      <c r="GU27" s="688"/>
      <c r="GV27" s="688"/>
      <c r="GW27" s="688"/>
      <c r="GX27" s="688"/>
      <c r="GY27" s="688"/>
      <c r="GZ27" s="688"/>
      <c r="HA27" s="688"/>
      <c r="HB27" s="687"/>
      <c r="HC27" s="687"/>
      <c r="HD27" s="687"/>
      <c r="HE27" s="687"/>
      <c r="HF27" s="687"/>
      <c r="HG27" s="687"/>
      <c r="HH27" s="687"/>
      <c r="HI27" s="687"/>
      <c r="HJ27" s="687"/>
      <c r="HK27" s="687"/>
      <c r="HL27" s="687"/>
      <c r="HM27" s="687"/>
      <c r="HN27" s="687"/>
      <c r="HO27" s="687"/>
      <c r="HP27" s="687"/>
      <c r="HQ27" s="687"/>
      <c r="HR27" s="687"/>
      <c r="HS27" s="687"/>
      <c r="HT27" s="687"/>
      <c r="HU27" s="687"/>
      <c r="HV27" s="680"/>
      <c r="HW27" s="680"/>
      <c r="HX27" s="680"/>
      <c r="HY27" s="680"/>
      <c r="HZ27" s="680"/>
      <c r="IA27" s="680"/>
      <c r="IB27" s="680"/>
      <c r="IC27" s="680"/>
      <c r="ID27" s="680"/>
      <c r="IE27" s="680"/>
      <c r="IF27" s="680"/>
      <c r="IG27" s="680"/>
      <c r="IH27" s="680"/>
      <c r="II27" s="680"/>
      <c r="IJ27" s="680"/>
      <c r="IK27" s="680"/>
      <c r="IL27" s="680"/>
      <c r="IM27" s="680"/>
      <c r="IN27" s="680"/>
      <c r="IO27" s="680"/>
      <c r="IP27" s="680"/>
      <c r="IQ27" s="680"/>
      <c r="IR27" s="680"/>
      <c r="IS27" s="680"/>
      <c r="IT27" s="680"/>
      <c r="IU27" s="680"/>
      <c r="IV27" s="680"/>
      <c r="IW27" s="680"/>
      <c r="IX27" s="680"/>
      <c r="IY27" s="680"/>
      <c r="IZ27" s="680"/>
      <c r="JA27" s="680"/>
      <c r="JB27" s="680"/>
      <c r="JC27" s="680"/>
      <c r="JD27" s="680"/>
      <c r="JE27" s="680"/>
      <c r="JF27" s="680"/>
      <c r="JG27" s="680"/>
      <c r="JH27" s="680"/>
      <c r="JI27" s="680"/>
      <c r="JJ27" s="680"/>
      <c r="JK27" s="680"/>
      <c r="JL27" s="680"/>
      <c r="JM27" s="680"/>
      <c r="JN27" s="680"/>
      <c r="JO27" s="680"/>
      <c r="JP27" s="680"/>
      <c r="JQ27" s="680"/>
      <c r="JR27" s="680"/>
      <c r="JS27" s="680"/>
      <c r="JT27" s="680"/>
      <c r="JU27" s="680"/>
      <c r="JV27" s="680"/>
      <c r="JW27" s="680"/>
      <c r="JX27" s="680"/>
      <c r="JY27" s="680"/>
      <c r="JZ27" s="680"/>
      <c r="KA27" s="680"/>
      <c r="KB27" s="680"/>
      <c r="KC27" s="680"/>
      <c r="KD27" s="680"/>
      <c r="KE27" s="680"/>
      <c r="KF27" s="680"/>
      <c r="KG27" s="680"/>
      <c r="KH27" s="680"/>
      <c r="KI27" s="680"/>
      <c r="KJ27" s="680"/>
      <c r="KK27" s="680"/>
      <c r="KL27" s="680"/>
      <c r="KM27" s="680"/>
      <c r="KN27" s="680"/>
      <c r="KO27" s="680"/>
      <c r="KP27" s="680"/>
      <c r="KQ27" s="680"/>
      <c r="KR27" s="680"/>
      <c r="KS27" s="680"/>
      <c r="KT27" s="680"/>
      <c r="KU27" s="680"/>
      <c r="KV27" s="680"/>
      <c r="KW27" s="680"/>
      <c r="KX27" s="680"/>
      <c r="KY27" s="680"/>
      <c r="KZ27" s="680"/>
      <c r="LA27" s="680"/>
      <c r="LB27" s="680"/>
      <c r="LC27" s="680"/>
      <c r="LD27" s="680"/>
      <c r="LE27" s="680"/>
      <c r="LF27" s="680"/>
      <c r="LG27" s="680"/>
      <c r="LH27" s="680"/>
      <c r="LI27" s="680"/>
      <c r="LJ27" s="680"/>
      <c r="LK27" s="680"/>
      <c r="LL27" s="680"/>
      <c r="LM27" s="680"/>
      <c r="LN27" s="680"/>
      <c r="LO27" s="680"/>
      <c r="LP27" s="680"/>
      <c r="LQ27" s="680"/>
      <c r="LR27" s="680"/>
      <c r="LS27" s="680"/>
      <c r="LT27" s="680"/>
      <c r="LU27" s="680"/>
      <c r="LV27" s="680"/>
      <c r="LW27" s="680"/>
      <c r="LX27" s="680"/>
      <c r="LY27" s="680"/>
      <c r="LZ27" s="680"/>
      <c r="MA27" s="680"/>
      <c r="MB27" s="680"/>
      <c r="MC27" s="680"/>
      <c r="MD27" s="680"/>
      <c r="ME27" s="680"/>
      <c r="MF27" s="680"/>
      <c r="MG27" s="680"/>
      <c r="MH27" s="680"/>
      <c r="MI27" s="680"/>
      <c r="MJ27" s="680"/>
      <c r="MK27" s="680"/>
      <c r="ML27" s="680"/>
      <c r="MM27" s="680"/>
      <c r="MN27" s="680"/>
      <c r="MO27" s="680"/>
      <c r="MP27" s="680"/>
      <c r="MQ27" s="680"/>
      <c r="MR27" s="680"/>
      <c r="MS27" s="680"/>
      <c r="MT27" s="680"/>
      <c r="MU27" s="680"/>
      <c r="MV27" s="680"/>
      <c r="MW27" s="680"/>
      <c r="MX27" s="680"/>
      <c r="MY27" s="680"/>
      <c r="MZ27" s="680"/>
      <c r="NA27" s="680"/>
      <c r="NB27" s="680"/>
      <c r="NC27" s="680"/>
      <c r="ND27" s="680"/>
      <c r="NE27" s="680"/>
      <c r="NF27" s="680"/>
      <c r="NG27" s="680"/>
      <c r="NH27" s="680"/>
      <c r="NI27" s="680"/>
      <c r="NJ27" s="680"/>
      <c r="NK27" s="680"/>
      <c r="NL27" s="680"/>
      <c r="NM27" s="680"/>
      <c r="NN27" s="680"/>
      <c r="NO27" s="680"/>
      <c r="NP27" s="680"/>
      <c r="NQ27" s="680"/>
      <c r="NR27" s="680"/>
      <c r="NS27" s="680"/>
      <c r="NT27" s="680"/>
      <c r="NU27" s="680"/>
      <c r="NV27" s="680"/>
      <c r="NW27" s="680"/>
      <c r="NX27" s="680"/>
      <c r="NY27" s="680"/>
      <c r="NZ27" s="680"/>
      <c r="OA27" s="680"/>
      <c r="OB27" s="680"/>
      <c r="OC27" s="680"/>
      <c r="OD27" s="680"/>
      <c r="OE27" s="680"/>
      <c r="OF27" s="680"/>
      <c r="OG27" s="680"/>
      <c r="OH27" s="680"/>
      <c r="OI27" s="680"/>
      <c r="OJ27" s="680"/>
      <c r="OK27" s="680"/>
      <c r="OL27" s="680"/>
      <c r="OM27" s="680"/>
      <c r="ON27" s="680"/>
      <c r="OO27" s="680"/>
      <c r="OP27" s="680"/>
      <c r="OQ27" s="680"/>
      <c r="OR27" s="680"/>
      <c r="OS27" s="680"/>
      <c r="OT27" s="680"/>
      <c r="OU27" s="680"/>
      <c r="OV27" s="680"/>
      <c r="OW27" s="680"/>
      <c r="OX27" s="680"/>
      <c r="OY27" s="680"/>
      <c r="OZ27" s="680"/>
      <c r="PA27" s="680"/>
      <c r="PB27" s="680"/>
      <c r="PC27" s="680"/>
      <c r="PD27" s="680"/>
      <c r="PE27" s="680"/>
      <c r="PF27" s="680"/>
      <c r="PG27" s="680"/>
      <c r="PH27" s="680"/>
      <c r="PI27" s="680"/>
      <c r="PJ27" s="680"/>
      <c r="PK27" s="680"/>
      <c r="PL27" s="680"/>
      <c r="PM27" s="680"/>
      <c r="PN27" s="680"/>
      <c r="PO27" s="680"/>
      <c r="PP27" s="680"/>
      <c r="PQ27" s="680"/>
      <c r="PR27" s="680"/>
      <c r="PS27" s="680"/>
      <c r="PT27" s="680"/>
      <c r="PU27" s="680"/>
      <c r="PV27" s="680"/>
      <c r="PW27" s="680"/>
      <c r="PX27" s="680"/>
      <c r="PY27" s="680"/>
      <c r="PZ27" s="680"/>
      <c r="QA27" s="680"/>
      <c r="QB27" s="680"/>
      <c r="QC27" s="680"/>
      <c r="QD27" s="680"/>
      <c r="QE27" s="680"/>
      <c r="QF27" s="689"/>
      <c r="QG27" s="690"/>
      <c r="QH27" s="562"/>
      <c r="QI27" s="269"/>
      <c r="QJ27" s="562"/>
      <c r="QK27" s="691"/>
      <c r="QL27" s="562"/>
      <c r="QM27" s="562"/>
      <c r="QN27" s="562"/>
      <c r="QO27" s="562"/>
      <c r="QP27" s="562"/>
      <c r="QQ27" s="562"/>
      <c r="QR27" s="562"/>
      <c r="QS27" s="562"/>
      <c r="QT27" s="562"/>
      <c r="QU27" s="562"/>
      <c r="QV27" s="562"/>
      <c r="QW27" s="562"/>
      <c r="QX27" s="562"/>
      <c r="QY27" s="562"/>
      <c r="QZ27" s="562"/>
      <c r="RC27" s="684"/>
      <c r="RD27" s="692"/>
      <c r="RR27" s="693"/>
      <c r="RS27" s="48"/>
      <c r="RT27" s="694"/>
      <c r="RU27" s="694"/>
      <c r="RV27" s="694"/>
      <c r="RW27" s="681" t="s">
        <v>4620</v>
      </c>
      <c r="RX27" s="694"/>
      <c r="RY27" s="695"/>
      <c r="RZ27" s="694"/>
      <c r="SA27" s="695"/>
      <c r="SB27" s="694"/>
      <c r="SC27" s="694"/>
      <c r="SD27" s="694"/>
      <c r="SE27" s="694"/>
      <c r="SF27" s="696"/>
      <c r="SG27" s="696"/>
      <c r="SH27" s="696"/>
      <c r="SI27" s="696"/>
      <c r="SJ27" s="696"/>
      <c r="SK27" s="696"/>
      <c r="SL27" s="696"/>
      <c r="SM27" s="696"/>
      <c r="SN27" s="696"/>
      <c r="SO27" s="696"/>
      <c r="SP27" s="696"/>
      <c r="SQ27" s="696"/>
      <c r="SR27" s="696"/>
      <c r="SS27" s="696"/>
      <c r="ST27" s="696"/>
      <c r="SU27" s="696"/>
      <c r="SV27" s="696"/>
      <c r="SW27" s="696"/>
      <c r="SX27" s="696"/>
      <c r="SY27" s="696"/>
      <c r="SZ27" s="696"/>
      <c r="TA27" s="696"/>
      <c r="TB27" s="696"/>
      <c r="TC27" s="696"/>
      <c r="TD27" s="696"/>
      <c r="TE27" s="696"/>
      <c r="TF27" s="696"/>
      <c r="TG27" s="696"/>
      <c r="TH27" s="696"/>
      <c r="TI27" s="696"/>
      <c r="TJ27" s="696"/>
      <c r="TK27" s="696"/>
      <c r="TL27" s="696"/>
      <c r="TM27" s="696"/>
      <c r="TN27" s="696"/>
      <c r="TO27" s="696"/>
      <c r="TP27" s="697"/>
      <c r="TQ27" s="697"/>
      <c r="TR27" s="697"/>
    </row>
    <row r="28" spans="1:538" ht="409.5" customHeight="1" x14ac:dyDescent="0.25">
      <c r="A28" s="5"/>
      <c r="B28" s="459"/>
      <c r="C28" s="459"/>
      <c r="D28" s="459"/>
      <c r="E28" s="459"/>
      <c r="F28" s="459"/>
      <c r="G28" s="459"/>
      <c r="H28" s="459"/>
      <c r="I28" s="459"/>
      <c r="J28" s="459"/>
      <c r="K28" s="459"/>
      <c r="L28" s="459"/>
      <c r="M28" s="459"/>
      <c r="N28" s="459"/>
      <c r="O28" s="459"/>
      <c r="P28" s="459"/>
      <c r="Q28" s="459"/>
      <c r="R28" s="459"/>
      <c r="S28" s="459"/>
      <c r="T28" s="459"/>
      <c r="U28" s="459"/>
      <c r="V28" s="459"/>
      <c r="W28" s="459"/>
      <c r="X28" s="459"/>
      <c r="Y28" s="459"/>
      <c r="Z28" s="459"/>
      <c r="AA28" s="459"/>
      <c r="AB28" s="459"/>
      <c r="AC28" s="459"/>
      <c r="AD28" s="459"/>
      <c r="AE28" s="459"/>
      <c r="AF28" s="459"/>
      <c r="AG28" s="459"/>
      <c r="AH28" s="459"/>
      <c r="AI28" s="459"/>
      <c r="AJ28" s="459"/>
      <c r="AK28" s="459"/>
      <c r="AL28" s="459"/>
      <c r="AM28" s="459"/>
      <c r="AN28" s="459"/>
      <c r="AO28" s="459"/>
      <c r="AP28" s="459"/>
      <c r="AQ28" s="459"/>
      <c r="AR28" s="459"/>
      <c r="AS28" s="459"/>
      <c r="AT28" s="459"/>
      <c r="AU28" s="459"/>
      <c r="AV28" s="459"/>
      <c r="AW28" s="459"/>
      <c r="AX28" s="459"/>
      <c r="AY28" s="459"/>
      <c r="AZ28" s="459"/>
      <c r="BA28" s="459"/>
      <c r="BB28" s="459"/>
      <c r="BC28" s="459"/>
      <c r="BD28" s="459"/>
      <c r="BE28" s="459"/>
      <c r="BF28" s="459"/>
      <c r="BG28" s="459"/>
      <c r="BH28" s="459"/>
      <c r="BI28" s="459"/>
      <c r="BJ28" s="459"/>
      <c r="BK28" s="459"/>
      <c r="BL28" s="459"/>
      <c r="BM28" s="459"/>
      <c r="BN28" s="459"/>
      <c r="BO28" s="459"/>
      <c r="BP28" s="459"/>
      <c r="BQ28" s="459"/>
      <c r="BR28" s="459"/>
      <c r="BS28" s="459"/>
      <c r="CU28" s="459"/>
      <c r="RR28" s="696"/>
      <c r="RS28" s="696"/>
      <c r="RT28" s="696"/>
      <c r="RU28" s="696"/>
      <c r="RV28" s="696"/>
      <c r="RW28" s="696"/>
      <c r="RX28" s="696"/>
      <c r="RY28" s="696"/>
      <c r="RZ28" s="696"/>
      <c r="SA28" s="696"/>
      <c r="SB28" s="696"/>
      <c r="SC28" s="696"/>
      <c r="SD28" s="696"/>
      <c r="SE28" s="696"/>
      <c r="SF28" s="696"/>
      <c r="SG28" s="696"/>
      <c r="SH28" s="696"/>
      <c r="SI28" s="696"/>
      <c r="SJ28" s="696"/>
      <c r="SK28" s="696"/>
      <c r="SL28" s="696"/>
      <c r="SM28" s="696"/>
      <c r="SN28" s="696"/>
      <c r="SO28" s="696"/>
      <c r="SP28" s="696"/>
      <c r="SQ28" s="696"/>
      <c r="SR28" s="696"/>
      <c r="SS28" s="696"/>
      <c r="ST28" s="696"/>
      <c r="SU28" s="696"/>
      <c r="SV28" s="696"/>
      <c r="SW28" s="696"/>
      <c r="SX28" s="696"/>
      <c r="SY28" s="696"/>
      <c r="SZ28" s="696"/>
      <c r="TA28" s="696"/>
      <c r="TB28" s="696"/>
      <c r="TC28" s="696"/>
      <c r="TD28" s="696"/>
      <c r="TE28" s="696"/>
      <c r="TF28" s="696"/>
      <c r="TG28" s="696"/>
      <c r="TH28" s="696"/>
      <c r="TI28" s="696"/>
      <c r="TJ28" s="696"/>
      <c r="TK28" s="696"/>
      <c r="TL28" s="696"/>
      <c r="TM28" s="696"/>
      <c r="TN28" s="696"/>
      <c r="TO28" s="696"/>
      <c r="TP28" s="696"/>
      <c r="TQ28" s="696"/>
      <c r="TR28" s="696"/>
    </row>
    <row r="29" spans="1:538" ht="26.25" customHeight="1" x14ac:dyDescent="0.25">
      <c r="CU29" s="459"/>
      <c r="RR29" s="696"/>
      <c r="RS29" s="696"/>
      <c r="RT29" s="696"/>
      <c r="RU29" s="696"/>
      <c r="RV29" s="696"/>
      <c r="RW29" s="696"/>
      <c r="RX29" s="696"/>
      <c r="RY29" s="696"/>
      <c r="RZ29" s="696"/>
      <c r="SA29" s="696"/>
      <c r="SB29" s="696"/>
      <c r="SC29" s="696"/>
      <c r="SD29" s="696"/>
      <c r="SE29" s="696"/>
      <c r="SF29" s="696"/>
      <c r="SG29" s="696"/>
      <c r="SH29" s="696"/>
      <c r="SI29" s="696"/>
      <c r="SJ29" s="696"/>
      <c r="SK29" s="696"/>
      <c r="SL29" s="696"/>
      <c r="SM29" s="696"/>
      <c r="SN29" s="696"/>
      <c r="SO29" s="696"/>
      <c r="SP29" s="696"/>
      <c r="SQ29" s="696"/>
      <c r="SR29" s="696"/>
      <c r="SS29" s="696"/>
      <c r="ST29" s="696"/>
      <c r="SU29" s="696"/>
      <c r="SV29" s="696"/>
      <c r="SW29" s="696"/>
      <c r="SX29" s="696"/>
      <c r="SY29" s="696"/>
      <c r="SZ29" s="696"/>
      <c r="TA29" s="696"/>
      <c r="TB29" s="696"/>
      <c r="TC29" s="696"/>
      <c r="TD29" s="696"/>
      <c r="TE29" s="696"/>
      <c r="TF29" s="696"/>
      <c r="TG29" s="696"/>
      <c r="TH29" s="696"/>
      <c r="TI29" s="696"/>
      <c r="TJ29" s="696"/>
      <c r="TK29" s="696"/>
      <c r="TL29" s="696"/>
      <c r="TM29" s="696"/>
      <c r="TN29" s="696"/>
      <c r="TO29" s="696"/>
      <c r="TP29" s="696"/>
      <c r="TQ29" s="696"/>
      <c r="TR29" s="696"/>
    </row>
    <row r="30" spans="1:538" ht="30" customHeight="1" x14ac:dyDescent="0.25">
      <c r="CU30" s="459"/>
      <c r="RR30" s="696"/>
      <c r="RS30" s="696"/>
      <c r="RT30" s="696"/>
      <c r="RU30" s="696"/>
      <c r="RV30" s="696"/>
      <c r="RW30" s="696"/>
      <c r="RX30" s="696"/>
      <c r="RY30" s="696"/>
      <c r="RZ30" s="696"/>
      <c r="SA30" s="696"/>
      <c r="SB30" s="696"/>
      <c r="SC30" s="696"/>
      <c r="SD30" s="696"/>
      <c r="SE30" s="696"/>
      <c r="SF30" s="696"/>
      <c r="SG30" s="696"/>
      <c r="SH30" s="696"/>
      <c r="SI30" s="696"/>
      <c r="SJ30" s="696"/>
      <c r="SK30" s="696"/>
      <c r="SL30" s="696"/>
      <c r="SM30" s="696"/>
      <c r="SN30" s="696"/>
      <c r="SO30" s="696"/>
      <c r="SP30" s="696"/>
      <c r="SQ30" s="696"/>
      <c r="SR30" s="696"/>
      <c r="SS30" s="696"/>
      <c r="ST30" s="696"/>
      <c r="SU30" s="696"/>
      <c r="SV30" s="696"/>
      <c r="SW30" s="696"/>
      <c r="SX30" s="696"/>
      <c r="SY30" s="696"/>
      <c r="SZ30" s="696"/>
      <c r="TA30" s="696"/>
      <c r="TB30" s="696"/>
      <c r="TC30" s="696"/>
      <c r="TD30" s="696"/>
      <c r="TE30" s="696"/>
      <c r="TF30" s="696"/>
      <c r="TG30" s="696"/>
      <c r="TH30" s="696"/>
      <c r="TI30" s="696"/>
      <c r="TJ30" s="696"/>
      <c r="TK30" s="696"/>
      <c r="TL30" s="696"/>
      <c r="TM30" s="696"/>
      <c r="TN30" s="696"/>
      <c r="TO30" s="696"/>
      <c r="TP30" s="696"/>
      <c r="TQ30" s="696"/>
      <c r="TR30" s="696"/>
    </row>
    <row r="31" spans="1:538" ht="26.25" customHeight="1" x14ac:dyDescent="0.25">
      <c r="CU31" s="459"/>
      <c r="RR31" s="696"/>
      <c r="RS31" s="696"/>
      <c r="RT31" s="696"/>
      <c r="RU31" s="696"/>
      <c r="RV31" s="696"/>
      <c r="RW31" s="696"/>
      <c r="RX31" s="696"/>
      <c r="RY31" s="696"/>
      <c r="RZ31" s="696"/>
      <c r="SA31" s="696"/>
      <c r="SB31" s="696"/>
      <c r="SC31" s="696"/>
      <c r="SD31" s="696"/>
      <c r="SE31" s="696"/>
      <c r="SF31" s="696"/>
      <c r="SG31" s="696"/>
      <c r="SH31" s="696"/>
      <c r="SI31" s="696"/>
      <c r="SJ31" s="696"/>
      <c r="SK31" s="696"/>
      <c r="SL31" s="696"/>
      <c r="SM31" s="696"/>
      <c r="SN31" s="696"/>
      <c r="SO31" s="696"/>
      <c r="SP31" s="696"/>
      <c r="SQ31" s="696"/>
      <c r="SR31" s="696"/>
      <c r="SS31" s="696"/>
      <c r="ST31" s="696"/>
      <c r="SU31" s="696"/>
      <c r="SV31" s="696"/>
      <c r="SW31" s="696"/>
      <c r="SX31" s="696"/>
      <c r="SY31" s="696"/>
      <c r="SZ31" s="696"/>
      <c r="TA31" s="696"/>
      <c r="TB31" s="696"/>
      <c r="TC31" s="696"/>
      <c r="TD31" s="696"/>
      <c r="TE31" s="696"/>
      <c r="TF31" s="696"/>
      <c r="TG31" s="696"/>
      <c r="TH31" s="696"/>
      <c r="TI31" s="696"/>
      <c r="TJ31" s="696"/>
      <c r="TK31" s="696"/>
      <c r="TL31" s="696"/>
      <c r="TM31" s="696"/>
      <c r="TN31" s="696"/>
      <c r="TO31" s="696"/>
      <c r="TP31" s="696"/>
      <c r="TQ31" s="696"/>
      <c r="TR31" s="696"/>
    </row>
    <row r="32" spans="1:538" ht="26.25" customHeight="1" x14ac:dyDescent="0.25">
      <c r="CU32" s="459"/>
      <c r="RR32" s="696"/>
      <c r="RS32" s="696"/>
      <c r="RT32" s="696"/>
      <c r="RU32" s="696"/>
      <c r="RV32" s="696"/>
      <c r="RW32" s="696"/>
      <c r="RX32" s="696"/>
      <c r="RY32" s="696"/>
      <c r="RZ32" s="696"/>
      <c r="SA32" s="696"/>
      <c r="SB32" s="696"/>
      <c r="SC32" s="696"/>
      <c r="SD32" s="696"/>
      <c r="SE32" s="696"/>
      <c r="SF32" s="696"/>
      <c r="SG32" s="696"/>
      <c r="SH32" s="696"/>
      <c r="SI32" s="696"/>
      <c r="SJ32" s="696"/>
      <c r="SK32" s="696"/>
      <c r="SL32" s="696"/>
      <c r="SM32" s="696"/>
      <c r="SN32" s="696"/>
      <c r="SO32" s="696"/>
      <c r="SP32" s="696"/>
      <c r="SQ32" s="696"/>
      <c r="SR32" s="696"/>
      <c r="SS32" s="696"/>
      <c r="ST32" s="696"/>
      <c r="SU32" s="696"/>
      <c r="SV32" s="696"/>
      <c r="SW32" s="696"/>
      <c r="SX32" s="696"/>
      <c r="SY32" s="696"/>
      <c r="SZ32" s="696"/>
      <c r="TA32" s="696"/>
      <c r="TB32" s="696"/>
      <c r="TC32" s="696"/>
      <c r="TD32" s="696"/>
      <c r="TE32" s="696"/>
      <c r="TF32" s="696"/>
      <c r="TG32" s="696"/>
      <c r="TH32" s="696"/>
      <c r="TI32" s="696"/>
      <c r="TJ32" s="696"/>
      <c r="TK32" s="696"/>
      <c r="TL32" s="696"/>
      <c r="TM32" s="696"/>
      <c r="TN32" s="696"/>
      <c r="TO32" s="696"/>
      <c r="TP32" s="696"/>
      <c r="TQ32" s="696"/>
      <c r="TR32" s="696"/>
    </row>
    <row r="33" spans="1:538" ht="26.25" customHeight="1" x14ac:dyDescent="0.25">
      <c r="CU33" s="459"/>
      <c r="RR33" s="696"/>
      <c r="RS33" s="696"/>
      <c r="RT33" s="696"/>
      <c r="RU33" s="696"/>
      <c r="RV33" s="696"/>
      <c r="RW33" s="696"/>
      <c r="RX33" s="696"/>
      <c r="RY33" s="696"/>
      <c r="RZ33" s="696"/>
      <c r="SA33" s="696"/>
      <c r="SB33" s="696"/>
      <c r="SC33" s="696"/>
      <c r="SD33" s="696"/>
      <c r="SE33" s="696"/>
      <c r="SF33" s="696"/>
      <c r="SG33" s="696"/>
      <c r="SH33" s="696"/>
      <c r="SI33" s="696"/>
      <c r="SJ33" s="696"/>
      <c r="SK33" s="696"/>
      <c r="SL33" s="696"/>
      <c r="SM33" s="696"/>
      <c r="SN33" s="696"/>
      <c r="SO33" s="696"/>
      <c r="SP33" s="696"/>
      <c r="SQ33" s="696"/>
      <c r="SR33" s="696"/>
      <c r="SS33" s="696"/>
      <c r="ST33" s="696"/>
      <c r="SU33" s="696"/>
      <c r="SV33" s="696"/>
      <c r="SW33" s="696"/>
      <c r="SX33" s="696"/>
      <c r="SY33" s="696"/>
      <c r="SZ33" s="696"/>
      <c r="TA33" s="696"/>
      <c r="TB33" s="696"/>
      <c r="TC33" s="696"/>
      <c r="TD33" s="696"/>
      <c r="TE33" s="696"/>
      <c r="TF33" s="696"/>
      <c r="TG33" s="696"/>
      <c r="TH33" s="696"/>
      <c r="TI33" s="696"/>
      <c r="TJ33" s="696"/>
      <c r="TK33" s="696"/>
      <c r="TL33" s="696"/>
      <c r="TM33" s="696"/>
      <c r="TN33" s="696"/>
      <c r="TO33" s="696"/>
      <c r="TP33" s="696"/>
      <c r="TQ33" s="696"/>
      <c r="TR33" s="696"/>
    </row>
    <row r="34" spans="1:538" ht="26.25" customHeight="1" x14ac:dyDescent="0.25">
      <c r="CU34" s="459"/>
      <c r="RR34" s="696"/>
      <c r="RS34" s="696"/>
      <c r="RT34" s="696"/>
      <c r="RU34" s="696"/>
      <c r="RV34" s="696"/>
      <c r="RW34" s="696"/>
      <c r="RX34" s="696"/>
      <c r="RY34" s="696"/>
      <c r="RZ34" s="696"/>
      <c r="SA34" s="696"/>
      <c r="SB34" s="696"/>
      <c r="SC34" s="696"/>
      <c r="SD34" s="696"/>
      <c r="SE34" s="696"/>
      <c r="SF34" s="696"/>
      <c r="SG34" s="696"/>
      <c r="SH34" s="696"/>
      <c r="SI34" s="696"/>
      <c r="SJ34" s="696"/>
      <c r="SK34" s="696"/>
      <c r="SL34" s="696"/>
      <c r="SM34" s="696"/>
      <c r="SN34" s="696"/>
      <c r="SO34" s="696"/>
      <c r="SP34" s="696"/>
      <c r="SQ34" s="696"/>
      <c r="SR34" s="696"/>
      <c r="SS34" s="696"/>
      <c r="ST34" s="696"/>
      <c r="SU34" s="696"/>
      <c r="SV34" s="696"/>
      <c r="SW34" s="696"/>
      <c r="SX34" s="696"/>
      <c r="SY34" s="696"/>
      <c r="SZ34" s="696"/>
      <c r="TA34" s="696"/>
      <c r="TB34" s="696"/>
      <c r="TC34" s="696"/>
      <c r="TD34" s="696"/>
      <c r="TE34" s="696"/>
      <c r="TF34" s="696"/>
      <c r="TG34" s="696"/>
      <c r="TH34" s="696"/>
      <c r="TI34" s="696"/>
      <c r="TJ34" s="696"/>
      <c r="TK34" s="696"/>
      <c r="TL34" s="696"/>
      <c r="TM34" s="696"/>
      <c r="TN34" s="696"/>
      <c r="TO34" s="696"/>
      <c r="TP34" s="696"/>
      <c r="TQ34" s="696"/>
      <c r="TR34" s="696"/>
    </row>
    <row r="35" spans="1:538" ht="26.25" customHeight="1" x14ac:dyDescent="0.25">
      <c r="CU35" s="459"/>
      <c r="RR35" s="696"/>
      <c r="RS35" s="696"/>
      <c r="RT35" s="696"/>
      <c r="RU35" s="696"/>
      <c r="RV35" s="696"/>
      <c r="RW35" s="696"/>
      <c r="RX35" s="696"/>
      <c r="RY35" s="696"/>
      <c r="RZ35" s="696"/>
      <c r="SA35" s="696"/>
      <c r="SB35" s="696"/>
      <c r="SC35" s="696"/>
      <c r="SD35" s="696"/>
      <c r="SE35" s="696"/>
      <c r="SF35" s="696"/>
      <c r="SG35" s="696"/>
      <c r="SH35" s="696"/>
      <c r="SI35" s="696"/>
      <c r="SJ35" s="696"/>
      <c r="SK35" s="696"/>
      <c r="SL35" s="696"/>
      <c r="SM35" s="696"/>
      <c r="SN35" s="696"/>
      <c r="SO35" s="696"/>
      <c r="SP35" s="696"/>
      <c r="SQ35" s="696"/>
      <c r="SR35" s="696"/>
      <c r="SS35" s="696"/>
      <c r="ST35" s="696"/>
      <c r="SU35" s="696"/>
      <c r="SV35" s="696"/>
      <c r="SW35" s="696"/>
      <c r="SX35" s="696"/>
      <c r="SY35" s="696"/>
      <c r="SZ35" s="696"/>
      <c r="TA35" s="696"/>
      <c r="TB35" s="696"/>
      <c r="TC35" s="696"/>
      <c r="TD35" s="696"/>
      <c r="TE35" s="696"/>
      <c r="TF35" s="696"/>
      <c r="TG35" s="696"/>
      <c r="TH35" s="696"/>
      <c r="TI35" s="696"/>
      <c r="TJ35" s="696"/>
      <c r="TK35" s="696"/>
      <c r="TL35" s="696"/>
      <c r="TM35" s="696"/>
      <c r="TN35" s="696"/>
      <c r="TO35" s="696"/>
      <c r="TP35" s="696"/>
      <c r="TQ35" s="696"/>
      <c r="TR35" s="696"/>
    </row>
    <row r="36" spans="1:538" ht="26.25" customHeight="1" x14ac:dyDescent="0.25">
      <c r="CU36" s="459"/>
      <c r="RR36" s="696"/>
      <c r="RS36" s="696"/>
      <c r="RT36" s="696"/>
      <c r="RU36" s="696"/>
      <c r="RV36" s="696"/>
      <c r="RW36" s="696"/>
      <c r="RX36" s="696"/>
      <c r="RY36" s="696"/>
      <c r="RZ36" s="696"/>
      <c r="SA36" s="696"/>
      <c r="SB36" s="696"/>
      <c r="SC36" s="696"/>
      <c r="SD36" s="696"/>
      <c r="SE36" s="696"/>
      <c r="SF36" s="696"/>
      <c r="SG36" s="696"/>
      <c r="SH36" s="696"/>
      <c r="SI36" s="696"/>
      <c r="SJ36" s="696"/>
      <c r="SK36" s="696"/>
      <c r="SL36" s="696"/>
      <c r="SM36" s="696"/>
      <c r="SN36" s="696"/>
      <c r="SO36" s="696"/>
      <c r="SP36" s="696"/>
      <c r="SQ36" s="696"/>
      <c r="SR36" s="696"/>
      <c r="SS36" s="696"/>
      <c r="ST36" s="696"/>
      <c r="SU36" s="696"/>
      <c r="SV36" s="696"/>
      <c r="SW36" s="696"/>
      <c r="SX36" s="696"/>
      <c r="SY36" s="696"/>
      <c r="SZ36" s="696"/>
      <c r="TA36" s="696"/>
      <c r="TB36" s="696"/>
      <c r="TC36" s="696"/>
      <c r="TD36" s="696"/>
      <c r="TE36" s="696"/>
      <c r="TF36" s="696"/>
      <c r="TG36" s="696"/>
      <c r="TH36" s="696"/>
      <c r="TI36" s="696"/>
      <c r="TJ36" s="696"/>
      <c r="TK36" s="696"/>
      <c r="TL36" s="696"/>
      <c r="TM36" s="696"/>
      <c r="TN36" s="696"/>
      <c r="TO36" s="696"/>
      <c r="TP36" s="696"/>
      <c r="TQ36" s="696"/>
      <c r="TR36" s="696"/>
    </row>
    <row r="37" spans="1:538" ht="26.25" customHeight="1" x14ac:dyDescent="0.25">
      <c r="CU37" s="459"/>
      <c r="RR37" s="696"/>
      <c r="RS37" s="696"/>
      <c r="RT37" s="696"/>
      <c r="RU37" s="696"/>
      <c r="RV37" s="696"/>
      <c r="RW37" s="696"/>
      <c r="RX37" s="696"/>
      <c r="RY37" s="696"/>
      <c r="RZ37" s="696"/>
      <c r="SA37" s="696"/>
      <c r="SB37" s="696"/>
      <c r="SC37" s="696"/>
      <c r="SD37" s="696"/>
      <c r="SE37" s="696"/>
      <c r="SF37" s="696"/>
      <c r="SG37" s="696"/>
      <c r="SH37" s="696"/>
      <c r="SI37" s="696"/>
      <c r="SJ37" s="696"/>
      <c r="SK37" s="696"/>
      <c r="SL37" s="696"/>
      <c r="SM37" s="696"/>
      <c r="SN37" s="696"/>
      <c r="SO37" s="696"/>
      <c r="SP37" s="696"/>
      <c r="SQ37" s="696"/>
      <c r="SR37" s="696"/>
      <c r="SS37" s="696"/>
      <c r="ST37" s="696"/>
      <c r="SU37" s="696"/>
      <c r="SV37" s="696"/>
      <c r="SW37" s="696"/>
      <c r="SX37" s="696"/>
      <c r="SY37" s="696"/>
      <c r="SZ37" s="696"/>
      <c r="TA37" s="696"/>
      <c r="TB37" s="696"/>
      <c r="TC37" s="696"/>
      <c r="TD37" s="696"/>
      <c r="TE37" s="696"/>
      <c r="TF37" s="696"/>
      <c r="TG37" s="696"/>
      <c r="TH37" s="696"/>
      <c r="TI37" s="696"/>
      <c r="TJ37" s="696"/>
      <c r="TK37" s="696"/>
      <c r="TL37" s="696"/>
      <c r="TM37" s="696"/>
      <c r="TN37" s="696"/>
      <c r="TO37" s="696"/>
      <c r="TP37" s="696"/>
      <c r="TQ37" s="696"/>
      <c r="TR37" s="696"/>
    </row>
    <row r="38" spans="1:538" ht="26.25" customHeight="1" x14ac:dyDescent="0.25">
      <c r="CU38" s="459"/>
      <c r="RR38" s="696"/>
      <c r="RS38" s="696"/>
      <c r="RT38" s="696"/>
      <c r="RU38" s="696"/>
      <c r="RV38" s="696"/>
      <c r="RW38" s="696"/>
      <c r="RX38" s="696"/>
      <c r="RY38" s="696"/>
      <c r="RZ38" s="696"/>
      <c r="SA38" s="696"/>
      <c r="SB38" s="696"/>
      <c r="SC38" s="696"/>
      <c r="SD38" s="696"/>
      <c r="SE38" s="696"/>
      <c r="SF38" s="696"/>
      <c r="SG38" s="696"/>
      <c r="SH38" s="696"/>
      <c r="SI38" s="696"/>
      <c r="SJ38" s="696"/>
      <c r="SK38" s="696"/>
      <c r="SL38" s="696"/>
      <c r="SM38" s="696"/>
      <c r="SN38" s="696"/>
      <c r="SO38" s="696"/>
      <c r="SP38" s="696"/>
      <c r="SQ38" s="696"/>
      <c r="SR38" s="696"/>
      <c r="SS38" s="696"/>
      <c r="ST38" s="696"/>
      <c r="SU38" s="696"/>
      <c r="SV38" s="696"/>
      <c r="SW38" s="696"/>
      <c r="SX38" s="696"/>
      <c r="SY38" s="696"/>
      <c r="SZ38" s="696"/>
      <c r="TA38" s="696"/>
      <c r="TB38" s="696"/>
      <c r="TC38" s="696"/>
      <c r="TD38" s="696"/>
      <c r="TE38" s="696"/>
      <c r="TF38" s="696"/>
      <c r="TG38" s="696"/>
      <c r="TH38" s="696"/>
      <c r="TI38" s="696"/>
      <c r="TJ38" s="696"/>
      <c r="TK38" s="696"/>
      <c r="TL38" s="696"/>
      <c r="TM38" s="696"/>
      <c r="TN38" s="696"/>
      <c r="TO38" s="696"/>
      <c r="TP38" s="696"/>
      <c r="TQ38" s="696"/>
      <c r="TR38" s="696"/>
    </row>
    <row r="39" spans="1:538" ht="26.25" customHeight="1" x14ac:dyDescent="0.25">
      <c r="CU39" s="459"/>
      <c r="RR39" s="696"/>
      <c r="RS39" s="696"/>
      <c r="RT39" s="696"/>
      <c r="RU39" s="696"/>
      <c r="RV39" s="696"/>
      <c r="RW39" s="696"/>
      <c r="RX39" s="696"/>
      <c r="RY39" s="696"/>
      <c r="RZ39" s="696"/>
      <c r="SA39" s="696"/>
      <c r="SB39" s="696"/>
      <c r="SC39" s="696"/>
      <c r="SD39" s="696"/>
      <c r="SE39" s="696"/>
      <c r="SF39" s="696"/>
      <c r="SG39" s="696"/>
      <c r="SH39" s="696"/>
      <c r="SI39" s="696"/>
      <c r="SJ39" s="696"/>
      <c r="SK39" s="696"/>
      <c r="SL39" s="696"/>
      <c r="SM39" s="696"/>
      <c r="SN39" s="696"/>
      <c r="SO39" s="696"/>
      <c r="SP39" s="696"/>
      <c r="SQ39" s="696"/>
      <c r="SR39" s="696"/>
      <c r="SS39" s="696"/>
      <c r="ST39" s="696"/>
      <c r="SU39" s="696"/>
      <c r="SV39" s="696"/>
      <c r="SW39" s="696"/>
      <c r="SX39" s="696"/>
      <c r="SY39" s="696"/>
      <c r="SZ39" s="696"/>
      <c r="TA39" s="696"/>
      <c r="TB39" s="696"/>
      <c r="TC39" s="696"/>
      <c r="TD39" s="696"/>
      <c r="TE39" s="696"/>
      <c r="TF39" s="696"/>
      <c r="TG39" s="696"/>
      <c r="TH39" s="696"/>
      <c r="TI39" s="696"/>
      <c r="TJ39" s="696"/>
      <c r="TK39" s="696"/>
      <c r="TL39" s="696"/>
      <c r="TM39" s="696"/>
      <c r="TN39" s="696"/>
      <c r="TO39" s="696"/>
      <c r="TP39" s="696"/>
      <c r="TQ39" s="696"/>
      <c r="TR39" s="696"/>
    </row>
    <row r="40" spans="1:538" ht="26.25" customHeight="1" x14ac:dyDescent="0.25">
      <c r="CU40" s="459"/>
      <c r="RR40" s="696"/>
      <c r="RS40" s="696"/>
      <c r="RT40" s="696"/>
      <c r="RU40" s="696"/>
      <c r="RV40" s="696"/>
      <c r="RW40" s="696"/>
      <c r="RX40" s="696"/>
      <c r="RY40" s="696"/>
      <c r="RZ40" s="696"/>
      <c r="SA40" s="696"/>
      <c r="SB40" s="696"/>
      <c r="SC40" s="696"/>
      <c r="SD40" s="696"/>
      <c r="SE40" s="696"/>
      <c r="SF40" s="696"/>
      <c r="SG40" s="696"/>
      <c r="SH40" s="696"/>
      <c r="SI40" s="696"/>
      <c r="SJ40" s="696"/>
      <c r="SK40" s="696"/>
      <c r="SL40" s="696"/>
      <c r="SM40" s="696"/>
      <c r="SN40" s="696"/>
      <c r="SO40" s="696"/>
      <c r="SP40" s="696"/>
      <c r="SQ40" s="696"/>
      <c r="SR40" s="696"/>
      <c r="SS40" s="696"/>
      <c r="ST40" s="696"/>
      <c r="SU40" s="696"/>
      <c r="SV40" s="696"/>
      <c r="SW40" s="696"/>
      <c r="SX40" s="696"/>
      <c r="SY40" s="696"/>
      <c r="SZ40" s="696"/>
      <c r="TA40" s="696"/>
      <c r="TB40" s="696"/>
      <c r="TC40" s="696"/>
      <c r="TD40" s="696"/>
      <c r="TE40" s="696"/>
      <c r="TF40" s="696"/>
      <c r="TG40" s="696"/>
      <c r="TH40" s="696"/>
      <c r="TI40" s="696"/>
      <c r="TJ40" s="696"/>
      <c r="TK40" s="696"/>
      <c r="TL40" s="696"/>
      <c r="TM40" s="696"/>
      <c r="TN40" s="696"/>
      <c r="TO40" s="696"/>
      <c r="TP40" s="696"/>
      <c r="TQ40" s="696"/>
      <c r="TR40" s="696"/>
    </row>
    <row r="41" spans="1:538" ht="26.25" customHeight="1" x14ac:dyDescent="0.25">
      <c r="CU41" s="459"/>
      <c r="RR41" s="696"/>
      <c r="RS41" s="696"/>
      <c r="RT41" s="696"/>
      <c r="RU41" s="696"/>
      <c r="RV41" s="696"/>
      <c r="RW41" s="696"/>
      <c r="RX41" s="696"/>
      <c r="RY41" s="696"/>
      <c r="RZ41" s="696"/>
      <c r="SA41" s="696"/>
      <c r="SB41" s="696"/>
      <c r="SC41" s="696"/>
      <c r="SD41" s="696"/>
      <c r="SE41" s="696"/>
      <c r="SF41" s="696"/>
      <c r="SG41" s="696"/>
      <c r="SH41" s="696"/>
      <c r="SI41" s="696"/>
      <c r="SJ41" s="696"/>
      <c r="SK41" s="696"/>
      <c r="SL41" s="696"/>
      <c r="SM41" s="696"/>
      <c r="SN41" s="696"/>
      <c r="SO41" s="696"/>
      <c r="SP41" s="696"/>
      <c r="SQ41" s="696"/>
      <c r="SR41" s="696"/>
      <c r="SS41" s="696"/>
      <c r="ST41" s="696"/>
      <c r="SU41" s="696"/>
      <c r="SV41" s="696"/>
      <c r="SW41" s="696"/>
      <c r="SX41" s="696"/>
      <c r="SY41" s="696"/>
      <c r="SZ41" s="696"/>
      <c r="TA41" s="696"/>
      <c r="TB41" s="696"/>
      <c r="TC41" s="696"/>
      <c r="TD41" s="696"/>
      <c r="TE41" s="696"/>
      <c r="TF41" s="696"/>
      <c r="TG41" s="696"/>
      <c r="TH41" s="696"/>
      <c r="TI41" s="696"/>
      <c r="TJ41" s="696"/>
      <c r="TK41" s="696"/>
      <c r="TL41" s="696"/>
      <c r="TM41" s="696"/>
      <c r="TN41" s="696"/>
      <c r="TO41" s="696"/>
      <c r="TP41" s="696"/>
      <c r="TQ41" s="696"/>
      <c r="TR41" s="696"/>
    </row>
    <row r="42" spans="1:538" ht="26.25" customHeight="1" x14ac:dyDescent="0.25">
      <c r="A42" s="459"/>
      <c r="B42" s="696"/>
      <c r="C42" s="696"/>
      <c r="D42" s="696"/>
      <c r="E42" s="696"/>
      <c r="F42" s="696"/>
      <c r="BM42" s="459"/>
      <c r="BN42" s="459"/>
      <c r="BO42" s="459"/>
      <c r="BP42" s="459"/>
      <c r="BQ42" s="459"/>
      <c r="BR42" s="459"/>
      <c r="BS42" s="459"/>
      <c r="BT42" s="459"/>
      <c r="BU42" s="459"/>
      <c r="BV42" s="459"/>
      <c r="BW42" s="459"/>
      <c r="BX42" s="459"/>
      <c r="BY42" s="459"/>
      <c r="BZ42" s="459"/>
      <c r="CA42" s="459"/>
      <c r="CB42" s="459"/>
      <c r="CC42" s="459"/>
      <c r="CD42" s="459"/>
      <c r="CE42" s="459"/>
      <c r="CF42" s="459"/>
      <c r="CG42" s="459"/>
      <c r="CH42" s="459"/>
      <c r="CI42" s="459"/>
      <c r="CJ42" s="459"/>
      <c r="CK42" s="459"/>
      <c r="CL42" s="459"/>
      <c r="CM42" s="459"/>
      <c r="CN42" s="459"/>
      <c r="CO42" s="459"/>
      <c r="CP42" s="459"/>
      <c r="CQ42" s="459"/>
      <c r="CR42" s="459"/>
      <c r="CS42" s="459"/>
      <c r="CT42" s="459"/>
      <c r="CU42" s="459"/>
      <c r="RR42" s="696"/>
      <c r="RS42" s="696"/>
      <c r="RT42" s="696"/>
      <c r="RU42" s="696"/>
      <c r="RV42" s="696"/>
      <c r="RW42" s="696"/>
      <c r="RX42" s="696"/>
      <c r="RY42" s="696"/>
      <c r="RZ42" s="696"/>
      <c r="SA42" s="696"/>
      <c r="SB42" s="696"/>
      <c r="SC42" s="696"/>
      <c r="SD42" s="696"/>
      <c r="SE42" s="696"/>
      <c r="SF42" s="696"/>
      <c r="SG42" s="696"/>
      <c r="SH42" s="696"/>
      <c r="SI42" s="696"/>
      <c r="SJ42" s="696"/>
      <c r="SK42" s="696"/>
      <c r="SL42" s="696"/>
      <c r="SM42" s="696"/>
      <c r="SN42" s="696"/>
      <c r="SO42" s="696"/>
      <c r="SP42" s="696"/>
      <c r="SQ42" s="696"/>
      <c r="SR42" s="696"/>
      <c r="SS42" s="696"/>
      <c r="ST42" s="696"/>
      <c r="SU42" s="696"/>
      <c r="SV42" s="696"/>
      <c r="SW42" s="696"/>
      <c r="SX42" s="696"/>
      <c r="SY42" s="696"/>
      <c r="SZ42" s="696"/>
      <c r="TA42" s="696"/>
      <c r="TB42" s="696"/>
      <c r="TC42" s="696"/>
      <c r="TD42" s="696"/>
      <c r="TE42" s="696"/>
      <c r="TF42" s="696"/>
      <c r="TG42" s="696"/>
      <c r="TH42" s="696"/>
      <c r="TI42" s="696"/>
      <c r="TJ42" s="696"/>
      <c r="TK42" s="696"/>
      <c r="TL42" s="696"/>
      <c r="TM42" s="696"/>
      <c r="TN42" s="696"/>
      <c r="TO42" s="696"/>
      <c r="TP42" s="696"/>
      <c r="TQ42" s="696"/>
      <c r="TR42" s="696"/>
    </row>
    <row r="43" spans="1:538" ht="26.25" customHeight="1" x14ac:dyDescent="0.25">
      <c r="RR43" s="696"/>
      <c r="RS43" s="696"/>
      <c r="RT43" s="696"/>
      <c r="RU43" s="696"/>
      <c r="RV43" s="696"/>
      <c r="RW43" s="696"/>
      <c r="RX43" s="696"/>
      <c r="RY43" s="696"/>
      <c r="RZ43" s="696"/>
      <c r="SA43" s="696"/>
      <c r="SB43" s="696"/>
      <c r="SC43" s="696"/>
      <c r="SD43" s="696"/>
      <c r="SE43" s="696"/>
      <c r="SF43" s="696"/>
      <c r="SG43" s="696"/>
      <c r="SH43" s="696"/>
      <c r="SI43" s="696"/>
      <c r="SJ43" s="696"/>
      <c r="SK43" s="696"/>
      <c r="SL43" s="696"/>
      <c r="SM43" s="696"/>
      <c r="SN43" s="696"/>
      <c r="SO43" s="696"/>
      <c r="SP43" s="696"/>
      <c r="SQ43" s="696"/>
      <c r="SR43" s="696"/>
      <c r="SS43" s="696"/>
      <c r="ST43" s="696"/>
      <c r="SU43" s="696"/>
      <c r="SV43" s="696"/>
      <c r="SW43" s="696"/>
      <c r="SX43" s="696"/>
      <c r="SY43" s="696"/>
      <c r="SZ43" s="696"/>
      <c r="TA43" s="696"/>
      <c r="TB43" s="696"/>
      <c r="TC43" s="696"/>
      <c r="TD43" s="696"/>
      <c r="TE43" s="696"/>
      <c r="TF43" s="696"/>
      <c r="TG43" s="696"/>
      <c r="TH43" s="696"/>
      <c r="TI43" s="696"/>
      <c r="TJ43" s="696"/>
      <c r="TK43" s="696"/>
      <c r="TL43" s="696"/>
      <c r="TM43" s="696"/>
      <c r="TN43" s="696"/>
      <c r="TO43" s="696"/>
      <c r="TP43" s="696"/>
      <c r="TQ43" s="696"/>
      <c r="TR43" s="696"/>
    </row>
    <row r="44" spans="1:538" ht="26.25" customHeight="1" x14ac:dyDescent="0.25">
      <c r="RR44" s="696"/>
      <c r="RS44" s="696"/>
      <c r="RT44" s="696"/>
      <c r="RU44" s="696"/>
      <c r="RV44" s="696"/>
      <c r="RW44" s="696"/>
      <c r="RX44" s="696"/>
      <c r="RY44" s="696"/>
      <c r="RZ44" s="696"/>
      <c r="SA44" s="696"/>
      <c r="SB44" s="696"/>
      <c r="SC44" s="696"/>
      <c r="SD44" s="696"/>
      <c r="SE44" s="696"/>
      <c r="SF44" s="696"/>
      <c r="SG44" s="696"/>
      <c r="SH44" s="696"/>
      <c r="SI44" s="696"/>
      <c r="SJ44" s="696"/>
      <c r="SK44" s="696"/>
      <c r="SL44" s="696"/>
      <c r="SM44" s="696"/>
      <c r="SN44" s="696"/>
      <c r="SO44" s="696"/>
      <c r="SP44" s="696"/>
      <c r="SQ44" s="696"/>
      <c r="SR44" s="696"/>
      <c r="SS44" s="696"/>
      <c r="ST44" s="696"/>
      <c r="SU44" s="696"/>
      <c r="SV44" s="696"/>
      <c r="SW44" s="696"/>
      <c r="SX44" s="696"/>
      <c r="SY44" s="696"/>
      <c r="SZ44" s="696"/>
      <c r="TA44" s="696"/>
      <c r="TB44" s="696"/>
      <c r="TC44" s="696"/>
      <c r="TD44" s="696"/>
      <c r="TE44" s="696"/>
      <c r="TF44" s="696"/>
      <c r="TG44" s="696"/>
      <c r="TH44" s="696"/>
      <c r="TI44" s="696"/>
      <c r="TJ44" s="696"/>
      <c r="TK44" s="696"/>
      <c r="TL44" s="696"/>
      <c r="TM44" s="696"/>
      <c r="TN44" s="696"/>
      <c r="TO44" s="696"/>
      <c r="TP44" s="696"/>
      <c r="TQ44" s="696"/>
      <c r="TR44" s="696"/>
    </row>
    <row r="45" spans="1:538" ht="26.25" customHeight="1" x14ac:dyDescent="0.25">
      <c r="RR45" s="696"/>
      <c r="RS45" s="696"/>
      <c r="RT45" s="696"/>
      <c r="RU45" s="696"/>
      <c r="RV45" s="696"/>
      <c r="RW45" s="696"/>
      <c r="RX45" s="696"/>
      <c r="RY45" s="696"/>
      <c r="RZ45" s="696"/>
      <c r="SA45" s="696"/>
      <c r="SB45" s="696"/>
      <c r="SC45" s="696"/>
      <c r="SD45" s="696"/>
      <c r="SE45" s="696"/>
      <c r="SF45" s="696"/>
      <c r="SG45" s="696"/>
      <c r="SH45" s="696"/>
      <c r="SI45" s="696"/>
      <c r="SJ45" s="696"/>
      <c r="SK45" s="696"/>
      <c r="SL45" s="696"/>
      <c r="SM45" s="696"/>
      <c r="SN45" s="696"/>
      <c r="SO45" s="696"/>
      <c r="SP45" s="696"/>
      <c r="SQ45" s="696"/>
      <c r="SR45" s="696"/>
      <c r="SS45" s="696"/>
      <c r="ST45" s="696"/>
      <c r="SU45" s="696"/>
      <c r="SV45" s="696"/>
      <c r="SW45" s="696"/>
      <c r="SX45" s="696"/>
      <c r="SY45" s="696"/>
      <c r="SZ45" s="696"/>
      <c r="TA45" s="696"/>
      <c r="TB45" s="696"/>
      <c r="TC45" s="696"/>
      <c r="TD45" s="696"/>
      <c r="TE45" s="696"/>
      <c r="TF45" s="696"/>
      <c r="TG45" s="696"/>
      <c r="TH45" s="696"/>
      <c r="TI45" s="696"/>
      <c r="TJ45" s="696"/>
      <c r="TK45" s="696"/>
      <c r="TL45" s="696"/>
      <c r="TM45" s="696"/>
      <c r="TN45" s="696"/>
      <c r="TO45" s="696"/>
      <c r="TP45" s="696"/>
      <c r="TQ45" s="696"/>
      <c r="TR45" s="696"/>
    </row>
    <row r="46" spans="1:538" ht="26.25" customHeight="1" x14ac:dyDescent="0.25">
      <c r="RR46" s="696"/>
      <c r="RS46" s="696"/>
      <c r="RT46" s="696"/>
      <c r="RU46" s="696"/>
      <c r="RV46" s="696"/>
      <c r="RW46" s="696"/>
      <c r="RX46" s="696"/>
      <c r="RY46" s="696"/>
      <c r="RZ46" s="696"/>
      <c r="SA46" s="696"/>
      <c r="SB46" s="696"/>
      <c r="SC46" s="696"/>
      <c r="SD46" s="696"/>
      <c r="SE46" s="696"/>
      <c r="SF46" s="696"/>
      <c r="SG46" s="696"/>
      <c r="SH46" s="696"/>
      <c r="SI46" s="696"/>
      <c r="SJ46" s="696"/>
      <c r="SK46" s="696"/>
      <c r="SL46" s="696"/>
      <c r="SM46" s="696"/>
      <c r="SN46" s="696"/>
      <c r="SO46" s="696"/>
      <c r="SP46" s="696"/>
      <c r="SQ46" s="696"/>
      <c r="SR46" s="696"/>
      <c r="SS46" s="696"/>
      <c r="ST46" s="696"/>
      <c r="SU46" s="696"/>
      <c r="SV46" s="696"/>
      <c r="SW46" s="696"/>
      <c r="SX46" s="696"/>
      <c r="SY46" s="696"/>
      <c r="SZ46" s="696"/>
      <c r="TA46" s="696"/>
      <c r="TB46" s="696"/>
      <c r="TC46" s="696"/>
      <c r="TD46" s="696"/>
      <c r="TE46" s="696"/>
      <c r="TF46" s="696"/>
      <c r="TG46" s="696"/>
      <c r="TH46" s="696"/>
      <c r="TI46" s="696"/>
      <c r="TJ46" s="696"/>
      <c r="TK46" s="696"/>
      <c r="TL46" s="696"/>
      <c r="TM46" s="696"/>
      <c r="TN46" s="696"/>
      <c r="TO46" s="696"/>
      <c r="TP46" s="696"/>
      <c r="TQ46" s="696"/>
      <c r="TR46" s="696"/>
    </row>
    <row r="47" spans="1:538" ht="26.25" customHeight="1" x14ac:dyDescent="0.25">
      <c r="RR47" s="696"/>
      <c r="RS47" s="696"/>
      <c r="RT47" s="696"/>
      <c r="RU47" s="696"/>
      <c r="RV47" s="696"/>
      <c r="RW47" s="696"/>
      <c r="RX47" s="696"/>
      <c r="RY47" s="696"/>
      <c r="RZ47" s="696"/>
      <c r="SA47" s="696"/>
      <c r="SB47" s="696"/>
      <c r="SC47" s="696"/>
      <c r="SD47" s="696"/>
      <c r="SE47" s="696"/>
      <c r="SF47" s="696"/>
      <c r="SG47" s="696"/>
      <c r="SH47" s="696"/>
      <c r="SI47" s="696"/>
      <c r="SJ47" s="696"/>
      <c r="SK47" s="696"/>
      <c r="SL47" s="696"/>
      <c r="SM47" s="696"/>
      <c r="SN47" s="696"/>
      <c r="SO47" s="696"/>
      <c r="SP47" s="696"/>
      <c r="SQ47" s="696"/>
      <c r="SR47" s="696"/>
      <c r="SS47" s="696"/>
      <c r="ST47" s="696"/>
      <c r="SU47" s="696"/>
      <c r="SV47" s="696"/>
      <c r="SW47" s="696"/>
      <c r="SX47" s="696"/>
      <c r="SY47" s="696"/>
      <c r="SZ47" s="696"/>
      <c r="TA47" s="696"/>
      <c r="TB47" s="696"/>
      <c r="TC47" s="696"/>
      <c r="TD47" s="696"/>
      <c r="TE47" s="696"/>
      <c r="TF47" s="696"/>
      <c r="TG47" s="696"/>
      <c r="TH47" s="696"/>
      <c r="TI47" s="696"/>
      <c r="TJ47" s="696"/>
      <c r="TK47" s="696"/>
      <c r="TL47" s="696"/>
      <c r="TM47" s="696"/>
      <c r="TN47" s="696"/>
      <c r="TO47" s="696"/>
      <c r="TP47" s="696"/>
      <c r="TQ47" s="696"/>
      <c r="TR47" s="696"/>
    </row>
    <row r="48" spans="1:538" ht="26.25" customHeight="1" x14ac:dyDescent="0.25">
      <c r="RR48" s="696"/>
      <c r="RS48" s="696"/>
      <c r="RT48" s="696"/>
      <c r="RU48" s="696"/>
      <c r="RV48" s="696"/>
      <c r="RW48" s="696"/>
      <c r="RX48" s="696"/>
      <c r="RY48" s="696"/>
      <c r="RZ48" s="696"/>
      <c r="SA48" s="696"/>
      <c r="SB48" s="696"/>
      <c r="SC48" s="696"/>
      <c r="SD48" s="696"/>
      <c r="SE48" s="696"/>
      <c r="SF48" s="696"/>
      <c r="SG48" s="696"/>
      <c r="SH48" s="696"/>
      <c r="SI48" s="696"/>
      <c r="SJ48" s="696"/>
      <c r="SK48" s="696"/>
      <c r="SL48" s="696"/>
      <c r="SM48" s="696"/>
      <c r="SN48" s="696"/>
      <c r="SO48" s="696"/>
      <c r="SP48" s="696"/>
      <c r="SQ48" s="696"/>
      <c r="SR48" s="696"/>
      <c r="SS48" s="696"/>
      <c r="ST48" s="696"/>
      <c r="SU48" s="696"/>
      <c r="SV48" s="696"/>
      <c r="SW48" s="696"/>
      <c r="SX48" s="696"/>
      <c r="SY48" s="696"/>
      <c r="SZ48" s="696"/>
      <c r="TA48" s="696"/>
      <c r="TB48" s="696"/>
      <c r="TC48" s="696"/>
      <c r="TD48" s="696"/>
      <c r="TE48" s="696"/>
      <c r="TF48" s="696"/>
      <c r="TG48" s="696"/>
      <c r="TH48" s="696"/>
      <c r="TI48" s="696"/>
      <c r="TJ48" s="696"/>
      <c r="TK48" s="696"/>
      <c r="TL48" s="696"/>
      <c r="TM48" s="696"/>
      <c r="TN48" s="696"/>
      <c r="TO48" s="696"/>
      <c r="TP48" s="696"/>
      <c r="TQ48" s="696"/>
      <c r="TR48" s="696"/>
    </row>
    <row r="49" spans="486:538" ht="26.25" customHeight="1" x14ac:dyDescent="0.25">
      <c r="RR49" s="696"/>
      <c r="RS49" s="696"/>
      <c r="RT49" s="696"/>
      <c r="RU49" s="696"/>
      <c r="RV49" s="696"/>
      <c r="RW49" s="696"/>
      <c r="RX49" s="696"/>
      <c r="RY49" s="696"/>
      <c r="RZ49" s="696"/>
      <c r="SA49" s="696"/>
      <c r="SB49" s="696"/>
      <c r="SC49" s="696"/>
      <c r="SD49" s="696"/>
      <c r="SE49" s="696"/>
      <c r="SF49" s="696"/>
      <c r="SG49" s="696"/>
      <c r="SH49" s="696"/>
      <c r="SI49" s="696"/>
      <c r="SJ49" s="696"/>
      <c r="SK49" s="696"/>
      <c r="SL49" s="696"/>
      <c r="SM49" s="696"/>
      <c r="SN49" s="696"/>
      <c r="SO49" s="696"/>
      <c r="SP49" s="696"/>
      <c r="SQ49" s="696"/>
      <c r="SR49" s="696"/>
      <c r="SS49" s="696"/>
      <c r="ST49" s="696"/>
      <c r="SU49" s="696"/>
      <c r="SV49" s="696"/>
      <c r="SW49" s="696"/>
      <c r="SX49" s="696"/>
      <c r="SY49" s="696"/>
      <c r="SZ49" s="696"/>
      <c r="TA49" s="696"/>
      <c r="TB49" s="696"/>
      <c r="TC49" s="696"/>
      <c r="TD49" s="696"/>
      <c r="TE49" s="696"/>
      <c r="TF49" s="696"/>
      <c r="TG49" s="696"/>
      <c r="TH49" s="696"/>
      <c r="TI49" s="696"/>
      <c r="TJ49" s="696"/>
      <c r="TK49" s="696"/>
      <c r="TL49" s="696"/>
      <c r="TM49" s="696"/>
      <c r="TN49" s="696"/>
      <c r="TO49" s="696"/>
      <c r="TP49" s="696"/>
      <c r="TQ49" s="696"/>
      <c r="TR49" s="696"/>
    </row>
    <row r="50" spans="486:538" ht="26.25" customHeight="1" x14ac:dyDescent="0.25">
      <c r="RR50" s="696"/>
      <c r="RS50" s="696"/>
      <c r="RT50" s="696"/>
      <c r="RU50" s="696"/>
      <c r="RV50" s="696"/>
      <c r="RW50" s="696"/>
      <c r="RX50" s="696"/>
      <c r="RY50" s="696"/>
      <c r="RZ50" s="696"/>
      <c r="SA50" s="696"/>
      <c r="SB50" s="696"/>
      <c r="SC50" s="696"/>
      <c r="SD50" s="696"/>
      <c r="SE50" s="696"/>
      <c r="SF50" s="696"/>
      <c r="SG50" s="696"/>
      <c r="SH50" s="696"/>
      <c r="SI50" s="696"/>
      <c r="SJ50" s="696"/>
      <c r="SK50" s="696"/>
      <c r="SL50" s="696"/>
      <c r="SM50" s="696"/>
      <c r="SN50" s="696"/>
      <c r="SO50" s="696"/>
      <c r="SP50" s="696"/>
      <c r="SQ50" s="696"/>
      <c r="SR50" s="696"/>
      <c r="SS50" s="696"/>
      <c r="ST50" s="696"/>
      <c r="SU50" s="696"/>
      <c r="SV50" s="696"/>
      <c r="SW50" s="696"/>
      <c r="SX50" s="696"/>
      <c r="SY50" s="696"/>
      <c r="SZ50" s="696"/>
      <c r="TA50" s="696"/>
      <c r="TB50" s="696"/>
      <c r="TC50" s="696"/>
      <c r="TD50" s="696"/>
      <c r="TE50" s="696"/>
      <c r="TF50" s="696"/>
      <c r="TG50" s="696"/>
      <c r="TH50" s="696"/>
      <c r="TI50" s="696"/>
      <c r="TJ50" s="696"/>
      <c r="TK50" s="696"/>
      <c r="TL50" s="696"/>
      <c r="TM50" s="696"/>
      <c r="TN50" s="696"/>
      <c r="TO50" s="696"/>
      <c r="TP50" s="696"/>
      <c r="TQ50" s="696"/>
      <c r="TR50" s="696"/>
    </row>
    <row r="51" spans="486:538" ht="26.25" customHeight="1" x14ac:dyDescent="0.25">
      <c r="RR51" s="696"/>
      <c r="RS51" s="696"/>
      <c r="RT51" s="696"/>
      <c r="RU51" s="696"/>
      <c r="RV51" s="696"/>
      <c r="RW51" s="696"/>
      <c r="RX51" s="696"/>
      <c r="RY51" s="696"/>
      <c r="RZ51" s="696"/>
      <c r="SA51" s="696"/>
      <c r="SB51" s="696"/>
      <c r="SC51" s="696"/>
      <c r="SD51" s="696"/>
      <c r="SE51" s="696"/>
      <c r="SF51" s="696"/>
      <c r="SG51" s="696"/>
      <c r="SH51" s="696"/>
      <c r="SI51" s="696"/>
      <c r="SJ51" s="696"/>
      <c r="SK51" s="696"/>
      <c r="SL51" s="696"/>
      <c r="SM51" s="696"/>
      <c r="SN51" s="696"/>
      <c r="SO51" s="696"/>
      <c r="SP51" s="696"/>
      <c r="SQ51" s="696"/>
      <c r="SR51" s="696"/>
      <c r="SS51" s="696"/>
      <c r="ST51" s="696"/>
      <c r="SU51" s="696"/>
      <c r="SV51" s="696"/>
      <c r="SW51" s="696"/>
      <c r="SX51" s="696"/>
      <c r="SY51" s="696"/>
      <c r="SZ51" s="696"/>
      <c r="TA51" s="696"/>
      <c r="TB51" s="696"/>
      <c r="TC51" s="696"/>
      <c r="TD51" s="696"/>
      <c r="TE51" s="696"/>
      <c r="TF51" s="696"/>
      <c r="TG51" s="696"/>
      <c r="TH51" s="696"/>
      <c r="TI51" s="696"/>
      <c r="TJ51" s="696"/>
      <c r="TK51" s="696"/>
      <c r="TL51" s="696"/>
      <c r="TM51" s="696"/>
      <c r="TN51" s="696"/>
      <c r="TO51" s="696"/>
      <c r="TP51" s="696"/>
      <c r="TQ51" s="696"/>
      <c r="TR51" s="696"/>
    </row>
    <row r="52" spans="486:538" ht="26.25" customHeight="1" x14ac:dyDescent="0.25"/>
    <row r="53" spans="486:538" ht="26.25" customHeight="1" x14ac:dyDescent="0.25"/>
    <row r="54" spans="486:538" ht="26.25" customHeight="1" x14ac:dyDescent="0.25"/>
    <row r="55" spans="486:538" ht="12.75" customHeight="1" x14ac:dyDescent="0.25"/>
    <row r="56" spans="486:538" ht="12.75" customHeight="1" x14ac:dyDescent="0.25"/>
    <row r="57" spans="486:538" ht="12.75" customHeight="1" x14ac:dyDescent="0.25"/>
    <row r="58" spans="486:538" ht="12.75" customHeight="1" x14ac:dyDescent="0.25"/>
    <row r="59" spans="486:538" ht="12.75" customHeight="1" x14ac:dyDescent="0.25"/>
    <row r="60" spans="486:538" ht="12.75" customHeight="1" x14ac:dyDescent="0.25"/>
    <row r="61" spans="486:538" ht="12.75" customHeight="1" x14ac:dyDescent="0.25"/>
    <row r="62" spans="486:538" ht="12.75" customHeight="1" x14ac:dyDescent="0.25"/>
    <row r="63" spans="486:538" ht="12.75" customHeight="1" x14ac:dyDescent="0.25"/>
    <row r="64" spans="486:53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sheetData>
  <sheetProtection algorithmName="SHA-512" hashValue="vGsxuv5IXuuauguT+0Jibqy97PLL+aeoXtvFV07ftFhNofbydv7uVfEHIhQJcszGExtoQaHNMyoqKrimDnazsA==" saltValue="z1ebAyOTp9TOW6tAusLUPw==" spinCount="100000" sheet="1" sort="0"/>
  <mergeCells count="162">
    <mergeCell ref="B1:E1"/>
    <mergeCell ref="F1:U1"/>
    <mergeCell ref="W1:BO1"/>
    <mergeCell ref="B2:E5"/>
    <mergeCell ref="H2:L2"/>
    <mergeCell ref="M2:O2"/>
    <mergeCell ref="P2:S2"/>
    <mergeCell ref="U2:Y2"/>
    <mergeCell ref="BL2:BO2"/>
    <mergeCell ref="U5:BO5"/>
    <mergeCell ref="CG2:CH2"/>
    <mergeCell ref="CI2:CQ2"/>
    <mergeCell ref="CR2:CT2"/>
    <mergeCell ref="RR2:RS2"/>
    <mergeCell ref="RT2:RU2"/>
    <mergeCell ref="BQ4:BQ5"/>
    <mergeCell ref="BS4:BS5"/>
    <mergeCell ref="BZ4:CB5"/>
    <mergeCell ref="CC4:CM5"/>
    <mergeCell ref="CO4:CT5"/>
    <mergeCell ref="RR4:SB5"/>
    <mergeCell ref="RV2:RX2"/>
    <mergeCell ref="RY2:SB2"/>
    <mergeCell ref="SC2:TP2"/>
    <mergeCell ref="TQ2:TR2"/>
    <mergeCell ref="H3:L3"/>
    <mergeCell ref="M3:O3"/>
    <mergeCell ref="P3:S3"/>
    <mergeCell ref="U3:Y3"/>
    <mergeCell ref="BL3:BO3"/>
    <mergeCell ref="BZ3:CB3"/>
    <mergeCell ref="CE3:CF3"/>
    <mergeCell ref="CG3:CH3"/>
    <mergeCell ref="CI3:CQ3"/>
    <mergeCell ref="CR3:CT3"/>
    <mergeCell ref="RR3:RS3"/>
    <mergeCell ref="RT3:RU3"/>
    <mergeCell ref="RV3:RX3"/>
    <mergeCell ref="RY3:SB3"/>
    <mergeCell ref="SC3:TP3"/>
    <mergeCell ref="TQ3:TR3"/>
    <mergeCell ref="BP2:BP26"/>
    <mergeCell ref="BQ2:BQ3"/>
    <mergeCell ref="BZ2:CB2"/>
    <mergeCell ref="CE2:CF2"/>
    <mergeCell ref="SC4:TR5"/>
    <mergeCell ref="G5:S5"/>
    <mergeCell ref="B6:C6"/>
    <mergeCell ref="N6:S26"/>
    <mergeCell ref="BM6:BO6"/>
    <mergeCell ref="CH6:CM6"/>
    <mergeCell ref="CR6:CT6"/>
    <mergeCell ref="DC6:EF6"/>
    <mergeCell ref="EH6:FK6"/>
    <mergeCell ref="FM6:GP6"/>
    <mergeCell ref="GR6:HU6"/>
    <mergeCell ref="BM14:BO14"/>
    <mergeCell ref="BM15:BO15"/>
    <mergeCell ref="BM16:BO16"/>
    <mergeCell ref="BI17:BK17"/>
    <mergeCell ref="BM17:BO17"/>
    <mergeCell ref="BQ17:BQ18"/>
    <mergeCell ref="CR17:CT17"/>
    <mergeCell ref="BI19:BK19"/>
    <mergeCell ref="BM19:BO19"/>
    <mergeCell ref="BQ19:BQ20"/>
    <mergeCell ref="CR19:CT19"/>
    <mergeCell ref="BI21:BK21"/>
    <mergeCell ref="BM21:BO21"/>
    <mergeCell ref="BQ21:BQ22"/>
    <mergeCell ref="CR21:CT21"/>
    <mergeCell ref="RY6:SA6"/>
    <mergeCell ref="TP6:TR6"/>
    <mergeCell ref="BM7:BO7"/>
    <mergeCell ref="BM8:BO8"/>
    <mergeCell ref="BM9:BO9"/>
    <mergeCell ref="BM10:BO10"/>
    <mergeCell ref="BM11:BO11"/>
    <mergeCell ref="BM12:BO12"/>
    <mergeCell ref="BM13:BO13"/>
    <mergeCell ref="HW6:IZ6"/>
    <mergeCell ref="JB6:KE6"/>
    <mergeCell ref="KG6:LJ6"/>
    <mergeCell ref="LL6:MO6"/>
    <mergeCell ref="MQ6:NT6"/>
    <mergeCell ref="NV6:OY6"/>
    <mergeCell ref="PA6:QD6"/>
    <mergeCell ref="RS6:RV6"/>
    <mergeCell ref="RW6:RX6"/>
    <mergeCell ref="RS17:RV17"/>
    <mergeCell ref="RW17:RX17"/>
    <mergeCell ref="RY17:SA17"/>
    <mergeCell ref="TM17:TO17"/>
    <mergeCell ref="TP17:TR17"/>
    <mergeCell ref="BI18:BK18"/>
    <mergeCell ref="BM18:BO18"/>
    <mergeCell ref="CR18:CT18"/>
    <mergeCell ref="RS18:RV18"/>
    <mergeCell ref="RW18:RX18"/>
    <mergeCell ref="RY18:SA18"/>
    <mergeCell ref="TM18:TO18"/>
    <mergeCell ref="TP18:TR18"/>
    <mergeCell ref="RS19:RV19"/>
    <mergeCell ref="RW19:RX19"/>
    <mergeCell ref="RY19:SA19"/>
    <mergeCell ref="TM19:TO19"/>
    <mergeCell ref="TP19:TR19"/>
    <mergeCell ref="BI20:BK20"/>
    <mergeCell ref="BM20:BO20"/>
    <mergeCell ref="CR20:CT20"/>
    <mergeCell ref="RS20:RV20"/>
    <mergeCell ref="RW20:RX20"/>
    <mergeCell ref="RY20:SA20"/>
    <mergeCell ref="TM20:TO20"/>
    <mergeCell ref="TP20:TR20"/>
    <mergeCell ref="RS21:RV21"/>
    <mergeCell ref="RW21:RX21"/>
    <mergeCell ref="RY21:SA21"/>
    <mergeCell ref="TM21:TO21"/>
    <mergeCell ref="TP21:TR21"/>
    <mergeCell ref="BI22:BK22"/>
    <mergeCell ref="BM22:BO22"/>
    <mergeCell ref="CR22:CT22"/>
    <mergeCell ref="RS22:RV22"/>
    <mergeCell ref="RW22:RX22"/>
    <mergeCell ref="RY22:SA22"/>
    <mergeCell ref="TM22:TO22"/>
    <mergeCell ref="TP22:TR22"/>
    <mergeCell ref="BI23:BK23"/>
    <mergeCell ref="BM23:BO23"/>
    <mergeCell ref="BQ23:BQ24"/>
    <mergeCell ref="CR23:CT23"/>
    <mergeCell ref="RS23:RV23"/>
    <mergeCell ref="RW23:RX23"/>
    <mergeCell ref="RY23:SA23"/>
    <mergeCell ref="TM23:TO23"/>
    <mergeCell ref="TP23:TR23"/>
    <mergeCell ref="BI24:BK24"/>
    <mergeCell ref="BM24:BO24"/>
    <mergeCell ref="CR24:CT24"/>
    <mergeCell ref="RS24:RV24"/>
    <mergeCell ref="RW24:RX24"/>
    <mergeCell ref="RY24:SA24"/>
    <mergeCell ref="TM24:TO24"/>
    <mergeCell ref="TP24:TR24"/>
    <mergeCell ref="BI25:BK25"/>
    <mergeCell ref="BM25:BO25"/>
    <mergeCell ref="BQ25:BQ26"/>
    <mergeCell ref="CR25:CT25"/>
    <mergeCell ref="RS25:RV25"/>
    <mergeCell ref="RW25:RX25"/>
    <mergeCell ref="RY25:SA25"/>
    <mergeCell ref="TM25:TO25"/>
    <mergeCell ref="TP25:TR25"/>
    <mergeCell ref="BI26:BK26"/>
    <mergeCell ref="BM26:BO26"/>
    <mergeCell ref="CR26:CT26"/>
    <mergeCell ref="RS26:RV26"/>
    <mergeCell ref="RW26:RX26"/>
    <mergeCell ref="RY26:SA26"/>
    <mergeCell ref="TM26:TO26"/>
    <mergeCell ref="TP26:TR26"/>
  </mergeCells>
  <conditionalFormatting sqref="D17:D27">
    <cfRule type="cellIs" dxfId="211" priority="12" operator="greaterThan">
      <formula>0</formula>
    </cfRule>
  </conditionalFormatting>
  <conditionalFormatting sqref="E17:E27">
    <cfRule type="cellIs" dxfId="210" priority="11" operator="greaterThan">
      <formula>0</formula>
    </cfRule>
  </conditionalFormatting>
  <conditionalFormatting sqref="F1 B2 H4:S4 V4:W4 G5 U5 M6 BL6:BO6 B6:B16 D6:E16 G6:H16 L6:L16 N6:S16 DA6:DC16 EG6:EH16 FL6:FM16 GQ6:GR16 HV6:HW16 JA6:JB16 KF6:KG16 LK6:LL16 MP6:MQ16 NU6:NV16 OZ6:PA16 QE6:QE16 U7:W16 BL7:BM16">
    <cfRule type="cellIs" dxfId="209" priority="57" operator="greaterThan">
      <formula>0</formula>
    </cfRule>
  </conditionalFormatting>
  <conditionalFormatting sqref="G17:G26">
    <cfRule type="cellIs" dxfId="208" priority="13" operator="equal">
      <formula>"More results required for accuracy"</formula>
    </cfRule>
  </conditionalFormatting>
  <conditionalFormatting sqref="G17:G27">
    <cfRule type="cellIs" dxfId="207" priority="45" operator="equal">
      <formula>0</formula>
    </cfRule>
  </conditionalFormatting>
  <conditionalFormatting sqref="G26">
    <cfRule type="cellIs" dxfId="206" priority="40" operator="equal">
      <formula>"Equal Points throughout"</formula>
    </cfRule>
  </conditionalFormatting>
  <conditionalFormatting sqref="I17:M26 X17:AA27 I27:S27 BM27:BO27">
    <cfRule type="cellIs" dxfId="205" priority="46" operator="equal">
      <formula>0</formula>
    </cfRule>
  </conditionalFormatting>
  <conditionalFormatting sqref="L17:L26">
    <cfRule type="cellIs" dxfId="204" priority="4" operator="equal">
      <formula>0</formula>
    </cfRule>
  </conditionalFormatting>
  <conditionalFormatting sqref="M7:M16">
    <cfRule type="cellIs" dxfId="203" priority="44" operator="greaterThan">
      <formula>0</formula>
    </cfRule>
  </conditionalFormatting>
  <conditionalFormatting sqref="U6:Y6">
    <cfRule type="cellIs" dxfId="202" priority="2" operator="greaterThan">
      <formula>0</formula>
    </cfRule>
  </conditionalFormatting>
  <conditionalFormatting sqref="V17:W26">
    <cfRule type="cellIs" dxfId="201" priority="6" operator="equal">
      <formula>0</formula>
    </cfRule>
  </conditionalFormatting>
  <conditionalFormatting sqref="W17:W26">
    <cfRule type="cellIs" dxfId="200" priority="5" operator="equal">
      <formula>0</formula>
    </cfRule>
  </conditionalFormatting>
  <conditionalFormatting sqref="W1:Y1">
    <cfRule type="cellIs" dxfId="199" priority="3" operator="greaterThan">
      <formula>0</formula>
    </cfRule>
  </conditionalFormatting>
  <conditionalFormatting sqref="Y7:Y16">
    <cfRule type="cellIs" dxfId="198" priority="10" operator="greaterThan">
      <formula>0</formula>
    </cfRule>
  </conditionalFormatting>
  <conditionalFormatting sqref="Y17:Y26">
    <cfRule type="cellIs" dxfId="197" priority="9" operator="equal">
      <formula>0</formula>
    </cfRule>
  </conditionalFormatting>
  <conditionalFormatting sqref="BL17:BM26">
    <cfRule type="cellIs" dxfId="196" priority="7" operator="equal">
      <formula>0</formula>
    </cfRule>
    <cfRule type="cellIs" dxfId="195" priority="8" operator="equal">
      <formula>0</formula>
    </cfRule>
  </conditionalFormatting>
  <conditionalFormatting sqref="BQ2:BR17">
    <cfRule type="cellIs" dxfId="194" priority="54" operator="greaterThan">
      <formula>0</formula>
    </cfRule>
  </conditionalFormatting>
  <conditionalFormatting sqref="BQ19:BR22">
    <cfRule type="cellIs" dxfId="193" priority="56" operator="greaterThan">
      <formula>0</formula>
    </cfRule>
  </conditionalFormatting>
  <conditionalFormatting sqref="BQ23:BR27">
    <cfRule type="cellIs" dxfId="192" priority="55" operator="greaterThan">
      <formula>0</formula>
    </cfRule>
  </conditionalFormatting>
  <conditionalFormatting sqref="BW17:BW26">
    <cfRule type="cellIs" dxfId="191" priority="70" operator="equal">
      <formula>0</formula>
    </cfRule>
  </conditionalFormatting>
  <conditionalFormatting sqref="CG17:CG27 CQ17:CQ27">
    <cfRule type="cellIs" dxfId="190" priority="53" operator="equal">
      <formula>"1st"</formula>
    </cfRule>
  </conditionalFormatting>
  <conditionalFormatting sqref="DB17:DB27">
    <cfRule type="cellIs" dxfId="189" priority="71" operator="equal">
      <formula>3</formula>
    </cfRule>
    <cfRule type="cellIs" dxfId="188" priority="72" operator="equal">
      <formula>2</formula>
    </cfRule>
    <cfRule type="cellIs" dxfId="187" priority="73" operator="equal">
      <formula>1</formula>
    </cfRule>
  </conditionalFormatting>
  <conditionalFormatting sqref="EG17:EG27">
    <cfRule type="cellIs" dxfId="186" priority="60" operator="equal">
      <formula>1</formula>
    </cfRule>
    <cfRule type="cellIs" dxfId="185" priority="59" operator="equal">
      <formula>2</formula>
    </cfRule>
    <cfRule type="cellIs" dxfId="184" priority="58" operator="equal">
      <formula>3</formula>
    </cfRule>
  </conditionalFormatting>
  <conditionalFormatting sqref="EH27:EQ27">
    <cfRule type="cellIs" dxfId="183" priority="69" operator="equal">
      <formula>1</formula>
    </cfRule>
    <cfRule type="cellIs" dxfId="182" priority="67" operator="equal">
      <formula>3</formula>
    </cfRule>
    <cfRule type="cellIs" dxfId="181" priority="68" operator="equal">
      <formula>2</formula>
    </cfRule>
  </conditionalFormatting>
  <conditionalFormatting sqref="ER17:FK26">
    <cfRule type="cellIs" dxfId="180" priority="43" operator="between">
      <formula>1</formula>
      <formula>10</formula>
    </cfRule>
  </conditionalFormatting>
  <conditionalFormatting sqref="FL17:FL27">
    <cfRule type="cellIs" dxfId="179" priority="64" operator="equal">
      <formula>3</formula>
    </cfRule>
    <cfRule type="cellIs" dxfId="178" priority="66" operator="equal">
      <formula>1</formula>
    </cfRule>
    <cfRule type="cellIs" dxfId="177" priority="65" operator="equal">
      <formula>2</formula>
    </cfRule>
  </conditionalFormatting>
  <conditionalFormatting sqref="FW17:GP26">
    <cfRule type="cellIs" dxfId="176" priority="42" operator="between">
      <formula>1</formula>
      <formula>10</formula>
    </cfRule>
  </conditionalFormatting>
  <conditionalFormatting sqref="GQ17:GQ27">
    <cfRule type="cellIs" dxfId="175" priority="52" operator="equal">
      <formula>1</formula>
    </cfRule>
    <cfRule type="cellIs" dxfId="174" priority="51" operator="equal">
      <formula>2</formula>
    </cfRule>
    <cfRule type="cellIs" dxfId="173" priority="50" operator="equal">
      <formula>3</formula>
    </cfRule>
  </conditionalFormatting>
  <conditionalFormatting sqref="HB17:HU26">
    <cfRule type="cellIs" dxfId="172" priority="41" operator="between">
      <formula>1</formula>
      <formula>10</formula>
    </cfRule>
  </conditionalFormatting>
  <conditionalFormatting sqref="HV17:HV26 JA17:JA26">
    <cfRule type="cellIs" dxfId="171" priority="48" operator="equal">
      <formula>2</formula>
    </cfRule>
    <cfRule type="cellIs" dxfId="170" priority="49" operator="equal">
      <formula>1</formula>
    </cfRule>
    <cfRule type="cellIs" dxfId="169" priority="47" operator="equal">
      <formula>3</formula>
    </cfRule>
  </conditionalFormatting>
  <conditionalFormatting sqref="IG17:IZ26">
    <cfRule type="cellIs" dxfId="168" priority="39" operator="between">
      <formula>1</formula>
      <formula>10</formula>
    </cfRule>
  </conditionalFormatting>
  <conditionalFormatting sqref="JL17:KE26">
    <cfRule type="cellIs" dxfId="167" priority="35" operator="between">
      <formula>1</formula>
      <formula>10</formula>
    </cfRule>
  </conditionalFormatting>
  <conditionalFormatting sqref="KF17:KF26">
    <cfRule type="cellIs" dxfId="166" priority="36" operator="equal">
      <formula>3</formula>
    </cfRule>
    <cfRule type="cellIs" dxfId="165" priority="38" operator="equal">
      <formula>1</formula>
    </cfRule>
    <cfRule type="cellIs" dxfId="164" priority="37" operator="equal">
      <formula>2</formula>
    </cfRule>
  </conditionalFormatting>
  <conditionalFormatting sqref="KQ17:LJ26">
    <cfRule type="cellIs" dxfId="163" priority="34" operator="between">
      <formula>1</formula>
      <formula>10</formula>
    </cfRule>
  </conditionalFormatting>
  <conditionalFormatting sqref="LK17:LK26">
    <cfRule type="cellIs" dxfId="162" priority="33" operator="equal">
      <formula>1</formula>
    </cfRule>
    <cfRule type="cellIs" dxfId="161" priority="32" operator="equal">
      <formula>2</formula>
    </cfRule>
    <cfRule type="cellIs" dxfId="160" priority="31" operator="equal">
      <formula>3</formula>
    </cfRule>
  </conditionalFormatting>
  <conditionalFormatting sqref="LV17:MO26">
    <cfRule type="cellIs" dxfId="159" priority="30" operator="between">
      <formula>1</formula>
      <formula>10</formula>
    </cfRule>
  </conditionalFormatting>
  <conditionalFormatting sqref="MP17:MP26">
    <cfRule type="cellIs" dxfId="158" priority="29" operator="equal">
      <formula>1</formula>
    </cfRule>
    <cfRule type="cellIs" dxfId="157" priority="27" operator="equal">
      <formula>3</formula>
    </cfRule>
    <cfRule type="cellIs" dxfId="156" priority="28" operator="equal">
      <formula>2</formula>
    </cfRule>
  </conditionalFormatting>
  <conditionalFormatting sqref="NA17:NT26">
    <cfRule type="cellIs" dxfId="155" priority="26" operator="between">
      <formula>1</formula>
      <formula>10</formula>
    </cfRule>
  </conditionalFormatting>
  <conditionalFormatting sqref="NU17:NU26">
    <cfRule type="cellIs" dxfId="154" priority="24" operator="equal">
      <formula>2</formula>
    </cfRule>
    <cfRule type="cellIs" dxfId="153" priority="25" operator="equal">
      <formula>1</formula>
    </cfRule>
    <cfRule type="cellIs" dxfId="152" priority="23" operator="equal">
      <formula>3</formula>
    </cfRule>
  </conditionalFormatting>
  <conditionalFormatting sqref="OF17:OY26">
    <cfRule type="cellIs" dxfId="151" priority="22" operator="between">
      <formula>1</formula>
      <formula>10</formula>
    </cfRule>
  </conditionalFormatting>
  <conditionalFormatting sqref="OZ17:OZ26">
    <cfRule type="cellIs" dxfId="150" priority="21" operator="equal">
      <formula>1</formula>
    </cfRule>
    <cfRule type="cellIs" dxfId="149" priority="19" operator="equal">
      <formula>3</formula>
    </cfRule>
    <cfRule type="cellIs" dxfId="148" priority="20" operator="equal">
      <formula>2</formula>
    </cfRule>
  </conditionalFormatting>
  <conditionalFormatting sqref="PK17:QD26">
    <cfRule type="cellIs" dxfId="147" priority="18" operator="between">
      <formula>1</formula>
      <formula>10</formula>
    </cfRule>
  </conditionalFormatting>
  <conditionalFormatting sqref="QE17:QE26">
    <cfRule type="cellIs" dxfId="146" priority="15" operator="equal">
      <formula>3</formula>
    </cfRule>
    <cfRule type="cellIs" dxfId="145" priority="16" operator="equal">
      <formula>2</formula>
    </cfRule>
    <cfRule type="cellIs" dxfId="144" priority="17" operator="equal">
      <formula>1</formula>
    </cfRule>
  </conditionalFormatting>
  <conditionalFormatting sqref="QF17:QF26 HV27:QF27">
    <cfRule type="cellIs" dxfId="143" priority="62" operator="equal">
      <formula>"3rd"</formula>
    </cfRule>
    <cfRule type="cellIs" dxfId="142" priority="63" operator="equal">
      <formula>"2nd"</formula>
    </cfRule>
  </conditionalFormatting>
  <conditionalFormatting sqref="QF17:QF27">
    <cfRule type="cellIs" dxfId="141" priority="61" operator="equal">
      <formula>"1st"</formula>
    </cfRule>
  </conditionalFormatting>
  <conditionalFormatting sqref="RS17:TR26">
    <cfRule type="cellIs" dxfId="140" priority="14" operator="equal">
      <formula>0</formula>
    </cfRule>
  </conditionalFormatting>
  <hyperlinks>
    <hyperlink ref="BQ2" location="'Gala Setup'!B2" display="Gala _x000a_Set-up" xr:uid="{00000000-0004-0000-0600-000000000000}"/>
    <hyperlink ref="BQ4" location="Recording!C26" display="Gala Recording " xr:uid="{00000000-0004-0000-0600-000001000000}"/>
    <hyperlink ref="BQ6" location="'Club Names &amp; Codes'!A1" display="Club Codes " xr:uid="{00000000-0004-0000-0600-000002000000}"/>
    <hyperlink ref="BQ17" location="'Print 6 Lane'!F1" display="Printout_x000a_6 Lane Gala" xr:uid="{00000000-0004-0000-0600-000003000000}"/>
    <hyperlink ref="BQ19" location="'Print 8 Lane'!F1" display="Printout_x000a_8 Lane Gala" xr:uid="{00000000-0004-0000-0600-000004000000}"/>
    <hyperlink ref="BQ21" location="'print 10 lane'!I1" display="Printout_x000a_10 Lane Gala" xr:uid="{00000000-0004-0000-0600-000005000000}"/>
    <hyperlink ref="BQ23" location="HDR!A1" display="Rankings HDR" xr:uid="{00000000-0004-0000-0600-000006000000}"/>
    <hyperlink ref="BQ25" location="MRF!A1" display="Rankings MRF" xr:uid="{00000000-0004-0000-0600-000007000000}"/>
  </hyperlinks>
  <printOptions horizontalCentered="1" verticalCentered="1"/>
  <pageMargins left="0.118055555555556" right="0.118055555555556" top="0.15763888888888899" bottom="0.15763888888888899" header="0.511811023622047" footer="0.511811023622047"/>
  <pageSetup paperSize="9" orientation="landscape"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Q1109"/>
  <sheetViews>
    <sheetView showRowColHeaders="0" zoomScale="80" zoomScaleNormal="80" workbookViewId="0">
      <selection activeCell="E1" sqref="E1"/>
    </sheetView>
  </sheetViews>
  <sheetFormatPr defaultColWidth="8.6640625" defaultRowHeight="13.2" x14ac:dyDescent="0.25"/>
  <cols>
    <col min="1" max="1" width="4.5546875" customWidth="1"/>
    <col min="2" max="2" width="31.88671875" customWidth="1"/>
    <col min="3" max="3" width="4.5546875" hidden="1" customWidth="1"/>
    <col min="4" max="4" width="9.6640625" hidden="1" customWidth="1"/>
    <col min="5" max="5" width="9.88671875" style="130" customWidth="1"/>
    <col min="6" max="6" width="23.6640625" style="130" customWidth="1"/>
    <col min="7" max="7" width="33.88671875" style="130" customWidth="1"/>
    <col min="8" max="8" width="12.109375" style="698" customWidth="1"/>
    <col min="9" max="10" width="12.109375" hidden="1" customWidth="1"/>
    <col min="11" max="11" width="10.6640625" customWidth="1"/>
    <col min="12" max="12" width="16.5546875" hidden="1" customWidth="1"/>
    <col min="13" max="13" width="17.6640625" customWidth="1"/>
    <col min="14" max="15" width="14.6640625" style="134" customWidth="1"/>
    <col min="16" max="16" width="29.6640625" style="134" customWidth="1"/>
    <col min="17" max="17" width="8.33203125" style="134" customWidth="1"/>
    <col min="18" max="29" width="8.88671875" style="134" customWidth="1"/>
    <col min="30" max="30" width="4.5546875" style="699" customWidth="1"/>
    <col min="31" max="31" width="26" style="700" customWidth="1"/>
    <col min="32" max="32" width="2.33203125" hidden="1" customWidth="1"/>
    <col min="33" max="33" width="3.6640625" hidden="1" customWidth="1"/>
    <col min="34" max="34" width="9.88671875" customWidth="1"/>
    <col min="35" max="35" width="23.6640625" customWidth="1"/>
    <col min="36" max="36" width="34.33203125" customWidth="1"/>
    <col min="41" max="41" width="9.109375" customWidth="1"/>
    <col min="42" max="42" width="21.6640625" customWidth="1"/>
    <col min="43" max="43" width="21.6640625" hidden="1" customWidth="1"/>
    <col min="44" max="44" width="21.6640625" customWidth="1"/>
  </cols>
  <sheetData>
    <row r="1" spans="1:43" ht="42.75" customHeight="1" x14ac:dyDescent="0.25">
      <c r="A1" s="1267" t="s">
        <v>4621</v>
      </c>
      <c r="B1" s="1267"/>
      <c r="C1" s="701"/>
      <c r="D1" s="702"/>
      <c r="E1" s="1268" t="s">
        <v>4622</v>
      </c>
      <c r="F1" s="1268"/>
      <c r="G1" s="1268"/>
      <c r="H1" s="1268"/>
      <c r="I1" s="703"/>
      <c r="J1" s="704"/>
      <c r="K1" s="1269" t="s">
        <v>4623</v>
      </c>
      <c r="L1" s="1269"/>
      <c r="M1" s="1269"/>
      <c r="N1" s="1270" t="s">
        <v>4624</v>
      </c>
      <c r="O1" s="1270"/>
      <c r="P1" s="1270"/>
      <c r="Q1" s="705"/>
      <c r="AD1" s="1271" t="s">
        <v>4625</v>
      </c>
      <c r="AE1" s="1271"/>
      <c r="AF1" s="706"/>
      <c r="AG1" s="707"/>
      <c r="AH1" s="1262" t="str">
        <f>E1</f>
        <v>HARINGEY AQUATICS</v>
      </c>
      <c r="AI1" s="1262"/>
      <c r="AJ1" s="1262"/>
      <c r="AK1" s="1263"/>
      <c r="AL1" s="1263"/>
      <c r="AM1" s="1263"/>
      <c r="AN1" s="1263"/>
      <c r="AO1" s="708"/>
    </row>
    <row r="2" spans="1:43" ht="42.75" customHeight="1" x14ac:dyDescent="0.25">
      <c r="A2" s="1267"/>
      <c r="B2" s="1267"/>
      <c r="C2" s="709"/>
      <c r="D2" s="710"/>
      <c r="E2" s="1268"/>
      <c r="F2" s="1268"/>
      <c r="G2" s="1268"/>
      <c r="H2" s="1268"/>
      <c r="I2" s="711"/>
      <c r="J2" s="712"/>
      <c r="K2" s="1264">
        <f ca="1">DATE(YEAR(NOW()),12,31)</f>
        <v>45291</v>
      </c>
      <c r="L2" s="1264"/>
      <c r="M2" s="1264"/>
      <c r="N2" s="1265" t="s">
        <v>4626</v>
      </c>
      <c r="O2" s="1265"/>
      <c r="P2" s="1266" t="s">
        <v>4627</v>
      </c>
      <c r="Q2" s="705"/>
      <c r="AD2" s="1271"/>
      <c r="AE2" s="1271"/>
      <c r="AF2" s="713"/>
      <c r="AG2" s="714"/>
      <c r="AH2" s="1262"/>
      <c r="AI2" s="1262"/>
      <c r="AJ2" s="1262"/>
      <c r="AK2" s="1263"/>
      <c r="AL2" s="1263"/>
      <c r="AM2" s="1263"/>
      <c r="AN2" s="1263"/>
      <c r="AO2" s="708"/>
      <c r="AP2" s="708"/>
    </row>
    <row r="3" spans="1:43" ht="46.5" customHeight="1" x14ac:dyDescent="0.25">
      <c r="A3" s="1260" t="s">
        <v>15</v>
      </c>
      <c r="B3" s="1260"/>
      <c r="C3" s="715"/>
      <c r="D3" s="716"/>
      <c r="E3" s="717" t="s">
        <v>4628</v>
      </c>
      <c r="F3" s="718" t="s">
        <v>4629</v>
      </c>
      <c r="G3" s="718" t="s">
        <v>4630</v>
      </c>
      <c r="H3" s="719" t="s">
        <v>4631</v>
      </c>
      <c r="I3" s="720"/>
      <c r="J3" s="721"/>
      <c r="K3" s="1261" t="s">
        <v>4632</v>
      </c>
      <c r="L3" s="1261"/>
      <c r="M3" s="1261"/>
      <c r="N3" s="1265"/>
      <c r="O3" s="1265"/>
      <c r="P3" s="1266"/>
      <c r="Q3" s="705"/>
      <c r="AD3" s="1244"/>
      <c r="AE3" s="1244"/>
      <c r="AF3" s="723"/>
      <c r="AG3" s="724"/>
      <c r="AH3" s="725" t="s">
        <v>4633</v>
      </c>
      <c r="AI3" s="726" t="s">
        <v>4629</v>
      </c>
      <c r="AJ3" s="726" t="s">
        <v>4630</v>
      </c>
      <c r="AK3" s="1263"/>
      <c r="AL3" s="1263"/>
      <c r="AM3" s="1263"/>
      <c r="AN3" s="1263"/>
      <c r="AO3" s="726"/>
      <c r="AQ3">
        <v>8</v>
      </c>
    </row>
    <row r="4" spans="1:43" ht="20.25" customHeight="1" x14ac:dyDescent="0.25">
      <c r="A4" s="727">
        <v>1</v>
      </c>
      <c r="B4" s="728" t="s">
        <v>4634</v>
      </c>
      <c r="C4" s="728" t="s">
        <v>4635</v>
      </c>
      <c r="D4" s="729">
        <f>IF('Gala Setup'!J$9="100M",29,IF('Gala Setup'!J$9="200M",16))</f>
        <v>16</v>
      </c>
      <c r="E4" s="730">
        <v>1335005</v>
      </c>
      <c r="F4" s="731" t="s">
        <v>4636</v>
      </c>
      <c r="G4" s="731" t="s">
        <v>4637</v>
      </c>
      <c r="H4" s="732">
        <v>39096</v>
      </c>
      <c r="I4" s="733" t="str">
        <f t="shared" ref="I4:I35" si="0">CONCATENATE(F4," ",G4)</f>
        <v>Bianca Gomez-Velasco</v>
      </c>
      <c r="J4" s="734" t="str">
        <f t="shared" ref="J4:J35" si="1">CONCATENATE(G4,",",F4)</f>
        <v>Gomez-Velasco,Bianca</v>
      </c>
      <c r="K4" s="735">
        <f t="shared" ref="K4:K35" ca="1" si="2">IF(K$2=0,0,IF(AQ4=0,0,IF(COUNTBLANK(AQ4)=1,"",YEAR(K$2)-YEAR(AQ4)-IF(DATE(YEAR(K$2),MONTH(AQ4),DAY(4638))&gt;K$2,1,0))))</f>
        <v>16</v>
      </c>
      <c r="L4" s="736" t="str">
        <f t="shared" ref="L4:L35" si="3">(TEXT(H4,"DDMMYY"))</f>
        <v>140107</v>
      </c>
      <c r="M4" s="737" t="str">
        <f ca="1">IF(K4=0,0,IF(K4&lt;9,"TOO YOUNG",IF(K4&lt;60,"OK","BIT OLD MAYBE")))</f>
        <v>OK</v>
      </c>
      <c r="N4" s="1265"/>
      <c r="O4" s="1265"/>
      <c r="P4" s="1266"/>
      <c r="Q4" s="705"/>
      <c r="AD4" s="722">
        <f t="shared" ref="AD4:AE6" si="4">A4</f>
        <v>1</v>
      </c>
      <c r="AE4" s="738" t="str">
        <f t="shared" si="4"/>
        <v>FEMALE 16+  200M  IM</v>
      </c>
      <c r="AF4" s="440" t="s">
        <v>4635</v>
      </c>
      <c r="AG4" s="739">
        <v>16</v>
      </c>
      <c r="AH4" s="740">
        <f t="shared" ref="AH4:AH35" si="5">E4</f>
        <v>1335005</v>
      </c>
      <c r="AI4" s="740" t="str">
        <f t="shared" ref="AI4:AI35" si="6">F4</f>
        <v>Bianca</v>
      </c>
      <c r="AJ4" s="740" t="str">
        <f t="shared" ref="AJ4:AJ35" si="7">G4</f>
        <v>Gomez-Velasco</v>
      </c>
      <c r="AK4" s="740"/>
      <c r="AL4" s="740"/>
      <c r="AM4" s="740"/>
      <c r="AN4" s="740"/>
      <c r="AO4" s="740"/>
      <c r="AQ4" s="741">
        <f t="shared" ref="AQ4:AQ35" ca="1" si="8">INDIRECT(ADDRESS(ROW(),AQ$3))</f>
        <v>39096</v>
      </c>
    </row>
    <row r="5" spans="1:43" ht="20.25" customHeight="1" x14ac:dyDescent="0.25">
      <c r="A5" s="727">
        <v>2</v>
      </c>
      <c r="B5" s="742" t="s">
        <v>4638</v>
      </c>
      <c r="C5" s="742" t="s">
        <v>328</v>
      </c>
      <c r="D5" s="729">
        <f>IF('Gala Setup'!J$9="100M",29,IF('Gala Setup'!J$9="200M",16))</f>
        <v>16</v>
      </c>
      <c r="E5" s="730">
        <v>1584787</v>
      </c>
      <c r="F5" s="731" t="s">
        <v>4639</v>
      </c>
      <c r="G5" s="731" t="s">
        <v>4640</v>
      </c>
      <c r="H5" s="732">
        <v>40511</v>
      </c>
      <c r="I5" s="733" t="str">
        <f t="shared" si="0"/>
        <v>Zente Buzsik</v>
      </c>
      <c r="J5" s="734" t="str">
        <f t="shared" si="1"/>
        <v>Buzsik,Zente</v>
      </c>
      <c r="K5" s="735">
        <f t="shared" ca="1" si="2"/>
        <v>13</v>
      </c>
      <c r="L5" s="736" t="str">
        <f t="shared" si="3"/>
        <v>291110</v>
      </c>
      <c r="M5" s="743" t="str">
        <f ca="1">IF(K5=0,0,IF(K5&lt;9,"TOO YOUNG",IF(K5&lt;60,"OK","BIT OLD MAYBE")))</f>
        <v>OK</v>
      </c>
      <c r="N5" s="1265"/>
      <c r="O5" s="1265"/>
      <c r="P5" s="1266"/>
      <c r="Q5" s="705"/>
      <c r="AD5" s="722">
        <f t="shared" si="4"/>
        <v>2</v>
      </c>
      <c r="AE5" s="738" t="str">
        <f t="shared" si="4"/>
        <v>OPEN/MALE 16+ 200M  IM</v>
      </c>
      <c r="AF5" s="443" t="s">
        <v>328</v>
      </c>
      <c r="AG5" s="744">
        <v>16</v>
      </c>
      <c r="AH5" s="740">
        <f t="shared" si="5"/>
        <v>1584787</v>
      </c>
      <c r="AI5" s="740" t="str">
        <f t="shared" si="6"/>
        <v>Zente</v>
      </c>
      <c r="AJ5" s="740" t="str">
        <f t="shared" si="7"/>
        <v>Buzsik</v>
      </c>
      <c r="AK5" s="740"/>
      <c r="AL5" s="740"/>
      <c r="AM5" s="740"/>
      <c r="AN5" s="740"/>
      <c r="AO5" s="740"/>
      <c r="AQ5" s="741">
        <f t="shared" ca="1" si="8"/>
        <v>40511</v>
      </c>
    </row>
    <row r="6" spans="1:43" ht="20.25" customHeight="1" x14ac:dyDescent="0.25">
      <c r="A6" s="1254">
        <v>3</v>
      </c>
      <c r="B6" s="1255" t="s">
        <v>4641</v>
      </c>
      <c r="C6" s="746"/>
      <c r="D6" s="747"/>
      <c r="E6" s="730">
        <v>1612801</v>
      </c>
      <c r="F6" s="731" t="s">
        <v>4642</v>
      </c>
      <c r="G6" s="731" t="s">
        <v>4643</v>
      </c>
      <c r="H6" s="732">
        <v>40935</v>
      </c>
      <c r="I6" s="733" t="str">
        <f t="shared" si="0"/>
        <v>Ines Puente</v>
      </c>
      <c r="J6" s="734" t="str">
        <f t="shared" si="1"/>
        <v>Puente,Ines</v>
      </c>
      <c r="K6" s="735">
        <f t="shared" ca="1" si="2"/>
        <v>11</v>
      </c>
      <c r="L6" s="736" t="str">
        <f t="shared" si="3"/>
        <v>270112</v>
      </c>
      <c r="M6" s="748" t="str">
        <f t="shared" ref="M6:M13" ca="1" si="9">IF(K6=0,0,IF(K6&lt;9,"TOO YOUNG",IF(K6&lt;12,"OK","NOT ELIGIBLE")))</f>
        <v>OK</v>
      </c>
      <c r="N6" s="1265"/>
      <c r="O6" s="1265"/>
      <c r="P6" s="1266"/>
      <c r="Q6" s="705"/>
      <c r="AD6" s="1244">
        <f t="shared" si="4"/>
        <v>3</v>
      </c>
      <c r="AE6" s="1245" t="str">
        <f t="shared" si="4"/>
        <v>FEMALE 9/11 4 X 50M
FREESTYLE RELAY</v>
      </c>
      <c r="AF6" s="749"/>
      <c r="AG6" s="750"/>
      <c r="AH6" s="740">
        <f t="shared" si="5"/>
        <v>1612801</v>
      </c>
      <c r="AI6" s="740" t="str">
        <f t="shared" si="6"/>
        <v>Ines</v>
      </c>
      <c r="AJ6" s="740" t="str">
        <f t="shared" si="7"/>
        <v>Puente</v>
      </c>
      <c r="AK6" s="740"/>
      <c r="AL6" s="740"/>
      <c r="AM6" s="740"/>
      <c r="AN6" s="740"/>
      <c r="AO6" s="740"/>
      <c r="AQ6" s="741">
        <f t="shared" ca="1" si="8"/>
        <v>40935</v>
      </c>
    </row>
    <row r="7" spans="1:43" ht="20.25" customHeight="1" x14ac:dyDescent="0.25">
      <c r="A7" s="1254"/>
      <c r="B7" s="1255"/>
      <c r="C7" s="751"/>
      <c r="D7" s="752"/>
      <c r="E7" s="730">
        <v>1715149</v>
      </c>
      <c r="F7" s="731" t="s">
        <v>4644</v>
      </c>
      <c r="G7" s="731" t="s">
        <v>4645</v>
      </c>
      <c r="H7" s="732">
        <v>41417</v>
      </c>
      <c r="I7" s="733" t="str">
        <f t="shared" si="0"/>
        <v>Aaliyah Gordon</v>
      </c>
      <c r="J7" s="734" t="str">
        <f t="shared" si="1"/>
        <v>Gordon,Aaliyah</v>
      </c>
      <c r="K7" s="735">
        <f t="shared" ca="1" si="2"/>
        <v>10</v>
      </c>
      <c r="L7" s="736" t="str">
        <f t="shared" si="3"/>
        <v>230513</v>
      </c>
      <c r="M7" s="748" t="str">
        <f t="shared" ca="1" si="9"/>
        <v>OK</v>
      </c>
      <c r="N7" s="1265"/>
      <c r="O7" s="1265"/>
      <c r="P7" s="1266"/>
      <c r="Q7" s="705"/>
      <c r="AD7" s="1244"/>
      <c r="AE7" s="1245"/>
      <c r="AF7" s="753"/>
      <c r="AG7" s="754"/>
      <c r="AH7" s="740">
        <f t="shared" si="5"/>
        <v>1715149</v>
      </c>
      <c r="AI7" s="740" t="str">
        <f t="shared" si="6"/>
        <v>Aaliyah</v>
      </c>
      <c r="AJ7" s="740" t="str">
        <f t="shared" si="7"/>
        <v>Gordon</v>
      </c>
      <c r="AK7" s="740"/>
      <c r="AL7" s="740"/>
      <c r="AM7" s="740"/>
      <c r="AN7" s="740"/>
      <c r="AO7" s="740"/>
      <c r="AQ7" s="741">
        <f t="shared" ca="1" si="8"/>
        <v>41417</v>
      </c>
    </row>
    <row r="8" spans="1:43" ht="20.25" customHeight="1" x14ac:dyDescent="0.25">
      <c r="A8" s="1254"/>
      <c r="B8" s="1255"/>
      <c r="C8" s="751"/>
      <c r="D8" s="752"/>
      <c r="E8" s="730">
        <v>1634616</v>
      </c>
      <c r="F8" s="731" t="s">
        <v>4646</v>
      </c>
      <c r="G8" s="731" t="s">
        <v>4647</v>
      </c>
      <c r="H8" s="732">
        <v>41004</v>
      </c>
      <c r="I8" s="733" t="str">
        <f t="shared" si="0"/>
        <v>Eleanor Skinner</v>
      </c>
      <c r="J8" s="734" t="str">
        <f t="shared" si="1"/>
        <v>Skinner,Eleanor</v>
      </c>
      <c r="K8" s="735">
        <f t="shared" ca="1" si="2"/>
        <v>11</v>
      </c>
      <c r="L8" s="736" t="str">
        <f t="shared" si="3"/>
        <v>050412</v>
      </c>
      <c r="M8" s="748" t="str">
        <f t="shared" ca="1" si="9"/>
        <v>OK</v>
      </c>
      <c r="N8" s="1265"/>
      <c r="O8" s="1265"/>
      <c r="P8" s="1266"/>
      <c r="Q8" s="705"/>
      <c r="AD8" s="1244"/>
      <c r="AE8" s="1245"/>
      <c r="AF8" s="753"/>
      <c r="AG8" s="754"/>
      <c r="AH8" s="740">
        <f t="shared" si="5"/>
        <v>1634616</v>
      </c>
      <c r="AI8" s="740" t="str">
        <f t="shared" si="6"/>
        <v>Eleanor</v>
      </c>
      <c r="AJ8" s="740" t="str">
        <f t="shared" si="7"/>
        <v>Skinner</v>
      </c>
      <c r="AK8" s="740"/>
      <c r="AL8" s="740"/>
      <c r="AM8" s="740"/>
      <c r="AN8" s="740"/>
      <c r="AO8" s="740"/>
      <c r="AQ8" s="741">
        <f t="shared" ca="1" si="8"/>
        <v>41004</v>
      </c>
    </row>
    <row r="9" spans="1:43" ht="20.25" customHeight="1" x14ac:dyDescent="0.25">
      <c r="A9" s="1254"/>
      <c r="B9" s="1255"/>
      <c r="C9" s="751"/>
      <c r="D9" s="752"/>
      <c r="E9" s="730">
        <v>1698062</v>
      </c>
      <c r="F9" s="731" t="s">
        <v>4648</v>
      </c>
      <c r="G9" s="731" t="s">
        <v>4649</v>
      </c>
      <c r="H9" s="732">
        <v>41027</v>
      </c>
      <c r="I9" s="733" t="str">
        <f t="shared" si="0"/>
        <v>Claudia Savov</v>
      </c>
      <c r="J9" s="734" t="str">
        <f t="shared" si="1"/>
        <v>Savov,Claudia</v>
      </c>
      <c r="K9" s="735">
        <f t="shared" ca="1" si="2"/>
        <v>11</v>
      </c>
      <c r="L9" s="736" t="str">
        <f t="shared" si="3"/>
        <v>280412</v>
      </c>
      <c r="M9" s="748" t="str">
        <f t="shared" ca="1" si="9"/>
        <v>OK</v>
      </c>
      <c r="N9" s="1265"/>
      <c r="O9" s="1265"/>
      <c r="P9" s="1266"/>
      <c r="Q9" s="705"/>
      <c r="AD9" s="1244"/>
      <c r="AE9" s="1245"/>
      <c r="AF9" s="753"/>
      <c r="AG9" s="754"/>
      <c r="AH9" s="740">
        <f t="shared" si="5"/>
        <v>1698062</v>
      </c>
      <c r="AI9" s="740" t="str">
        <f t="shared" si="6"/>
        <v>Claudia</v>
      </c>
      <c r="AJ9" s="740" t="str">
        <f t="shared" si="7"/>
        <v>Savov</v>
      </c>
      <c r="AK9" s="740"/>
      <c r="AL9" s="740"/>
      <c r="AM9" s="740"/>
      <c r="AN9" s="740"/>
      <c r="AO9" s="740"/>
      <c r="AQ9" s="741">
        <f t="shared" ca="1" si="8"/>
        <v>41027</v>
      </c>
    </row>
    <row r="10" spans="1:43" ht="20.25" customHeight="1" x14ac:dyDescent="0.25">
      <c r="A10" s="1254">
        <v>4</v>
      </c>
      <c r="B10" s="1255" t="s">
        <v>4650</v>
      </c>
      <c r="C10" s="746"/>
      <c r="D10" s="747"/>
      <c r="E10" s="730"/>
      <c r="F10" s="731"/>
      <c r="G10" s="731"/>
      <c r="H10" s="732"/>
      <c r="I10" s="733" t="str">
        <f t="shared" si="0"/>
        <v xml:space="preserve"> </v>
      </c>
      <c r="J10" s="734" t="str">
        <f t="shared" si="1"/>
        <v>,</v>
      </c>
      <c r="K10" s="735">
        <f t="shared" ca="1" si="2"/>
        <v>0</v>
      </c>
      <c r="L10" s="736" t="str">
        <f t="shared" si="3"/>
        <v>000100</v>
      </c>
      <c r="M10" s="748">
        <f t="shared" ca="1" si="9"/>
        <v>0</v>
      </c>
      <c r="N10" s="1265"/>
      <c r="O10" s="1265"/>
      <c r="P10" s="1266"/>
      <c r="Q10" s="705"/>
      <c r="AD10" s="1244">
        <f>A10</f>
        <v>4</v>
      </c>
      <c r="AE10" s="1245" t="str">
        <f>B10</f>
        <v>OPEN/MALE 9/11 4 X50M
FREESTYLE RELAY</v>
      </c>
      <c r="AF10" s="749"/>
      <c r="AG10" s="750"/>
      <c r="AH10" s="740">
        <f t="shared" si="5"/>
        <v>0</v>
      </c>
      <c r="AI10" s="740">
        <f t="shared" si="6"/>
        <v>0</v>
      </c>
      <c r="AJ10" s="740">
        <f t="shared" si="7"/>
        <v>0</v>
      </c>
      <c r="AK10" s="740"/>
      <c r="AL10" s="740"/>
      <c r="AM10" s="740"/>
      <c r="AN10" s="740"/>
      <c r="AO10" s="740"/>
      <c r="AQ10" s="741">
        <f t="shared" ca="1" si="8"/>
        <v>0</v>
      </c>
    </row>
    <row r="11" spans="1:43" ht="20.25" customHeight="1" x14ac:dyDescent="0.25">
      <c r="A11" s="1254"/>
      <c r="B11" s="1255"/>
      <c r="C11" s="751"/>
      <c r="D11" s="752"/>
      <c r="E11" s="730"/>
      <c r="F11" s="731"/>
      <c r="G11" s="731"/>
      <c r="H11" s="732"/>
      <c r="I11" s="733" t="str">
        <f t="shared" si="0"/>
        <v xml:space="preserve"> </v>
      </c>
      <c r="J11" s="734" t="str">
        <f t="shared" si="1"/>
        <v>,</v>
      </c>
      <c r="K11" s="735">
        <f t="shared" ca="1" si="2"/>
        <v>0</v>
      </c>
      <c r="L11" s="736" t="str">
        <f t="shared" si="3"/>
        <v>000100</v>
      </c>
      <c r="M11" s="748">
        <f t="shared" ca="1" si="9"/>
        <v>0</v>
      </c>
      <c r="N11" s="1265"/>
      <c r="O11" s="1265"/>
      <c r="P11" s="1266"/>
      <c r="Q11" s="705"/>
      <c r="AD11" s="1244"/>
      <c r="AE11" s="1245"/>
      <c r="AF11" s="753"/>
      <c r="AG11" s="754"/>
      <c r="AH11" s="740">
        <f t="shared" si="5"/>
        <v>0</v>
      </c>
      <c r="AI11" s="740">
        <f t="shared" si="6"/>
        <v>0</v>
      </c>
      <c r="AJ11" s="740">
        <f t="shared" si="7"/>
        <v>0</v>
      </c>
      <c r="AK11" s="740"/>
      <c r="AL11" s="740"/>
      <c r="AM11" s="740"/>
      <c r="AN11" s="740"/>
      <c r="AO11" s="740"/>
      <c r="AQ11" s="741">
        <f t="shared" ca="1" si="8"/>
        <v>0</v>
      </c>
    </row>
    <row r="12" spans="1:43" ht="20.25" customHeight="1" x14ac:dyDescent="0.25">
      <c r="A12" s="1254"/>
      <c r="B12" s="1255"/>
      <c r="C12" s="751"/>
      <c r="D12" s="752"/>
      <c r="E12" s="730"/>
      <c r="F12" s="731"/>
      <c r="G12" s="731"/>
      <c r="H12" s="732"/>
      <c r="I12" s="733" t="str">
        <f t="shared" si="0"/>
        <v xml:space="preserve"> </v>
      </c>
      <c r="J12" s="734" t="str">
        <f t="shared" si="1"/>
        <v>,</v>
      </c>
      <c r="K12" s="735">
        <f t="shared" ca="1" si="2"/>
        <v>0</v>
      </c>
      <c r="L12" s="736" t="str">
        <f t="shared" si="3"/>
        <v>000100</v>
      </c>
      <c r="M12" s="748">
        <f t="shared" ca="1" si="9"/>
        <v>0</v>
      </c>
      <c r="N12" s="1265"/>
      <c r="O12" s="1265"/>
      <c r="P12" s="1266"/>
      <c r="Q12" s="705"/>
      <c r="AD12" s="1244"/>
      <c r="AE12" s="1245"/>
      <c r="AF12" s="753"/>
      <c r="AG12" s="754"/>
      <c r="AH12" s="740">
        <f t="shared" si="5"/>
        <v>0</v>
      </c>
      <c r="AI12" s="740">
        <f t="shared" si="6"/>
        <v>0</v>
      </c>
      <c r="AJ12" s="740">
        <f t="shared" si="7"/>
        <v>0</v>
      </c>
      <c r="AK12" s="740"/>
      <c r="AL12" s="740"/>
      <c r="AM12" s="740"/>
      <c r="AN12" s="740"/>
      <c r="AO12" s="740"/>
      <c r="AQ12" s="741">
        <f t="shared" ca="1" si="8"/>
        <v>0</v>
      </c>
    </row>
    <row r="13" spans="1:43" ht="20.25" customHeight="1" x14ac:dyDescent="0.25">
      <c r="A13" s="1254"/>
      <c r="B13" s="1255"/>
      <c r="C13" s="751"/>
      <c r="D13" s="752"/>
      <c r="E13" s="730"/>
      <c r="F13" s="731"/>
      <c r="G13" s="731"/>
      <c r="H13" s="732"/>
      <c r="I13" s="733" t="str">
        <f t="shared" si="0"/>
        <v xml:space="preserve"> </v>
      </c>
      <c r="J13" s="734" t="str">
        <f t="shared" si="1"/>
        <v>,</v>
      </c>
      <c r="K13" s="735">
        <f t="shared" ca="1" si="2"/>
        <v>0</v>
      </c>
      <c r="L13" s="736" t="str">
        <f t="shared" si="3"/>
        <v>000100</v>
      </c>
      <c r="M13" s="748">
        <f t="shared" ca="1" si="9"/>
        <v>0</v>
      </c>
      <c r="N13" s="1265"/>
      <c r="O13" s="1265"/>
      <c r="P13" s="1266"/>
      <c r="Q13" s="705"/>
      <c r="AD13" s="1244"/>
      <c r="AE13" s="1245"/>
      <c r="AF13" s="753"/>
      <c r="AG13" s="754"/>
      <c r="AH13" s="740">
        <f t="shared" si="5"/>
        <v>0</v>
      </c>
      <c r="AI13" s="740">
        <f t="shared" si="6"/>
        <v>0</v>
      </c>
      <c r="AJ13" s="740">
        <f t="shared" si="7"/>
        <v>0</v>
      </c>
      <c r="AK13" s="740"/>
      <c r="AL13" s="740"/>
      <c r="AM13" s="740"/>
      <c r="AN13" s="740"/>
      <c r="AO13" s="740"/>
      <c r="AQ13" s="741">
        <f t="shared" ca="1" si="8"/>
        <v>0</v>
      </c>
    </row>
    <row r="14" spans="1:43" ht="20.25" customHeight="1" x14ac:dyDescent="0.25">
      <c r="A14" s="1252">
        <v>5</v>
      </c>
      <c r="B14" s="1253" t="s">
        <v>4651</v>
      </c>
      <c r="C14" s="756"/>
      <c r="D14" s="757"/>
      <c r="E14" s="730">
        <v>1612800</v>
      </c>
      <c r="F14" s="731" t="s">
        <v>4652</v>
      </c>
      <c r="G14" s="731" t="s">
        <v>4653</v>
      </c>
      <c r="H14" s="732">
        <v>40182</v>
      </c>
      <c r="I14" s="733" t="str">
        <f t="shared" si="0"/>
        <v>Edanur Yigit</v>
      </c>
      <c r="J14" s="734" t="str">
        <f t="shared" si="1"/>
        <v>Yigit,Edanur</v>
      </c>
      <c r="K14" s="735">
        <f t="shared" ca="1" si="2"/>
        <v>13</v>
      </c>
      <c r="L14" s="736" t="str">
        <f t="shared" si="3"/>
        <v>040110</v>
      </c>
      <c r="M14" s="748" t="str">
        <f t="shared" ref="M14:M21" ca="1" si="10">IF(K14=0,0,IF(K14&lt;9,"TOO YOUNG",IF(K14&lt;14,"OK","NOT ELIGIBLE")))</f>
        <v>OK</v>
      </c>
      <c r="N14" s="1265"/>
      <c r="O14" s="1265"/>
      <c r="P14" s="1266"/>
      <c r="Q14" s="705"/>
      <c r="AD14" s="1244">
        <f>A14</f>
        <v>5</v>
      </c>
      <c r="AE14" s="1245" t="str">
        <f>B14</f>
        <v>FEMALE 13/U 4 X 50M
MEDLEY RELAY</v>
      </c>
      <c r="AF14" s="749"/>
      <c r="AG14" s="750"/>
      <c r="AH14" s="740">
        <f t="shared" si="5"/>
        <v>1612800</v>
      </c>
      <c r="AI14" s="740" t="str">
        <f t="shared" si="6"/>
        <v>Edanur</v>
      </c>
      <c r="AJ14" s="740" t="str">
        <f t="shared" si="7"/>
        <v>Yigit</v>
      </c>
      <c r="AK14" s="740"/>
      <c r="AL14" s="740"/>
      <c r="AM14" s="740"/>
      <c r="AN14" s="740"/>
      <c r="AO14" s="740"/>
      <c r="AQ14" s="741">
        <f t="shared" ca="1" si="8"/>
        <v>40182</v>
      </c>
    </row>
    <row r="15" spans="1:43" ht="20.25" customHeight="1" x14ac:dyDescent="0.25">
      <c r="A15" s="1252"/>
      <c r="B15" s="1253"/>
      <c r="C15" s="758"/>
      <c r="D15" s="759"/>
      <c r="E15" s="730">
        <v>1431508</v>
      </c>
      <c r="F15" s="731" t="s">
        <v>4654</v>
      </c>
      <c r="G15" s="731" t="s">
        <v>4655</v>
      </c>
      <c r="H15" s="732">
        <v>40190</v>
      </c>
      <c r="I15" s="733" t="str">
        <f t="shared" si="0"/>
        <v>Amy Hanson</v>
      </c>
      <c r="J15" s="734" t="str">
        <f t="shared" si="1"/>
        <v>Hanson,Amy</v>
      </c>
      <c r="K15" s="735">
        <f t="shared" ca="1" si="2"/>
        <v>13</v>
      </c>
      <c r="L15" s="736" t="str">
        <f t="shared" si="3"/>
        <v>120110</v>
      </c>
      <c r="M15" s="748" t="str">
        <f t="shared" ca="1" si="10"/>
        <v>OK</v>
      </c>
      <c r="N15" s="1265"/>
      <c r="O15" s="1265"/>
      <c r="P15" s="1266"/>
      <c r="Q15" s="705"/>
      <c r="AD15" s="1244"/>
      <c r="AE15" s="1245"/>
      <c r="AF15" s="753"/>
      <c r="AG15" s="754"/>
      <c r="AH15" s="740">
        <f t="shared" si="5"/>
        <v>1431508</v>
      </c>
      <c r="AI15" s="740" t="str">
        <f t="shared" si="6"/>
        <v>Amy</v>
      </c>
      <c r="AJ15" s="740" t="str">
        <f t="shared" si="7"/>
        <v>Hanson</v>
      </c>
      <c r="AK15" s="740"/>
      <c r="AL15" s="740"/>
      <c r="AM15" s="740"/>
      <c r="AN15" s="740"/>
      <c r="AO15" s="740"/>
      <c r="AQ15" s="741">
        <f t="shared" ca="1" si="8"/>
        <v>40190</v>
      </c>
    </row>
    <row r="16" spans="1:43" ht="20.25" customHeight="1" x14ac:dyDescent="0.25">
      <c r="A16" s="1252"/>
      <c r="B16" s="1253"/>
      <c r="C16" s="758"/>
      <c r="D16" s="759"/>
      <c r="E16" s="730">
        <v>1486835</v>
      </c>
      <c r="F16" s="731" t="s">
        <v>4656</v>
      </c>
      <c r="G16" s="731" t="s">
        <v>4657</v>
      </c>
      <c r="H16" s="732">
        <v>40513</v>
      </c>
      <c r="I16" s="733" t="str">
        <f t="shared" si="0"/>
        <v>Ane Pedraza-Eguia</v>
      </c>
      <c r="J16" s="734" t="str">
        <f t="shared" si="1"/>
        <v>Pedraza-Eguia,Ane</v>
      </c>
      <c r="K16" s="735">
        <f t="shared" ca="1" si="2"/>
        <v>13</v>
      </c>
      <c r="L16" s="736" t="str">
        <f t="shared" si="3"/>
        <v>011210</v>
      </c>
      <c r="M16" s="748" t="str">
        <f t="shared" ca="1" si="10"/>
        <v>OK</v>
      </c>
      <c r="N16" s="1265"/>
      <c r="O16" s="1265"/>
      <c r="P16" s="1266"/>
      <c r="Q16" s="705"/>
      <c r="AD16" s="1244"/>
      <c r="AE16" s="1245"/>
      <c r="AF16" s="753"/>
      <c r="AG16" s="754"/>
      <c r="AH16" s="740">
        <f t="shared" si="5"/>
        <v>1486835</v>
      </c>
      <c r="AI16" s="740" t="str">
        <f t="shared" si="6"/>
        <v>Ane</v>
      </c>
      <c r="AJ16" s="740" t="str">
        <f t="shared" si="7"/>
        <v>Pedraza-Eguia</v>
      </c>
      <c r="AK16" s="740"/>
      <c r="AL16" s="740"/>
      <c r="AM16" s="740"/>
      <c r="AN16" s="740"/>
      <c r="AO16" s="740"/>
      <c r="AQ16" s="741">
        <f t="shared" ca="1" si="8"/>
        <v>40513</v>
      </c>
    </row>
    <row r="17" spans="1:43" ht="20.25" customHeight="1" x14ac:dyDescent="0.25">
      <c r="A17" s="1252"/>
      <c r="B17" s="1253"/>
      <c r="C17" s="758"/>
      <c r="D17" s="759"/>
      <c r="E17" s="730">
        <v>1448003</v>
      </c>
      <c r="F17" s="731" t="s">
        <v>4658</v>
      </c>
      <c r="G17" s="731" t="s">
        <v>4659</v>
      </c>
      <c r="H17" s="732">
        <v>40232</v>
      </c>
      <c r="I17" s="733" t="str">
        <f t="shared" si="0"/>
        <v>Maryla Koslacz</v>
      </c>
      <c r="J17" s="734" t="str">
        <f t="shared" si="1"/>
        <v>Koslacz,Maryla</v>
      </c>
      <c r="K17" s="735">
        <f t="shared" ca="1" si="2"/>
        <v>13</v>
      </c>
      <c r="L17" s="736" t="str">
        <f t="shared" si="3"/>
        <v>230210</v>
      </c>
      <c r="M17" s="748" t="str">
        <f t="shared" ca="1" si="10"/>
        <v>OK</v>
      </c>
      <c r="N17" s="1265"/>
      <c r="O17" s="1265"/>
      <c r="P17" s="1266"/>
      <c r="Q17" s="705"/>
      <c r="AD17" s="1244"/>
      <c r="AE17" s="1245"/>
      <c r="AF17" s="753"/>
      <c r="AG17" s="754"/>
      <c r="AH17" s="740">
        <f t="shared" si="5"/>
        <v>1448003</v>
      </c>
      <c r="AI17" s="740" t="str">
        <f t="shared" si="6"/>
        <v>Maryla</v>
      </c>
      <c r="AJ17" s="740" t="str">
        <f t="shared" si="7"/>
        <v>Koslacz</v>
      </c>
      <c r="AK17" s="740"/>
      <c r="AL17" s="740"/>
      <c r="AM17" s="740"/>
      <c r="AN17" s="740"/>
      <c r="AO17" s="740"/>
      <c r="AQ17" s="741">
        <f t="shared" ca="1" si="8"/>
        <v>40232</v>
      </c>
    </row>
    <row r="18" spans="1:43" ht="20.25" customHeight="1" x14ac:dyDescent="0.25">
      <c r="A18" s="1252">
        <v>6</v>
      </c>
      <c r="B18" s="1253" t="s">
        <v>4660</v>
      </c>
      <c r="C18" s="756"/>
      <c r="D18" s="757"/>
      <c r="E18" s="730">
        <v>1470569</v>
      </c>
      <c r="F18" s="731" t="s">
        <v>4661</v>
      </c>
      <c r="G18" s="731" t="s">
        <v>4662</v>
      </c>
      <c r="H18" s="732">
        <v>40830</v>
      </c>
      <c r="I18" s="733" t="str">
        <f t="shared" si="0"/>
        <v>Albert Nezha</v>
      </c>
      <c r="J18" s="734" t="str">
        <f t="shared" si="1"/>
        <v>Nezha,Albert</v>
      </c>
      <c r="K18" s="735">
        <f t="shared" ca="1" si="2"/>
        <v>12</v>
      </c>
      <c r="L18" s="736" t="str">
        <f t="shared" si="3"/>
        <v>141011</v>
      </c>
      <c r="M18" s="748" t="str">
        <f t="shared" ca="1" si="10"/>
        <v>OK</v>
      </c>
      <c r="N18" s="1258" t="s">
        <v>4319</v>
      </c>
      <c r="O18" s="1258" t="s">
        <v>4320</v>
      </c>
      <c r="P18" s="1259" t="s">
        <v>4663</v>
      </c>
      <c r="R18" s="760"/>
      <c r="S18" s="760"/>
      <c r="AD18" s="1244">
        <f>A18</f>
        <v>6</v>
      </c>
      <c r="AE18" s="1245" t="str">
        <f>B18</f>
        <v>OPEN/MALE 13/U 4 X 50M
MEDLEY RELAY</v>
      </c>
      <c r="AF18" s="749"/>
      <c r="AG18" s="750"/>
      <c r="AH18" s="740">
        <f t="shared" si="5"/>
        <v>1470569</v>
      </c>
      <c r="AI18" s="740" t="str">
        <f t="shared" si="6"/>
        <v>Albert</v>
      </c>
      <c r="AJ18" s="740" t="str">
        <f t="shared" si="7"/>
        <v>Nezha</v>
      </c>
      <c r="AK18" s="740"/>
      <c r="AL18" s="740"/>
      <c r="AM18" s="740"/>
      <c r="AN18" s="740"/>
      <c r="AO18" s="740"/>
      <c r="AQ18" s="741">
        <f t="shared" ca="1" si="8"/>
        <v>40830</v>
      </c>
    </row>
    <row r="19" spans="1:43" ht="20.25" customHeight="1" x14ac:dyDescent="0.25">
      <c r="A19" s="1252"/>
      <c r="B19" s="1253"/>
      <c r="C19" s="758"/>
      <c r="D19" s="759"/>
      <c r="E19" s="730">
        <v>1516060</v>
      </c>
      <c r="F19" s="731" t="s">
        <v>4653</v>
      </c>
      <c r="G19" s="731" t="s">
        <v>4664</v>
      </c>
      <c r="H19" s="732">
        <v>40226</v>
      </c>
      <c r="I19" s="733" t="str">
        <f t="shared" si="0"/>
        <v>Yigit Ilhan</v>
      </c>
      <c r="J19" s="734" t="str">
        <f t="shared" si="1"/>
        <v>Ilhan,Yigit</v>
      </c>
      <c r="K19" s="735">
        <f t="shared" ca="1" si="2"/>
        <v>13</v>
      </c>
      <c r="L19" s="736" t="str">
        <f t="shared" si="3"/>
        <v>170210</v>
      </c>
      <c r="M19" s="748" t="str">
        <f t="shared" ca="1" si="10"/>
        <v>OK</v>
      </c>
      <c r="N19" s="1258"/>
      <c r="O19" s="1258"/>
      <c r="P19" s="1259"/>
      <c r="R19" s="760"/>
      <c r="S19" s="760"/>
      <c r="AD19" s="1244"/>
      <c r="AE19" s="1245"/>
      <c r="AF19" s="753"/>
      <c r="AG19" s="754"/>
      <c r="AH19" s="740">
        <f t="shared" si="5"/>
        <v>1516060</v>
      </c>
      <c r="AI19" s="740" t="str">
        <f t="shared" si="6"/>
        <v>Yigit</v>
      </c>
      <c r="AJ19" s="740" t="str">
        <f t="shared" si="7"/>
        <v>Ilhan</v>
      </c>
      <c r="AK19" s="740"/>
      <c r="AL19" s="740"/>
      <c r="AM19" s="740"/>
      <c r="AN19" s="740"/>
      <c r="AO19" s="740"/>
      <c r="AQ19" s="741">
        <f t="shared" ca="1" si="8"/>
        <v>40226</v>
      </c>
    </row>
    <row r="20" spans="1:43" ht="20.25" customHeight="1" x14ac:dyDescent="0.25">
      <c r="A20" s="1252"/>
      <c r="B20" s="1253"/>
      <c r="C20" s="758"/>
      <c r="D20" s="759"/>
      <c r="E20" s="730">
        <v>1656629</v>
      </c>
      <c r="F20" s="731" t="s">
        <v>4665</v>
      </c>
      <c r="G20" s="731" t="s">
        <v>4666</v>
      </c>
      <c r="H20" s="732">
        <v>40844</v>
      </c>
      <c r="I20" s="733" t="str">
        <f t="shared" si="0"/>
        <v>Ned Peter Andrews</v>
      </c>
      <c r="J20" s="734" t="str">
        <f t="shared" si="1"/>
        <v>Andrews,Ned Peter</v>
      </c>
      <c r="K20" s="735">
        <f t="shared" ca="1" si="2"/>
        <v>12</v>
      </c>
      <c r="L20" s="736" t="str">
        <f t="shared" si="3"/>
        <v>281011</v>
      </c>
      <c r="M20" s="748" t="str">
        <f t="shared" ca="1" si="10"/>
        <v>OK</v>
      </c>
      <c r="N20" s="1258"/>
      <c r="O20" s="1258"/>
      <c r="P20" s="1259"/>
      <c r="R20" s="760"/>
      <c r="S20" s="760"/>
      <c r="AD20" s="1244"/>
      <c r="AE20" s="1245"/>
      <c r="AF20" s="753"/>
      <c r="AG20" s="754"/>
      <c r="AH20" s="740">
        <f t="shared" si="5"/>
        <v>1656629</v>
      </c>
      <c r="AI20" s="740" t="str">
        <f t="shared" si="6"/>
        <v>Ned Peter</v>
      </c>
      <c r="AJ20" s="740" t="str">
        <f t="shared" si="7"/>
        <v>Andrews</v>
      </c>
      <c r="AK20" s="740"/>
      <c r="AL20" s="740"/>
      <c r="AM20" s="740"/>
      <c r="AN20" s="740"/>
      <c r="AO20" s="740"/>
      <c r="AQ20" s="741">
        <f t="shared" ca="1" si="8"/>
        <v>40844</v>
      </c>
    </row>
    <row r="21" spans="1:43" ht="20.25" customHeight="1" x14ac:dyDescent="0.25">
      <c r="A21" s="1252"/>
      <c r="B21" s="1253"/>
      <c r="C21" s="758"/>
      <c r="D21" s="759"/>
      <c r="E21" s="730">
        <v>1584787</v>
      </c>
      <c r="F21" s="731" t="s">
        <v>4639</v>
      </c>
      <c r="G21" s="731" t="s">
        <v>4640</v>
      </c>
      <c r="H21" s="732">
        <v>40511</v>
      </c>
      <c r="I21" s="733" t="str">
        <f t="shared" si="0"/>
        <v>Zente Buzsik</v>
      </c>
      <c r="J21" s="734" t="str">
        <f t="shared" si="1"/>
        <v>Buzsik,Zente</v>
      </c>
      <c r="K21" s="735">
        <f t="shared" ca="1" si="2"/>
        <v>13</v>
      </c>
      <c r="L21" s="736" t="str">
        <f t="shared" si="3"/>
        <v>291110</v>
      </c>
      <c r="M21" s="748" t="str">
        <f t="shared" ca="1" si="10"/>
        <v>OK</v>
      </c>
      <c r="N21" s="1258"/>
      <c r="O21" s="1258"/>
      <c r="P21" s="1259"/>
      <c r="R21" s="760"/>
      <c r="S21" s="760"/>
      <c r="AD21" s="1244"/>
      <c r="AE21" s="1245"/>
      <c r="AF21" s="753"/>
      <c r="AG21" s="754"/>
      <c r="AH21" s="740">
        <f t="shared" si="5"/>
        <v>1584787</v>
      </c>
      <c r="AI21" s="740" t="str">
        <f t="shared" si="6"/>
        <v>Zente</v>
      </c>
      <c r="AJ21" s="740" t="str">
        <f t="shared" si="7"/>
        <v>Buzsik</v>
      </c>
      <c r="AK21" s="740"/>
      <c r="AL21" s="740"/>
      <c r="AM21" s="740"/>
      <c r="AN21" s="740"/>
      <c r="AO21" s="740"/>
      <c r="AQ21" s="741">
        <f t="shared" ca="1" si="8"/>
        <v>40511</v>
      </c>
    </row>
    <row r="22" spans="1:43" ht="20.25" customHeight="1" x14ac:dyDescent="0.25">
      <c r="A22" s="1256">
        <v>7</v>
      </c>
      <c r="B22" s="1249" t="s">
        <v>4667</v>
      </c>
      <c r="C22" s="761"/>
      <c r="D22" s="762"/>
      <c r="E22" s="730">
        <v>1492583</v>
      </c>
      <c r="F22" s="731" t="s">
        <v>4668</v>
      </c>
      <c r="G22" s="731" t="s">
        <v>4669</v>
      </c>
      <c r="H22" s="732">
        <v>40006</v>
      </c>
      <c r="I22" s="733" t="str">
        <f t="shared" si="0"/>
        <v>Shreya Bavishi</v>
      </c>
      <c r="J22" s="734" t="str">
        <f t="shared" si="1"/>
        <v>Bavishi,Shreya</v>
      </c>
      <c r="K22" s="735">
        <f t="shared" ca="1" si="2"/>
        <v>14</v>
      </c>
      <c r="L22" s="736" t="str">
        <f t="shared" si="3"/>
        <v>120709</v>
      </c>
      <c r="M22" s="748" t="str">
        <f t="shared" ref="M22:M29" ca="1" si="11">IF(K22=0,0,IF(K22&lt;9,"TOO YOUNG",IF(K22&lt;16,"OK","NOT ELIGIBLE")))</f>
        <v>OK</v>
      </c>
      <c r="N22" s="1257" t="str">
        <f>'Gala Setup'!S4</f>
        <v>NASL.2023 V6</v>
      </c>
      <c r="O22" s="1257"/>
      <c r="P22" s="1257"/>
      <c r="Q22" s="705"/>
      <c r="AD22" s="1244">
        <f>A22</f>
        <v>7</v>
      </c>
      <c r="AE22" s="1245" t="str">
        <f>B22</f>
        <v>FEMALE 15/U 4 X 50M
FREESTYLE RELAY</v>
      </c>
      <c r="AF22" s="749"/>
      <c r="AG22" s="750"/>
      <c r="AH22" s="740">
        <f t="shared" si="5"/>
        <v>1492583</v>
      </c>
      <c r="AI22" s="740" t="str">
        <f t="shared" si="6"/>
        <v>Shreya</v>
      </c>
      <c r="AJ22" s="740" t="str">
        <f t="shared" si="7"/>
        <v>Bavishi</v>
      </c>
      <c r="AK22" s="740"/>
      <c r="AL22" s="740"/>
      <c r="AM22" s="740"/>
      <c r="AN22" s="740"/>
      <c r="AO22" s="740"/>
      <c r="AQ22" s="741">
        <f t="shared" ca="1" si="8"/>
        <v>40006</v>
      </c>
    </row>
    <row r="23" spans="1:43" ht="20.25" customHeight="1" x14ac:dyDescent="0.25">
      <c r="A23" s="1256"/>
      <c r="B23" s="1249"/>
      <c r="C23" s="763"/>
      <c r="D23" s="764"/>
      <c r="E23" s="730">
        <v>1359587</v>
      </c>
      <c r="F23" s="731" t="s">
        <v>4670</v>
      </c>
      <c r="G23" s="731" t="s">
        <v>4671</v>
      </c>
      <c r="H23" s="732">
        <v>39925</v>
      </c>
      <c r="I23" s="733" t="str">
        <f t="shared" si="0"/>
        <v>Emily Hudszky</v>
      </c>
      <c r="J23" s="734" t="str">
        <f t="shared" si="1"/>
        <v>Hudszky,Emily</v>
      </c>
      <c r="K23" s="735">
        <f t="shared" ca="1" si="2"/>
        <v>14</v>
      </c>
      <c r="L23" s="736" t="str">
        <f t="shared" si="3"/>
        <v>220409</v>
      </c>
      <c r="M23" s="748" t="str">
        <f t="shared" ca="1" si="11"/>
        <v>OK</v>
      </c>
      <c r="N23" s="1257"/>
      <c r="O23" s="1257"/>
      <c r="P23" s="1257"/>
      <c r="Q23" s="705"/>
      <c r="AD23" s="1244"/>
      <c r="AE23" s="1245"/>
      <c r="AF23" s="753"/>
      <c r="AG23" s="754"/>
      <c r="AH23" s="740">
        <f t="shared" si="5"/>
        <v>1359587</v>
      </c>
      <c r="AI23" s="740" t="str">
        <f t="shared" si="6"/>
        <v>Emily</v>
      </c>
      <c r="AJ23" s="740" t="str">
        <f t="shared" si="7"/>
        <v>Hudszky</v>
      </c>
      <c r="AK23" s="740"/>
      <c r="AL23" s="740"/>
      <c r="AM23" s="740"/>
      <c r="AN23" s="740"/>
      <c r="AO23" s="740"/>
      <c r="AQ23" s="741">
        <f t="shared" ca="1" si="8"/>
        <v>39925</v>
      </c>
    </row>
    <row r="24" spans="1:43" ht="20.25" customHeight="1" x14ac:dyDescent="0.25">
      <c r="A24" s="1256"/>
      <c r="B24" s="1249"/>
      <c r="C24" s="763"/>
      <c r="D24" s="764"/>
      <c r="E24" s="730">
        <v>1507451</v>
      </c>
      <c r="F24" s="731" t="s">
        <v>4672</v>
      </c>
      <c r="G24" s="731" t="s">
        <v>4673</v>
      </c>
      <c r="H24" s="732">
        <v>39802</v>
      </c>
      <c r="I24" s="733" t="str">
        <f t="shared" si="0"/>
        <v>Taisia Flury</v>
      </c>
      <c r="J24" s="734" t="str">
        <f t="shared" si="1"/>
        <v>Flury,Taisia</v>
      </c>
      <c r="K24" s="735">
        <f t="shared" ca="1" si="2"/>
        <v>15</v>
      </c>
      <c r="L24" s="736" t="str">
        <f t="shared" si="3"/>
        <v>201208</v>
      </c>
      <c r="M24" s="748" t="str">
        <f t="shared" ca="1" si="11"/>
        <v>OK</v>
      </c>
      <c r="N24" s="765"/>
      <c r="Q24" s="765"/>
      <c r="AD24" s="1244"/>
      <c r="AE24" s="1245"/>
      <c r="AF24" s="753"/>
      <c r="AG24" s="754"/>
      <c r="AH24" s="740">
        <f t="shared" si="5"/>
        <v>1507451</v>
      </c>
      <c r="AI24" s="740" t="str">
        <f t="shared" si="6"/>
        <v>Taisia</v>
      </c>
      <c r="AJ24" s="740" t="str">
        <f t="shared" si="7"/>
        <v>Flury</v>
      </c>
      <c r="AK24" s="740"/>
      <c r="AL24" s="740"/>
      <c r="AM24" s="740"/>
      <c r="AN24" s="740"/>
      <c r="AO24" s="740"/>
      <c r="AQ24" s="741">
        <f t="shared" ca="1" si="8"/>
        <v>39802</v>
      </c>
    </row>
    <row r="25" spans="1:43" ht="20.25" customHeight="1" x14ac:dyDescent="0.25">
      <c r="A25" s="1256"/>
      <c r="B25" s="1249"/>
      <c r="C25" s="763"/>
      <c r="D25" s="764"/>
      <c r="E25" s="730">
        <v>1492584</v>
      </c>
      <c r="F25" s="731" t="s">
        <v>4674</v>
      </c>
      <c r="G25" s="731" t="s">
        <v>4675</v>
      </c>
      <c r="H25" s="732">
        <v>39937</v>
      </c>
      <c r="I25" s="733" t="str">
        <f t="shared" si="0"/>
        <v>Zoe Panayi</v>
      </c>
      <c r="J25" s="734" t="str">
        <f t="shared" si="1"/>
        <v>Panayi,Zoe</v>
      </c>
      <c r="K25" s="735">
        <f t="shared" ca="1" si="2"/>
        <v>14</v>
      </c>
      <c r="L25" s="736" t="str">
        <f t="shared" si="3"/>
        <v>040509</v>
      </c>
      <c r="M25" s="748" t="str">
        <f t="shared" ca="1" si="11"/>
        <v>OK</v>
      </c>
      <c r="N25" s="765"/>
      <c r="Q25" s="765"/>
      <c r="AD25" s="1244"/>
      <c r="AE25" s="1245"/>
      <c r="AF25" s="753"/>
      <c r="AG25" s="754"/>
      <c r="AH25" s="740">
        <f t="shared" si="5"/>
        <v>1492584</v>
      </c>
      <c r="AI25" s="740" t="str">
        <f t="shared" si="6"/>
        <v>Zoe</v>
      </c>
      <c r="AJ25" s="740" t="str">
        <f t="shared" si="7"/>
        <v>Panayi</v>
      </c>
      <c r="AK25" s="740"/>
      <c r="AL25" s="740"/>
      <c r="AM25" s="740"/>
      <c r="AN25" s="740"/>
      <c r="AO25" s="740"/>
      <c r="AQ25" s="741">
        <f t="shared" ca="1" si="8"/>
        <v>39937</v>
      </c>
    </row>
    <row r="26" spans="1:43" ht="20.25" customHeight="1" x14ac:dyDescent="0.25">
      <c r="A26" s="1256">
        <v>8</v>
      </c>
      <c r="B26" s="1249" t="s">
        <v>4676</v>
      </c>
      <c r="C26" s="761"/>
      <c r="D26" s="762"/>
      <c r="E26" s="730">
        <v>1516060</v>
      </c>
      <c r="F26" s="731" t="s">
        <v>4653</v>
      </c>
      <c r="G26" s="731" t="s">
        <v>4664</v>
      </c>
      <c r="H26" s="732">
        <v>40226</v>
      </c>
      <c r="I26" s="733" t="str">
        <f t="shared" si="0"/>
        <v>Yigit Ilhan</v>
      </c>
      <c r="J26" s="734" t="str">
        <f t="shared" si="1"/>
        <v>Ilhan,Yigit</v>
      </c>
      <c r="K26" s="735">
        <f t="shared" ca="1" si="2"/>
        <v>13</v>
      </c>
      <c r="L26" s="736" t="str">
        <f t="shared" si="3"/>
        <v>170210</v>
      </c>
      <c r="M26" s="766" t="str">
        <f t="shared" ca="1" si="11"/>
        <v>OK</v>
      </c>
      <c r="N26" s="767"/>
      <c r="AD26" s="1244">
        <f>A26</f>
        <v>8</v>
      </c>
      <c r="AE26" s="1245" t="str">
        <f>B26</f>
        <v>OPEN/MALE 15/U 4 X 50M
FREESTYLE RELAY</v>
      </c>
      <c r="AF26" s="749"/>
      <c r="AG26" s="750"/>
      <c r="AH26" s="740">
        <f t="shared" si="5"/>
        <v>1516060</v>
      </c>
      <c r="AI26" s="740" t="str">
        <f t="shared" si="6"/>
        <v>Yigit</v>
      </c>
      <c r="AJ26" s="740" t="str">
        <f t="shared" si="7"/>
        <v>Ilhan</v>
      </c>
      <c r="AK26" s="740"/>
      <c r="AL26" s="740"/>
      <c r="AM26" s="740"/>
      <c r="AN26" s="740"/>
      <c r="AO26" s="740"/>
      <c r="AQ26" s="741">
        <f t="shared" ca="1" si="8"/>
        <v>40226</v>
      </c>
    </row>
    <row r="27" spans="1:43" ht="20.25" customHeight="1" x14ac:dyDescent="0.25">
      <c r="A27" s="1256"/>
      <c r="B27" s="1249"/>
      <c r="C27" s="763"/>
      <c r="D27" s="764"/>
      <c r="E27" s="730">
        <v>1584787</v>
      </c>
      <c r="F27" s="731" t="s">
        <v>4639</v>
      </c>
      <c r="G27" s="731" t="s">
        <v>4640</v>
      </c>
      <c r="H27" s="732">
        <v>40511</v>
      </c>
      <c r="I27" s="733" t="str">
        <f t="shared" si="0"/>
        <v>Zente Buzsik</v>
      </c>
      <c r="J27" s="734" t="str">
        <f t="shared" si="1"/>
        <v>Buzsik,Zente</v>
      </c>
      <c r="K27" s="735">
        <f t="shared" ca="1" si="2"/>
        <v>13</v>
      </c>
      <c r="L27" s="736" t="str">
        <f t="shared" si="3"/>
        <v>291110</v>
      </c>
      <c r="M27" s="766" t="str">
        <f t="shared" ca="1" si="11"/>
        <v>OK</v>
      </c>
      <c r="N27" s="767"/>
      <c r="AD27" s="1244"/>
      <c r="AE27" s="1245"/>
      <c r="AF27" s="753"/>
      <c r="AG27" s="754"/>
      <c r="AH27" s="740">
        <f t="shared" si="5"/>
        <v>1584787</v>
      </c>
      <c r="AI27" s="740" t="str">
        <f t="shared" si="6"/>
        <v>Zente</v>
      </c>
      <c r="AJ27" s="740" t="str">
        <f t="shared" si="7"/>
        <v>Buzsik</v>
      </c>
      <c r="AK27" s="740"/>
      <c r="AL27" s="740"/>
      <c r="AM27" s="740"/>
      <c r="AN27" s="740"/>
      <c r="AO27" s="740"/>
      <c r="AQ27" s="741">
        <f t="shared" ca="1" si="8"/>
        <v>40511</v>
      </c>
    </row>
    <row r="28" spans="1:43" ht="20.25" customHeight="1" x14ac:dyDescent="0.25">
      <c r="A28" s="1256"/>
      <c r="B28" s="1249"/>
      <c r="C28" s="763"/>
      <c r="D28" s="764"/>
      <c r="E28" s="730">
        <v>1405916</v>
      </c>
      <c r="F28" s="731" t="s">
        <v>4677</v>
      </c>
      <c r="G28" s="731" t="s">
        <v>4678</v>
      </c>
      <c r="H28" s="732">
        <v>39602</v>
      </c>
      <c r="I28" s="733" t="str">
        <f t="shared" si="0"/>
        <v>Michael Manassero</v>
      </c>
      <c r="J28" s="734" t="str">
        <f t="shared" si="1"/>
        <v>Manassero,Michael</v>
      </c>
      <c r="K28" s="735">
        <f t="shared" ca="1" si="2"/>
        <v>15</v>
      </c>
      <c r="L28" s="736" t="str">
        <f t="shared" si="3"/>
        <v>030608</v>
      </c>
      <c r="M28" s="766" t="str">
        <f t="shared" ca="1" si="11"/>
        <v>OK</v>
      </c>
      <c r="N28" s="767"/>
      <c r="AD28" s="1244"/>
      <c r="AE28" s="1245"/>
      <c r="AF28" s="753"/>
      <c r="AG28" s="754"/>
      <c r="AH28" s="740">
        <f t="shared" si="5"/>
        <v>1405916</v>
      </c>
      <c r="AI28" s="740" t="str">
        <f t="shared" si="6"/>
        <v>Michael</v>
      </c>
      <c r="AJ28" s="740" t="str">
        <f t="shared" si="7"/>
        <v>Manassero</v>
      </c>
      <c r="AK28" s="740"/>
      <c r="AL28" s="740"/>
      <c r="AM28" s="740"/>
      <c r="AN28" s="740"/>
      <c r="AO28" s="740"/>
      <c r="AQ28" s="741">
        <f t="shared" ca="1" si="8"/>
        <v>39602</v>
      </c>
    </row>
    <row r="29" spans="1:43" ht="20.25" customHeight="1" x14ac:dyDescent="0.25">
      <c r="A29" s="1256"/>
      <c r="B29" s="1249"/>
      <c r="C29" s="763"/>
      <c r="D29" s="764"/>
      <c r="E29" s="730">
        <v>1386464</v>
      </c>
      <c r="F29" s="731" t="s">
        <v>4679</v>
      </c>
      <c r="G29" s="731" t="s">
        <v>4680</v>
      </c>
      <c r="H29" s="732">
        <v>39973</v>
      </c>
      <c r="I29" s="733" t="str">
        <f t="shared" si="0"/>
        <v>Zalan Tornay</v>
      </c>
      <c r="J29" s="734" t="str">
        <f t="shared" si="1"/>
        <v>Tornay,Zalan</v>
      </c>
      <c r="K29" s="735">
        <f t="shared" ca="1" si="2"/>
        <v>14</v>
      </c>
      <c r="L29" s="736" t="str">
        <f t="shared" si="3"/>
        <v>090609</v>
      </c>
      <c r="M29" s="766" t="str">
        <f t="shared" ca="1" si="11"/>
        <v>OK</v>
      </c>
      <c r="N29" s="767"/>
      <c r="AD29" s="1244"/>
      <c r="AE29" s="1245"/>
      <c r="AF29" s="753"/>
      <c r="AG29" s="754"/>
      <c r="AH29" s="740">
        <f t="shared" si="5"/>
        <v>1386464</v>
      </c>
      <c r="AI29" s="740" t="str">
        <f t="shared" si="6"/>
        <v>Zalan</v>
      </c>
      <c r="AJ29" s="740" t="str">
        <f t="shared" si="7"/>
        <v>Tornay</v>
      </c>
      <c r="AK29" s="740"/>
      <c r="AL29" s="740"/>
      <c r="AM29" s="740"/>
      <c r="AN29" s="740"/>
      <c r="AO29" s="740"/>
      <c r="AQ29" s="741">
        <f t="shared" ca="1" si="8"/>
        <v>39973</v>
      </c>
    </row>
    <row r="30" spans="1:43" ht="20.25" customHeight="1" x14ac:dyDescent="0.25">
      <c r="A30" s="1250">
        <v>9</v>
      </c>
      <c r="B30" s="1251" t="s">
        <v>4681</v>
      </c>
      <c r="C30" s="768"/>
      <c r="D30" s="769"/>
      <c r="E30" s="730">
        <v>1578148</v>
      </c>
      <c r="F30" s="731" t="s">
        <v>4682</v>
      </c>
      <c r="G30" s="731" t="s">
        <v>4683</v>
      </c>
      <c r="H30" s="732">
        <v>39336</v>
      </c>
      <c r="I30" s="733" t="str">
        <f t="shared" si="0"/>
        <v>Isabel Spyrou</v>
      </c>
      <c r="J30" s="734" t="str">
        <f t="shared" si="1"/>
        <v>Spyrou,Isabel</v>
      </c>
      <c r="K30" s="735">
        <f t="shared" ca="1" si="2"/>
        <v>16</v>
      </c>
      <c r="L30" s="736" t="str">
        <f t="shared" si="3"/>
        <v>110907</v>
      </c>
      <c r="M30" s="770" t="str">
        <f t="shared" ref="M30:M37" ca="1" si="12">IF(K30=0,0,IF(K30&lt;9,"TOO YOUNG",IF(K30&lt;60,"OK","BIT OLD MAYBE")))</f>
        <v>OK</v>
      </c>
      <c r="N30" s="767"/>
      <c r="AD30" s="1244">
        <f>A30</f>
        <v>9</v>
      </c>
      <c r="AE30" s="1245" t="str">
        <f>B30</f>
        <v>FEMALE 16+ 4 X 50M
MEDLEY RELAY</v>
      </c>
      <c r="AF30" s="749"/>
      <c r="AG30" s="750"/>
      <c r="AH30" s="740">
        <f t="shared" si="5"/>
        <v>1578148</v>
      </c>
      <c r="AI30" s="740" t="str">
        <f t="shared" si="6"/>
        <v>Isabel</v>
      </c>
      <c r="AJ30" s="740" t="str">
        <f t="shared" si="7"/>
        <v>Spyrou</v>
      </c>
      <c r="AK30" s="740"/>
      <c r="AL30" s="740"/>
      <c r="AM30" s="740"/>
      <c r="AN30" s="740"/>
      <c r="AO30" s="740"/>
      <c r="AQ30" s="741">
        <f t="shared" ca="1" si="8"/>
        <v>39336</v>
      </c>
    </row>
    <row r="31" spans="1:43" ht="20.25" customHeight="1" x14ac:dyDescent="0.25">
      <c r="A31" s="1250"/>
      <c r="B31" s="1251"/>
      <c r="C31" s="771"/>
      <c r="D31" s="772"/>
      <c r="E31" s="730">
        <v>1431508</v>
      </c>
      <c r="F31" s="731" t="s">
        <v>4654</v>
      </c>
      <c r="G31" s="731" t="s">
        <v>4655</v>
      </c>
      <c r="H31" s="732">
        <v>40190</v>
      </c>
      <c r="I31" s="733" t="str">
        <f t="shared" si="0"/>
        <v>Amy Hanson</v>
      </c>
      <c r="J31" s="734" t="str">
        <f t="shared" si="1"/>
        <v>Hanson,Amy</v>
      </c>
      <c r="K31" s="735">
        <f t="shared" ca="1" si="2"/>
        <v>13</v>
      </c>
      <c r="L31" s="736" t="str">
        <f t="shared" si="3"/>
        <v>120110</v>
      </c>
      <c r="M31" s="770" t="str">
        <f t="shared" ca="1" si="12"/>
        <v>OK</v>
      </c>
      <c r="N31" s="767"/>
      <c r="AD31" s="1244"/>
      <c r="AE31" s="1245"/>
      <c r="AF31" s="753"/>
      <c r="AG31" s="754"/>
      <c r="AH31" s="740">
        <f t="shared" si="5"/>
        <v>1431508</v>
      </c>
      <c r="AI31" s="740" t="str">
        <f t="shared" si="6"/>
        <v>Amy</v>
      </c>
      <c r="AJ31" s="740" t="str">
        <f t="shared" si="7"/>
        <v>Hanson</v>
      </c>
      <c r="AK31" s="740"/>
      <c r="AL31" s="740"/>
      <c r="AM31" s="740"/>
      <c r="AN31" s="740"/>
      <c r="AO31" s="740"/>
      <c r="AQ31" s="741">
        <f t="shared" ca="1" si="8"/>
        <v>40190</v>
      </c>
    </row>
    <row r="32" spans="1:43" ht="20.25" customHeight="1" x14ac:dyDescent="0.25">
      <c r="A32" s="1250"/>
      <c r="B32" s="1251"/>
      <c r="C32" s="771"/>
      <c r="D32" s="772"/>
      <c r="E32" s="730">
        <v>1470528</v>
      </c>
      <c r="F32" s="731" t="s">
        <v>4684</v>
      </c>
      <c r="G32" s="731" t="s">
        <v>4647</v>
      </c>
      <c r="H32" s="732">
        <v>39523</v>
      </c>
      <c r="I32" s="733" t="str">
        <f t="shared" si="0"/>
        <v>Charlotte Skinner</v>
      </c>
      <c r="J32" s="734" t="str">
        <f t="shared" si="1"/>
        <v>Skinner,Charlotte</v>
      </c>
      <c r="K32" s="735">
        <f t="shared" ca="1" si="2"/>
        <v>15</v>
      </c>
      <c r="L32" s="736" t="str">
        <f t="shared" si="3"/>
        <v>160308</v>
      </c>
      <c r="M32" s="770" t="str">
        <f t="shared" ca="1" si="12"/>
        <v>OK</v>
      </c>
      <c r="N32" s="767"/>
      <c r="AD32" s="1244"/>
      <c r="AE32" s="1245"/>
      <c r="AF32" s="753"/>
      <c r="AG32" s="754"/>
      <c r="AH32" s="740">
        <f t="shared" si="5"/>
        <v>1470528</v>
      </c>
      <c r="AI32" s="740" t="str">
        <f t="shared" si="6"/>
        <v>Charlotte</v>
      </c>
      <c r="AJ32" s="740" t="str">
        <f t="shared" si="7"/>
        <v>Skinner</v>
      </c>
      <c r="AK32" s="740"/>
      <c r="AL32" s="740"/>
      <c r="AM32" s="740"/>
      <c r="AN32" s="740"/>
      <c r="AO32" s="740"/>
      <c r="AQ32" s="741">
        <f t="shared" ca="1" si="8"/>
        <v>39523</v>
      </c>
    </row>
    <row r="33" spans="1:43" ht="20.25" customHeight="1" x14ac:dyDescent="0.25">
      <c r="A33" s="1250"/>
      <c r="B33" s="1251"/>
      <c r="C33" s="771"/>
      <c r="D33" s="772"/>
      <c r="E33" s="730">
        <v>1405904</v>
      </c>
      <c r="F33" s="731" t="s">
        <v>4685</v>
      </c>
      <c r="G33" s="731" t="s">
        <v>4686</v>
      </c>
      <c r="H33" s="732">
        <v>39227</v>
      </c>
      <c r="I33" s="733" t="str">
        <f t="shared" si="0"/>
        <v>Maja Grzybek</v>
      </c>
      <c r="J33" s="734" t="str">
        <f t="shared" si="1"/>
        <v>Grzybek,Maja</v>
      </c>
      <c r="K33" s="735">
        <f t="shared" ca="1" si="2"/>
        <v>16</v>
      </c>
      <c r="L33" s="736" t="str">
        <f t="shared" si="3"/>
        <v>250507</v>
      </c>
      <c r="M33" s="770" t="str">
        <f t="shared" ca="1" si="12"/>
        <v>OK</v>
      </c>
      <c r="N33" s="767"/>
      <c r="AD33" s="1244"/>
      <c r="AE33" s="1245"/>
      <c r="AF33" s="753"/>
      <c r="AG33" s="754"/>
      <c r="AH33" s="740">
        <f t="shared" si="5"/>
        <v>1405904</v>
      </c>
      <c r="AI33" s="740" t="str">
        <f t="shared" si="6"/>
        <v>Maja</v>
      </c>
      <c r="AJ33" s="740" t="str">
        <f t="shared" si="7"/>
        <v>Grzybek</v>
      </c>
      <c r="AK33" s="740"/>
      <c r="AL33" s="740"/>
      <c r="AM33" s="740"/>
      <c r="AN33" s="740"/>
      <c r="AO33" s="740"/>
      <c r="AQ33" s="741">
        <f t="shared" ca="1" si="8"/>
        <v>39227</v>
      </c>
    </row>
    <row r="34" spans="1:43" ht="20.25" customHeight="1" x14ac:dyDescent="0.25">
      <c r="A34" s="1250">
        <v>10</v>
      </c>
      <c r="B34" s="1251" t="s">
        <v>4687</v>
      </c>
      <c r="C34" s="768"/>
      <c r="D34" s="769"/>
      <c r="E34" s="730">
        <v>1386464</v>
      </c>
      <c r="F34" s="731" t="s">
        <v>4679</v>
      </c>
      <c r="G34" s="731" t="s">
        <v>4680</v>
      </c>
      <c r="H34" s="732">
        <v>39973</v>
      </c>
      <c r="I34" s="733" t="str">
        <f t="shared" si="0"/>
        <v>Zalan Tornay</v>
      </c>
      <c r="J34" s="734" t="str">
        <f t="shared" si="1"/>
        <v>Tornay,Zalan</v>
      </c>
      <c r="K34" s="735">
        <f t="shared" ca="1" si="2"/>
        <v>14</v>
      </c>
      <c r="L34" s="736" t="str">
        <f t="shared" si="3"/>
        <v>090609</v>
      </c>
      <c r="M34" s="770" t="str">
        <f t="shared" ca="1" si="12"/>
        <v>OK</v>
      </c>
      <c r="N34" s="767"/>
      <c r="AD34" s="1244">
        <f>A34</f>
        <v>10</v>
      </c>
      <c r="AE34" s="1245" t="str">
        <f>B34</f>
        <v>OPEN/MALE 16+ 4 X 50M
MEDLEY RELAY</v>
      </c>
      <c r="AF34" s="749"/>
      <c r="AG34" s="750"/>
      <c r="AH34" s="740">
        <f t="shared" si="5"/>
        <v>1386464</v>
      </c>
      <c r="AI34" s="740" t="str">
        <f t="shared" si="6"/>
        <v>Zalan</v>
      </c>
      <c r="AJ34" s="740" t="str">
        <f t="shared" si="7"/>
        <v>Tornay</v>
      </c>
      <c r="AK34" s="740"/>
      <c r="AL34" s="740"/>
      <c r="AM34" s="740"/>
      <c r="AN34" s="740"/>
      <c r="AO34" s="740"/>
      <c r="AQ34" s="741">
        <f t="shared" ca="1" si="8"/>
        <v>39973</v>
      </c>
    </row>
    <row r="35" spans="1:43" ht="20.25" customHeight="1" x14ac:dyDescent="0.25">
      <c r="A35" s="1250"/>
      <c r="B35" s="1251"/>
      <c r="C35" s="771"/>
      <c r="D35" s="772"/>
      <c r="E35" s="730">
        <v>1405916</v>
      </c>
      <c r="F35" s="731" t="s">
        <v>4677</v>
      </c>
      <c r="G35" s="731" t="s">
        <v>4678</v>
      </c>
      <c r="H35" s="732">
        <v>39602</v>
      </c>
      <c r="I35" s="733" t="str">
        <f t="shared" si="0"/>
        <v>Michael Manassero</v>
      </c>
      <c r="J35" s="734" t="str">
        <f t="shared" si="1"/>
        <v>Manassero,Michael</v>
      </c>
      <c r="K35" s="735">
        <f t="shared" ca="1" si="2"/>
        <v>15</v>
      </c>
      <c r="L35" s="736" t="str">
        <f t="shared" si="3"/>
        <v>030608</v>
      </c>
      <c r="M35" s="770" t="str">
        <f t="shared" ca="1" si="12"/>
        <v>OK</v>
      </c>
      <c r="AD35" s="1244"/>
      <c r="AE35" s="1245"/>
      <c r="AF35" s="753"/>
      <c r="AG35" s="754"/>
      <c r="AH35" s="740">
        <f t="shared" si="5"/>
        <v>1405916</v>
      </c>
      <c r="AI35" s="740" t="str">
        <f t="shared" si="6"/>
        <v>Michael</v>
      </c>
      <c r="AJ35" s="740" t="str">
        <f t="shared" si="7"/>
        <v>Manassero</v>
      </c>
      <c r="AK35" s="740"/>
      <c r="AL35" s="740"/>
      <c r="AM35" s="740"/>
      <c r="AN35" s="740"/>
      <c r="AO35" s="740"/>
      <c r="AQ35" s="741">
        <f t="shared" ca="1" si="8"/>
        <v>39602</v>
      </c>
    </row>
    <row r="36" spans="1:43" ht="20.25" customHeight="1" x14ac:dyDescent="0.25">
      <c r="A36" s="1250"/>
      <c r="B36" s="1251"/>
      <c r="C36" s="771"/>
      <c r="D36" s="772"/>
      <c r="E36" s="730">
        <v>1374064</v>
      </c>
      <c r="F36" s="731" t="s">
        <v>4688</v>
      </c>
      <c r="G36" s="731" t="s">
        <v>4689</v>
      </c>
      <c r="H36" s="732">
        <v>39372</v>
      </c>
      <c r="I36" s="733" t="str">
        <f t="shared" ref="I36:I67" si="13">CONCATENATE(F36," ",G36)</f>
        <v>James Smeaton</v>
      </c>
      <c r="J36" s="734" t="str">
        <f t="shared" ref="J36:J67" si="14">CONCATENATE(G36,",",F36)</f>
        <v>Smeaton,James</v>
      </c>
      <c r="K36" s="735">
        <f t="shared" ref="K36:K67" ca="1" si="15">IF(K$2=0,0,IF(AQ36=0,0,IF(COUNTBLANK(AQ36)=1,"",YEAR(K$2)-YEAR(AQ36)-IF(DATE(YEAR(K$2),MONTH(AQ36),DAY(4638))&gt;K$2,1,0))))</f>
        <v>16</v>
      </c>
      <c r="L36" s="736" t="str">
        <f t="shared" ref="L36:L67" si="16">(TEXT(H36,"DDMMYY"))</f>
        <v>171007</v>
      </c>
      <c r="M36" s="770" t="str">
        <f t="shared" ca="1" si="12"/>
        <v>OK</v>
      </c>
      <c r="AD36" s="1244"/>
      <c r="AE36" s="1245"/>
      <c r="AF36" s="753"/>
      <c r="AG36" s="754"/>
      <c r="AH36" s="740">
        <f t="shared" ref="AH36:AH67" si="17">E36</f>
        <v>1374064</v>
      </c>
      <c r="AI36" s="740" t="str">
        <f t="shared" ref="AI36:AI67" si="18">F36</f>
        <v>James</v>
      </c>
      <c r="AJ36" s="740" t="str">
        <f t="shared" ref="AJ36:AJ67" si="19">G36</f>
        <v>Smeaton</v>
      </c>
      <c r="AK36" s="740"/>
      <c r="AL36" s="740"/>
      <c r="AM36" s="740"/>
      <c r="AN36" s="740"/>
      <c r="AO36" s="740"/>
      <c r="AQ36" s="741">
        <f t="shared" ref="AQ36:AQ67" ca="1" si="20">INDIRECT(ADDRESS(ROW(),AQ$3))</f>
        <v>39372</v>
      </c>
    </row>
    <row r="37" spans="1:43" ht="20.25" customHeight="1" x14ac:dyDescent="0.25">
      <c r="A37" s="1250"/>
      <c r="B37" s="1251"/>
      <c r="C37" s="771"/>
      <c r="D37" s="772"/>
      <c r="E37" s="730">
        <v>1374125</v>
      </c>
      <c r="F37" s="731" t="s">
        <v>4690</v>
      </c>
      <c r="G37" s="731" t="s">
        <v>4691</v>
      </c>
      <c r="H37" s="732">
        <v>38948</v>
      </c>
      <c r="I37" s="733" t="str">
        <f t="shared" si="13"/>
        <v>Gabriel Bhonsle</v>
      </c>
      <c r="J37" s="734" t="str">
        <f t="shared" si="14"/>
        <v>Bhonsle,Gabriel</v>
      </c>
      <c r="K37" s="735">
        <f t="shared" ca="1" si="15"/>
        <v>17</v>
      </c>
      <c r="L37" s="736" t="str">
        <f t="shared" si="16"/>
        <v>190806</v>
      </c>
      <c r="M37" s="770" t="str">
        <f t="shared" ca="1" si="12"/>
        <v>OK</v>
      </c>
      <c r="AD37" s="1244"/>
      <c r="AE37" s="1245"/>
      <c r="AF37" s="753"/>
      <c r="AG37" s="754"/>
      <c r="AH37" s="740">
        <f t="shared" si="17"/>
        <v>1374125</v>
      </c>
      <c r="AI37" s="740" t="str">
        <f t="shared" si="18"/>
        <v>Gabriel</v>
      </c>
      <c r="AJ37" s="740" t="str">
        <f t="shared" si="19"/>
        <v>Bhonsle</v>
      </c>
      <c r="AK37" s="740"/>
      <c r="AL37" s="740"/>
      <c r="AM37" s="740"/>
      <c r="AN37" s="740"/>
      <c r="AO37" s="740"/>
      <c r="AQ37" s="741">
        <f t="shared" ca="1" si="20"/>
        <v>38948</v>
      </c>
    </row>
    <row r="38" spans="1:43" ht="20.25" customHeight="1" x14ac:dyDescent="0.25">
      <c r="A38" s="745">
        <v>11</v>
      </c>
      <c r="B38" s="773" t="s">
        <v>4339</v>
      </c>
      <c r="C38" s="774" t="s">
        <v>4635</v>
      </c>
      <c r="D38" s="775">
        <v>13</v>
      </c>
      <c r="E38" s="730">
        <v>1634616</v>
      </c>
      <c r="F38" s="731" t="s">
        <v>4646</v>
      </c>
      <c r="G38" s="731" t="s">
        <v>4647</v>
      </c>
      <c r="H38" s="732">
        <v>41004</v>
      </c>
      <c r="I38" s="733" t="str">
        <f t="shared" si="13"/>
        <v>Eleanor Skinner</v>
      </c>
      <c r="J38" s="734" t="str">
        <f t="shared" si="14"/>
        <v>Skinner,Eleanor</v>
      </c>
      <c r="K38" s="735">
        <f t="shared" ca="1" si="15"/>
        <v>11</v>
      </c>
      <c r="L38" s="736" t="str">
        <f t="shared" si="16"/>
        <v>050412</v>
      </c>
      <c r="M38" s="766" t="str">
        <f ca="1">IF(K38=0,0,IF(K38&lt;10,"TOO YOUNG",IF(K38&lt;12,"OK","NOT ELIGIBLE")))</f>
        <v>OK</v>
      </c>
      <c r="AD38" s="722">
        <f t="shared" ref="AD38:AD70" si="21">A38</f>
        <v>11</v>
      </c>
      <c r="AE38" s="443" t="str">
        <f t="shared" ref="AE38:AE70" si="22">B38</f>
        <v>Female 10/11 50m Backstroke</v>
      </c>
      <c r="AF38" s="440" t="s">
        <v>4635</v>
      </c>
      <c r="AG38" s="739">
        <v>13</v>
      </c>
      <c r="AH38" s="740">
        <f t="shared" si="17"/>
        <v>1634616</v>
      </c>
      <c r="AI38" s="740" t="str">
        <f t="shared" si="18"/>
        <v>Eleanor</v>
      </c>
      <c r="AJ38" s="740" t="str">
        <f t="shared" si="19"/>
        <v>Skinner</v>
      </c>
      <c r="AK38" s="740"/>
      <c r="AL38" s="740"/>
      <c r="AM38" s="740"/>
      <c r="AN38" s="740"/>
      <c r="AO38" s="740"/>
      <c r="AQ38" s="741">
        <f t="shared" ca="1" si="20"/>
        <v>41004</v>
      </c>
    </row>
    <row r="39" spans="1:43" ht="20.25" customHeight="1" x14ac:dyDescent="0.25">
      <c r="A39" s="745">
        <v>12</v>
      </c>
      <c r="B39" s="773" t="s">
        <v>4340</v>
      </c>
      <c r="C39" s="774" t="s">
        <v>328</v>
      </c>
      <c r="D39" s="775">
        <v>13</v>
      </c>
      <c r="E39" s="730">
        <v>1637544</v>
      </c>
      <c r="F39" s="731" t="s">
        <v>4692</v>
      </c>
      <c r="G39" s="731" t="s">
        <v>4693</v>
      </c>
      <c r="H39" s="732">
        <v>41435</v>
      </c>
      <c r="I39" s="733" t="str">
        <f t="shared" si="13"/>
        <v>Leonardo Goad</v>
      </c>
      <c r="J39" s="734" t="str">
        <f t="shared" si="14"/>
        <v>Goad,Leonardo</v>
      </c>
      <c r="K39" s="735">
        <f t="shared" ca="1" si="15"/>
        <v>10</v>
      </c>
      <c r="L39" s="736" t="str">
        <f t="shared" si="16"/>
        <v>100613</v>
      </c>
      <c r="M39" s="766" t="str">
        <f ca="1">IF(K39=0,0,IF(K39&lt;10,"TOO YOUNG",IF(K39&lt;12,"OK","NOT ELIGIBLE")))</f>
        <v>OK</v>
      </c>
      <c r="AD39" s="722">
        <f t="shared" si="21"/>
        <v>12</v>
      </c>
      <c r="AE39" s="443" t="str">
        <f t="shared" si="22"/>
        <v>Open/Male 10/11 50m Backstroke</v>
      </c>
      <c r="AF39" s="440" t="s">
        <v>328</v>
      </c>
      <c r="AG39" s="739">
        <v>13</v>
      </c>
      <c r="AH39" s="740">
        <f t="shared" si="17"/>
        <v>1637544</v>
      </c>
      <c r="AI39" s="740" t="str">
        <f t="shared" si="18"/>
        <v>Leonardo</v>
      </c>
      <c r="AJ39" s="740" t="str">
        <f t="shared" si="19"/>
        <v>Goad</v>
      </c>
      <c r="AK39" s="740"/>
      <c r="AL39" s="740"/>
      <c r="AM39" s="740"/>
      <c r="AN39" s="740"/>
      <c r="AO39" s="740"/>
      <c r="AQ39" s="741">
        <f t="shared" ca="1" si="20"/>
        <v>41435</v>
      </c>
    </row>
    <row r="40" spans="1:43" ht="20.25" customHeight="1" x14ac:dyDescent="0.25">
      <c r="A40" s="755">
        <v>13</v>
      </c>
      <c r="B40" s="776" t="s">
        <v>4341</v>
      </c>
      <c r="C40" s="777" t="s">
        <v>4635</v>
      </c>
      <c r="D40" s="778">
        <v>8</v>
      </c>
      <c r="E40" s="730">
        <v>1431508</v>
      </c>
      <c r="F40" s="731" t="s">
        <v>4654</v>
      </c>
      <c r="G40" s="731" t="s">
        <v>4655</v>
      </c>
      <c r="H40" s="732">
        <v>40190</v>
      </c>
      <c r="I40" s="733" t="str">
        <f t="shared" si="13"/>
        <v>Amy Hanson</v>
      </c>
      <c r="J40" s="734" t="str">
        <f t="shared" si="14"/>
        <v>Hanson,Amy</v>
      </c>
      <c r="K40" s="735">
        <f t="shared" ca="1" si="15"/>
        <v>13</v>
      </c>
      <c r="L40" s="736" t="str">
        <f t="shared" si="16"/>
        <v>120110</v>
      </c>
      <c r="M40" s="766" t="str">
        <f ca="1">IF(K40=0,0,IF(K40&lt;9,"TOO YOUNG",IF(K40&lt;14,"OK","NOT ELIGIBLE")))</f>
        <v>OK</v>
      </c>
      <c r="AD40" s="722">
        <f t="shared" si="21"/>
        <v>13</v>
      </c>
      <c r="AE40" s="443" t="str">
        <f t="shared" si="22"/>
        <v>Female 13/U 100m Breaststroke</v>
      </c>
      <c r="AF40" s="440" t="s">
        <v>4635</v>
      </c>
      <c r="AG40" s="739">
        <v>8</v>
      </c>
      <c r="AH40" s="740">
        <f t="shared" si="17"/>
        <v>1431508</v>
      </c>
      <c r="AI40" s="740" t="str">
        <f t="shared" si="18"/>
        <v>Amy</v>
      </c>
      <c r="AJ40" s="740" t="str">
        <f t="shared" si="19"/>
        <v>Hanson</v>
      </c>
      <c r="AK40" s="740"/>
      <c r="AL40" s="740"/>
      <c r="AM40" s="740"/>
      <c r="AN40" s="740"/>
      <c r="AO40" s="740"/>
      <c r="AQ40" s="741">
        <f t="shared" ca="1" si="20"/>
        <v>40190</v>
      </c>
    </row>
    <row r="41" spans="1:43" ht="20.25" customHeight="1" x14ac:dyDescent="0.25">
      <c r="A41" s="755">
        <v>14</v>
      </c>
      <c r="B41" s="776" t="s">
        <v>4342</v>
      </c>
      <c r="C41" s="777" t="s">
        <v>328</v>
      </c>
      <c r="D41" s="778">
        <v>8</v>
      </c>
      <c r="E41" s="730">
        <v>1470569</v>
      </c>
      <c r="F41" s="731" t="s">
        <v>4661</v>
      </c>
      <c r="G41" s="731" t="s">
        <v>4662</v>
      </c>
      <c r="H41" s="732">
        <v>40830</v>
      </c>
      <c r="I41" s="733" t="str">
        <f t="shared" si="13"/>
        <v>Albert Nezha</v>
      </c>
      <c r="J41" s="734" t="str">
        <f t="shared" si="14"/>
        <v>Nezha,Albert</v>
      </c>
      <c r="K41" s="735">
        <f t="shared" ca="1" si="15"/>
        <v>12</v>
      </c>
      <c r="L41" s="736" t="str">
        <f t="shared" si="16"/>
        <v>141011</v>
      </c>
      <c r="M41" s="766" t="str">
        <f ca="1">IF(K41=0,0,IF(K41&lt;9,"TOO YOUNG",IF(K41&lt;14,"OK","NOT ELIGIBLE")))</f>
        <v>OK</v>
      </c>
      <c r="AD41" s="722">
        <f t="shared" si="21"/>
        <v>14</v>
      </c>
      <c r="AE41" s="443" t="str">
        <f t="shared" si="22"/>
        <v>Open/Male 13/U 100m Breaststroke</v>
      </c>
      <c r="AF41" s="440" t="s">
        <v>328</v>
      </c>
      <c r="AG41" s="739">
        <v>8</v>
      </c>
      <c r="AH41" s="740">
        <f t="shared" si="17"/>
        <v>1470569</v>
      </c>
      <c r="AI41" s="740" t="str">
        <f t="shared" si="18"/>
        <v>Albert</v>
      </c>
      <c r="AJ41" s="740" t="str">
        <f t="shared" si="19"/>
        <v>Nezha</v>
      </c>
      <c r="AK41" s="740"/>
      <c r="AL41" s="740"/>
      <c r="AM41" s="740"/>
      <c r="AN41" s="740"/>
      <c r="AO41" s="740"/>
      <c r="AQ41" s="741">
        <f t="shared" ca="1" si="20"/>
        <v>40830</v>
      </c>
    </row>
    <row r="42" spans="1:43" ht="20.25" customHeight="1" x14ac:dyDescent="0.25">
      <c r="A42" s="779">
        <v>15</v>
      </c>
      <c r="B42" s="780" t="s">
        <v>4343</v>
      </c>
      <c r="C42" s="781" t="s">
        <v>4635</v>
      </c>
      <c r="D42" s="782">
        <v>14</v>
      </c>
      <c r="E42" s="730">
        <v>1492583</v>
      </c>
      <c r="F42" s="731" t="s">
        <v>4668</v>
      </c>
      <c r="G42" s="731" t="s">
        <v>4669</v>
      </c>
      <c r="H42" s="732">
        <v>40006</v>
      </c>
      <c r="I42" s="733" t="str">
        <f t="shared" si="13"/>
        <v>Shreya Bavishi</v>
      </c>
      <c r="J42" s="734" t="str">
        <f t="shared" si="14"/>
        <v>Bavishi,Shreya</v>
      </c>
      <c r="K42" s="735">
        <f t="shared" ca="1" si="15"/>
        <v>14</v>
      </c>
      <c r="L42" s="736" t="str">
        <f t="shared" si="16"/>
        <v>120709</v>
      </c>
      <c r="M42" s="766" t="str">
        <f ca="1">IF(K42=0,0,IF(K42&lt;9,"TOO YOUNG",IF(K42&lt;16,"OK","NOT ELIGIBLE")))</f>
        <v>OK</v>
      </c>
      <c r="AD42" s="722">
        <f t="shared" si="21"/>
        <v>15</v>
      </c>
      <c r="AE42" s="443" t="str">
        <f t="shared" si="22"/>
        <v>Female 15/U 100m Backstroke</v>
      </c>
      <c r="AF42" s="440" t="s">
        <v>4635</v>
      </c>
      <c r="AG42" s="739">
        <v>14</v>
      </c>
      <c r="AH42" s="740">
        <f t="shared" si="17"/>
        <v>1492583</v>
      </c>
      <c r="AI42" s="740" t="str">
        <f t="shared" si="18"/>
        <v>Shreya</v>
      </c>
      <c r="AJ42" s="740" t="str">
        <f t="shared" si="19"/>
        <v>Bavishi</v>
      </c>
      <c r="AK42" s="740"/>
      <c r="AL42" s="740"/>
      <c r="AM42" s="740"/>
      <c r="AN42" s="740"/>
      <c r="AO42" s="740"/>
      <c r="AQ42" s="741">
        <f t="shared" ca="1" si="20"/>
        <v>40006</v>
      </c>
    </row>
    <row r="43" spans="1:43" ht="20.25" customHeight="1" x14ac:dyDescent="0.25">
      <c r="A43" s="779">
        <v>16</v>
      </c>
      <c r="B43" s="780" t="s">
        <v>4694</v>
      </c>
      <c r="C43" s="781" t="s">
        <v>328</v>
      </c>
      <c r="D43" s="782">
        <v>14</v>
      </c>
      <c r="E43" s="730">
        <v>1386464</v>
      </c>
      <c r="F43" s="731" t="s">
        <v>4679</v>
      </c>
      <c r="G43" s="731" t="s">
        <v>4680</v>
      </c>
      <c r="H43" s="732">
        <v>39973</v>
      </c>
      <c r="I43" s="733" t="str">
        <f t="shared" si="13"/>
        <v>Zalan Tornay</v>
      </c>
      <c r="J43" s="734" t="str">
        <f t="shared" si="14"/>
        <v>Tornay,Zalan</v>
      </c>
      <c r="K43" s="735">
        <f t="shared" ca="1" si="15"/>
        <v>14</v>
      </c>
      <c r="L43" s="736" t="str">
        <f t="shared" si="16"/>
        <v>090609</v>
      </c>
      <c r="M43" s="766" t="str">
        <f ca="1">IF(K43=0,0,IF(K43&lt;9,"TOO YOUNG",IF(K43&lt;16,"OK","NOT ELIGIBLE")))</f>
        <v>OK</v>
      </c>
      <c r="AD43" s="722">
        <f t="shared" si="21"/>
        <v>16</v>
      </c>
      <c r="AE43" s="443" t="str">
        <f t="shared" si="22"/>
        <v>Open/Male 15/U 100m Backstroke</v>
      </c>
      <c r="AF43" s="440" t="s">
        <v>328</v>
      </c>
      <c r="AG43" s="739">
        <v>14</v>
      </c>
      <c r="AH43" s="740">
        <f t="shared" si="17"/>
        <v>1386464</v>
      </c>
      <c r="AI43" s="740" t="str">
        <f t="shared" si="18"/>
        <v>Zalan</v>
      </c>
      <c r="AJ43" s="740" t="str">
        <f t="shared" si="19"/>
        <v>Tornay</v>
      </c>
      <c r="AK43" s="740"/>
      <c r="AL43" s="740"/>
      <c r="AM43" s="740"/>
      <c r="AN43" s="740"/>
      <c r="AO43" s="740"/>
      <c r="AQ43" s="741">
        <f t="shared" ca="1" si="20"/>
        <v>39973</v>
      </c>
    </row>
    <row r="44" spans="1:43" ht="20.25" customHeight="1" x14ac:dyDescent="0.25">
      <c r="A44" s="727">
        <v>17</v>
      </c>
      <c r="B44" s="742" t="s">
        <v>4345</v>
      </c>
      <c r="C44" s="728" t="s">
        <v>4635</v>
      </c>
      <c r="D44" s="729">
        <v>11</v>
      </c>
      <c r="E44" s="730">
        <v>1405904</v>
      </c>
      <c r="F44" s="731" t="s">
        <v>4685</v>
      </c>
      <c r="G44" s="731" t="s">
        <v>4686</v>
      </c>
      <c r="H44" s="732">
        <v>39227</v>
      </c>
      <c r="I44" s="733" t="str">
        <f t="shared" si="13"/>
        <v>Maja Grzybek</v>
      </c>
      <c r="J44" s="734" t="str">
        <f t="shared" si="14"/>
        <v>Grzybek,Maja</v>
      </c>
      <c r="K44" s="735">
        <f t="shared" ca="1" si="15"/>
        <v>16</v>
      </c>
      <c r="L44" s="736" t="str">
        <f t="shared" si="16"/>
        <v>250507</v>
      </c>
      <c r="M44" s="770" t="str">
        <f ca="1">IF(K44=0,0,IF(K44&lt;9,"TOO YOUNG",IF(K44&lt;60,"OK","BIT OLD MAYBE")))</f>
        <v>OK</v>
      </c>
      <c r="AD44" s="722">
        <f t="shared" si="21"/>
        <v>17</v>
      </c>
      <c r="AE44" s="443" t="str">
        <f t="shared" si="22"/>
        <v>Female 16+ 100m Butterfly</v>
      </c>
      <c r="AF44" s="440" t="s">
        <v>4635</v>
      </c>
      <c r="AG44" s="739">
        <v>11</v>
      </c>
      <c r="AH44" s="740">
        <f t="shared" si="17"/>
        <v>1405904</v>
      </c>
      <c r="AI44" s="740" t="str">
        <f t="shared" si="18"/>
        <v>Maja</v>
      </c>
      <c r="AJ44" s="740" t="str">
        <f t="shared" si="19"/>
        <v>Grzybek</v>
      </c>
      <c r="AK44" s="740"/>
      <c r="AL44" s="740"/>
      <c r="AM44" s="740"/>
      <c r="AN44" s="740"/>
      <c r="AO44" s="740"/>
      <c r="AQ44" s="741">
        <f t="shared" ca="1" si="20"/>
        <v>39227</v>
      </c>
    </row>
    <row r="45" spans="1:43" ht="20.25" customHeight="1" x14ac:dyDescent="0.25">
      <c r="A45" s="727">
        <v>18</v>
      </c>
      <c r="B45" s="742" t="s">
        <v>4346</v>
      </c>
      <c r="C45" s="728" t="s">
        <v>328</v>
      </c>
      <c r="D45" s="729">
        <v>11</v>
      </c>
      <c r="E45" s="730"/>
      <c r="F45" s="731"/>
      <c r="G45" s="731"/>
      <c r="H45" s="732"/>
      <c r="I45" s="733" t="str">
        <f t="shared" si="13"/>
        <v xml:space="preserve"> </v>
      </c>
      <c r="J45" s="734" t="str">
        <f t="shared" si="14"/>
        <v>,</v>
      </c>
      <c r="K45" s="735">
        <f t="shared" ca="1" si="15"/>
        <v>0</v>
      </c>
      <c r="L45" s="736" t="str">
        <f t="shared" si="16"/>
        <v>000100</v>
      </c>
      <c r="M45" s="770">
        <f ca="1">IF(K45=0,0,IF(K45&lt;9,"TOO YOUNG",IF(K45&lt;60,"OK","BIT OLD MAYBE")))</f>
        <v>0</v>
      </c>
      <c r="AD45" s="722">
        <f t="shared" si="21"/>
        <v>18</v>
      </c>
      <c r="AE45" s="443" t="str">
        <f t="shared" si="22"/>
        <v>Open/Male 16+ 100m Butterfly</v>
      </c>
      <c r="AF45" s="440" t="s">
        <v>328</v>
      </c>
      <c r="AG45" s="739">
        <v>11</v>
      </c>
      <c r="AH45" s="740">
        <f t="shared" si="17"/>
        <v>0</v>
      </c>
      <c r="AI45" s="740">
        <f t="shared" si="18"/>
        <v>0</v>
      </c>
      <c r="AJ45" s="740">
        <f t="shared" si="19"/>
        <v>0</v>
      </c>
      <c r="AK45" s="740"/>
      <c r="AL45" s="740"/>
      <c r="AM45" s="740"/>
      <c r="AN45" s="740"/>
      <c r="AO45" s="740"/>
      <c r="AQ45" s="741">
        <f t="shared" ca="1" si="20"/>
        <v>0</v>
      </c>
    </row>
    <row r="46" spans="1:43" ht="20.25" customHeight="1" x14ac:dyDescent="0.25">
      <c r="A46" s="745">
        <v>19</v>
      </c>
      <c r="B46" s="773" t="s">
        <v>4347</v>
      </c>
      <c r="C46" s="774" t="s">
        <v>4635</v>
      </c>
      <c r="D46" s="775">
        <v>10</v>
      </c>
      <c r="E46" s="730">
        <v>1698062</v>
      </c>
      <c r="F46" s="731" t="s">
        <v>4648</v>
      </c>
      <c r="G46" s="731" t="s">
        <v>4649</v>
      </c>
      <c r="H46" s="732">
        <v>41027</v>
      </c>
      <c r="I46" s="733" t="str">
        <f t="shared" si="13"/>
        <v>Claudia Savov</v>
      </c>
      <c r="J46" s="734" t="str">
        <f t="shared" si="14"/>
        <v>Savov,Claudia</v>
      </c>
      <c r="K46" s="735">
        <f t="shared" ca="1" si="15"/>
        <v>11</v>
      </c>
      <c r="L46" s="736" t="str">
        <f t="shared" si="16"/>
        <v>280412</v>
      </c>
      <c r="M46" s="766" t="str">
        <f ca="1">IF(K46=0,0,IF(K46&lt;10,"TOO YOUNG",IF(K46&lt;12,"OK","NOT ELIGIBLE")))</f>
        <v>OK</v>
      </c>
      <c r="AD46" s="722">
        <f t="shared" si="21"/>
        <v>19</v>
      </c>
      <c r="AE46" s="443" t="str">
        <f t="shared" si="22"/>
        <v>Female 10/11 50m Butterfly</v>
      </c>
      <c r="AF46" s="440" t="s">
        <v>4635</v>
      </c>
      <c r="AG46" s="739">
        <v>10</v>
      </c>
      <c r="AH46" s="740">
        <f t="shared" si="17"/>
        <v>1698062</v>
      </c>
      <c r="AI46" s="740" t="str">
        <f t="shared" si="18"/>
        <v>Claudia</v>
      </c>
      <c r="AJ46" s="740" t="str">
        <f t="shared" si="19"/>
        <v>Savov</v>
      </c>
      <c r="AK46" s="740"/>
      <c r="AL46" s="740"/>
      <c r="AM46" s="740"/>
      <c r="AN46" s="740"/>
      <c r="AO46" s="740"/>
      <c r="AQ46" s="741">
        <f t="shared" ca="1" si="20"/>
        <v>41027</v>
      </c>
    </row>
    <row r="47" spans="1:43" ht="20.25" customHeight="1" x14ac:dyDescent="0.25">
      <c r="A47" s="745">
        <v>20</v>
      </c>
      <c r="B47" s="773" t="s">
        <v>4348</v>
      </c>
      <c r="C47" s="774" t="s">
        <v>328</v>
      </c>
      <c r="D47" s="775">
        <v>10</v>
      </c>
      <c r="E47" s="730">
        <v>1637553</v>
      </c>
      <c r="F47" s="731" t="s">
        <v>4695</v>
      </c>
      <c r="G47" s="731" t="s">
        <v>4696</v>
      </c>
      <c r="H47" s="732">
        <v>41400</v>
      </c>
      <c r="I47" s="733" t="str">
        <f t="shared" si="13"/>
        <v>Kornel Kern-Konyar</v>
      </c>
      <c r="J47" s="734" t="str">
        <f t="shared" si="14"/>
        <v>Kern-Konyar,Kornel</v>
      </c>
      <c r="K47" s="735">
        <f t="shared" ca="1" si="15"/>
        <v>10</v>
      </c>
      <c r="L47" s="736" t="str">
        <f t="shared" si="16"/>
        <v>060513</v>
      </c>
      <c r="M47" s="766" t="str">
        <f ca="1">IF(K47=0,0,IF(K47&lt;10,"TOO YOUNG",IF(K47&lt;12,"OK","NOT ELIGIBLE")))</f>
        <v>OK</v>
      </c>
      <c r="AD47" s="722">
        <f t="shared" si="21"/>
        <v>20</v>
      </c>
      <c r="AE47" s="443" t="str">
        <f t="shared" si="22"/>
        <v>Open/Male 10/11 50m Butterfly</v>
      </c>
      <c r="AF47" s="440" t="s">
        <v>328</v>
      </c>
      <c r="AG47" s="739">
        <v>10</v>
      </c>
      <c r="AH47" s="740">
        <f t="shared" si="17"/>
        <v>1637553</v>
      </c>
      <c r="AI47" s="740" t="str">
        <f t="shared" si="18"/>
        <v>Kornel</v>
      </c>
      <c r="AJ47" s="740" t="str">
        <f t="shared" si="19"/>
        <v>Kern-Konyar</v>
      </c>
      <c r="AK47" s="740"/>
      <c r="AL47" s="740"/>
      <c r="AM47" s="740"/>
      <c r="AN47" s="740"/>
      <c r="AO47" s="740"/>
      <c r="AQ47" s="741">
        <f t="shared" ca="1" si="20"/>
        <v>41400</v>
      </c>
    </row>
    <row r="48" spans="1:43" ht="20.25" customHeight="1" x14ac:dyDescent="0.25">
      <c r="A48" s="755">
        <v>21</v>
      </c>
      <c r="B48" s="776" t="s">
        <v>4349</v>
      </c>
      <c r="C48" s="777" t="s">
        <v>4635</v>
      </c>
      <c r="D48" s="778">
        <v>14</v>
      </c>
      <c r="E48" s="730">
        <v>1486835</v>
      </c>
      <c r="F48" s="731" t="s">
        <v>4656</v>
      </c>
      <c r="G48" s="731" t="s">
        <v>4657</v>
      </c>
      <c r="H48" s="732">
        <v>40513</v>
      </c>
      <c r="I48" s="733" t="str">
        <f t="shared" si="13"/>
        <v>Ane Pedraza-Eguia</v>
      </c>
      <c r="J48" s="734" t="str">
        <f t="shared" si="14"/>
        <v>Pedraza-Eguia,Ane</v>
      </c>
      <c r="K48" s="735">
        <f t="shared" ca="1" si="15"/>
        <v>13</v>
      </c>
      <c r="L48" s="736" t="str">
        <f t="shared" si="16"/>
        <v>011210</v>
      </c>
      <c r="M48" s="766" t="str">
        <f ca="1">IF(K48=0,0,IF(K48&lt;9,"TOO YOUNG",IF(K48&lt;14,"OK","NOT ELIGIBLE")))</f>
        <v>OK</v>
      </c>
      <c r="AD48" s="722">
        <f t="shared" si="21"/>
        <v>21</v>
      </c>
      <c r="AE48" s="443" t="str">
        <f t="shared" si="22"/>
        <v>Female 13/U 100m Backstroke</v>
      </c>
      <c r="AF48" s="440" t="s">
        <v>4635</v>
      </c>
      <c r="AG48" s="739">
        <v>14</v>
      </c>
      <c r="AH48" s="740">
        <f t="shared" si="17"/>
        <v>1486835</v>
      </c>
      <c r="AI48" s="740" t="str">
        <f t="shared" si="18"/>
        <v>Ane</v>
      </c>
      <c r="AJ48" s="740" t="str">
        <f t="shared" si="19"/>
        <v>Pedraza-Eguia</v>
      </c>
      <c r="AK48" s="740"/>
      <c r="AL48" s="740"/>
      <c r="AM48" s="740"/>
      <c r="AN48" s="740"/>
      <c r="AO48" s="740"/>
      <c r="AQ48" s="741">
        <f t="shared" ca="1" si="20"/>
        <v>40513</v>
      </c>
    </row>
    <row r="49" spans="1:43" ht="20.25" customHeight="1" x14ac:dyDescent="0.25">
      <c r="A49" s="755">
        <v>22</v>
      </c>
      <c r="B49" s="776" t="s">
        <v>4350</v>
      </c>
      <c r="C49" s="777" t="s">
        <v>328</v>
      </c>
      <c r="D49" s="778">
        <v>14</v>
      </c>
      <c r="E49" s="730">
        <v>1516060</v>
      </c>
      <c r="F49" s="731" t="s">
        <v>4653</v>
      </c>
      <c r="G49" s="731" t="s">
        <v>4664</v>
      </c>
      <c r="H49" s="732">
        <v>40226</v>
      </c>
      <c r="I49" s="733" t="str">
        <f t="shared" si="13"/>
        <v>Yigit Ilhan</v>
      </c>
      <c r="J49" s="734" t="str">
        <f t="shared" si="14"/>
        <v>Ilhan,Yigit</v>
      </c>
      <c r="K49" s="735">
        <f t="shared" ca="1" si="15"/>
        <v>13</v>
      </c>
      <c r="L49" s="736" t="str">
        <f t="shared" si="16"/>
        <v>170210</v>
      </c>
      <c r="M49" s="766" t="str">
        <f ca="1">IF(K49=0,0,IF(K49&lt;9,"TOO YOUNG",IF(K49&lt;14,"OK","NOT ELIGIBLE")))</f>
        <v>OK</v>
      </c>
      <c r="AD49" s="722">
        <f t="shared" si="21"/>
        <v>22</v>
      </c>
      <c r="AE49" s="443" t="str">
        <f t="shared" si="22"/>
        <v>Open/Male 13/U 100m Backstroke</v>
      </c>
      <c r="AF49" s="440" t="s">
        <v>328</v>
      </c>
      <c r="AG49" s="739">
        <v>14</v>
      </c>
      <c r="AH49" s="740">
        <f t="shared" si="17"/>
        <v>1516060</v>
      </c>
      <c r="AI49" s="740" t="str">
        <f t="shared" si="18"/>
        <v>Yigit</v>
      </c>
      <c r="AJ49" s="740" t="str">
        <f t="shared" si="19"/>
        <v>Ilhan</v>
      </c>
      <c r="AK49" s="740"/>
      <c r="AL49" s="740"/>
      <c r="AM49" s="740"/>
      <c r="AN49" s="740"/>
      <c r="AO49" s="740"/>
      <c r="AQ49" s="741">
        <f t="shared" ca="1" si="20"/>
        <v>40226</v>
      </c>
    </row>
    <row r="50" spans="1:43" ht="20.25" customHeight="1" x14ac:dyDescent="0.25">
      <c r="A50" s="779">
        <v>23</v>
      </c>
      <c r="B50" s="780" t="s">
        <v>4351</v>
      </c>
      <c r="C50" s="781" t="s">
        <v>4635</v>
      </c>
      <c r="D50" s="782">
        <v>11</v>
      </c>
      <c r="E50" s="730">
        <v>1492584</v>
      </c>
      <c r="F50" s="731" t="s">
        <v>4674</v>
      </c>
      <c r="G50" s="731" t="s">
        <v>4675</v>
      </c>
      <c r="H50" s="732">
        <v>39937</v>
      </c>
      <c r="I50" s="733" t="str">
        <f t="shared" si="13"/>
        <v>Zoe Panayi</v>
      </c>
      <c r="J50" s="734" t="str">
        <f t="shared" si="14"/>
        <v>Panayi,Zoe</v>
      </c>
      <c r="K50" s="735">
        <f t="shared" ca="1" si="15"/>
        <v>14</v>
      </c>
      <c r="L50" s="736" t="str">
        <f t="shared" si="16"/>
        <v>040509</v>
      </c>
      <c r="M50" s="766" t="str">
        <f ca="1">IF(K50=0,0,IF(K50&lt;9,"TOO YOUNG",IF(K50&lt;16,"OK","NOT ELIGIBLE")))</f>
        <v>OK</v>
      </c>
      <c r="AD50" s="722">
        <f t="shared" si="21"/>
        <v>23</v>
      </c>
      <c r="AE50" s="443" t="str">
        <f t="shared" si="22"/>
        <v>Female 15/U 100m Butterfly</v>
      </c>
      <c r="AF50" s="440" t="s">
        <v>4635</v>
      </c>
      <c r="AG50" s="739">
        <v>11</v>
      </c>
      <c r="AH50" s="740">
        <f t="shared" si="17"/>
        <v>1492584</v>
      </c>
      <c r="AI50" s="740" t="str">
        <f t="shared" si="18"/>
        <v>Zoe</v>
      </c>
      <c r="AJ50" s="740" t="str">
        <f t="shared" si="19"/>
        <v>Panayi</v>
      </c>
      <c r="AK50" s="740"/>
      <c r="AL50" s="740"/>
      <c r="AM50" s="740"/>
      <c r="AN50" s="740"/>
      <c r="AO50" s="740"/>
      <c r="AQ50" s="741">
        <f t="shared" ca="1" si="20"/>
        <v>39937</v>
      </c>
    </row>
    <row r="51" spans="1:43" ht="20.25" customHeight="1" x14ac:dyDescent="0.25">
      <c r="A51" s="779">
        <v>24</v>
      </c>
      <c r="B51" s="780" t="s">
        <v>4697</v>
      </c>
      <c r="C51" s="781" t="s">
        <v>328</v>
      </c>
      <c r="D51" s="782">
        <v>11</v>
      </c>
      <c r="E51" s="730"/>
      <c r="F51" s="731"/>
      <c r="G51" s="731"/>
      <c r="H51" s="732"/>
      <c r="I51" s="733" t="str">
        <f t="shared" si="13"/>
        <v xml:space="preserve"> </v>
      </c>
      <c r="J51" s="734" t="str">
        <f t="shared" si="14"/>
        <v>,</v>
      </c>
      <c r="K51" s="735">
        <f t="shared" ca="1" si="15"/>
        <v>0</v>
      </c>
      <c r="L51" s="736" t="str">
        <f t="shared" si="16"/>
        <v>000100</v>
      </c>
      <c r="M51" s="766">
        <f ca="1">IF(K51=0,0,IF(K51&lt;9,"TOO YOUNG",IF(K51&lt;16,"OK","NOT ELIGIBLE")))</f>
        <v>0</v>
      </c>
      <c r="AD51" s="722">
        <f t="shared" si="21"/>
        <v>24</v>
      </c>
      <c r="AE51" s="443" t="str">
        <f t="shared" si="22"/>
        <v>Open/Male 15/U 100m Butterfly</v>
      </c>
      <c r="AF51" s="440" t="s">
        <v>328</v>
      </c>
      <c r="AG51" s="739">
        <v>11</v>
      </c>
      <c r="AH51" s="740">
        <f t="shared" si="17"/>
        <v>0</v>
      </c>
      <c r="AI51" s="740">
        <f t="shared" si="18"/>
        <v>0</v>
      </c>
      <c r="AJ51" s="740">
        <f t="shared" si="19"/>
        <v>0</v>
      </c>
      <c r="AK51" s="740"/>
      <c r="AL51" s="740"/>
      <c r="AM51" s="740"/>
      <c r="AN51" s="740"/>
      <c r="AO51" s="740"/>
      <c r="AQ51" s="741">
        <f t="shared" ca="1" si="20"/>
        <v>0</v>
      </c>
    </row>
    <row r="52" spans="1:43" ht="20.25" customHeight="1" x14ac:dyDescent="0.25">
      <c r="A52" s="727">
        <v>25</v>
      </c>
      <c r="B52" s="742" t="s">
        <v>4353</v>
      </c>
      <c r="C52" s="728" t="s">
        <v>4635</v>
      </c>
      <c r="D52" s="729">
        <v>14</v>
      </c>
      <c r="E52" s="730">
        <v>1578148</v>
      </c>
      <c r="F52" s="731" t="s">
        <v>4682</v>
      </c>
      <c r="G52" s="731" t="s">
        <v>4683</v>
      </c>
      <c r="H52" s="732">
        <v>39336</v>
      </c>
      <c r="I52" s="733" t="str">
        <f t="shared" si="13"/>
        <v>Isabel Spyrou</v>
      </c>
      <c r="J52" s="734" t="str">
        <f t="shared" si="14"/>
        <v>Spyrou,Isabel</v>
      </c>
      <c r="K52" s="735">
        <f t="shared" ca="1" si="15"/>
        <v>16</v>
      </c>
      <c r="L52" s="736" t="str">
        <f t="shared" si="16"/>
        <v>110907</v>
      </c>
      <c r="M52" s="770" t="str">
        <f ca="1">IF(K52=0,0,IF(K52&lt;9,"TOO YOUNG",IF(K52&lt;60,"OK","BIT OLD MAYBE")))</f>
        <v>OK</v>
      </c>
      <c r="AD52" s="722">
        <f t="shared" si="21"/>
        <v>25</v>
      </c>
      <c r="AE52" s="443" t="str">
        <f t="shared" si="22"/>
        <v>Female 16+ 100m Backstroke</v>
      </c>
      <c r="AF52" s="440" t="s">
        <v>4635</v>
      </c>
      <c r="AG52" s="739">
        <v>14</v>
      </c>
      <c r="AH52" s="740">
        <f t="shared" si="17"/>
        <v>1578148</v>
      </c>
      <c r="AI52" s="740" t="str">
        <f t="shared" si="18"/>
        <v>Isabel</v>
      </c>
      <c r="AJ52" s="740" t="str">
        <f t="shared" si="19"/>
        <v>Spyrou</v>
      </c>
      <c r="AK52" s="740"/>
      <c r="AL52" s="740"/>
      <c r="AM52" s="740"/>
      <c r="AN52" s="740"/>
      <c r="AO52" s="740"/>
      <c r="AQ52" s="741">
        <f t="shared" ca="1" si="20"/>
        <v>39336</v>
      </c>
    </row>
    <row r="53" spans="1:43" ht="20.25" customHeight="1" x14ac:dyDescent="0.25">
      <c r="A53" s="727">
        <v>26</v>
      </c>
      <c r="B53" s="742" t="s">
        <v>4698</v>
      </c>
      <c r="C53" s="728" t="s">
        <v>328</v>
      </c>
      <c r="D53" s="729">
        <v>14</v>
      </c>
      <c r="E53" s="730">
        <v>1374064</v>
      </c>
      <c r="F53" s="731" t="s">
        <v>4688</v>
      </c>
      <c r="G53" s="731" t="s">
        <v>4689</v>
      </c>
      <c r="H53" s="732">
        <v>39372</v>
      </c>
      <c r="I53" s="733" t="str">
        <f t="shared" si="13"/>
        <v>James Smeaton</v>
      </c>
      <c r="J53" s="734" t="str">
        <f t="shared" si="14"/>
        <v>Smeaton,James</v>
      </c>
      <c r="K53" s="735">
        <f t="shared" ca="1" si="15"/>
        <v>16</v>
      </c>
      <c r="L53" s="736" t="str">
        <f t="shared" si="16"/>
        <v>171007</v>
      </c>
      <c r="M53" s="770" t="str">
        <f ca="1">IF(K53=0,0,IF(K53&lt;9,"TOO YOUNG",IF(K53&lt;60,"OK","BIT OLD MAYBE")))</f>
        <v>OK</v>
      </c>
      <c r="AD53" s="722">
        <f t="shared" si="21"/>
        <v>26</v>
      </c>
      <c r="AE53" s="443" t="str">
        <f t="shared" si="22"/>
        <v>Open/Male 16+100m Backstroke</v>
      </c>
      <c r="AF53" s="440" t="s">
        <v>328</v>
      </c>
      <c r="AG53" s="739">
        <v>14</v>
      </c>
      <c r="AH53" s="740">
        <f t="shared" si="17"/>
        <v>1374064</v>
      </c>
      <c r="AI53" s="740" t="str">
        <f t="shared" si="18"/>
        <v>James</v>
      </c>
      <c r="AJ53" s="740" t="str">
        <f t="shared" si="19"/>
        <v>Smeaton</v>
      </c>
      <c r="AK53" s="740"/>
      <c r="AL53" s="740"/>
      <c r="AM53" s="740"/>
      <c r="AN53" s="740"/>
      <c r="AO53" s="740"/>
      <c r="AQ53" s="741">
        <f t="shared" ca="1" si="20"/>
        <v>39372</v>
      </c>
    </row>
    <row r="54" spans="1:43" ht="20.25" customHeight="1" x14ac:dyDescent="0.25">
      <c r="A54" s="745">
        <v>27</v>
      </c>
      <c r="B54" s="773" t="s">
        <v>4355</v>
      </c>
      <c r="C54" s="774" t="s">
        <v>4635</v>
      </c>
      <c r="D54" s="775">
        <v>7</v>
      </c>
      <c r="E54" s="730">
        <v>1612801</v>
      </c>
      <c r="F54" s="731" t="s">
        <v>4642</v>
      </c>
      <c r="G54" s="731" t="s">
        <v>4643</v>
      </c>
      <c r="H54" s="732">
        <v>40935</v>
      </c>
      <c r="I54" s="733" t="str">
        <f t="shared" si="13"/>
        <v>Ines Puente</v>
      </c>
      <c r="J54" s="734" t="str">
        <f t="shared" si="14"/>
        <v>Puente,Ines</v>
      </c>
      <c r="K54" s="735">
        <f t="shared" ca="1" si="15"/>
        <v>11</v>
      </c>
      <c r="L54" s="736" t="str">
        <f t="shared" si="16"/>
        <v>270112</v>
      </c>
      <c r="M54" s="766" t="str">
        <f ca="1">IF(K54=0,0,IF(K54&lt;10,"TOO YOUNG",IF(K54&lt;12,"OK","NOT ELIGIBLE")))</f>
        <v>OK</v>
      </c>
      <c r="AD54" s="722">
        <f t="shared" si="21"/>
        <v>27</v>
      </c>
      <c r="AE54" s="443" t="str">
        <f t="shared" si="22"/>
        <v>Female 10/11 50m Breaststroke</v>
      </c>
      <c r="AF54" s="440" t="s">
        <v>4635</v>
      </c>
      <c r="AG54" s="739">
        <v>7</v>
      </c>
      <c r="AH54" s="740">
        <f t="shared" si="17"/>
        <v>1612801</v>
      </c>
      <c r="AI54" s="740" t="str">
        <f t="shared" si="18"/>
        <v>Ines</v>
      </c>
      <c r="AJ54" s="740" t="str">
        <f t="shared" si="19"/>
        <v>Puente</v>
      </c>
      <c r="AK54" s="740"/>
      <c r="AL54" s="740"/>
      <c r="AM54" s="740"/>
      <c r="AN54" s="740"/>
      <c r="AO54" s="740"/>
      <c r="AQ54" s="741">
        <f t="shared" ca="1" si="20"/>
        <v>40935</v>
      </c>
    </row>
    <row r="55" spans="1:43" ht="20.25" customHeight="1" x14ac:dyDescent="0.25">
      <c r="A55" s="745">
        <v>28</v>
      </c>
      <c r="B55" s="773" t="s">
        <v>4356</v>
      </c>
      <c r="C55" s="774" t="s">
        <v>328</v>
      </c>
      <c r="D55" s="775">
        <v>7</v>
      </c>
      <c r="E55" s="730">
        <v>1637544</v>
      </c>
      <c r="F55" s="731" t="s">
        <v>4692</v>
      </c>
      <c r="G55" s="731" t="s">
        <v>4693</v>
      </c>
      <c r="H55" s="732">
        <v>41435</v>
      </c>
      <c r="I55" s="733" t="str">
        <f t="shared" si="13"/>
        <v>Leonardo Goad</v>
      </c>
      <c r="J55" s="734" t="str">
        <f t="shared" si="14"/>
        <v>Goad,Leonardo</v>
      </c>
      <c r="K55" s="735">
        <f t="shared" ca="1" si="15"/>
        <v>10</v>
      </c>
      <c r="L55" s="736" t="str">
        <f t="shared" si="16"/>
        <v>100613</v>
      </c>
      <c r="M55" s="766" t="str">
        <f ca="1">IF(K55=0,0,IF(K55&lt;10,"TOO YOUNG",IF(K55&lt;12,"OK","NOT ELIGIBLE")))</f>
        <v>OK</v>
      </c>
      <c r="AD55" s="722">
        <f t="shared" si="21"/>
        <v>28</v>
      </c>
      <c r="AE55" s="443" t="str">
        <f t="shared" si="22"/>
        <v>Open/Male 10/11 50m Breaststroke</v>
      </c>
      <c r="AF55" s="440" t="s">
        <v>328</v>
      </c>
      <c r="AG55" s="739">
        <v>7</v>
      </c>
      <c r="AH55" s="740">
        <f t="shared" si="17"/>
        <v>1637544</v>
      </c>
      <c r="AI55" s="740" t="str">
        <f t="shared" si="18"/>
        <v>Leonardo</v>
      </c>
      <c r="AJ55" s="740" t="str">
        <f t="shared" si="19"/>
        <v>Goad</v>
      </c>
      <c r="AK55" s="740"/>
      <c r="AL55" s="740"/>
      <c r="AM55" s="740"/>
      <c r="AN55" s="740"/>
      <c r="AO55" s="740"/>
      <c r="AQ55" s="741">
        <f t="shared" ca="1" si="20"/>
        <v>41435</v>
      </c>
    </row>
    <row r="56" spans="1:43" ht="20.25" customHeight="1" x14ac:dyDescent="0.25">
      <c r="A56" s="755">
        <v>29</v>
      </c>
      <c r="B56" s="776" t="s">
        <v>4357</v>
      </c>
      <c r="C56" s="777" t="s">
        <v>4635</v>
      </c>
      <c r="D56" s="778">
        <v>11</v>
      </c>
      <c r="E56" s="730">
        <v>1612800</v>
      </c>
      <c r="F56" s="731" t="s">
        <v>4652</v>
      </c>
      <c r="G56" s="731" t="s">
        <v>4653</v>
      </c>
      <c r="H56" s="732">
        <v>40182</v>
      </c>
      <c r="I56" s="733" t="str">
        <f t="shared" si="13"/>
        <v>Edanur Yigit</v>
      </c>
      <c r="J56" s="734" t="str">
        <f t="shared" si="14"/>
        <v>Yigit,Edanur</v>
      </c>
      <c r="K56" s="735">
        <f t="shared" ca="1" si="15"/>
        <v>13</v>
      </c>
      <c r="L56" s="736" t="str">
        <f t="shared" si="16"/>
        <v>040110</v>
      </c>
      <c r="M56" s="766" t="str">
        <f ca="1">IF(K56=0,0,IF(K56&lt;9,"TOO YOUNG",IF(K56&lt;14,"OK","NOT ELIGIBLE")))</f>
        <v>OK</v>
      </c>
      <c r="AD56" s="722">
        <f t="shared" si="21"/>
        <v>29</v>
      </c>
      <c r="AE56" s="443" t="str">
        <f t="shared" si="22"/>
        <v>Female 13/U 100m Butterfly</v>
      </c>
      <c r="AF56" s="440" t="s">
        <v>4635</v>
      </c>
      <c r="AG56" s="739">
        <v>11</v>
      </c>
      <c r="AH56" s="740">
        <f t="shared" si="17"/>
        <v>1612800</v>
      </c>
      <c r="AI56" s="740" t="str">
        <f t="shared" si="18"/>
        <v>Edanur</v>
      </c>
      <c r="AJ56" s="740" t="str">
        <f t="shared" si="19"/>
        <v>Yigit</v>
      </c>
      <c r="AK56" s="740"/>
      <c r="AL56" s="740"/>
      <c r="AM56" s="740"/>
      <c r="AN56" s="740"/>
      <c r="AO56" s="740"/>
      <c r="AQ56" s="741">
        <f t="shared" ca="1" si="20"/>
        <v>40182</v>
      </c>
    </row>
    <row r="57" spans="1:43" ht="20.25" customHeight="1" x14ac:dyDescent="0.25">
      <c r="A57" s="755">
        <v>30</v>
      </c>
      <c r="B57" s="776" t="s">
        <v>4358</v>
      </c>
      <c r="C57" s="777" t="s">
        <v>328</v>
      </c>
      <c r="D57" s="778">
        <v>11</v>
      </c>
      <c r="E57" s="730">
        <v>1656629</v>
      </c>
      <c r="F57" s="731" t="s">
        <v>4665</v>
      </c>
      <c r="G57" s="731" t="s">
        <v>4666</v>
      </c>
      <c r="H57" s="732">
        <v>40844</v>
      </c>
      <c r="I57" s="733" t="str">
        <f t="shared" si="13"/>
        <v>Ned Peter Andrews</v>
      </c>
      <c r="J57" s="734" t="str">
        <f t="shared" si="14"/>
        <v>Andrews,Ned Peter</v>
      </c>
      <c r="K57" s="735">
        <f t="shared" ca="1" si="15"/>
        <v>12</v>
      </c>
      <c r="L57" s="736" t="str">
        <f t="shared" si="16"/>
        <v>281011</v>
      </c>
      <c r="M57" s="766" t="str">
        <f ca="1">IF(K57=0,0,IF(K57&lt;9,"TOO YOUNG",IF(K57&lt;14,"OK","NOT ELIGIBLE")))</f>
        <v>OK</v>
      </c>
      <c r="AD57" s="722">
        <f t="shared" si="21"/>
        <v>30</v>
      </c>
      <c r="AE57" s="443" t="str">
        <f t="shared" si="22"/>
        <v>Open/Male 13/U 100m Butterfly</v>
      </c>
      <c r="AF57" s="440" t="s">
        <v>328</v>
      </c>
      <c r="AG57" s="739">
        <v>11</v>
      </c>
      <c r="AH57" s="740">
        <f t="shared" si="17"/>
        <v>1656629</v>
      </c>
      <c r="AI57" s="740" t="str">
        <f t="shared" si="18"/>
        <v>Ned Peter</v>
      </c>
      <c r="AJ57" s="740" t="str">
        <f t="shared" si="19"/>
        <v>Andrews</v>
      </c>
      <c r="AK57" s="740"/>
      <c r="AL57" s="740"/>
      <c r="AM57" s="740"/>
      <c r="AN57" s="740"/>
      <c r="AO57" s="740"/>
      <c r="AQ57" s="741">
        <f t="shared" ca="1" si="20"/>
        <v>40844</v>
      </c>
    </row>
    <row r="58" spans="1:43" ht="20.25" customHeight="1" x14ac:dyDescent="0.25">
      <c r="A58" s="779">
        <v>31</v>
      </c>
      <c r="B58" s="780" t="s">
        <v>4359</v>
      </c>
      <c r="C58" s="781" t="s">
        <v>4635</v>
      </c>
      <c r="D58" s="782">
        <v>2</v>
      </c>
      <c r="E58" s="730">
        <v>1359587</v>
      </c>
      <c r="F58" s="731" t="s">
        <v>4670</v>
      </c>
      <c r="G58" s="731" t="s">
        <v>4671</v>
      </c>
      <c r="H58" s="732">
        <v>39925</v>
      </c>
      <c r="I58" s="733" t="str">
        <f t="shared" si="13"/>
        <v>Emily Hudszky</v>
      </c>
      <c r="J58" s="734" t="str">
        <f t="shared" si="14"/>
        <v>Hudszky,Emily</v>
      </c>
      <c r="K58" s="735">
        <f t="shared" ca="1" si="15"/>
        <v>14</v>
      </c>
      <c r="L58" s="736" t="str">
        <f t="shared" si="16"/>
        <v>220409</v>
      </c>
      <c r="M58" s="766" t="str">
        <f ca="1">IF(K58=0,0,IF(K58&lt;9,"TOO YOUNG",IF(K58&lt;16,"OK","NOT ELIGIBLE")))</f>
        <v>OK</v>
      </c>
      <c r="AD58" s="722">
        <f t="shared" si="21"/>
        <v>31</v>
      </c>
      <c r="AE58" s="443" t="str">
        <f t="shared" si="22"/>
        <v>Female 15/U 100m Freestyle</v>
      </c>
      <c r="AF58" s="440" t="s">
        <v>4635</v>
      </c>
      <c r="AG58" s="739">
        <v>2</v>
      </c>
      <c r="AH58" s="740">
        <f t="shared" si="17"/>
        <v>1359587</v>
      </c>
      <c r="AI58" s="740" t="str">
        <f t="shared" si="18"/>
        <v>Emily</v>
      </c>
      <c r="AJ58" s="740" t="str">
        <f t="shared" si="19"/>
        <v>Hudszky</v>
      </c>
      <c r="AK58" s="740"/>
      <c r="AL58" s="740"/>
      <c r="AM58" s="740"/>
      <c r="AN58" s="740"/>
      <c r="AO58" s="740"/>
      <c r="AQ58" s="741">
        <f t="shared" ca="1" si="20"/>
        <v>39925</v>
      </c>
    </row>
    <row r="59" spans="1:43" ht="20.25" customHeight="1" x14ac:dyDescent="0.25">
      <c r="A59" s="779">
        <v>32</v>
      </c>
      <c r="B59" s="780" t="s">
        <v>4360</v>
      </c>
      <c r="C59" s="781" t="s">
        <v>328</v>
      </c>
      <c r="D59" s="782">
        <v>2</v>
      </c>
      <c r="E59" s="730">
        <v>1386464</v>
      </c>
      <c r="F59" s="731" t="s">
        <v>4679</v>
      </c>
      <c r="G59" s="731" t="s">
        <v>4680</v>
      </c>
      <c r="H59" s="732">
        <v>39973</v>
      </c>
      <c r="I59" s="733" t="str">
        <f t="shared" si="13"/>
        <v>Zalan Tornay</v>
      </c>
      <c r="J59" s="734" t="str">
        <f t="shared" si="14"/>
        <v>Tornay,Zalan</v>
      </c>
      <c r="K59" s="735">
        <f t="shared" ca="1" si="15"/>
        <v>14</v>
      </c>
      <c r="L59" s="736" t="str">
        <f t="shared" si="16"/>
        <v>090609</v>
      </c>
      <c r="M59" s="766" t="str">
        <f ca="1">IF(K59=0,0,IF(K59&lt;9,"TOO YOUNG",IF(K59&lt;16,"OK","NOT ELIGIBLE")))</f>
        <v>OK</v>
      </c>
      <c r="AD59" s="722">
        <f t="shared" si="21"/>
        <v>32</v>
      </c>
      <c r="AE59" s="443" t="str">
        <f t="shared" si="22"/>
        <v>Open/Male 15/U 100m Freestyle</v>
      </c>
      <c r="AF59" s="440" t="s">
        <v>328</v>
      </c>
      <c r="AG59" s="739">
        <v>2</v>
      </c>
      <c r="AH59" s="740">
        <f t="shared" si="17"/>
        <v>1386464</v>
      </c>
      <c r="AI59" s="740" t="str">
        <f t="shared" si="18"/>
        <v>Zalan</v>
      </c>
      <c r="AJ59" s="740" t="str">
        <f t="shared" si="19"/>
        <v>Tornay</v>
      </c>
      <c r="AK59" s="740"/>
      <c r="AL59" s="740"/>
      <c r="AM59" s="740"/>
      <c r="AN59" s="740"/>
      <c r="AO59" s="740"/>
      <c r="AQ59" s="741">
        <f t="shared" ca="1" si="20"/>
        <v>39973</v>
      </c>
    </row>
    <row r="60" spans="1:43" ht="20.25" customHeight="1" x14ac:dyDescent="0.25">
      <c r="A60" s="727">
        <v>33</v>
      </c>
      <c r="B60" s="742" t="s">
        <v>4361</v>
      </c>
      <c r="C60" s="742" t="s">
        <v>4635</v>
      </c>
      <c r="D60" s="783">
        <v>8</v>
      </c>
      <c r="E60" s="730">
        <v>1335005</v>
      </c>
      <c r="F60" s="731" t="s">
        <v>4636</v>
      </c>
      <c r="G60" s="731" t="s">
        <v>4637</v>
      </c>
      <c r="H60" s="732">
        <v>39096</v>
      </c>
      <c r="I60" s="733" t="str">
        <f t="shared" si="13"/>
        <v>Bianca Gomez-Velasco</v>
      </c>
      <c r="J60" s="734" t="str">
        <f t="shared" si="14"/>
        <v>Gomez-Velasco,Bianca</v>
      </c>
      <c r="K60" s="735">
        <f t="shared" ca="1" si="15"/>
        <v>16</v>
      </c>
      <c r="L60" s="736" t="str">
        <f t="shared" si="16"/>
        <v>140107</v>
      </c>
      <c r="M60" s="770" t="str">
        <f ca="1">IF(K60=0,0,IF(K60&lt;9,"TOO YOUNG",IF(K60&lt;60,"OK","BIT OLD MAYBE")))</f>
        <v>OK</v>
      </c>
      <c r="AD60" s="722">
        <f t="shared" si="21"/>
        <v>33</v>
      </c>
      <c r="AE60" s="443" t="str">
        <f t="shared" si="22"/>
        <v>Female 16+ 100m Breaststroke</v>
      </c>
      <c r="AF60" s="443" t="s">
        <v>4635</v>
      </c>
      <c r="AG60" s="744">
        <v>9</v>
      </c>
      <c r="AH60" s="740">
        <f t="shared" si="17"/>
        <v>1335005</v>
      </c>
      <c r="AI60" s="740" t="str">
        <f t="shared" si="18"/>
        <v>Bianca</v>
      </c>
      <c r="AJ60" s="740" t="str">
        <f t="shared" si="19"/>
        <v>Gomez-Velasco</v>
      </c>
      <c r="AK60" s="740"/>
      <c r="AL60" s="740"/>
      <c r="AM60" s="740"/>
      <c r="AN60" s="740"/>
      <c r="AO60" s="740"/>
      <c r="AQ60" s="741">
        <f t="shared" ca="1" si="20"/>
        <v>39096</v>
      </c>
    </row>
    <row r="61" spans="1:43" ht="20.25" customHeight="1" x14ac:dyDescent="0.25">
      <c r="A61" s="727">
        <v>34</v>
      </c>
      <c r="B61" s="742" t="s">
        <v>4362</v>
      </c>
      <c r="C61" s="742" t="s">
        <v>328</v>
      </c>
      <c r="D61" s="783">
        <v>8</v>
      </c>
      <c r="E61" s="730">
        <v>1374125</v>
      </c>
      <c r="F61" s="731" t="s">
        <v>4690</v>
      </c>
      <c r="G61" s="731" t="s">
        <v>4691</v>
      </c>
      <c r="H61" s="732">
        <v>38948</v>
      </c>
      <c r="I61" s="733" t="str">
        <f t="shared" si="13"/>
        <v>Gabriel Bhonsle</v>
      </c>
      <c r="J61" s="734" t="str">
        <f t="shared" si="14"/>
        <v>Bhonsle,Gabriel</v>
      </c>
      <c r="K61" s="735">
        <f t="shared" ca="1" si="15"/>
        <v>17</v>
      </c>
      <c r="L61" s="736" t="str">
        <f t="shared" si="16"/>
        <v>190806</v>
      </c>
      <c r="M61" s="770" t="str">
        <f ca="1">IF(K61=0,0,IF(K61&lt;9,"TOO YOUNG",IF(K61&lt;60,"OK","BIT OLD MAYBE")))</f>
        <v>OK</v>
      </c>
      <c r="AD61" s="722">
        <f t="shared" si="21"/>
        <v>34</v>
      </c>
      <c r="AE61" s="443" t="str">
        <f t="shared" si="22"/>
        <v>Open/Male 16+ 100m Breaststroke</v>
      </c>
      <c r="AF61" s="443" t="s">
        <v>328</v>
      </c>
      <c r="AG61" s="744">
        <v>9</v>
      </c>
      <c r="AH61" s="740">
        <f t="shared" si="17"/>
        <v>1374125</v>
      </c>
      <c r="AI61" s="740" t="str">
        <f t="shared" si="18"/>
        <v>Gabriel</v>
      </c>
      <c r="AJ61" s="740" t="str">
        <f t="shared" si="19"/>
        <v>Bhonsle</v>
      </c>
      <c r="AK61" s="740"/>
      <c r="AL61" s="740"/>
      <c r="AM61" s="740"/>
      <c r="AN61" s="740"/>
      <c r="AO61" s="740"/>
      <c r="AQ61" s="741">
        <f t="shared" ca="1" si="20"/>
        <v>38948</v>
      </c>
    </row>
    <row r="62" spans="1:43" ht="20.25" customHeight="1" x14ac:dyDescent="0.25">
      <c r="A62" s="745">
        <v>35</v>
      </c>
      <c r="B62" s="773" t="s">
        <v>4363</v>
      </c>
      <c r="C62" s="774" t="s">
        <v>4635</v>
      </c>
      <c r="D62" s="775">
        <v>1</v>
      </c>
      <c r="E62" s="730">
        <v>1698062</v>
      </c>
      <c r="F62" s="731" t="s">
        <v>4648</v>
      </c>
      <c r="G62" s="731" t="s">
        <v>4649</v>
      </c>
      <c r="H62" s="732">
        <v>41027</v>
      </c>
      <c r="I62" s="733" t="str">
        <f t="shared" si="13"/>
        <v>Claudia Savov</v>
      </c>
      <c r="J62" s="734" t="str">
        <f t="shared" si="14"/>
        <v>Savov,Claudia</v>
      </c>
      <c r="K62" s="735">
        <f t="shared" ca="1" si="15"/>
        <v>11</v>
      </c>
      <c r="L62" s="736" t="str">
        <f t="shared" si="16"/>
        <v>280412</v>
      </c>
      <c r="M62" s="766" t="str">
        <f ca="1">IF(K62=0,0,IF(K62&lt;10,"TOO YOUNG",IF(K62&lt;12,"OK","NOT ELIGIBLE")))</f>
        <v>OK</v>
      </c>
      <c r="AD62" s="722">
        <f t="shared" si="21"/>
        <v>35</v>
      </c>
      <c r="AE62" s="443" t="str">
        <f t="shared" si="22"/>
        <v>Female 10/11 50m Freestyle</v>
      </c>
      <c r="AF62" s="440" t="s">
        <v>4635</v>
      </c>
      <c r="AG62" s="739">
        <v>1</v>
      </c>
      <c r="AH62" s="740">
        <f t="shared" si="17"/>
        <v>1698062</v>
      </c>
      <c r="AI62" s="740" t="str">
        <f t="shared" si="18"/>
        <v>Claudia</v>
      </c>
      <c r="AJ62" s="740" t="str">
        <f t="shared" si="19"/>
        <v>Savov</v>
      </c>
      <c r="AK62" s="740"/>
      <c r="AL62" s="740"/>
      <c r="AM62" s="740"/>
      <c r="AN62" s="740"/>
      <c r="AO62" s="740"/>
      <c r="AQ62" s="741">
        <f t="shared" ca="1" si="20"/>
        <v>41027</v>
      </c>
    </row>
    <row r="63" spans="1:43" ht="20.25" customHeight="1" x14ac:dyDescent="0.25">
      <c r="A63" s="745">
        <v>36</v>
      </c>
      <c r="B63" s="773" t="s">
        <v>4699</v>
      </c>
      <c r="C63" s="774" t="s">
        <v>328</v>
      </c>
      <c r="D63" s="775">
        <v>1</v>
      </c>
      <c r="E63" s="730">
        <v>1637553</v>
      </c>
      <c r="F63" s="731" t="s">
        <v>4695</v>
      </c>
      <c r="G63" s="731" t="s">
        <v>4696</v>
      </c>
      <c r="H63" s="732">
        <v>41400</v>
      </c>
      <c r="I63" s="733" t="str">
        <f t="shared" si="13"/>
        <v>Kornel Kern-Konyar</v>
      </c>
      <c r="J63" s="734" t="str">
        <f t="shared" si="14"/>
        <v>Kern-Konyar,Kornel</v>
      </c>
      <c r="K63" s="735">
        <f t="shared" ca="1" si="15"/>
        <v>10</v>
      </c>
      <c r="L63" s="736" t="str">
        <f t="shared" si="16"/>
        <v>060513</v>
      </c>
      <c r="M63" s="766" t="str">
        <f ca="1">IF(K63=0,0,IF(K63&lt;10,"TOO YOUNG",IF(K63&lt;12,"OK","NOT ELIGIBLE")))</f>
        <v>OK</v>
      </c>
      <c r="AD63" s="722">
        <f t="shared" si="21"/>
        <v>36</v>
      </c>
      <c r="AE63" s="443" t="str">
        <f t="shared" si="22"/>
        <v>Open/Male 10/11 50m Freestyle</v>
      </c>
      <c r="AF63" s="440" t="s">
        <v>328</v>
      </c>
      <c r="AG63" s="739">
        <v>1</v>
      </c>
      <c r="AH63" s="740">
        <f t="shared" si="17"/>
        <v>1637553</v>
      </c>
      <c r="AI63" s="740" t="str">
        <f t="shared" si="18"/>
        <v>Kornel</v>
      </c>
      <c r="AJ63" s="740" t="str">
        <f t="shared" si="19"/>
        <v>Kern-Konyar</v>
      </c>
      <c r="AK63" s="740"/>
      <c r="AL63" s="740"/>
      <c r="AM63" s="740"/>
      <c r="AN63" s="740"/>
      <c r="AO63" s="740"/>
      <c r="AQ63" s="741">
        <f t="shared" ca="1" si="20"/>
        <v>41400</v>
      </c>
    </row>
    <row r="64" spans="1:43" ht="20.25" customHeight="1" x14ac:dyDescent="0.25">
      <c r="A64" s="755">
        <v>37</v>
      </c>
      <c r="B64" s="776" t="s">
        <v>4365</v>
      </c>
      <c r="C64" s="777" t="s">
        <v>4635</v>
      </c>
      <c r="D64" s="778">
        <v>2</v>
      </c>
      <c r="E64" s="730">
        <v>1431508</v>
      </c>
      <c r="F64" s="731" t="s">
        <v>4654</v>
      </c>
      <c r="G64" s="731" t="s">
        <v>4655</v>
      </c>
      <c r="H64" s="732">
        <v>40190</v>
      </c>
      <c r="I64" s="733" t="str">
        <f t="shared" si="13"/>
        <v>Amy Hanson</v>
      </c>
      <c r="J64" s="734" t="str">
        <f t="shared" si="14"/>
        <v>Hanson,Amy</v>
      </c>
      <c r="K64" s="735">
        <f t="shared" ca="1" si="15"/>
        <v>13</v>
      </c>
      <c r="L64" s="736" t="str">
        <f t="shared" si="16"/>
        <v>120110</v>
      </c>
      <c r="M64" s="766" t="str">
        <f ca="1">IF(K64=0,0,IF(K64&lt;9,"TOO YOUNG",IF(K64&lt;14,"OK","NOT ELIGIBLE")))</f>
        <v>OK</v>
      </c>
      <c r="AD64" s="722">
        <f t="shared" si="21"/>
        <v>37</v>
      </c>
      <c r="AE64" s="443" t="str">
        <f t="shared" si="22"/>
        <v>Female 13/U 100m Freestyle</v>
      </c>
      <c r="AF64" s="440" t="s">
        <v>4635</v>
      </c>
      <c r="AG64" s="739">
        <v>2</v>
      </c>
      <c r="AH64" s="740">
        <f t="shared" si="17"/>
        <v>1431508</v>
      </c>
      <c r="AI64" s="740" t="str">
        <f t="shared" si="18"/>
        <v>Amy</v>
      </c>
      <c r="AJ64" s="740" t="str">
        <f t="shared" si="19"/>
        <v>Hanson</v>
      </c>
      <c r="AK64" s="740"/>
      <c r="AL64" s="740"/>
      <c r="AM64" s="740"/>
      <c r="AN64" s="740"/>
      <c r="AO64" s="740"/>
      <c r="AQ64" s="741">
        <f t="shared" ca="1" si="20"/>
        <v>40190</v>
      </c>
    </row>
    <row r="65" spans="1:43" ht="20.25" customHeight="1" x14ac:dyDescent="0.25">
      <c r="A65" s="755">
        <v>38</v>
      </c>
      <c r="B65" s="776" t="s">
        <v>4366</v>
      </c>
      <c r="C65" s="777" t="s">
        <v>328</v>
      </c>
      <c r="D65" s="778">
        <v>2</v>
      </c>
      <c r="E65" s="730">
        <v>1516060</v>
      </c>
      <c r="F65" s="731" t="s">
        <v>4653</v>
      </c>
      <c r="G65" s="731" t="s">
        <v>4664</v>
      </c>
      <c r="H65" s="732">
        <v>40226</v>
      </c>
      <c r="I65" s="733" t="str">
        <f t="shared" si="13"/>
        <v>Yigit Ilhan</v>
      </c>
      <c r="J65" s="734" t="str">
        <f t="shared" si="14"/>
        <v>Ilhan,Yigit</v>
      </c>
      <c r="K65" s="735">
        <f t="shared" ca="1" si="15"/>
        <v>13</v>
      </c>
      <c r="L65" s="736" t="str">
        <f t="shared" si="16"/>
        <v>170210</v>
      </c>
      <c r="M65" s="766" t="str">
        <f ca="1">IF(K65=0,0,IF(K65&lt;9,"TOO YOUNG",IF(K65&lt;14,"OK","NOT ELIGIBLE")))</f>
        <v>OK</v>
      </c>
      <c r="AD65" s="722">
        <f t="shared" si="21"/>
        <v>38</v>
      </c>
      <c r="AE65" s="443" t="str">
        <f t="shared" si="22"/>
        <v>Open/Male 13/U 100m Freestyle</v>
      </c>
      <c r="AF65" s="440" t="s">
        <v>328</v>
      </c>
      <c r="AG65" s="739">
        <v>2</v>
      </c>
      <c r="AH65" s="740">
        <f t="shared" si="17"/>
        <v>1516060</v>
      </c>
      <c r="AI65" s="740" t="str">
        <f t="shared" si="18"/>
        <v>Yigit</v>
      </c>
      <c r="AJ65" s="740" t="str">
        <f t="shared" si="19"/>
        <v>Ilhan</v>
      </c>
      <c r="AK65" s="740"/>
      <c r="AL65" s="740"/>
      <c r="AM65" s="740"/>
      <c r="AN65" s="740"/>
      <c r="AO65" s="740"/>
      <c r="AQ65" s="741">
        <f t="shared" ca="1" si="20"/>
        <v>40226</v>
      </c>
    </row>
    <row r="66" spans="1:43" ht="20.25" customHeight="1" x14ac:dyDescent="0.25">
      <c r="A66" s="779">
        <v>39</v>
      </c>
      <c r="B66" s="780" t="s">
        <v>4367</v>
      </c>
      <c r="C66" s="781" t="s">
        <v>4635</v>
      </c>
      <c r="D66" s="782">
        <v>8</v>
      </c>
      <c r="E66" s="730">
        <v>1507451</v>
      </c>
      <c r="F66" s="731" t="s">
        <v>4672</v>
      </c>
      <c r="G66" s="731" t="s">
        <v>4673</v>
      </c>
      <c r="H66" s="732">
        <v>39802</v>
      </c>
      <c r="I66" s="733" t="str">
        <f t="shared" si="13"/>
        <v>Taisia Flury</v>
      </c>
      <c r="J66" s="734" t="str">
        <f t="shared" si="14"/>
        <v>Flury,Taisia</v>
      </c>
      <c r="K66" s="735">
        <f t="shared" ca="1" si="15"/>
        <v>15</v>
      </c>
      <c r="L66" s="736" t="str">
        <f t="shared" si="16"/>
        <v>201208</v>
      </c>
      <c r="M66" s="766" t="str">
        <f ca="1">IF(K66=0,0,IF(K66&lt;9,"TOO YOUNG",IF(K66&lt;16,"OK","NOT ELIGIBLE")))</f>
        <v>OK</v>
      </c>
      <c r="AD66" s="722">
        <f t="shared" si="21"/>
        <v>39</v>
      </c>
      <c r="AE66" s="443" t="str">
        <f t="shared" si="22"/>
        <v>Female 15/U 100m Breaststroke</v>
      </c>
      <c r="AF66" s="440" t="s">
        <v>4635</v>
      </c>
      <c r="AG66" s="739">
        <v>9</v>
      </c>
      <c r="AH66" s="740">
        <f t="shared" si="17"/>
        <v>1507451</v>
      </c>
      <c r="AI66" s="740" t="str">
        <f t="shared" si="18"/>
        <v>Taisia</v>
      </c>
      <c r="AJ66" s="740" t="str">
        <f t="shared" si="19"/>
        <v>Flury</v>
      </c>
      <c r="AK66" s="740"/>
      <c r="AL66" s="740"/>
      <c r="AM66" s="740"/>
      <c r="AN66" s="740"/>
      <c r="AO66" s="740"/>
      <c r="AQ66" s="741">
        <f t="shared" ca="1" si="20"/>
        <v>39802</v>
      </c>
    </row>
    <row r="67" spans="1:43" ht="20.25" customHeight="1" x14ac:dyDescent="0.25">
      <c r="A67" s="779">
        <v>40</v>
      </c>
      <c r="B67" s="780" t="s">
        <v>4368</v>
      </c>
      <c r="C67" s="781" t="s">
        <v>328</v>
      </c>
      <c r="D67" s="782">
        <v>8</v>
      </c>
      <c r="E67" s="730">
        <v>1405916</v>
      </c>
      <c r="F67" s="731" t="s">
        <v>4677</v>
      </c>
      <c r="G67" s="731" t="s">
        <v>4678</v>
      </c>
      <c r="H67" s="732">
        <v>39602</v>
      </c>
      <c r="I67" s="733" t="str">
        <f t="shared" si="13"/>
        <v>Michael Manassero</v>
      </c>
      <c r="J67" s="734" t="str">
        <f t="shared" si="14"/>
        <v>Manassero,Michael</v>
      </c>
      <c r="K67" s="735">
        <f t="shared" ca="1" si="15"/>
        <v>15</v>
      </c>
      <c r="L67" s="736" t="str">
        <f t="shared" si="16"/>
        <v>030608</v>
      </c>
      <c r="M67" s="766" t="str">
        <f ca="1">IF(K67=0,0,IF(K67&lt;9,"TOO YOUNG",IF(K67&lt;16,"OK","NOT ELIGIBLE")))</f>
        <v>OK</v>
      </c>
      <c r="AD67" s="722">
        <f t="shared" si="21"/>
        <v>40</v>
      </c>
      <c r="AE67" s="443" t="str">
        <f t="shared" si="22"/>
        <v>Open/Male 15/U 100m Breaststroke</v>
      </c>
      <c r="AF67" s="440" t="s">
        <v>328</v>
      </c>
      <c r="AG67" s="739">
        <v>9</v>
      </c>
      <c r="AH67" s="740">
        <f t="shared" si="17"/>
        <v>1405916</v>
      </c>
      <c r="AI67" s="740" t="str">
        <f t="shared" si="18"/>
        <v>Michael</v>
      </c>
      <c r="AJ67" s="740" t="str">
        <f t="shared" si="19"/>
        <v>Manassero</v>
      </c>
      <c r="AK67" s="740"/>
      <c r="AL67" s="740"/>
      <c r="AM67" s="740"/>
      <c r="AN67" s="740"/>
      <c r="AO67" s="740"/>
      <c r="AQ67" s="741">
        <f t="shared" ca="1" si="20"/>
        <v>39602</v>
      </c>
    </row>
    <row r="68" spans="1:43" ht="20.25" customHeight="1" x14ac:dyDescent="0.25">
      <c r="A68" s="727">
        <v>41</v>
      </c>
      <c r="B68" s="742" t="s">
        <v>4369</v>
      </c>
      <c r="C68" s="728" t="s">
        <v>4635</v>
      </c>
      <c r="D68" s="729">
        <v>2</v>
      </c>
      <c r="E68" s="730">
        <v>1405904</v>
      </c>
      <c r="F68" s="731" t="s">
        <v>4685</v>
      </c>
      <c r="G68" s="731" t="s">
        <v>4686</v>
      </c>
      <c r="H68" s="732">
        <v>39227</v>
      </c>
      <c r="I68" s="733" t="str">
        <f t="shared" ref="I68:I99" si="23">CONCATENATE(F68," ",G68)</f>
        <v>Maja Grzybek</v>
      </c>
      <c r="J68" s="734" t="str">
        <f t="shared" ref="J68:J99" si="24">CONCATENATE(G68,",",F68)</f>
        <v>Grzybek,Maja</v>
      </c>
      <c r="K68" s="735">
        <f t="shared" ref="K68:K99" ca="1" si="25">IF(K$2=0,0,IF(AQ68=0,0,IF(COUNTBLANK(AQ68)=1,"",YEAR(K$2)-YEAR(AQ68)-IF(DATE(YEAR(K$2),MONTH(AQ68),DAY(4638))&gt;K$2,1,0))))</f>
        <v>16</v>
      </c>
      <c r="L68" s="736" t="str">
        <f t="shared" ref="L68:L99" si="26">(TEXT(H68,"DDMMYY"))</f>
        <v>250507</v>
      </c>
      <c r="M68" s="770" t="str">
        <f ca="1">IF(K68=0,0,IF(K68&lt;9,"TOO YOUNG",IF(K68&lt;60,"OK","BIT OLD MAYBE")))</f>
        <v>OK</v>
      </c>
      <c r="AD68" s="722">
        <f t="shared" si="21"/>
        <v>41</v>
      </c>
      <c r="AE68" s="443" t="str">
        <f t="shared" si="22"/>
        <v>Female 16+ 100m Freestyle</v>
      </c>
      <c r="AF68" s="440" t="s">
        <v>4635</v>
      </c>
      <c r="AG68" s="739">
        <v>2</v>
      </c>
      <c r="AH68" s="740">
        <f t="shared" ref="AH68:AH99" si="27">E68</f>
        <v>1405904</v>
      </c>
      <c r="AI68" s="740" t="str">
        <f t="shared" ref="AI68:AI99" si="28">F68</f>
        <v>Maja</v>
      </c>
      <c r="AJ68" s="740" t="str">
        <f t="shared" ref="AJ68:AJ99" si="29">G68</f>
        <v>Grzybek</v>
      </c>
      <c r="AK68" s="740"/>
      <c r="AL68" s="740"/>
      <c r="AM68" s="740"/>
      <c r="AN68" s="740"/>
      <c r="AO68" s="740"/>
      <c r="AQ68" s="741">
        <f t="shared" ref="AQ68:AQ99" ca="1" si="30">INDIRECT(ADDRESS(ROW(),AQ$3))</f>
        <v>39227</v>
      </c>
    </row>
    <row r="69" spans="1:43" ht="20.25" customHeight="1" x14ac:dyDescent="0.25">
      <c r="A69" s="727">
        <v>42</v>
      </c>
      <c r="B69" s="742" t="s">
        <v>4370</v>
      </c>
      <c r="C69" s="728" t="s">
        <v>328</v>
      </c>
      <c r="D69" s="729">
        <v>2</v>
      </c>
      <c r="E69" s="730">
        <v>1374064</v>
      </c>
      <c r="F69" s="731" t="s">
        <v>4688</v>
      </c>
      <c r="G69" s="731" t="s">
        <v>4689</v>
      </c>
      <c r="H69" s="732">
        <v>39372</v>
      </c>
      <c r="I69" s="733" t="str">
        <f t="shared" si="23"/>
        <v>James Smeaton</v>
      </c>
      <c r="J69" s="734" t="str">
        <f t="shared" si="24"/>
        <v>Smeaton,James</v>
      </c>
      <c r="K69" s="735">
        <f t="shared" ca="1" si="25"/>
        <v>16</v>
      </c>
      <c r="L69" s="736" t="str">
        <f t="shared" si="26"/>
        <v>171007</v>
      </c>
      <c r="M69" s="770" t="str">
        <f ca="1">IF(K69=0,0,IF(K69&lt;9,"TOO YOUNG",IF(K69&lt;60,"OK","BIT OLD MAYBE")))</f>
        <v>OK</v>
      </c>
      <c r="AD69" s="722">
        <f t="shared" si="21"/>
        <v>42</v>
      </c>
      <c r="AE69" s="443" t="str">
        <f t="shared" si="22"/>
        <v>Open/Male 16+ 100m Freestyle</v>
      </c>
      <c r="AF69" s="440" t="s">
        <v>328</v>
      </c>
      <c r="AG69" s="739">
        <v>2</v>
      </c>
      <c r="AH69" s="740">
        <f t="shared" si="27"/>
        <v>1374064</v>
      </c>
      <c r="AI69" s="740" t="str">
        <f t="shared" si="28"/>
        <v>James</v>
      </c>
      <c r="AJ69" s="740" t="str">
        <f t="shared" si="29"/>
        <v>Smeaton</v>
      </c>
      <c r="AK69" s="740"/>
      <c r="AL69" s="740"/>
      <c r="AM69" s="740"/>
      <c r="AN69" s="740"/>
      <c r="AO69" s="740"/>
      <c r="AQ69" s="741">
        <f t="shared" ca="1" si="30"/>
        <v>39372</v>
      </c>
    </row>
    <row r="70" spans="1:43" ht="20.25" customHeight="1" x14ac:dyDescent="0.25">
      <c r="A70" s="1254">
        <v>43</v>
      </c>
      <c r="B70" s="1255" t="s">
        <v>4700</v>
      </c>
      <c r="C70" s="746"/>
      <c r="D70" s="747"/>
      <c r="E70" s="730">
        <v>1634616</v>
      </c>
      <c r="F70" s="731" t="s">
        <v>4646</v>
      </c>
      <c r="G70" s="731" t="s">
        <v>4647</v>
      </c>
      <c r="H70" s="732">
        <v>41004</v>
      </c>
      <c r="I70" s="733" t="str">
        <f t="shared" si="23"/>
        <v>Eleanor Skinner</v>
      </c>
      <c r="J70" s="734" t="str">
        <f t="shared" si="24"/>
        <v>Skinner,Eleanor</v>
      </c>
      <c r="K70" s="735">
        <f t="shared" ca="1" si="25"/>
        <v>11</v>
      </c>
      <c r="L70" s="736" t="str">
        <f t="shared" si="26"/>
        <v>050412</v>
      </c>
      <c r="M70" s="766" t="str">
        <f t="shared" ref="M70:M77" ca="1" si="31">IF(K70=0,0,IF(K70&lt;9,"TOO YOUNG",IF(K70&lt;12,"OK","NOT ELIGIBLE")))</f>
        <v>OK</v>
      </c>
      <c r="AD70" s="1244">
        <f t="shared" si="21"/>
        <v>43</v>
      </c>
      <c r="AE70" s="1245" t="str">
        <f t="shared" si="22"/>
        <v>FEMALE 9/11 4 X 50M
MEDLEY RELAY</v>
      </c>
      <c r="AF70" s="749"/>
      <c r="AG70" s="750"/>
      <c r="AH70" s="740">
        <f t="shared" si="27"/>
        <v>1634616</v>
      </c>
      <c r="AI70" s="740" t="str">
        <f t="shared" si="28"/>
        <v>Eleanor</v>
      </c>
      <c r="AJ70" s="740" t="str">
        <f t="shared" si="29"/>
        <v>Skinner</v>
      </c>
      <c r="AK70" s="740"/>
      <c r="AL70" s="740"/>
      <c r="AM70" s="740"/>
      <c r="AN70" s="740"/>
      <c r="AO70" s="740"/>
      <c r="AQ70" s="741">
        <f t="shared" ca="1" si="30"/>
        <v>41004</v>
      </c>
    </row>
    <row r="71" spans="1:43" ht="20.25" customHeight="1" x14ac:dyDescent="0.25">
      <c r="A71" s="1254"/>
      <c r="B71" s="1255"/>
      <c r="C71" s="751"/>
      <c r="D71" s="752"/>
      <c r="E71" s="730">
        <v>1612801</v>
      </c>
      <c r="F71" s="731" t="s">
        <v>4642</v>
      </c>
      <c r="G71" s="731" t="s">
        <v>4643</v>
      </c>
      <c r="H71" s="732">
        <v>40935</v>
      </c>
      <c r="I71" s="733" t="str">
        <f t="shared" si="23"/>
        <v>Ines Puente</v>
      </c>
      <c r="J71" s="734" t="str">
        <f t="shared" si="24"/>
        <v>Puente,Ines</v>
      </c>
      <c r="K71" s="735">
        <f t="shared" ca="1" si="25"/>
        <v>11</v>
      </c>
      <c r="L71" s="736" t="str">
        <f t="shared" si="26"/>
        <v>270112</v>
      </c>
      <c r="M71" s="766" t="str">
        <f t="shared" ca="1" si="31"/>
        <v>OK</v>
      </c>
      <c r="AD71" s="1244"/>
      <c r="AE71" s="1245"/>
      <c r="AF71" s="753"/>
      <c r="AG71" s="754"/>
      <c r="AH71" s="740">
        <f t="shared" si="27"/>
        <v>1612801</v>
      </c>
      <c r="AI71" s="740" t="str">
        <f t="shared" si="28"/>
        <v>Ines</v>
      </c>
      <c r="AJ71" s="740" t="str">
        <f t="shared" si="29"/>
        <v>Puente</v>
      </c>
      <c r="AK71" s="740"/>
      <c r="AL71" s="740"/>
      <c r="AM71" s="740"/>
      <c r="AN71" s="740"/>
      <c r="AO71" s="740"/>
      <c r="AQ71" s="741">
        <f t="shared" ca="1" si="30"/>
        <v>40935</v>
      </c>
    </row>
    <row r="72" spans="1:43" ht="20.25" customHeight="1" x14ac:dyDescent="0.25">
      <c r="A72" s="1254"/>
      <c r="B72" s="1255"/>
      <c r="C72" s="751"/>
      <c r="D72" s="752"/>
      <c r="E72" s="730">
        <v>1698062</v>
      </c>
      <c r="F72" s="731" t="s">
        <v>4648</v>
      </c>
      <c r="G72" s="731" t="s">
        <v>4649</v>
      </c>
      <c r="H72" s="732">
        <v>41027</v>
      </c>
      <c r="I72" s="733" t="str">
        <f t="shared" si="23"/>
        <v>Claudia Savov</v>
      </c>
      <c r="J72" s="734" t="str">
        <f t="shared" si="24"/>
        <v>Savov,Claudia</v>
      </c>
      <c r="K72" s="735">
        <f t="shared" ca="1" si="25"/>
        <v>11</v>
      </c>
      <c r="L72" s="736" t="str">
        <f t="shared" si="26"/>
        <v>280412</v>
      </c>
      <c r="M72" s="766" t="str">
        <f t="shared" ca="1" si="31"/>
        <v>OK</v>
      </c>
      <c r="AD72" s="1244"/>
      <c r="AE72" s="1245"/>
      <c r="AF72" s="753"/>
      <c r="AG72" s="754"/>
      <c r="AH72" s="740">
        <f t="shared" si="27"/>
        <v>1698062</v>
      </c>
      <c r="AI72" s="740" t="str">
        <f t="shared" si="28"/>
        <v>Claudia</v>
      </c>
      <c r="AJ72" s="740" t="str">
        <f t="shared" si="29"/>
        <v>Savov</v>
      </c>
      <c r="AK72" s="740"/>
      <c r="AL72" s="740"/>
      <c r="AM72" s="740"/>
      <c r="AN72" s="740"/>
      <c r="AO72" s="740"/>
      <c r="AQ72" s="741">
        <f t="shared" ca="1" si="30"/>
        <v>41027</v>
      </c>
    </row>
    <row r="73" spans="1:43" ht="20.25" customHeight="1" x14ac:dyDescent="0.25">
      <c r="A73" s="1254"/>
      <c r="B73" s="1255"/>
      <c r="C73" s="751"/>
      <c r="D73" s="752"/>
      <c r="E73" s="730">
        <v>1715149</v>
      </c>
      <c r="F73" s="731" t="s">
        <v>4644</v>
      </c>
      <c r="G73" s="731" t="s">
        <v>4645</v>
      </c>
      <c r="H73" s="732">
        <v>41417</v>
      </c>
      <c r="I73" s="733" t="str">
        <f t="shared" si="23"/>
        <v>Aaliyah Gordon</v>
      </c>
      <c r="J73" s="734" t="str">
        <f t="shared" si="24"/>
        <v>Gordon,Aaliyah</v>
      </c>
      <c r="K73" s="735">
        <f t="shared" ca="1" si="25"/>
        <v>10</v>
      </c>
      <c r="L73" s="736" t="str">
        <f t="shared" si="26"/>
        <v>230513</v>
      </c>
      <c r="M73" s="766" t="str">
        <f t="shared" ca="1" si="31"/>
        <v>OK</v>
      </c>
      <c r="AD73" s="1244"/>
      <c r="AE73" s="1245"/>
      <c r="AF73" s="753"/>
      <c r="AG73" s="754"/>
      <c r="AH73" s="740">
        <f t="shared" si="27"/>
        <v>1715149</v>
      </c>
      <c r="AI73" s="740" t="str">
        <f t="shared" si="28"/>
        <v>Aaliyah</v>
      </c>
      <c r="AJ73" s="740" t="str">
        <f t="shared" si="29"/>
        <v>Gordon</v>
      </c>
      <c r="AK73" s="740"/>
      <c r="AL73" s="740"/>
      <c r="AM73" s="740"/>
      <c r="AN73" s="740"/>
      <c r="AO73" s="740"/>
      <c r="AQ73" s="741">
        <f t="shared" ca="1" si="30"/>
        <v>41417</v>
      </c>
    </row>
    <row r="74" spans="1:43" ht="20.25" customHeight="1" x14ac:dyDescent="0.25">
      <c r="A74" s="1254">
        <v>44</v>
      </c>
      <c r="B74" s="1255" t="s">
        <v>4701</v>
      </c>
      <c r="C74" s="746"/>
      <c r="D74" s="747"/>
      <c r="E74" s="730"/>
      <c r="F74" s="731"/>
      <c r="G74" s="731"/>
      <c r="H74" s="732"/>
      <c r="I74" s="733" t="str">
        <f t="shared" si="23"/>
        <v xml:space="preserve"> </v>
      </c>
      <c r="J74" s="734" t="str">
        <f t="shared" si="24"/>
        <v>,</v>
      </c>
      <c r="K74" s="735">
        <f t="shared" ca="1" si="25"/>
        <v>0</v>
      </c>
      <c r="L74" s="736" t="str">
        <f t="shared" si="26"/>
        <v>000100</v>
      </c>
      <c r="M74" s="766">
        <f t="shared" ca="1" si="31"/>
        <v>0</v>
      </c>
      <c r="AD74" s="1244">
        <f>A74</f>
        <v>44</v>
      </c>
      <c r="AE74" s="1245" t="str">
        <f>B74</f>
        <v>OPEN/MALE 9/11 4 X 50M
MEDLEY RELAY</v>
      </c>
      <c r="AF74" s="749"/>
      <c r="AG74" s="750"/>
      <c r="AH74" s="740">
        <f t="shared" si="27"/>
        <v>0</v>
      </c>
      <c r="AI74" s="740">
        <f t="shared" si="28"/>
        <v>0</v>
      </c>
      <c r="AJ74" s="740">
        <f t="shared" si="29"/>
        <v>0</v>
      </c>
      <c r="AK74" s="740"/>
      <c r="AL74" s="740"/>
      <c r="AM74" s="740"/>
      <c r="AN74" s="740"/>
      <c r="AO74" s="740"/>
      <c r="AQ74" s="741">
        <f t="shared" ca="1" si="30"/>
        <v>0</v>
      </c>
    </row>
    <row r="75" spans="1:43" ht="20.25" customHeight="1" x14ac:dyDescent="0.25">
      <c r="A75" s="1254"/>
      <c r="B75" s="1255"/>
      <c r="C75" s="751"/>
      <c r="D75" s="752"/>
      <c r="E75" s="730"/>
      <c r="F75" s="731"/>
      <c r="G75" s="731"/>
      <c r="H75" s="732"/>
      <c r="I75" s="733" t="str">
        <f t="shared" si="23"/>
        <v xml:space="preserve"> </v>
      </c>
      <c r="J75" s="734" t="str">
        <f t="shared" si="24"/>
        <v>,</v>
      </c>
      <c r="K75" s="735">
        <f t="shared" ca="1" si="25"/>
        <v>0</v>
      </c>
      <c r="L75" s="736" t="str">
        <f t="shared" si="26"/>
        <v>000100</v>
      </c>
      <c r="M75" s="766">
        <f t="shared" ca="1" si="31"/>
        <v>0</v>
      </c>
      <c r="AD75" s="1244"/>
      <c r="AE75" s="1245"/>
      <c r="AF75" s="753"/>
      <c r="AG75" s="754"/>
      <c r="AH75" s="740">
        <f t="shared" si="27"/>
        <v>0</v>
      </c>
      <c r="AI75" s="740">
        <f t="shared" si="28"/>
        <v>0</v>
      </c>
      <c r="AJ75" s="740">
        <f t="shared" si="29"/>
        <v>0</v>
      </c>
      <c r="AK75" s="740"/>
      <c r="AL75" s="740"/>
      <c r="AM75" s="740"/>
      <c r="AN75" s="740"/>
      <c r="AO75" s="740"/>
      <c r="AQ75" s="741">
        <f t="shared" ca="1" si="30"/>
        <v>0</v>
      </c>
    </row>
    <row r="76" spans="1:43" ht="20.25" customHeight="1" x14ac:dyDescent="0.25">
      <c r="A76" s="1254"/>
      <c r="B76" s="1255"/>
      <c r="C76" s="751"/>
      <c r="D76" s="752"/>
      <c r="E76" s="730"/>
      <c r="F76" s="731"/>
      <c r="G76" s="731"/>
      <c r="H76" s="732"/>
      <c r="I76" s="733" t="str">
        <f t="shared" si="23"/>
        <v xml:space="preserve"> </v>
      </c>
      <c r="J76" s="734" t="str">
        <f t="shared" si="24"/>
        <v>,</v>
      </c>
      <c r="K76" s="735">
        <f t="shared" ca="1" si="25"/>
        <v>0</v>
      </c>
      <c r="L76" s="736" t="str">
        <f t="shared" si="26"/>
        <v>000100</v>
      </c>
      <c r="M76" s="766">
        <f t="shared" ca="1" si="31"/>
        <v>0</v>
      </c>
      <c r="AD76" s="1244"/>
      <c r="AE76" s="1245"/>
      <c r="AF76" s="753"/>
      <c r="AG76" s="754"/>
      <c r="AH76" s="740">
        <f t="shared" si="27"/>
        <v>0</v>
      </c>
      <c r="AI76" s="740">
        <f t="shared" si="28"/>
        <v>0</v>
      </c>
      <c r="AJ76" s="740">
        <f t="shared" si="29"/>
        <v>0</v>
      </c>
      <c r="AK76" s="740"/>
      <c r="AL76" s="740"/>
      <c r="AM76" s="740"/>
      <c r="AN76" s="740"/>
      <c r="AO76" s="740"/>
      <c r="AQ76" s="741">
        <f t="shared" ca="1" si="30"/>
        <v>0</v>
      </c>
    </row>
    <row r="77" spans="1:43" ht="20.25" customHeight="1" x14ac:dyDescent="0.25">
      <c r="A77" s="1254"/>
      <c r="B77" s="1255"/>
      <c r="C77" s="751"/>
      <c r="D77" s="752"/>
      <c r="E77" s="730"/>
      <c r="F77" s="731"/>
      <c r="G77" s="731"/>
      <c r="H77" s="732"/>
      <c r="I77" s="733" t="str">
        <f t="shared" si="23"/>
        <v xml:space="preserve"> </v>
      </c>
      <c r="J77" s="734" t="str">
        <f t="shared" si="24"/>
        <v>,</v>
      </c>
      <c r="K77" s="735">
        <f t="shared" ca="1" si="25"/>
        <v>0</v>
      </c>
      <c r="L77" s="736" t="str">
        <f t="shared" si="26"/>
        <v>000100</v>
      </c>
      <c r="M77" s="766">
        <f t="shared" ca="1" si="31"/>
        <v>0</v>
      </c>
      <c r="AD77" s="1244"/>
      <c r="AE77" s="1245"/>
      <c r="AF77" s="753"/>
      <c r="AG77" s="754"/>
      <c r="AH77" s="740">
        <f t="shared" si="27"/>
        <v>0</v>
      </c>
      <c r="AI77" s="740">
        <f t="shared" si="28"/>
        <v>0</v>
      </c>
      <c r="AJ77" s="740">
        <f t="shared" si="29"/>
        <v>0</v>
      </c>
      <c r="AK77" s="740"/>
      <c r="AL77" s="740"/>
      <c r="AM77" s="740"/>
      <c r="AN77" s="740"/>
      <c r="AO77" s="740"/>
      <c r="AQ77" s="741">
        <f t="shared" ca="1" si="30"/>
        <v>0</v>
      </c>
    </row>
    <row r="78" spans="1:43" ht="20.25" customHeight="1" x14ac:dyDescent="0.25">
      <c r="A78" s="1252">
        <v>45</v>
      </c>
      <c r="B78" s="1253" t="s">
        <v>4702</v>
      </c>
      <c r="C78" s="756"/>
      <c r="D78" s="757"/>
      <c r="E78" s="730">
        <v>1612800</v>
      </c>
      <c r="F78" s="731" t="s">
        <v>4652</v>
      </c>
      <c r="G78" s="731" t="s">
        <v>4653</v>
      </c>
      <c r="H78" s="732">
        <v>40182</v>
      </c>
      <c r="I78" s="733" t="str">
        <f t="shared" si="23"/>
        <v>Edanur Yigit</v>
      </c>
      <c r="J78" s="734" t="str">
        <f t="shared" si="24"/>
        <v>Yigit,Edanur</v>
      </c>
      <c r="K78" s="735">
        <f t="shared" ca="1" si="25"/>
        <v>13</v>
      </c>
      <c r="L78" s="736" t="str">
        <f t="shared" si="26"/>
        <v>040110</v>
      </c>
      <c r="M78" s="766" t="str">
        <f t="shared" ref="M78:M85" ca="1" si="32">IF(K78=0,0,IF(K78&lt;9,"TOO YOUNG",IF(K78&lt;14,"OK","NOT ELIGIBLE")))</f>
        <v>OK</v>
      </c>
      <c r="AD78" s="1244">
        <f>A78</f>
        <v>45</v>
      </c>
      <c r="AE78" s="1245" t="str">
        <f>B78</f>
        <v>FEMALE 13/U 4 X 50M
FREESTYLE RELAY</v>
      </c>
      <c r="AF78" s="749"/>
      <c r="AG78" s="750"/>
      <c r="AH78" s="740">
        <f t="shared" si="27"/>
        <v>1612800</v>
      </c>
      <c r="AI78" s="740" t="str">
        <f t="shared" si="28"/>
        <v>Edanur</v>
      </c>
      <c r="AJ78" s="740" t="str">
        <f t="shared" si="29"/>
        <v>Yigit</v>
      </c>
      <c r="AK78" s="740"/>
      <c r="AL78" s="740"/>
      <c r="AM78" s="740"/>
      <c r="AN78" s="740"/>
      <c r="AO78" s="740"/>
      <c r="AQ78" s="741">
        <f t="shared" ca="1" si="30"/>
        <v>40182</v>
      </c>
    </row>
    <row r="79" spans="1:43" ht="20.25" customHeight="1" x14ac:dyDescent="0.25">
      <c r="A79" s="1252"/>
      <c r="B79" s="1253"/>
      <c r="C79" s="758"/>
      <c r="D79" s="759"/>
      <c r="E79" s="730">
        <v>1486835</v>
      </c>
      <c r="F79" s="731" t="s">
        <v>4656</v>
      </c>
      <c r="G79" s="731" t="s">
        <v>4657</v>
      </c>
      <c r="H79" s="732">
        <v>40513</v>
      </c>
      <c r="I79" s="733" t="str">
        <f t="shared" si="23"/>
        <v>Ane Pedraza-Eguia</v>
      </c>
      <c r="J79" s="734" t="str">
        <f t="shared" si="24"/>
        <v>Pedraza-Eguia,Ane</v>
      </c>
      <c r="K79" s="735">
        <f t="shared" ca="1" si="25"/>
        <v>13</v>
      </c>
      <c r="L79" s="736" t="str">
        <f t="shared" si="26"/>
        <v>011210</v>
      </c>
      <c r="M79" s="766" t="str">
        <f t="shared" ca="1" si="32"/>
        <v>OK</v>
      </c>
      <c r="AD79" s="1244"/>
      <c r="AE79" s="1245"/>
      <c r="AF79" s="753"/>
      <c r="AG79" s="754"/>
      <c r="AH79" s="740">
        <f t="shared" si="27"/>
        <v>1486835</v>
      </c>
      <c r="AI79" s="740" t="str">
        <f t="shared" si="28"/>
        <v>Ane</v>
      </c>
      <c r="AJ79" s="740" t="str">
        <f t="shared" si="29"/>
        <v>Pedraza-Eguia</v>
      </c>
      <c r="AK79" s="740"/>
      <c r="AL79" s="740"/>
      <c r="AM79" s="740"/>
      <c r="AN79" s="740"/>
      <c r="AO79" s="740"/>
      <c r="AQ79" s="741">
        <f t="shared" ca="1" si="30"/>
        <v>40513</v>
      </c>
    </row>
    <row r="80" spans="1:43" ht="20.25" customHeight="1" x14ac:dyDescent="0.25">
      <c r="A80" s="1252"/>
      <c r="B80" s="1253"/>
      <c r="C80" s="758"/>
      <c r="D80" s="759"/>
      <c r="E80" s="730">
        <v>1448003</v>
      </c>
      <c r="F80" s="731" t="s">
        <v>4658</v>
      </c>
      <c r="G80" s="731" t="s">
        <v>4659</v>
      </c>
      <c r="H80" s="732">
        <v>40232</v>
      </c>
      <c r="I80" s="733" t="str">
        <f t="shared" si="23"/>
        <v>Maryla Koslacz</v>
      </c>
      <c r="J80" s="734" t="str">
        <f t="shared" si="24"/>
        <v>Koslacz,Maryla</v>
      </c>
      <c r="K80" s="735">
        <f t="shared" ca="1" si="25"/>
        <v>13</v>
      </c>
      <c r="L80" s="736" t="str">
        <f t="shared" si="26"/>
        <v>230210</v>
      </c>
      <c r="M80" s="766" t="str">
        <f t="shared" ca="1" si="32"/>
        <v>OK</v>
      </c>
      <c r="AD80" s="1244"/>
      <c r="AE80" s="1245"/>
      <c r="AF80" s="753"/>
      <c r="AG80" s="754"/>
      <c r="AH80" s="740">
        <f t="shared" si="27"/>
        <v>1448003</v>
      </c>
      <c r="AI80" s="740" t="str">
        <f t="shared" si="28"/>
        <v>Maryla</v>
      </c>
      <c r="AJ80" s="740" t="str">
        <f t="shared" si="29"/>
        <v>Koslacz</v>
      </c>
      <c r="AK80" s="740"/>
      <c r="AL80" s="740"/>
      <c r="AM80" s="740"/>
      <c r="AN80" s="740"/>
      <c r="AO80" s="740"/>
      <c r="AQ80" s="741">
        <f t="shared" ca="1" si="30"/>
        <v>40232</v>
      </c>
    </row>
    <row r="81" spans="1:43" ht="20.25" customHeight="1" x14ac:dyDescent="0.25">
      <c r="A81" s="1252"/>
      <c r="B81" s="1253"/>
      <c r="C81" s="758"/>
      <c r="D81" s="759"/>
      <c r="E81" s="730">
        <v>1431508</v>
      </c>
      <c r="F81" s="731" t="s">
        <v>4654</v>
      </c>
      <c r="G81" s="731" t="s">
        <v>4655</v>
      </c>
      <c r="H81" s="732">
        <v>40190</v>
      </c>
      <c r="I81" s="733" t="str">
        <f t="shared" si="23"/>
        <v>Amy Hanson</v>
      </c>
      <c r="J81" s="734" t="str">
        <f t="shared" si="24"/>
        <v>Hanson,Amy</v>
      </c>
      <c r="K81" s="735">
        <f t="shared" ca="1" si="25"/>
        <v>13</v>
      </c>
      <c r="L81" s="736" t="str">
        <f t="shared" si="26"/>
        <v>120110</v>
      </c>
      <c r="M81" s="766" t="str">
        <f t="shared" ca="1" si="32"/>
        <v>OK</v>
      </c>
      <c r="AD81" s="1244"/>
      <c r="AE81" s="1245"/>
      <c r="AF81" s="753"/>
      <c r="AG81" s="754"/>
      <c r="AH81" s="740">
        <f t="shared" si="27"/>
        <v>1431508</v>
      </c>
      <c r="AI81" s="740" t="str">
        <f t="shared" si="28"/>
        <v>Amy</v>
      </c>
      <c r="AJ81" s="740" t="str">
        <f t="shared" si="29"/>
        <v>Hanson</v>
      </c>
      <c r="AK81" s="740"/>
      <c r="AL81" s="740"/>
      <c r="AM81" s="740"/>
      <c r="AN81" s="740"/>
      <c r="AO81" s="740"/>
      <c r="AQ81" s="741">
        <f t="shared" ca="1" si="30"/>
        <v>40190</v>
      </c>
    </row>
    <row r="82" spans="1:43" ht="20.25" customHeight="1" x14ac:dyDescent="0.25">
      <c r="A82" s="1252">
        <v>46</v>
      </c>
      <c r="B82" s="1253" t="s">
        <v>4703</v>
      </c>
      <c r="C82" s="756"/>
      <c r="D82" s="757"/>
      <c r="E82" s="730">
        <v>1656629</v>
      </c>
      <c r="F82" s="731" t="s">
        <v>4665</v>
      </c>
      <c r="G82" s="731" t="s">
        <v>4666</v>
      </c>
      <c r="H82" s="732">
        <v>40844</v>
      </c>
      <c r="I82" s="733" t="str">
        <f t="shared" si="23"/>
        <v>Ned Peter Andrews</v>
      </c>
      <c r="J82" s="734" t="str">
        <f t="shared" si="24"/>
        <v>Andrews,Ned Peter</v>
      </c>
      <c r="K82" s="735">
        <f t="shared" ca="1" si="25"/>
        <v>12</v>
      </c>
      <c r="L82" s="736" t="str">
        <f t="shared" si="26"/>
        <v>281011</v>
      </c>
      <c r="M82" s="766" t="str">
        <f t="shared" ca="1" si="32"/>
        <v>OK</v>
      </c>
      <c r="AD82" s="1244">
        <f>A82</f>
        <v>46</v>
      </c>
      <c r="AE82" s="1245" t="str">
        <f>B82</f>
        <v>OPEN/MALE 13/U 4 X 50M
FREESTYLE RELAY</v>
      </c>
      <c r="AF82" s="749"/>
      <c r="AG82" s="750"/>
      <c r="AH82" s="740">
        <f t="shared" si="27"/>
        <v>1656629</v>
      </c>
      <c r="AI82" s="740" t="str">
        <f t="shared" si="28"/>
        <v>Ned Peter</v>
      </c>
      <c r="AJ82" s="740" t="str">
        <f t="shared" si="29"/>
        <v>Andrews</v>
      </c>
      <c r="AK82" s="740"/>
      <c r="AL82" s="740"/>
      <c r="AM82" s="740"/>
      <c r="AN82" s="740"/>
      <c r="AO82" s="740"/>
      <c r="AQ82" s="741">
        <f t="shared" ca="1" si="30"/>
        <v>40844</v>
      </c>
    </row>
    <row r="83" spans="1:43" ht="20.25" customHeight="1" x14ac:dyDescent="0.25">
      <c r="A83" s="1252"/>
      <c r="B83" s="1253"/>
      <c r="C83" s="758"/>
      <c r="D83" s="759"/>
      <c r="E83" s="730">
        <v>1470569</v>
      </c>
      <c r="F83" s="731" t="s">
        <v>4661</v>
      </c>
      <c r="G83" s="731" t="s">
        <v>4662</v>
      </c>
      <c r="H83" s="732">
        <v>40830</v>
      </c>
      <c r="I83" s="733" t="str">
        <f t="shared" si="23"/>
        <v>Albert Nezha</v>
      </c>
      <c r="J83" s="734" t="str">
        <f t="shared" si="24"/>
        <v>Nezha,Albert</v>
      </c>
      <c r="K83" s="735">
        <f t="shared" ca="1" si="25"/>
        <v>12</v>
      </c>
      <c r="L83" s="736" t="str">
        <f t="shared" si="26"/>
        <v>141011</v>
      </c>
      <c r="M83" s="766" t="str">
        <f t="shared" ca="1" si="32"/>
        <v>OK</v>
      </c>
      <c r="AD83" s="1244"/>
      <c r="AE83" s="1245"/>
      <c r="AF83" s="753"/>
      <c r="AG83" s="754"/>
      <c r="AH83" s="740">
        <f t="shared" si="27"/>
        <v>1470569</v>
      </c>
      <c r="AI83" s="740" t="str">
        <f t="shared" si="28"/>
        <v>Albert</v>
      </c>
      <c r="AJ83" s="740" t="str">
        <f t="shared" si="29"/>
        <v>Nezha</v>
      </c>
      <c r="AK83" s="740"/>
      <c r="AL83" s="740"/>
      <c r="AM83" s="740"/>
      <c r="AN83" s="740"/>
      <c r="AO83" s="740"/>
      <c r="AQ83" s="741">
        <f t="shared" ca="1" si="30"/>
        <v>40830</v>
      </c>
    </row>
    <row r="84" spans="1:43" ht="20.25" customHeight="1" x14ac:dyDescent="0.25">
      <c r="A84" s="1252"/>
      <c r="B84" s="1253"/>
      <c r="C84" s="758"/>
      <c r="D84" s="759"/>
      <c r="E84" s="730">
        <v>1584787</v>
      </c>
      <c r="F84" s="731" t="s">
        <v>4639</v>
      </c>
      <c r="G84" s="731" t="s">
        <v>4640</v>
      </c>
      <c r="H84" s="732">
        <v>40511</v>
      </c>
      <c r="I84" s="733" t="str">
        <f t="shared" si="23"/>
        <v>Zente Buzsik</v>
      </c>
      <c r="J84" s="734" t="str">
        <f t="shared" si="24"/>
        <v>Buzsik,Zente</v>
      </c>
      <c r="K84" s="735">
        <f t="shared" ca="1" si="25"/>
        <v>13</v>
      </c>
      <c r="L84" s="736" t="str">
        <f t="shared" si="26"/>
        <v>291110</v>
      </c>
      <c r="M84" s="766" t="str">
        <f t="shared" ca="1" si="32"/>
        <v>OK</v>
      </c>
      <c r="AD84" s="1244"/>
      <c r="AE84" s="1245"/>
      <c r="AF84" s="753"/>
      <c r="AG84" s="754"/>
      <c r="AH84" s="740">
        <f t="shared" si="27"/>
        <v>1584787</v>
      </c>
      <c r="AI84" s="740" t="str">
        <f t="shared" si="28"/>
        <v>Zente</v>
      </c>
      <c r="AJ84" s="740" t="str">
        <f t="shared" si="29"/>
        <v>Buzsik</v>
      </c>
      <c r="AK84" s="740"/>
      <c r="AL84" s="740"/>
      <c r="AM84" s="740"/>
      <c r="AN84" s="740"/>
      <c r="AO84" s="740"/>
      <c r="AQ84" s="741">
        <f t="shared" ca="1" si="30"/>
        <v>40511</v>
      </c>
    </row>
    <row r="85" spans="1:43" ht="20.25" customHeight="1" x14ac:dyDescent="0.25">
      <c r="A85" s="1252"/>
      <c r="B85" s="1253"/>
      <c r="C85" s="758"/>
      <c r="D85" s="759"/>
      <c r="E85" s="730">
        <v>1516060</v>
      </c>
      <c r="F85" s="731" t="s">
        <v>4653</v>
      </c>
      <c r="G85" s="731" t="s">
        <v>4664</v>
      </c>
      <c r="H85" s="732">
        <v>40226</v>
      </c>
      <c r="I85" s="733" t="str">
        <f t="shared" si="23"/>
        <v>Yigit Ilhan</v>
      </c>
      <c r="J85" s="734" t="str">
        <f t="shared" si="24"/>
        <v>Ilhan,Yigit</v>
      </c>
      <c r="K85" s="735">
        <f t="shared" ca="1" si="25"/>
        <v>13</v>
      </c>
      <c r="L85" s="736" t="str">
        <f t="shared" si="26"/>
        <v>170210</v>
      </c>
      <c r="M85" s="766" t="str">
        <f t="shared" ca="1" si="32"/>
        <v>OK</v>
      </c>
      <c r="AD85" s="1244"/>
      <c r="AE85" s="1245"/>
      <c r="AF85" s="753"/>
      <c r="AG85" s="754"/>
      <c r="AH85" s="740">
        <f t="shared" si="27"/>
        <v>1516060</v>
      </c>
      <c r="AI85" s="740" t="str">
        <f t="shared" si="28"/>
        <v>Yigit</v>
      </c>
      <c r="AJ85" s="740" t="str">
        <f t="shared" si="29"/>
        <v>Ilhan</v>
      </c>
      <c r="AK85" s="740"/>
      <c r="AL85" s="740"/>
      <c r="AM85" s="740"/>
      <c r="AN85" s="740"/>
      <c r="AO85" s="740"/>
      <c r="AQ85" s="741">
        <f t="shared" ca="1" si="30"/>
        <v>40226</v>
      </c>
    </row>
    <row r="86" spans="1:43" ht="20.25" customHeight="1" x14ac:dyDescent="0.25">
      <c r="A86" s="1248">
        <v>47</v>
      </c>
      <c r="B86" s="1249" t="s">
        <v>4704</v>
      </c>
      <c r="C86" s="761"/>
      <c r="D86" s="762"/>
      <c r="E86" s="730">
        <v>1492583</v>
      </c>
      <c r="F86" s="731" t="s">
        <v>4668</v>
      </c>
      <c r="G86" s="731" t="s">
        <v>4669</v>
      </c>
      <c r="H86" s="732">
        <v>40006</v>
      </c>
      <c r="I86" s="733" t="str">
        <f t="shared" si="23"/>
        <v>Shreya Bavishi</v>
      </c>
      <c r="J86" s="734" t="str">
        <f t="shared" si="24"/>
        <v>Bavishi,Shreya</v>
      </c>
      <c r="K86" s="735">
        <f t="shared" ca="1" si="25"/>
        <v>14</v>
      </c>
      <c r="L86" s="736" t="str">
        <f t="shared" si="26"/>
        <v>120709</v>
      </c>
      <c r="M86" s="766" t="str">
        <f t="shared" ref="M86:M93" ca="1" si="33">IF(K86=0,0,IF(K86&lt;9,"TOO YOUNG",IF(K86&lt;16,"OK","NOT ELIGIBLE")))</f>
        <v>OK</v>
      </c>
      <c r="AD86" s="1244">
        <f>A86</f>
        <v>47</v>
      </c>
      <c r="AE86" s="1245" t="str">
        <f>B86</f>
        <v>FEMALE 15/U 4 X 50M
MEDLEY RELAY</v>
      </c>
      <c r="AF86" s="749"/>
      <c r="AG86" s="750"/>
      <c r="AH86" s="740">
        <f t="shared" si="27"/>
        <v>1492583</v>
      </c>
      <c r="AI86" s="740" t="str">
        <f t="shared" si="28"/>
        <v>Shreya</v>
      </c>
      <c r="AJ86" s="740" t="str">
        <f t="shared" si="29"/>
        <v>Bavishi</v>
      </c>
      <c r="AK86" s="740"/>
      <c r="AL86" s="740"/>
      <c r="AM86" s="740"/>
      <c r="AN86" s="740"/>
      <c r="AO86" s="740"/>
      <c r="AQ86" s="741">
        <f t="shared" ca="1" si="30"/>
        <v>40006</v>
      </c>
    </row>
    <row r="87" spans="1:43" ht="20.25" customHeight="1" x14ac:dyDescent="0.25">
      <c r="A87" s="1248"/>
      <c r="B87" s="1249"/>
      <c r="C87" s="763"/>
      <c r="D87" s="764"/>
      <c r="E87" s="730">
        <v>1507451</v>
      </c>
      <c r="F87" s="731" t="s">
        <v>4672</v>
      </c>
      <c r="G87" s="731" t="s">
        <v>4673</v>
      </c>
      <c r="H87" s="732">
        <v>39802</v>
      </c>
      <c r="I87" s="733" t="str">
        <f t="shared" si="23"/>
        <v>Taisia Flury</v>
      </c>
      <c r="J87" s="734" t="str">
        <f t="shared" si="24"/>
        <v>Flury,Taisia</v>
      </c>
      <c r="K87" s="735">
        <f t="shared" ca="1" si="25"/>
        <v>15</v>
      </c>
      <c r="L87" s="736" t="str">
        <f t="shared" si="26"/>
        <v>201208</v>
      </c>
      <c r="M87" s="766" t="str">
        <f t="shared" ca="1" si="33"/>
        <v>OK</v>
      </c>
      <c r="AD87" s="1244"/>
      <c r="AE87" s="1245"/>
      <c r="AF87" s="753"/>
      <c r="AG87" s="754"/>
      <c r="AH87" s="740">
        <f t="shared" si="27"/>
        <v>1507451</v>
      </c>
      <c r="AI87" s="740" t="str">
        <f t="shared" si="28"/>
        <v>Taisia</v>
      </c>
      <c r="AJ87" s="740" t="str">
        <f t="shared" si="29"/>
        <v>Flury</v>
      </c>
      <c r="AK87" s="740"/>
      <c r="AL87" s="740"/>
      <c r="AM87" s="740"/>
      <c r="AN87" s="740"/>
      <c r="AO87" s="740"/>
      <c r="AQ87" s="741">
        <f t="shared" ca="1" si="30"/>
        <v>39802</v>
      </c>
    </row>
    <row r="88" spans="1:43" ht="20.25" customHeight="1" x14ac:dyDescent="0.25">
      <c r="A88" s="1248"/>
      <c r="B88" s="1249"/>
      <c r="C88" s="763"/>
      <c r="D88" s="764"/>
      <c r="E88" s="730">
        <v>1492584</v>
      </c>
      <c r="F88" s="731" t="s">
        <v>4674</v>
      </c>
      <c r="G88" s="731" t="s">
        <v>4675</v>
      </c>
      <c r="H88" s="732">
        <v>39937</v>
      </c>
      <c r="I88" s="733" t="str">
        <f t="shared" si="23"/>
        <v>Zoe Panayi</v>
      </c>
      <c r="J88" s="734" t="str">
        <f t="shared" si="24"/>
        <v>Panayi,Zoe</v>
      </c>
      <c r="K88" s="735">
        <f t="shared" ca="1" si="25"/>
        <v>14</v>
      </c>
      <c r="L88" s="736" t="str">
        <f t="shared" si="26"/>
        <v>040509</v>
      </c>
      <c r="M88" s="766" t="str">
        <f t="shared" ca="1" si="33"/>
        <v>OK</v>
      </c>
      <c r="AD88" s="1244"/>
      <c r="AE88" s="1245"/>
      <c r="AF88" s="753"/>
      <c r="AG88" s="754"/>
      <c r="AH88" s="740">
        <f t="shared" si="27"/>
        <v>1492584</v>
      </c>
      <c r="AI88" s="740" t="str">
        <f t="shared" si="28"/>
        <v>Zoe</v>
      </c>
      <c r="AJ88" s="740" t="str">
        <f t="shared" si="29"/>
        <v>Panayi</v>
      </c>
      <c r="AK88" s="740"/>
      <c r="AL88" s="740"/>
      <c r="AM88" s="740"/>
      <c r="AN88" s="740"/>
      <c r="AO88" s="740"/>
      <c r="AQ88" s="741">
        <f t="shared" ca="1" si="30"/>
        <v>39937</v>
      </c>
    </row>
    <row r="89" spans="1:43" ht="20.25" customHeight="1" x14ac:dyDescent="0.25">
      <c r="A89" s="1248"/>
      <c r="B89" s="1249"/>
      <c r="C89" s="763"/>
      <c r="D89" s="764"/>
      <c r="E89" s="730">
        <v>1359587</v>
      </c>
      <c r="F89" s="731" t="s">
        <v>4670</v>
      </c>
      <c r="G89" s="731" t="s">
        <v>4671</v>
      </c>
      <c r="H89" s="732">
        <v>39925</v>
      </c>
      <c r="I89" s="733" t="str">
        <f t="shared" si="23"/>
        <v>Emily Hudszky</v>
      </c>
      <c r="J89" s="734" t="str">
        <f t="shared" si="24"/>
        <v>Hudszky,Emily</v>
      </c>
      <c r="K89" s="735">
        <f t="shared" ca="1" si="25"/>
        <v>14</v>
      </c>
      <c r="L89" s="736" t="str">
        <f t="shared" si="26"/>
        <v>220409</v>
      </c>
      <c r="M89" s="766" t="str">
        <f t="shared" ca="1" si="33"/>
        <v>OK</v>
      </c>
      <c r="AD89" s="1244"/>
      <c r="AE89" s="1245"/>
      <c r="AF89" s="753"/>
      <c r="AG89" s="754"/>
      <c r="AH89" s="740">
        <f t="shared" si="27"/>
        <v>1359587</v>
      </c>
      <c r="AI89" s="740" t="str">
        <f t="shared" si="28"/>
        <v>Emily</v>
      </c>
      <c r="AJ89" s="740" t="str">
        <f t="shared" si="29"/>
        <v>Hudszky</v>
      </c>
      <c r="AK89" s="740"/>
      <c r="AL89" s="740"/>
      <c r="AM89" s="740"/>
      <c r="AN89" s="740"/>
      <c r="AO89" s="740"/>
      <c r="AQ89" s="741">
        <f t="shared" ca="1" si="30"/>
        <v>39925</v>
      </c>
    </row>
    <row r="90" spans="1:43" ht="20.25" customHeight="1" x14ac:dyDescent="0.25">
      <c r="A90" s="1248">
        <v>48</v>
      </c>
      <c r="B90" s="1249" t="s">
        <v>4705</v>
      </c>
      <c r="C90" s="761"/>
      <c r="D90" s="762"/>
      <c r="E90" s="730">
        <v>1386464</v>
      </c>
      <c r="F90" s="731" t="s">
        <v>4679</v>
      </c>
      <c r="G90" s="731" t="s">
        <v>4680</v>
      </c>
      <c r="H90" s="732">
        <v>39973</v>
      </c>
      <c r="I90" s="733" t="str">
        <f t="shared" si="23"/>
        <v>Zalan Tornay</v>
      </c>
      <c r="J90" s="734" t="str">
        <f t="shared" si="24"/>
        <v>Tornay,Zalan</v>
      </c>
      <c r="K90" s="735">
        <f t="shared" ca="1" si="25"/>
        <v>14</v>
      </c>
      <c r="L90" s="736" t="str">
        <f t="shared" si="26"/>
        <v>090609</v>
      </c>
      <c r="M90" s="766" t="str">
        <f t="shared" ca="1" si="33"/>
        <v>OK</v>
      </c>
      <c r="AD90" s="1244">
        <f>A90</f>
        <v>48</v>
      </c>
      <c r="AE90" s="1245" t="str">
        <f>B90</f>
        <v>OPEN/MALE 15/U 4 X 50M
MEDLEY RELAY</v>
      </c>
      <c r="AF90" s="749"/>
      <c r="AG90" s="750"/>
      <c r="AH90" s="740">
        <f t="shared" si="27"/>
        <v>1386464</v>
      </c>
      <c r="AI90" s="740" t="str">
        <f t="shared" si="28"/>
        <v>Zalan</v>
      </c>
      <c r="AJ90" s="740" t="str">
        <f t="shared" si="29"/>
        <v>Tornay</v>
      </c>
      <c r="AK90" s="740"/>
      <c r="AL90" s="740"/>
      <c r="AM90" s="740"/>
      <c r="AN90" s="740"/>
      <c r="AO90" s="740"/>
      <c r="AQ90" s="741">
        <f t="shared" ca="1" si="30"/>
        <v>39973</v>
      </c>
    </row>
    <row r="91" spans="1:43" ht="20.25" customHeight="1" x14ac:dyDescent="0.25">
      <c r="A91" s="1248"/>
      <c r="B91" s="1249"/>
      <c r="C91" s="763"/>
      <c r="D91" s="764"/>
      <c r="E91" s="730">
        <v>1405916</v>
      </c>
      <c r="F91" s="731" t="s">
        <v>4677</v>
      </c>
      <c r="G91" s="731" t="s">
        <v>4678</v>
      </c>
      <c r="H91" s="732">
        <v>39602</v>
      </c>
      <c r="I91" s="733" t="str">
        <f t="shared" si="23"/>
        <v>Michael Manassero</v>
      </c>
      <c r="J91" s="734" t="str">
        <f t="shared" si="24"/>
        <v>Manassero,Michael</v>
      </c>
      <c r="K91" s="735">
        <f t="shared" ca="1" si="25"/>
        <v>15</v>
      </c>
      <c r="L91" s="736" t="str">
        <f t="shared" si="26"/>
        <v>030608</v>
      </c>
      <c r="M91" s="766" t="str">
        <f t="shared" ca="1" si="33"/>
        <v>OK</v>
      </c>
      <c r="AD91" s="1244"/>
      <c r="AE91" s="1245"/>
      <c r="AF91" s="753"/>
      <c r="AG91" s="754"/>
      <c r="AH91" s="740">
        <f t="shared" si="27"/>
        <v>1405916</v>
      </c>
      <c r="AI91" s="740" t="str">
        <f t="shared" si="28"/>
        <v>Michael</v>
      </c>
      <c r="AJ91" s="740" t="str">
        <f t="shared" si="29"/>
        <v>Manassero</v>
      </c>
      <c r="AK91" s="740"/>
      <c r="AL91" s="740"/>
      <c r="AM91" s="740"/>
      <c r="AN91" s="740"/>
      <c r="AO91" s="740"/>
      <c r="AQ91" s="741">
        <f t="shared" ca="1" si="30"/>
        <v>39602</v>
      </c>
    </row>
    <row r="92" spans="1:43" ht="20.25" customHeight="1" x14ac:dyDescent="0.25">
      <c r="A92" s="1248"/>
      <c r="B92" s="1249"/>
      <c r="C92" s="763"/>
      <c r="D92" s="764"/>
      <c r="E92" s="730">
        <v>1656629</v>
      </c>
      <c r="F92" s="731" t="s">
        <v>4665</v>
      </c>
      <c r="G92" s="731" t="s">
        <v>4666</v>
      </c>
      <c r="H92" s="732">
        <v>40844</v>
      </c>
      <c r="I92" s="733" t="str">
        <f t="shared" si="23"/>
        <v>Ned Peter Andrews</v>
      </c>
      <c r="J92" s="734" t="str">
        <f t="shared" si="24"/>
        <v>Andrews,Ned Peter</v>
      </c>
      <c r="K92" s="735">
        <f t="shared" ca="1" si="25"/>
        <v>12</v>
      </c>
      <c r="L92" s="736" t="str">
        <f t="shared" si="26"/>
        <v>281011</v>
      </c>
      <c r="M92" s="766" t="str">
        <f t="shared" ca="1" si="33"/>
        <v>OK</v>
      </c>
      <c r="AD92" s="1244"/>
      <c r="AE92" s="1245"/>
      <c r="AF92" s="753"/>
      <c r="AG92" s="754"/>
      <c r="AH92" s="740">
        <f t="shared" si="27"/>
        <v>1656629</v>
      </c>
      <c r="AI92" s="740" t="str">
        <f t="shared" si="28"/>
        <v>Ned Peter</v>
      </c>
      <c r="AJ92" s="740" t="str">
        <f t="shared" si="29"/>
        <v>Andrews</v>
      </c>
      <c r="AK92" s="740"/>
      <c r="AL92" s="740"/>
      <c r="AM92" s="740"/>
      <c r="AN92" s="740"/>
      <c r="AO92" s="740"/>
      <c r="AQ92" s="741">
        <f t="shared" ca="1" si="30"/>
        <v>40844</v>
      </c>
    </row>
    <row r="93" spans="1:43" ht="20.25" customHeight="1" x14ac:dyDescent="0.25">
      <c r="A93" s="1248"/>
      <c r="B93" s="1249"/>
      <c r="C93" s="763"/>
      <c r="D93" s="764"/>
      <c r="E93" s="730">
        <v>1584787</v>
      </c>
      <c r="F93" s="731" t="s">
        <v>4639</v>
      </c>
      <c r="G93" s="731" t="s">
        <v>4640</v>
      </c>
      <c r="H93" s="732">
        <v>40511</v>
      </c>
      <c r="I93" s="733" t="str">
        <f t="shared" si="23"/>
        <v>Zente Buzsik</v>
      </c>
      <c r="J93" s="734" t="str">
        <f t="shared" si="24"/>
        <v>Buzsik,Zente</v>
      </c>
      <c r="K93" s="735">
        <f t="shared" ca="1" si="25"/>
        <v>13</v>
      </c>
      <c r="L93" s="736" t="str">
        <f t="shared" si="26"/>
        <v>291110</v>
      </c>
      <c r="M93" s="766" t="str">
        <f t="shared" ca="1" si="33"/>
        <v>OK</v>
      </c>
      <c r="AD93" s="1244"/>
      <c r="AE93" s="1245"/>
      <c r="AF93" s="753"/>
      <c r="AG93" s="754"/>
      <c r="AH93" s="740">
        <f t="shared" si="27"/>
        <v>1584787</v>
      </c>
      <c r="AI93" s="740" t="str">
        <f t="shared" si="28"/>
        <v>Zente</v>
      </c>
      <c r="AJ93" s="740" t="str">
        <f t="shared" si="29"/>
        <v>Buzsik</v>
      </c>
      <c r="AK93" s="740"/>
      <c r="AL93" s="740"/>
      <c r="AM93" s="740"/>
      <c r="AN93" s="740"/>
      <c r="AO93" s="740"/>
      <c r="AQ93" s="741">
        <f t="shared" ca="1" si="30"/>
        <v>40511</v>
      </c>
    </row>
    <row r="94" spans="1:43" ht="20.25" customHeight="1" x14ac:dyDescent="0.25">
      <c r="A94" s="1250">
        <v>49</v>
      </c>
      <c r="B94" s="1251" t="s">
        <v>4706</v>
      </c>
      <c r="C94" s="768"/>
      <c r="D94" s="769"/>
      <c r="E94" s="731">
        <v>1578148</v>
      </c>
      <c r="F94" s="731" t="s">
        <v>4682</v>
      </c>
      <c r="G94" s="731" t="s">
        <v>4683</v>
      </c>
      <c r="H94" s="732">
        <v>39336</v>
      </c>
      <c r="I94" s="733" t="str">
        <f t="shared" si="23"/>
        <v>Isabel Spyrou</v>
      </c>
      <c r="J94" s="734" t="str">
        <f t="shared" si="24"/>
        <v>Spyrou,Isabel</v>
      </c>
      <c r="K94" s="735">
        <f t="shared" ca="1" si="25"/>
        <v>16</v>
      </c>
      <c r="L94" s="736" t="str">
        <f t="shared" si="26"/>
        <v>110907</v>
      </c>
      <c r="M94" s="770" t="str">
        <f t="shared" ref="M94:M109" ca="1" si="34">IF(K94=0,0,IF(K94&lt;9,"TOO YOUNG",IF(K94&lt;60,"OK","BIT OLD MAYBE")))</f>
        <v>OK</v>
      </c>
      <c r="AD94" s="1244">
        <f>A94</f>
        <v>49</v>
      </c>
      <c r="AE94" s="1245" t="str">
        <f>B94</f>
        <v>FEMALE 16+4 X 50M
FREESTYLE RELAY</v>
      </c>
      <c r="AF94" s="749"/>
      <c r="AG94" s="750"/>
      <c r="AH94" s="740">
        <f t="shared" si="27"/>
        <v>1578148</v>
      </c>
      <c r="AI94" s="740" t="str">
        <f t="shared" si="28"/>
        <v>Isabel</v>
      </c>
      <c r="AJ94" s="740" t="str">
        <f t="shared" si="29"/>
        <v>Spyrou</v>
      </c>
      <c r="AK94" s="740"/>
      <c r="AL94" s="740"/>
      <c r="AM94" s="740"/>
      <c r="AN94" s="740"/>
      <c r="AO94" s="740"/>
      <c r="AQ94" s="741">
        <f t="shared" ca="1" si="30"/>
        <v>39336</v>
      </c>
    </row>
    <row r="95" spans="1:43" ht="20.25" customHeight="1" x14ac:dyDescent="0.25">
      <c r="A95" s="1250"/>
      <c r="B95" s="1251"/>
      <c r="C95" s="771"/>
      <c r="D95" s="772"/>
      <c r="E95" s="730">
        <v>1335005</v>
      </c>
      <c r="F95" s="731" t="s">
        <v>4636</v>
      </c>
      <c r="G95" s="731" t="s">
        <v>4637</v>
      </c>
      <c r="H95" s="732">
        <v>39096</v>
      </c>
      <c r="I95" s="733" t="str">
        <f t="shared" si="23"/>
        <v>Bianca Gomez-Velasco</v>
      </c>
      <c r="J95" s="734" t="str">
        <f t="shared" si="24"/>
        <v>Gomez-Velasco,Bianca</v>
      </c>
      <c r="K95" s="735">
        <f t="shared" ca="1" si="25"/>
        <v>16</v>
      </c>
      <c r="L95" s="736" t="str">
        <f t="shared" si="26"/>
        <v>140107</v>
      </c>
      <c r="M95" s="770" t="str">
        <f t="shared" ca="1" si="34"/>
        <v>OK</v>
      </c>
      <c r="AD95" s="1244"/>
      <c r="AE95" s="1245"/>
      <c r="AF95" s="753"/>
      <c r="AG95" s="754"/>
      <c r="AH95" s="740">
        <f t="shared" si="27"/>
        <v>1335005</v>
      </c>
      <c r="AI95" s="740" t="str">
        <f t="shared" si="28"/>
        <v>Bianca</v>
      </c>
      <c r="AJ95" s="740" t="str">
        <f t="shared" si="29"/>
        <v>Gomez-Velasco</v>
      </c>
      <c r="AK95" s="740"/>
      <c r="AL95" s="740"/>
      <c r="AM95" s="740"/>
      <c r="AN95" s="740"/>
      <c r="AO95" s="740"/>
      <c r="AQ95" s="741">
        <f t="shared" ca="1" si="30"/>
        <v>39096</v>
      </c>
    </row>
    <row r="96" spans="1:43" ht="20.25" customHeight="1" x14ac:dyDescent="0.25">
      <c r="A96" s="1250"/>
      <c r="B96" s="1251"/>
      <c r="C96" s="771"/>
      <c r="D96" s="772"/>
      <c r="E96" s="730">
        <v>1470528</v>
      </c>
      <c r="F96" s="731" t="s">
        <v>4684</v>
      </c>
      <c r="G96" s="731" t="s">
        <v>4647</v>
      </c>
      <c r="H96" s="732">
        <v>39523</v>
      </c>
      <c r="I96" s="733" t="str">
        <f t="shared" si="23"/>
        <v>Charlotte Skinner</v>
      </c>
      <c r="J96" s="734" t="str">
        <f t="shared" si="24"/>
        <v>Skinner,Charlotte</v>
      </c>
      <c r="K96" s="735">
        <f t="shared" ca="1" si="25"/>
        <v>15</v>
      </c>
      <c r="L96" s="736" t="str">
        <f t="shared" si="26"/>
        <v>160308</v>
      </c>
      <c r="M96" s="770" t="str">
        <f t="shared" ca="1" si="34"/>
        <v>OK</v>
      </c>
      <c r="AD96" s="1244"/>
      <c r="AE96" s="1245"/>
      <c r="AF96" s="753"/>
      <c r="AG96" s="754"/>
      <c r="AH96" s="740">
        <f t="shared" si="27"/>
        <v>1470528</v>
      </c>
      <c r="AI96" s="740" t="str">
        <f t="shared" si="28"/>
        <v>Charlotte</v>
      </c>
      <c r="AJ96" s="740" t="str">
        <f t="shared" si="29"/>
        <v>Skinner</v>
      </c>
      <c r="AK96" s="740"/>
      <c r="AL96" s="740"/>
      <c r="AM96" s="740"/>
      <c r="AN96" s="740"/>
      <c r="AO96" s="740"/>
      <c r="AQ96" s="741">
        <f t="shared" ca="1" si="30"/>
        <v>39523</v>
      </c>
    </row>
    <row r="97" spans="1:43" ht="20.25" customHeight="1" x14ac:dyDescent="0.25">
      <c r="A97" s="1250"/>
      <c r="B97" s="1251"/>
      <c r="C97" s="771"/>
      <c r="D97" s="772"/>
      <c r="E97" s="730">
        <v>1405904</v>
      </c>
      <c r="F97" s="731" t="s">
        <v>4685</v>
      </c>
      <c r="G97" s="731" t="s">
        <v>4686</v>
      </c>
      <c r="H97" s="732">
        <v>39227</v>
      </c>
      <c r="I97" s="733" t="str">
        <f t="shared" si="23"/>
        <v>Maja Grzybek</v>
      </c>
      <c r="J97" s="734" t="str">
        <f t="shared" si="24"/>
        <v>Grzybek,Maja</v>
      </c>
      <c r="K97" s="735">
        <f t="shared" ca="1" si="25"/>
        <v>16</v>
      </c>
      <c r="L97" s="736" t="str">
        <f t="shared" si="26"/>
        <v>250507</v>
      </c>
      <c r="M97" s="770" t="str">
        <f t="shared" ca="1" si="34"/>
        <v>OK</v>
      </c>
      <c r="AD97" s="1244"/>
      <c r="AE97" s="1245"/>
      <c r="AF97" s="753"/>
      <c r="AG97" s="754"/>
      <c r="AH97" s="740">
        <f t="shared" si="27"/>
        <v>1405904</v>
      </c>
      <c r="AI97" s="740" t="str">
        <f t="shared" si="28"/>
        <v>Maja</v>
      </c>
      <c r="AJ97" s="740" t="str">
        <f t="shared" si="29"/>
        <v>Grzybek</v>
      </c>
      <c r="AK97" s="740"/>
      <c r="AL97" s="740"/>
      <c r="AM97" s="740"/>
      <c r="AN97" s="740"/>
      <c r="AO97" s="740"/>
      <c r="AQ97" s="741">
        <f t="shared" ca="1" si="30"/>
        <v>39227</v>
      </c>
    </row>
    <row r="98" spans="1:43" ht="20.25" customHeight="1" x14ac:dyDescent="0.25">
      <c r="A98" s="1242">
        <v>50</v>
      </c>
      <c r="B98" s="1243" t="s">
        <v>4707</v>
      </c>
      <c r="C98" s="768"/>
      <c r="D98" s="769"/>
      <c r="E98" s="730">
        <v>1405916</v>
      </c>
      <c r="F98" s="731" t="s">
        <v>4677</v>
      </c>
      <c r="G98" s="731" t="s">
        <v>4678</v>
      </c>
      <c r="H98" s="732">
        <v>39602</v>
      </c>
      <c r="I98" s="733" t="str">
        <f t="shared" si="23"/>
        <v>Michael Manassero</v>
      </c>
      <c r="J98" s="734" t="str">
        <f t="shared" si="24"/>
        <v>Manassero,Michael</v>
      </c>
      <c r="K98" s="735">
        <f t="shared" ca="1" si="25"/>
        <v>15</v>
      </c>
      <c r="L98" s="736" t="str">
        <f t="shared" si="26"/>
        <v>030608</v>
      </c>
      <c r="M98" s="770" t="str">
        <f t="shared" ca="1" si="34"/>
        <v>OK</v>
      </c>
      <c r="AD98" s="1244">
        <f>A98</f>
        <v>50</v>
      </c>
      <c r="AE98" s="1245" t="str">
        <f>B98</f>
        <v>OPEN/MALE 16+4 X 50M
FREESTYLE RELAY</v>
      </c>
      <c r="AF98" s="749"/>
      <c r="AG98" s="750"/>
      <c r="AH98" s="740">
        <f t="shared" si="27"/>
        <v>1405916</v>
      </c>
      <c r="AI98" s="740" t="str">
        <f t="shared" si="28"/>
        <v>Michael</v>
      </c>
      <c r="AJ98" s="740" t="str">
        <f t="shared" si="29"/>
        <v>Manassero</v>
      </c>
      <c r="AK98" s="740"/>
      <c r="AL98" s="740"/>
      <c r="AM98" s="740"/>
      <c r="AN98" s="740"/>
      <c r="AO98" s="740"/>
      <c r="AQ98" s="741">
        <f t="shared" ca="1" si="30"/>
        <v>39602</v>
      </c>
    </row>
    <row r="99" spans="1:43" ht="20.25" customHeight="1" x14ac:dyDescent="0.25">
      <c r="A99" s="1242"/>
      <c r="B99" s="1243"/>
      <c r="C99" s="771"/>
      <c r="D99" s="772"/>
      <c r="E99" s="730">
        <v>1516060</v>
      </c>
      <c r="F99" s="731" t="s">
        <v>4653</v>
      </c>
      <c r="G99" s="731" t="s">
        <v>4664</v>
      </c>
      <c r="H99" s="732">
        <v>40226</v>
      </c>
      <c r="I99" s="733" t="str">
        <f t="shared" si="23"/>
        <v>Yigit Ilhan</v>
      </c>
      <c r="J99" s="734" t="str">
        <f t="shared" si="24"/>
        <v>Ilhan,Yigit</v>
      </c>
      <c r="K99" s="735">
        <f t="shared" ca="1" si="25"/>
        <v>13</v>
      </c>
      <c r="L99" s="736" t="str">
        <f t="shared" si="26"/>
        <v>170210</v>
      </c>
      <c r="M99" s="770" t="str">
        <f t="shared" ca="1" si="34"/>
        <v>OK</v>
      </c>
      <c r="AD99" s="1244"/>
      <c r="AE99" s="1245"/>
      <c r="AF99" s="753"/>
      <c r="AG99" s="754"/>
      <c r="AH99" s="740">
        <f t="shared" si="27"/>
        <v>1516060</v>
      </c>
      <c r="AI99" s="740" t="str">
        <f t="shared" si="28"/>
        <v>Yigit</v>
      </c>
      <c r="AJ99" s="740" t="str">
        <f t="shared" si="29"/>
        <v>Ilhan</v>
      </c>
      <c r="AK99" s="740"/>
      <c r="AL99" s="740"/>
      <c r="AM99" s="740"/>
      <c r="AN99" s="740"/>
      <c r="AO99" s="740"/>
      <c r="AQ99" s="741">
        <f t="shared" ca="1" si="30"/>
        <v>40226</v>
      </c>
    </row>
    <row r="100" spans="1:43" ht="20.25" customHeight="1" x14ac:dyDescent="0.25">
      <c r="A100" s="1242"/>
      <c r="B100" s="1243"/>
      <c r="C100" s="771"/>
      <c r="D100" s="772"/>
      <c r="E100" s="730">
        <v>1374064</v>
      </c>
      <c r="F100" s="731" t="s">
        <v>4688</v>
      </c>
      <c r="G100" s="731" t="s">
        <v>4689</v>
      </c>
      <c r="H100" s="732">
        <v>39372</v>
      </c>
      <c r="I100" s="733" t="str">
        <f t="shared" ref="I100:I109" si="35">CONCATENATE(F100," ",G100)</f>
        <v>James Smeaton</v>
      </c>
      <c r="J100" s="734" t="str">
        <f t="shared" ref="J100:J109" si="36">CONCATENATE(G100,",",F100)</f>
        <v>Smeaton,James</v>
      </c>
      <c r="K100" s="735">
        <f t="shared" ref="K100:K109" ca="1" si="37">IF(K$2=0,0,IF(AQ100=0,0,IF(COUNTBLANK(AQ100)=1,"",YEAR(K$2)-YEAR(AQ100)-IF(DATE(YEAR(K$2),MONTH(AQ100),DAY(4638))&gt;K$2,1,0))))</f>
        <v>16</v>
      </c>
      <c r="L100" s="736" t="str">
        <f t="shared" ref="L100:L109" si="38">(TEXT(H100,"DDMMYY"))</f>
        <v>171007</v>
      </c>
      <c r="M100" s="770" t="str">
        <f t="shared" ca="1" si="34"/>
        <v>OK</v>
      </c>
      <c r="AD100" s="1244"/>
      <c r="AE100" s="1245"/>
      <c r="AF100" s="753"/>
      <c r="AG100" s="754"/>
      <c r="AH100" s="740">
        <f t="shared" ref="AH100:AH109" si="39">E100</f>
        <v>1374064</v>
      </c>
      <c r="AI100" s="740" t="str">
        <f t="shared" ref="AI100:AI109" si="40">F100</f>
        <v>James</v>
      </c>
      <c r="AJ100" s="740" t="str">
        <f t="shared" ref="AJ100:AJ109" si="41">G100</f>
        <v>Smeaton</v>
      </c>
      <c r="AK100" s="740"/>
      <c r="AL100" s="740"/>
      <c r="AM100" s="740"/>
      <c r="AN100" s="740"/>
      <c r="AO100" s="740"/>
      <c r="AQ100" s="741">
        <f t="shared" ref="AQ100:AQ109" ca="1" si="42">INDIRECT(ADDRESS(ROW(),AQ$3))</f>
        <v>39372</v>
      </c>
    </row>
    <row r="101" spans="1:43" ht="20.25" customHeight="1" x14ac:dyDescent="0.25">
      <c r="A101" s="1242"/>
      <c r="B101" s="1243"/>
      <c r="C101" s="771"/>
      <c r="D101" s="772"/>
      <c r="E101" s="730">
        <v>1374125</v>
      </c>
      <c r="F101" s="731" t="s">
        <v>4690</v>
      </c>
      <c r="G101" s="731" t="s">
        <v>4691</v>
      </c>
      <c r="H101" s="732">
        <v>38948</v>
      </c>
      <c r="I101" s="733" t="str">
        <f t="shared" si="35"/>
        <v>Gabriel Bhonsle</v>
      </c>
      <c r="J101" s="734" t="str">
        <f t="shared" si="36"/>
        <v>Bhonsle,Gabriel</v>
      </c>
      <c r="K101" s="735">
        <f t="shared" ca="1" si="37"/>
        <v>17</v>
      </c>
      <c r="L101" s="736" t="str">
        <f t="shared" si="38"/>
        <v>190806</v>
      </c>
      <c r="M101" s="770" t="str">
        <f t="shared" ca="1" si="34"/>
        <v>OK</v>
      </c>
      <c r="AD101" s="1244"/>
      <c r="AE101" s="1245"/>
      <c r="AF101" s="753"/>
      <c r="AG101" s="754"/>
      <c r="AH101" s="740">
        <f t="shared" si="39"/>
        <v>1374125</v>
      </c>
      <c r="AI101" s="740" t="str">
        <f t="shared" si="40"/>
        <v>Gabriel</v>
      </c>
      <c r="AJ101" s="740" t="str">
        <f t="shared" si="41"/>
        <v>Bhonsle</v>
      </c>
      <c r="AK101" s="740"/>
      <c r="AL101" s="740"/>
      <c r="AM101" s="740"/>
      <c r="AN101" s="740"/>
      <c r="AO101" s="740"/>
      <c r="AQ101" s="741">
        <f t="shared" ca="1" si="42"/>
        <v>38948</v>
      </c>
    </row>
    <row r="102" spans="1:43" ht="20.25" customHeight="1" x14ac:dyDescent="0.25">
      <c r="A102" s="1246">
        <v>51</v>
      </c>
      <c r="B102" s="1247" t="s">
        <v>4708</v>
      </c>
      <c r="C102" s="20"/>
      <c r="D102" s="784"/>
      <c r="E102" s="730">
        <v>1698062</v>
      </c>
      <c r="F102" s="731" t="s">
        <v>4648</v>
      </c>
      <c r="G102" s="731" t="s">
        <v>4649</v>
      </c>
      <c r="H102" s="732">
        <v>41027</v>
      </c>
      <c r="I102" s="785" t="str">
        <f t="shared" si="35"/>
        <v>Claudia Savov</v>
      </c>
      <c r="J102" s="734" t="str">
        <f t="shared" si="36"/>
        <v>Savov,Claudia</v>
      </c>
      <c r="K102" s="735">
        <f t="shared" ca="1" si="37"/>
        <v>11</v>
      </c>
      <c r="L102" s="736" t="str">
        <f t="shared" si="38"/>
        <v>280412</v>
      </c>
      <c r="M102" s="770" t="str">
        <f t="shared" ca="1" si="34"/>
        <v>OK</v>
      </c>
      <c r="AD102" s="1244">
        <f>A102</f>
        <v>51</v>
      </c>
      <c r="AE102" s="1245" t="str">
        <f>B102</f>
        <v>SQUADRON RELAY 8 X 50M
1 MALE &amp; 1 FEMALE FROM EACH AGE GROUP
SWIM IN ANY ORDER</v>
      </c>
      <c r="AF102" s="786"/>
      <c r="AG102" s="787"/>
      <c r="AH102" s="740">
        <f t="shared" si="39"/>
        <v>1698062</v>
      </c>
      <c r="AI102" s="740" t="str">
        <f t="shared" si="40"/>
        <v>Claudia</v>
      </c>
      <c r="AJ102" s="740" t="str">
        <f t="shared" si="41"/>
        <v>Savov</v>
      </c>
      <c r="AK102" s="740"/>
      <c r="AL102" s="740"/>
      <c r="AM102" s="740"/>
      <c r="AN102" s="740"/>
      <c r="AO102" s="740"/>
      <c r="AQ102" s="741">
        <f t="shared" ca="1" si="42"/>
        <v>41027</v>
      </c>
    </row>
    <row r="103" spans="1:43" ht="20.25" customHeight="1" x14ac:dyDescent="0.25">
      <c r="A103" s="1246"/>
      <c r="B103" s="1247"/>
      <c r="C103" s="20"/>
      <c r="D103" s="784"/>
      <c r="E103" s="730">
        <v>1637553</v>
      </c>
      <c r="F103" s="731" t="s">
        <v>4695</v>
      </c>
      <c r="G103" s="731" t="s">
        <v>4696</v>
      </c>
      <c r="H103" s="732">
        <v>41400</v>
      </c>
      <c r="I103" s="785" t="str">
        <f t="shared" si="35"/>
        <v>Kornel Kern-Konyar</v>
      </c>
      <c r="J103" s="734" t="str">
        <f t="shared" si="36"/>
        <v>Kern-Konyar,Kornel</v>
      </c>
      <c r="K103" s="735">
        <f t="shared" ca="1" si="37"/>
        <v>10</v>
      </c>
      <c r="L103" s="736" t="str">
        <f t="shared" si="38"/>
        <v>060513</v>
      </c>
      <c r="M103" s="770" t="str">
        <f t="shared" ca="1" si="34"/>
        <v>OK</v>
      </c>
      <c r="AD103" s="1244"/>
      <c r="AE103" s="1245"/>
      <c r="AF103" s="786"/>
      <c r="AG103" s="787"/>
      <c r="AH103" s="740">
        <f t="shared" si="39"/>
        <v>1637553</v>
      </c>
      <c r="AI103" s="740" t="str">
        <f t="shared" si="40"/>
        <v>Kornel</v>
      </c>
      <c r="AJ103" s="740" t="str">
        <f t="shared" si="41"/>
        <v>Kern-Konyar</v>
      </c>
      <c r="AK103" s="740"/>
      <c r="AL103" s="740"/>
      <c r="AM103" s="740"/>
      <c r="AN103" s="740"/>
      <c r="AO103" s="740"/>
      <c r="AQ103" s="741">
        <f t="shared" ca="1" si="42"/>
        <v>41400</v>
      </c>
    </row>
    <row r="104" spans="1:43" ht="20.25" customHeight="1" x14ac:dyDescent="0.25">
      <c r="A104" s="1246"/>
      <c r="B104" s="1247"/>
      <c r="C104" s="20"/>
      <c r="D104" s="784"/>
      <c r="E104" s="730">
        <v>1431508</v>
      </c>
      <c r="F104" s="731" t="s">
        <v>4654</v>
      </c>
      <c r="G104" s="731" t="s">
        <v>4655</v>
      </c>
      <c r="H104" s="732">
        <v>40190</v>
      </c>
      <c r="I104" s="785" t="str">
        <f t="shared" si="35"/>
        <v>Amy Hanson</v>
      </c>
      <c r="J104" s="734" t="str">
        <f t="shared" si="36"/>
        <v>Hanson,Amy</v>
      </c>
      <c r="K104" s="735">
        <f t="shared" ca="1" si="37"/>
        <v>13</v>
      </c>
      <c r="L104" s="736" t="str">
        <f t="shared" si="38"/>
        <v>120110</v>
      </c>
      <c r="M104" s="770" t="str">
        <f t="shared" ca="1" si="34"/>
        <v>OK</v>
      </c>
      <c r="AD104" s="1244"/>
      <c r="AE104" s="1245"/>
      <c r="AF104" s="786"/>
      <c r="AG104" s="787"/>
      <c r="AH104" s="740">
        <f t="shared" si="39"/>
        <v>1431508</v>
      </c>
      <c r="AI104" s="740" t="str">
        <f t="shared" si="40"/>
        <v>Amy</v>
      </c>
      <c r="AJ104" s="740" t="str">
        <f t="shared" si="41"/>
        <v>Hanson</v>
      </c>
      <c r="AK104" s="740"/>
      <c r="AL104" s="740"/>
      <c r="AM104" s="740"/>
      <c r="AN104" s="740"/>
      <c r="AO104" s="740"/>
      <c r="AQ104" s="741">
        <f t="shared" ca="1" si="42"/>
        <v>40190</v>
      </c>
    </row>
    <row r="105" spans="1:43" ht="20.25" customHeight="1" x14ac:dyDescent="0.25">
      <c r="A105" s="1246"/>
      <c r="B105" s="1247"/>
      <c r="C105" s="20"/>
      <c r="D105" s="784"/>
      <c r="E105" s="730">
        <v>1516060</v>
      </c>
      <c r="F105" s="731" t="s">
        <v>4653</v>
      </c>
      <c r="G105" s="731" t="s">
        <v>4664</v>
      </c>
      <c r="H105" s="732">
        <v>40226</v>
      </c>
      <c r="I105" s="785" t="str">
        <f t="shared" si="35"/>
        <v>Yigit Ilhan</v>
      </c>
      <c r="J105" s="734" t="str">
        <f t="shared" si="36"/>
        <v>Ilhan,Yigit</v>
      </c>
      <c r="K105" s="735">
        <f t="shared" ca="1" si="37"/>
        <v>13</v>
      </c>
      <c r="L105" s="736" t="str">
        <f t="shared" si="38"/>
        <v>170210</v>
      </c>
      <c r="M105" s="770" t="str">
        <f t="shared" ca="1" si="34"/>
        <v>OK</v>
      </c>
      <c r="AD105" s="1244"/>
      <c r="AE105" s="1245"/>
      <c r="AF105" s="786"/>
      <c r="AG105" s="787"/>
      <c r="AH105" s="740">
        <f t="shared" si="39"/>
        <v>1516060</v>
      </c>
      <c r="AI105" s="740" t="str">
        <f t="shared" si="40"/>
        <v>Yigit</v>
      </c>
      <c r="AJ105" s="740" t="str">
        <f t="shared" si="41"/>
        <v>Ilhan</v>
      </c>
      <c r="AK105" s="740"/>
      <c r="AL105" s="740"/>
      <c r="AM105" s="740"/>
      <c r="AN105" s="740"/>
      <c r="AO105" s="740"/>
      <c r="AQ105" s="741">
        <f t="shared" ca="1" si="42"/>
        <v>40226</v>
      </c>
    </row>
    <row r="106" spans="1:43" ht="20.25" customHeight="1" x14ac:dyDescent="0.25">
      <c r="A106" s="1246"/>
      <c r="B106" s="1247"/>
      <c r="E106" s="730">
        <v>1492584</v>
      </c>
      <c r="F106" s="731" t="s">
        <v>4674</v>
      </c>
      <c r="G106" s="731" t="s">
        <v>4675</v>
      </c>
      <c r="H106" s="732">
        <v>39937</v>
      </c>
      <c r="I106" s="785" t="str">
        <f t="shared" si="35"/>
        <v>Zoe Panayi</v>
      </c>
      <c r="J106" s="734" t="str">
        <f t="shared" si="36"/>
        <v>Panayi,Zoe</v>
      </c>
      <c r="K106" s="735">
        <f t="shared" ca="1" si="37"/>
        <v>14</v>
      </c>
      <c r="L106" s="736" t="str">
        <f t="shared" si="38"/>
        <v>040509</v>
      </c>
      <c r="M106" s="770" t="str">
        <f t="shared" ca="1" si="34"/>
        <v>OK</v>
      </c>
      <c r="AD106" s="1244"/>
      <c r="AE106" s="1245"/>
      <c r="AH106" s="740">
        <f t="shared" si="39"/>
        <v>1492584</v>
      </c>
      <c r="AI106" s="740" t="str">
        <f t="shared" si="40"/>
        <v>Zoe</v>
      </c>
      <c r="AJ106" s="740" t="str">
        <f t="shared" si="41"/>
        <v>Panayi</v>
      </c>
      <c r="AK106" s="211"/>
      <c r="AL106" s="211"/>
      <c r="AM106" s="211"/>
      <c r="AN106" s="211"/>
      <c r="AO106" s="211"/>
      <c r="AQ106" s="741">
        <f t="shared" ca="1" si="42"/>
        <v>39937</v>
      </c>
    </row>
    <row r="107" spans="1:43" ht="20.25" customHeight="1" x14ac:dyDescent="0.25">
      <c r="A107" s="1246"/>
      <c r="B107" s="1247"/>
      <c r="E107" s="730">
        <v>1386464</v>
      </c>
      <c r="F107" s="731" t="s">
        <v>4679</v>
      </c>
      <c r="G107" s="731" t="s">
        <v>4680</v>
      </c>
      <c r="H107" s="732">
        <v>39973</v>
      </c>
      <c r="I107" s="785" t="str">
        <f t="shared" si="35"/>
        <v>Zalan Tornay</v>
      </c>
      <c r="J107" s="734" t="str">
        <f t="shared" si="36"/>
        <v>Tornay,Zalan</v>
      </c>
      <c r="K107" s="735">
        <f t="shared" ca="1" si="37"/>
        <v>14</v>
      </c>
      <c r="L107" s="736" t="str">
        <f t="shared" si="38"/>
        <v>090609</v>
      </c>
      <c r="M107" s="770" t="str">
        <f t="shared" ca="1" si="34"/>
        <v>OK</v>
      </c>
      <c r="AD107" s="1244"/>
      <c r="AE107" s="1245"/>
      <c r="AH107" s="740">
        <f t="shared" si="39"/>
        <v>1386464</v>
      </c>
      <c r="AI107" s="740" t="str">
        <f t="shared" si="40"/>
        <v>Zalan</v>
      </c>
      <c r="AJ107" s="740" t="str">
        <f t="shared" si="41"/>
        <v>Tornay</v>
      </c>
      <c r="AK107" s="211"/>
      <c r="AL107" s="211"/>
      <c r="AM107" s="211"/>
      <c r="AN107" s="211"/>
      <c r="AO107" s="211"/>
      <c r="AQ107" s="741">
        <f t="shared" ca="1" si="42"/>
        <v>39973</v>
      </c>
    </row>
    <row r="108" spans="1:43" ht="20.25" customHeight="1" x14ac:dyDescent="0.25">
      <c r="A108" s="1246"/>
      <c r="B108" s="1247"/>
      <c r="E108" s="730">
        <v>1405904</v>
      </c>
      <c r="F108" s="731" t="s">
        <v>4685</v>
      </c>
      <c r="G108" s="731" t="s">
        <v>4686</v>
      </c>
      <c r="H108" s="732">
        <v>39227</v>
      </c>
      <c r="I108" s="785" t="str">
        <f t="shared" si="35"/>
        <v>Maja Grzybek</v>
      </c>
      <c r="J108" s="734" t="str">
        <f t="shared" si="36"/>
        <v>Grzybek,Maja</v>
      </c>
      <c r="K108" s="735">
        <f t="shared" ca="1" si="37"/>
        <v>16</v>
      </c>
      <c r="L108" s="736" t="str">
        <f t="shared" si="38"/>
        <v>250507</v>
      </c>
      <c r="M108" s="770" t="str">
        <f t="shared" ca="1" si="34"/>
        <v>OK</v>
      </c>
      <c r="AD108" s="1244"/>
      <c r="AE108" s="1245"/>
      <c r="AH108" s="740">
        <f t="shared" si="39"/>
        <v>1405904</v>
      </c>
      <c r="AI108" s="740" t="str">
        <f t="shared" si="40"/>
        <v>Maja</v>
      </c>
      <c r="AJ108" s="740" t="str">
        <f t="shared" si="41"/>
        <v>Grzybek</v>
      </c>
      <c r="AK108" s="211"/>
      <c r="AL108" s="211"/>
      <c r="AM108" s="211"/>
      <c r="AN108" s="211"/>
      <c r="AO108" s="211"/>
      <c r="AQ108" s="741">
        <f t="shared" ca="1" si="42"/>
        <v>39227</v>
      </c>
    </row>
    <row r="109" spans="1:43" ht="20.25" customHeight="1" x14ac:dyDescent="0.25">
      <c r="A109" s="1246"/>
      <c r="B109" s="1247"/>
      <c r="E109" s="730">
        <v>1374064</v>
      </c>
      <c r="F109" s="731" t="s">
        <v>4688</v>
      </c>
      <c r="G109" s="731" t="s">
        <v>4689</v>
      </c>
      <c r="H109" s="732">
        <v>39372</v>
      </c>
      <c r="I109" s="785" t="str">
        <f t="shared" si="35"/>
        <v>James Smeaton</v>
      </c>
      <c r="J109" s="734" t="str">
        <f t="shared" si="36"/>
        <v>Smeaton,James</v>
      </c>
      <c r="K109" s="735">
        <f t="shared" ca="1" si="37"/>
        <v>16</v>
      </c>
      <c r="L109" s="736" t="str">
        <f t="shared" si="38"/>
        <v>171007</v>
      </c>
      <c r="M109" s="770" t="str">
        <f t="shared" ca="1" si="34"/>
        <v>OK</v>
      </c>
      <c r="AD109" s="1244"/>
      <c r="AE109" s="1245"/>
      <c r="AH109" s="740">
        <f t="shared" si="39"/>
        <v>1374064</v>
      </c>
      <c r="AI109" s="740" t="str">
        <f t="shared" si="40"/>
        <v>James</v>
      </c>
      <c r="AJ109" s="740" t="str">
        <f t="shared" si="41"/>
        <v>Smeaton</v>
      </c>
      <c r="AK109" s="211"/>
      <c r="AL109" s="211"/>
      <c r="AM109" s="211"/>
      <c r="AN109" s="211"/>
      <c r="AO109" s="211"/>
      <c r="AQ109" s="741">
        <f t="shared" ca="1" si="42"/>
        <v>39372</v>
      </c>
    </row>
    <row r="110" spans="1:43" s="134" customFormat="1" ht="9" customHeight="1" x14ac:dyDescent="0.25">
      <c r="E110" s="788"/>
      <c r="F110" s="789"/>
      <c r="G110" s="789"/>
      <c r="H110" s="790"/>
      <c r="AD110" s="791"/>
      <c r="AE110" s="792"/>
    </row>
    <row r="111" spans="1:43" s="134" customFormat="1" ht="9" customHeight="1" x14ac:dyDescent="0.25">
      <c r="E111" s="788"/>
      <c r="F111" s="789"/>
      <c r="G111" s="789"/>
      <c r="H111" s="790"/>
      <c r="AD111" s="791"/>
      <c r="AE111" s="792"/>
    </row>
    <row r="112" spans="1:43" s="134" customFormat="1" ht="9" customHeight="1" x14ac:dyDescent="0.25">
      <c r="E112" s="788"/>
      <c r="F112" s="789"/>
      <c r="G112" s="789"/>
      <c r="H112" s="790"/>
      <c r="AD112" s="791"/>
      <c r="AE112" s="792"/>
    </row>
    <row r="113" spans="5:31" s="134" customFormat="1" ht="9" customHeight="1" x14ac:dyDescent="0.25">
      <c r="E113" s="788"/>
      <c r="F113" s="789"/>
      <c r="G113" s="789"/>
      <c r="H113" s="790"/>
      <c r="AD113" s="791"/>
      <c r="AE113" s="792"/>
    </row>
    <row r="114" spans="5:31" s="134" customFormat="1" ht="9" customHeight="1" x14ac:dyDescent="0.25">
      <c r="E114" s="788"/>
      <c r="F114" s="789"/>
      <c r="G114" s="789"/>
      <c r="H114" s="790"/>
      <c r="AD114" s="791"/>
      <c r="AE114" s="792"/>
    </row>
    <row r="115" spans="5:31" s="134" customFormat="1" ht="9" customHeight="1" x14ac:dyDescent="0.25">
      <c r="E115" s="788"/>
      <c r="F115" s="789"/>
      <c r="G115" s="789"/>
      <c r="H115" s="790"/>
      <c r="AD115" s="791"/>
      <c r="AE115" s="792"/>
    </row>
    <row r="116" spans="5:31" s="134" customFormat="1" ht="9" customHeight="1" x14ac:dyDescent="0.25">
      <c r="E116" s="788"/>
      <c r="F116" s="789"/>
      <c r="G116" s="789"/>
      <c r="H116" s="790"/>
      <c r="AD116" s="791"/>
      <c r="AE116" s="792"/>
    </row>
    <row r="117" spans="5:31" s="134" customFormat="1" ht="9" customHeight="1" x14ac:dyDescent="0.25">
      <c r="E117" s="788"/>
      <c r="F117" s="789"/>
      <c r="G117" s="789"/>
      <c r="H117" s="790"/>
      <c r="AD117" s="791"/>
      <c r="AE117" s="792"/>
    </row>
    <row r="118" spans="5:31" s="134" customFormat="1" ht="9" customHeight="1" x14ac:dyDescent="0.25">
      <c r="E118" s="788"/>
      <c r="F118" s="789"/>
      <c r="G118" s="789"/>
      <c r="H118" s="790"/>
      <c r="AD118" s="791"/>
      <c r="AE118" s="792"/>
    </row>
    <row r="119" spans="5:31" s="134" customFormat="1" ht="9" customHeight="1" x14ac:dyDescent="0.25">
      <c r="E119" s="788"/>
      <c r="F119" s="789"/>
      <c r="G119" s="789"/>
      <c r="H119" s="790"/>
      <c r="AD119" s="791"/>
      <c r="AE119" s="792"/>
    </row>
    <row r="120" spans="5:31" s="134" customFormat="1" ht="9" customHeight="1" x14ac:dyDescent="0.25">
      <c r="E120" s="788"/>
      <c r="F120" s="789"/>
      <c r="G120" s="789"/>
      <c r="H120" s="790"/>
      <c r="AD120" s="791"/>
      <c r="AE120" s="792"/>
    </row>
    <row r="121" spans="5:31" s="134" customFormat="1" ht="9" customHeight="1" x14ac:dyDescent="0.25">
      <c r="E121" s="788"/>
      <c r="F121" s="789"/>
      <c r="G121" s="789"/>
      <c r="H121" s="790"/>
      <c r="AD121" s="791"/>
      <c r="AE121" s="792"/>
    </row>
    <row r="122" spans="5:31" s="134" customFormat="1" ht="9" customHeight="1" x14ac:dyDescent="0.25">
      <c r="E122" s="788"/>
      <c r="F122" s="789"/>
      <c r="G122" s="789"/>
      <c r="H122" s="790"/>
      <c r="AD122" s="791"/>
      <c r="AE122" s="792"/>
    </row>
    <row r="123" spans="5:31" s="134" customFormat="1" ht="9" customHeight="1" x14ac:dyDescent="0.25">
      <c r="E123" s="788"/>
      <c r="F123" s="789"/>
      <c r="G123" s="789"/>
      <c r="H123" s="790"/>
      <c r="AD123" s="791"/>
      <c r="AE123" s="792"/>
    </row>
    <row r="124" spans="5:31" s="134" customFormat="1" ht="9" customHeight="1" x14ac:dyDescent="0.25">
      <c r="E124" s="788"/>
      <c r="F124" s="789"/>
      <c r="G124" s="789"/>
      <c r="H124" s="790"/>
      <c r="AD124" s="791"/>
      <c r="AE124" s="792"/>
    </row>
    <row r="125" spans="5:31" s="134" customFormat="1" ht="9" customHeight="1" x14ac:dyDescent="0.25">
      <c r="E125" s="788"/>
      <c r="F125" s="789"/>
      <c r="G125" s="789"/>
      <c r="H125" s="790"/>
      <c r="AD125" s="791"/>
      <c r="AE125" s="792"/>
    </row>
    <row r="126" spans="5:31" s="134" customFormat="1" ht="9" customHeight="1" x14ac:dyDescent="0.25">
      <c r="E126" s="788"/>
      <c r="F126" s="789"/>
      <c r="G126" s="789"/>
      <c r="H126" s="790"/>
      <c r="AD126" s="791"/>
      <c r="AE126" s="792"/>
    </row>
    <row r="127" spans="5:31" s="134" customFormat="1" ht="9" customHeight="1" x14ac:dyDescent="0.25">
      <c r="E127" s="788"/>
      <c r="F127" s="789"/>
      <c r="G127" s="789"/>
      <c r="H127" s="790"/>
      <c r="AD127" s="791"/>
      <c r="AE127" s="792"/>
    </row>
    <row r="128" spans="5:31" s="134" customFormat="1" ht="9" customHeight="1" x14ac:dyDescent="0.25">
      <c r="E128" s="788"/>
      <c r="F128" s="789"/>
      <c r="G128" s="789"/>
      <c r="H128" s="790"/>
      <c r="AD128" s="791"/>
      <c r="AE128" s="792"/>
    </row>
    <row r="129" spans="5:31" s="134" customFormat="1" ht="9" customHeight="1" x14ac:dyDescent="0.25">
      <c r="E129" s="788"/>
      <c r="F129" s="789"/>
      <c r="G129" s="789"/>
      <c r="H129" s="790"/>
      <c r="AD129" s="791"/>
      <c r="AE129" s="792"/>
    </row>
    <row r="130" spans="5:31" s="134" customFormat="1" ht="9" customHeight="1" x14ac:dyDescent="0.25">
      <c r="E130" s="788"/>
      <c r="F130" s="789"/>
      <c r="G130" s="789"/>
      <c r="H130" s="790"/>
      <c r="AD130" s="791"/>
      <c r="AE130" s="792"/>
    </row>
    <row r="131" spans="5:31" s="134" customFormat="1" ht="9" customHeight="1" x14ac:dyDescent="0.25">
      <c r="E131" s="788"/>
      <c r="F131" s="789"/>
      <c r="G131" s="789"/>
      <c r="H131" s="790"/>
      <c r="AD131" s="791"/>
      <c r="AE131" s="792"/>
    </row>
    <row r="132" spans="5:31" s="134" customFormat="1" ht="9" customHeight="1" x14ac:dyDescent="0.25">
      <c r="E132" s="788"/>
      <c r="F132" s="789"/>
      <c r="G132" s="789"/>
      <c r="H132" s="790"/>
      <c r="AD132" s="791"/>
      <c r="AE132" s="792"/>
    </row>
    <row r="133" spans="5:31" s="134" customFormat="1" ht="9" customHeight="1" x14ac:dyDescent="0.25">
      <c r="E133" s="788"/>
      <c r="F133" s="789"/>
      <c r="G133" s="789"/>
      <c r="H133" s="790"/>
      <c r="AD133" s="791"/>
      <c r="AE133" s="792"/>
    </row>
    <row r="134" spans="5:31" s="134" customFormat="1" ht="9" customHeight="1" x14ac:dyDescent="0.25">
      <c r="E134" s="788"/>
      <c r="F134" s="789"/>
      <c r="G134" s="789"/>
      <c r="H134" s="790"/>
      <c r="AD134" s="791"/>
      <c r="AE134" s="792"/>
    </row>
    <row r="135" spans="5:31" s="134" customFormat="1" ht="9" customHeight="1" x14ac:dyDescent="0.25">
      <c r="E135" s="788"/>
      <c r="F135" s="789"/>
      <c r="G135" s="789"/>
      <c r="H135" s="790"/>
      <c r="AD135" s="791"/>
      <c r="AE135" s="792"/>
    </row>
    <row r="136" spans="5:31" s="134" customFormat="1" ht="9" customHeight="1" x14ac:dyDescent="0.25">
      <c r="E136" s="788"/>
      <c r="F136" s="789"/>
      <c r="G136" s="789"/>
      <c r="H136" s="790"/>
      <c r="AD136" s="791"/>
      <c r="AE136" s="792"/>
    </row>
    <row r="137" spans="5:31" s="134" customFormat="1" ht="9" customHeight="1" x14ac:dyDescent="0.25">
      <c r="E137" s="788"/>
      <c r="F137" s="789"/>
      <c r="G137" s="789"/>
      <c r="H137" s="790"/>
      <c r="AD137" s="791"/>
      <c r="AE137" s="792"/>
    </row>
    <row r="138" spans="5:31" s="134" customFormat="1" ht="9" customHeight="1" x14ac:dyDescent="0.25">
      <c r="E138" s="788"/>
      <c r="F138" s="789"/>
      <c r="G138" s="789"/>
      <c r="H138" s="790"/>
      <c r="AD138" s="791"/>
      <c r="AE138" s="792"/>
    </row>
    <row r="139" spans="5:31" s="134" customFormat="1" ht="9" customHeight="1" x14ac:dyDescent="0.25">
      <c r="E139" s="788"/>
      <c r="F139" s="789"/>
      <c r="G139" s="789"/>
      <c r="H139" s="790"/>
      <c r="AD139" s="791"/>
      <c r="AE139" s="792"/>
    </row>
    <row r="140" spans="5:31" s="134" customFormat="1" ht="9" customHeight="1" x14ac:dyDescent="0.25">
      <c r="E140" s="788"/>
      <c r="F140" s="789"/>
      <c r="G140" s="789"/>
      <c r="H140" s="790"/>
      <c r="AD140" s="791"/>
      <c r="AE140" s="792"/>
    </row>
    <row r="141" spans="5:31" s="134" customFormat="1" ht="9" customHeight="1" x14ac:dyDescent="0.25">
      <c r="E141" s="789"/>
      <c r="F141" s="789"/>
      <c r="G141" s="789"/>
      <c r="H141" s="790"/>
      <c r="AD141" s="791"/>
      <c r="AE141" s="792"/>
    </row>
    <row r="142" spans="5:31" s="134" customFormat="1" ht="9" customHeight="1" x14ac:dyDescent="0.25">
      <c r="E142" s="789"/>
      <c r="F142" s="789"/>
      <c r="G142" s="789"/>
      <c r="H142" s="790"/>
      <c r="AD142" s="791"/>
      <c r="AE142" s="792"/>
    </row>
    <row r="143" spans="5:31" s="134" customFormat="1" ht="9" customHeight="1" x14ac:dyDescent="0.25">
      <c r="E143" s="789"/>
      <c r="F143" s="789"/>
      <c r="G143" s="789"/>
      <c r="H143" s="790"/>
      <c r="AD143" s="791"/>
      <c r="AE143" s="792"/>
    </row>
    <row r="144" spans="5:31" s="134" customFormat="1" ht="9" customHeight="1" x14ac:dyDescent="0.25">
      <c r="E144" s="789"/>
      <c r="F144" s="789"/>
      <c r="G144" s="789"/>
      <c r="H144" s="790"/>
      <c r="AD144" s="791"/>
      <c r="AE144" s="792"/>
    </row>
    <row r="145" spans="5:31" s="134" customFormat="1" ht="9" customHeight="1" x14ac:dyDescent="0.25">
      <c r="E145" s="789"/>
      <c r="F145" s="789"/>
      <c r="G145" s="789"/>
      <c r="H145" s="790"/>
      <c r="AD145" s="791"/>
      <c r="AE145" s="792"/>
    </row>
    <row r="146" spans="5:31" s="134" customFormat="1" ht="9" customHeight="1" x14ac:dyDescent="0.25">
      <c r="E146" s="789"/>
      <c r="F146" s="789"/>
      <c r="G146" s="789"/>
      <c r="H146" s="790"/>
      <c r="AD146" s="791"/>
      <c r="AE146" s="792"/>
    </row>
    <row r="147" spans="5:31" s="134" customFormat="1" ht="9" customHeight="1" x14ac:dyDescent="0.25">
      <c r="E147" s="789"/>
      <c r="F147" s="789"/>
      <c r="G147" s="789"/>
      <c r="H147" s="790"/>
      <c r="AD147" s="791"/>
      <c r="AE147" s="792"/>
    </row>
    <row r="148" spans="5:31" s="134" customFormat="1" ht="9" customHeight="1" x14ac:dyDescent="0.25">
      <c r="E148" s="789"/>
      <c r="F148" s="789"/>
      <c r="G148" s="789"/>
      <c r="H148" s="790"/>
      <c r="AD148" s="791"/>
      <c r="AE148" s="792"/>
    </row>
    <row r="149" spans="5:31" s="134" customFormat="1" ht="9" customHeight="1" x14ac:dyDescent="0.25">
      <c r="E149" s="789"/>
      <c r="F149" s="789"/>
      <c r="G149" s="789"/>
      <c r="H149" s="790"/>
      <c r="AD149" s="791"/>
      <c r="AE149" s="792"/>
    </row>
    <row r="150" spans="5:31" s="134" customFormat="1" ht="9" customHeight="1" x14ac:dyDescent="0.25">
      <c r="E150" s="789"/>
      <c r="F150" s="789"/>
      <c r="G150" s="789"/>
      <c r="H150" s="790"/>
      <c r="AD150" s="791"/>
      <c r="AE150" s="792"/>
    </row>
    <row r="151" spans="5:31" s="134" customFormat="1" ht="9" customHeight="1" x14ac:dyDescent="0.25">
      <c r="E151" s="789"/>
      <c r="F151" s="789"/>
      <c r="G151" s="789"/>
      <c r="H151" s="790"/>
      <c r="AD151" s="791"/>
      <c r="AE151" s="792"/>
    </row>
    <row r="152" spans="5:31" s="134" customFormat="1" ht="9" customHeight="1" x14ac:dyDescent="0.25">
      <c r="E152" s="789"/>
      <c r="F152" s="789"/>
      <c r="G152" s="789"/>
      <c r="H152" s="790"/>
      <c r="AD152" s="791"/>
      <c r="AE152" s="792"/>
    </row>
    <row r="153" spans="5:31" s="134" customFormat="1" ht="9" customHeight="1" x14ac:dyDescent="0.25">
      <c r="E153" s="789"/>
      <c r="F153" s="789"/>
      <c r="G153" s="789"/>
      <c r="H153" s="790"/>
      <c r="AD153" s="791"/>
      <c r="AE153" s="792"/>
    </row>
    <row r="154" spans="5:31" s="134" customFormat="1" ht="9" customHeight="1" x14ac:dyDescent="0.25">
      <c r="E154" s="789"/>
      <c r="F154" s="789"/>
      <c r="G154" s="789"/>
      <c r="H154" s="790"/>
      <c r="AD154" s="791"/>
      <c r="AE154" s="792"/>
    </row>
    <row r="155" spans="5:31" s="134" customFormat="1" ht="9" customHeight="1" x14ac:dyDescent="0.25">
      <c r="E155" s="789"/>
      <c r="F155" s="789"/>
      <c r="G155" s="789"/>
      <c r="H155" s="790"/>
      <c r="AD155" s="791"/>
      <c r="AE155" s="792"/>
    </row>
    <row r="156" spans="5:31" s="134" customFormat="1" ht="9" customHeight="1" x14ac:dyDescent="0.25">
      <c r="E156" s="789"/>
      <c r="F156" s="789"/>
      <c r="G156" s="789"/>
      <c r="H156" s="790"/>
      <c r="AD156" s="791"/>
      <c r="AE156" s="792"/>
    </row>
    <row r="157" spans="5:31" s="134" customFormat="1" ht="9" customHeight="1" x14ac:dyDescent="0.25">
      <c r="E157" s="789"/>
      <c r="F157" s="789"/>
      <c r="G157" s="789"/>
      <c r="H157" s="790"/>
      <c r="AD157" s="791"/>
      <c r="AE157" s="792"/>
    </row>
    <row r="158" spans="5:31" s="134" customFormat="1" ht="9" customHeight="1" x14ac:dyDescent="0.25">
      <c r="E158" s="789"/>
      <c r="F158" s="789"/>
      <c r="G158" s="789"/>
      <c r="H158" s="790"/>
      <c r="AD158" s="791"/>
      <c r="AE158" s="792"/>
    </row>
    <row r="159" spans="5:31" s="134" customFormat="1" ht="9" customHeight="1" x14ac:dyDescent="0.25">
      <c r="E159" s="789"/>
      <c r="F159" s="789"/>
      <c r="G159" s="789"/>
      <c r="H159" s="790"/>
      <c r="AD159" s="791"/>
      <c r="AE159" s="792"/>
    </row>
    <row r="160" spans="5:31" s="134" customFormat="1" ht="9" customHeight="1" x14ac:dyDescent="0.25">
      <c r="E160" s="789"/>
      <c r="F160" s="789"/>
      <c r="G160" s="789"/>
      <c r="H160" s="790"/>
      <c r="AD160" s="791"/>
      <c r="AE160" s="792"/>
    </row>
    <row r="161" spans="5:31" s="134" customFormat="1" ht="9" customHeight="1" x14ac:dyDescent="0.25">
      <c r="E161" s="789"/>
      <c r="F161" s="789"/>
      <c r="G161" s="789"/>
      <c r="H161" s="790"/>
      <c r="AD161" s="791"/>
      <c r="AE161" s="792"/>
    </row>
    <row r="162" spans="5:31" s="134" customFormat="1" ht="9" customHeight="1" x14ac:dyDescent="0.25">
      <c r="E162" s="789"/>
      <c r="F162" s="789"/>
      <c r="G162" s="789"/>
      <c r="H162" s="790"/>
      <c r="AD162" s="791"/>
      <c r="AE162" s="792"/>
    </row>
    <row r="163" spans="5:31" s="134" customFormat="1" ht="9" customHeight="1" x14ac:dyDescent="0.25">
      <c r="E163" s="789"/>
      <c r="F163" s="789"/>
      <c r="G163" s="789"/>
      <c r="H163" s="790"/>
      <c r="AD163" s="791"/>
      <c r="AE163" s="792"/>
    </row>
    <row r="164" spans="5:31" s="134" customFormat="1" ht="9" customHeight="1" x14ac:dyDescent="0.25">
      <c r="E164" s="789"/>
      <c r="F164" s="789"/>
      <c r="G164" s="789"/>
      <c r="H164" s="790"/>
      <c r="AD164" s="791"/>
      <c r="AE164" s="792"/>
    </row>
    <row r="165" spans="5:31" s="134" customFormat="1" ht="9" customHeight="1" x14ac:dyDescent="0.25">
      <c r="E165" s="789"/>
      <c r="F165" s="789"/>
      <c r="G165" s="789"/>
      <c r="H165" s="790"/>
      <c r="AD165" s="791"/>
      <c r="AE165" s="792"/>
    </row>
    <row r="166" spans="5:31" s="134" customFormat="1" ht="9" customHeight="1" x14ac:dyDescent="0.25">
      <c r="E166" s="789"/>
      <c r="F166" s="789"/>
      <c r="G166" s="789"/>
      <c r="H166" s="790"/>
      <c r="AD166" s="791"/>
      <c r="AE166" s="792"/>
    </row>
    <row r="167" spans="5:31" s="134" customFormat="1" ht="9" customHeight="1" x14ac:dyDescent="0.25">
      <c r="E167" s="789"/>
      <c r="F167" s="789"/>
      <c r="G167" s="789"/>
      <c r="H167" s="790"/>
      <c r="AD167" s="791"/>
      <c r="AE167" s="792"/>
    </row>
    <row r="168" spans="5:31" s="134" customFormat="1" ht="9" customHeight="1" x14ac:dyDescent="0.25">
      <c r="E168" s="789"/>
      <c r="F168" s="789"/>
      <c r="G168" s="789"/>
      <c r="H168" s="790"/>
      <c r="AD168" s="791"/>
      <c r="AE168" s="792"/>
    </row>
    <row r="169" spans="5:31" s="134" customFormat="1" ht="9" customHeight="1" x14ac:dyDescent="0.25">
      <c r="E169" s="789"/>
      <c r="F169" s="789"/>
      <c r="G169" s="789"/>
      <c r="H169" s="790"/>
      <c r="AD169" s="791"/>
      <c r="AE169" s="792"/>
    </row>
    <row r="170" spans="5:31" s="134" customFormat="1" ht="9" customHeight="1" x14ac:dyDescent="0.25">
      <c r="E170" s="789"/>
      <c r="F170" s="789"/>
      <c r="G170" s="789"/>
      <c r="H170" s="790"/>
      <c r="AD170" s="791"/>
      <c r="AE170" s="792"/>
    </row>
    <row r="171" spans="5:31" s="134" customFormat="1" ht="9" customHeight="1" x14ac:dyDescent="0.25">
      <c r="E171" s="789"/>
      <c r="F171" s="789"/>
      <c r="G171" s="789"/>
      <c r="H171" s="790"/>
      <c r="AD171" s="791"/>
      <c r="AE171" s="792"/>
    </row>
    <row r="172" spans="5:31" s="134" customFormat="1" ht="9" customHeight="1" x14ac:dyDescent="0.25">
      <c r="E172" s="789"/>
      <c r="F172" s="789"/>
      <c r="G172" s="789"/>
      <c r="H172" s="790"/>
      <c r="AD172" s="791"/>
      <c r="AE172" s="792"/>
    </row>
    <row r="173" spans="5:31" s="134" customFormat="1" ht="9" customHeight="1" x14ac:dyDescent="0.25">
      <c r="E173" s="789"/>
      <c r="F173" s="789"/>
      <c r="G173" s="789"/>
      <c r="H173" s="790"/>
      <c r="AD173" s="791"/>
      <c r="AE173" s="792"/>
    </row>
    <row r="174" spans="5:31" s="134" customFormat="1" ht="9" customHeight="1" x14ac:dyDescent="0.25">
      <c r="E174" s="789"/>
      <c r="F174" s="789"/>
      <c r="G174" s="789"/>
      <c r="H174" s="790"/>
      <c r="AD174" s="791"/>
      <c r="AE174" s="792"/>
    </row>
    <row r="175" spans="5:31" s="134" customFormat="1" ht="9" customHeight="1" x14ac:dyDescent="0.25">
      <c r="E175" s="789"/>
      <c r="F175" s="789"/>
      <c r="G175" s="789"/>
      <c r="H175" s="790"/>
      <c r="AD175" s="791"/>
      <c r="AE175" s="792"/>
    </row>
    <row r="176" spans="5:31" s="134" customFormat="1" ht="9" customHeight="1" x14ac:dyDescent="0.25">
      <c r="E176" s="789"/>
      <c r="F176" s="789"/>
      <c r="G176" s="789"/>
      <c r="H176" s="790"/>
      <c r="AD176" s="791"/>
      <c r="AE176" s="792"/>
    </row>
    <row r="177" spans="5:31" s="134" customFormat="1" ht="9" customHeight="1" x14ac:dyDescent="0.25">
      <c r="E177" s="789"/>
      <c r="F177" s="789"/>
      <c r="G177" s="789"/>
      <c r="H177" s="790"/>
      <c r="AD177" s="791"/>
      <c r="AE177" s="792"/>
    </row>
    <row r="178" spans="5:31" s="134" customFormat="1" ht="9" customHeight="1" x14ac:dyDescent="0.25">
      <c r="E178" s="789"/>
      <c r="F178" s="789"/>
      <c r="G178" s="789"/>
      <c r="H178" s="790"/>
      <c r="AD178" s="791"/>
      <c r="AE178" s="792"/>
    </row>
    <row r="179" spans="5:31" s="134" customFormat="1" ht="9" customHeight="1" x14ac:dyDescent="0.25">
      <c r="E179" s="789"/>
      <c r="F179" s="789"/>
      <c r="G179" s="789"/>
      <c r="H179" s="790"/>
      <c r="AD179" s="791"/>
      <c r="AE179" s="792"/>
    </row>
    <row r="180" spans="5:31" s="134" customFormat="1" ht="9" customHeight="1" x14ac:dyDescent="0.25">
      <c r="E180" s="789"/>
      <c r="F180" s="789"/>
      <c r="G180" s="789"/>
      <c r="H180" s="790"/>
      <c r="AD180" s="791"/>
      <c r="AE180" s="792"/>
    </row>
    <row r="181" spans="5:31" s="134" customFormat="1" ht="9" customHeight="1" x14ac:dyDescent="0.25">
      <c r="E181" s="789"/>
      <c r="F181" s="789"/>
      <c r="G181" s="789"/>
      <c r="H181" s="790"/>
      <c r="AD181" s="791"/>
      <c r="AE181" s="792"/>
    </row>
    <row r="182" spans="5:31" s="134" customFormat="1" ht="9" customHeight="1" x14ac:dyDescent="0.25">
      <c r="E182" s="789"/>
      <c r="F182" s="789"/>
      <c r="G182" s="789"/>
      <c r="H182" s="790"/>
      <c r="AD182" s="791"/>
      <c r="AE182" s="792"/>
    </row>
    <row r="183" spans="5:31" s="134" customFormat="1" ht="9" customHeight="1" x14ac:dyDescent="0.25">
      <c r="E183" s="789"/>
      <c r="F183" s="789"/>
      <c r="G183" s="789"/>
      <c r="H183" s="790"/>
      <c r="AD183" s="791"/>
      <c r="AE183" s="792"/>
    </row>
    <row r="184" spans="5:31" s="134" customFormat="1" ht="9" customHeight="1" x14ac:dyDescent="0.25">
      <c r="E184" s="789"/>
      <c r="F184" s="789"/>
      <c r="G184" s="789"/>
      <c r="H184" s="790"/>
      <c r="AD184" s="791"/>
      <c r="AE184" s="792"/>
    </row>
    <row r="185" spans="5:31" s="134" customFormat="1" ht="9" customHeight="1" x14ac:dyDescent="0.25">
      <c r="E185" s="789"/>
      <c r="F185" s="789"/>
      <c r="G185" s="789"/>
      <c r="H185" s="790"/>
      <c r="AD185" s="791"/>
      <c r="AE185" s="792"/>
    </row>
    <row r="186" spans="5:31" s="134" customFormat="1" ht="9" customHeight="1" x14ac:dyDescent="0.25">
      <c r="E186" s="789"/>
      <c r="F186" s="789"/>
      <c r="G186" s="789"/>
      <c r="H186" s="790"/>
      <c r="AD186" s="791"/>
      <c r="AE186" s="792"/>
    </row>
    <row r="187" spans="5:31" s="134" customFormat="1" ht="9" customHeight="1" x14ac:dyDescent="0.25">
      <c r="E187" s="789"/>
      <c r="F187" s="789"/>
      <c r="G187" s="789"/>
      <c r="H187" s="790"/>
      <c r="AD187" s="791"/>
      <c r="AE187" s="792"/>
    </row>
    <row r="188" spans="5:31" s="134" customFormat="1" ht="9" customHeight="1" x14ac:dyDescent="0.25">
      <c r="E188" s="789"/>
      <c r="F188" s="789"/>
      <c r="G188" s="789"/>
      <c r="H188" s="790"/>
      <c r="AD188" s="791"/>
      <c r="AE188" s="792"/>
    </row>
    <row r="189" spans="5:31" s="134" customFormat="1" ht="9" customHeight="1" x14ac:dyDescent="0.25">
      <c r="E189" s="789"/>
      <c r="F189" s="789"/>
      <c r="G189" s="789"/>
      <c r="H189" s="790"/>
      <c r="AD189" s="791"/>
      <c r="AE189" s="792"/>
    </row>
    <row r="190" spans="5:31" s="134" customFormat="1" ht="9" customHeight="1" x14ac:dyDescent="0.25">
      <c r="E190" s="789"/>
      <c r="F190" s="789"/>
      <c r="G190" s="789"/>
      <c r="H190" s="790"/>
      <c r="AD190" s="791"/>
      <c r="AE190" s="792"/>
    </row>
    <row r="191" spans="5:31" s="134" customFormat="1" ht="9" customHeight="1" x14ac:dyDescent="0.25">
      <c r="E191" s="789"/>
      <c r="F191" s="789"/>
      <c r="G191" s="789"/>
      <c r="H191" s="790"/>
      <c r="AD191" s="791"/>
      <c r="AE191" s="792"/>
    </row>
    <row r="192" spans="5:31" s="134" customFormat="1" ht="9" customHeight="1" x14ac:dyDescent="0.25">
      <c r="E192" s="789"/>
      <c r="F192" s="789"/>
      <c r="G192" s="789"/>
      <c r="H192" s="790"/>
      <c r="AD192" s="791"/>
      <c r="AE192" s="792"/>
    </row>
    <row r="193" spans="5:31" s="134" customFormat="1" ht="9" customHeight="1" x14ac:dyDescent="0.25">
      <c r="E193" s="789"/>
      <c r="F193" s="789"/>
      <c r="G193" s="789"/>
      <c r="H193" s="790"/>
      <c r="AD193" s="791"/>
      <c r="AE193" s="792"/>
    </row>
    <row r="194" spans="5:31" s="134" customFormat="1" ht="9" customHeight="1" x14ac:dyDescent="0.25">
      <c r="E194" s="789"/>
      <c r="F194" s="789"/>
      <c r="G194" s="789"/>
      <c r="H194" s="790"/>
      <c r="AD194" s="791"/>
      <c r="AE194" s="792"/>
    </row>
    <row r="195" spans="5:31" s="134" customFormat="1" ht="9" customHeight="1" x14ac:dyDescent="0.25">
      <c r="E195" s="789"/>
      <c r="F195" s="789"/>
      <c r="G195" s="789"/>
      <c r="H195" s="790"/>
      <c r="AD195" s="791"/>
      <c r="AE195" s="792"/>
    </row>
    <row r="196" spans="5:31" s="134" customFormat="1" ht="9" customHeight="1" x14ac:dyDescent="0.25">
      <c r="E196" s="789"/>
      <c r="F196" s="789"/>
      <c r="G196" s="789"/>
      <c r="H196" s="790"/>
      <c r="AD196" s="791"/>
      <c r="AE196" s="792"/>
    </row>
    <row r="197" spans="5:31" s="134" customFormat="1" ht="9" customHeight="1" x14ac:dyDescent="0.25">
      <c r="E197" s="789"/>
      <c r="F197" s="789"/>
      <c r="G197" s="789"/>
      <c r="H197" s="790"/>
      <c r="AD197" s="791"/>
      <c r="AE197" s="792"/>
    </row>
    <row r="198" spans="5:31" s="134" customFormat="1" ht="9" customHeight="1" x14ac:dyDescent="0.25">
      <c r="E198" s="789"/>
      <c r="F198" s="789"/>
      <c r="G198" s="789"/>
      <c r="H198" s="790"/>
      <c r="AD198" s="791"/>
      <c r="AE198" s="792"/>
    </row>
    <row r="199" spans="5:31" s="134" customFormat="1" ht="9" customHeight="1" x14ac:dyDescent="0.25">
      <c r="E199" s="789"/>
      <c r="F199" s="789"/>
      <c r="G199" s="789"/>
      <c r="H199" s="790"/>
      <c r="AD199" s="791"/>
      <c r="AE199" s="792"/>
    </row>
    <row r="200" spans="5:31" s="134" customFormat="1" ht="3" customHeight="1" x14ac:dyDescent="0.25">
      <c r="E200" s="789"/>
      <c r="F200" s="789"/>
      <c r="G200" s="789"/>
      <c r="H200" s="790"/>
      <c r="AD200" s="791"/>
      <c r="AE200" s="792"/>
    </row>
    <row r="201" spans="5:31" s="134" customFormat="1" ht="3" customHeight="1" x14ac:dyDescent="0.25">
      <c r="E201" s="789"/>
      <c r="F201" s="789"/>
      <c r="G201" s="789"/>
      <c r="H201" s="790"/>
      <c r="AD201" s="791"/>
      <c r="AE201" s="792"/>
    </row>
    <row r="202" spans="5:31" s="134" customFormat="1" ht="3" customHeight="1" x14ac:dyDescent="0.25">
      <c r="E202" s="789"/>
      <c r="F202" s="789"/>
      <c r="G202" s="789"/>
      <c r="H202" s="790"/>
      <c r="AD202" s="791"/>
      <c r="AE202" s="792"/>
    </row>
    <row r="203" spans="5:31" s="134" customFormat="1" ht="3" customHeight="1" x14ac:dyDescent="0.25">
      <c r="E203" s="789"/>
      <c r="F203" s="789"/>
      <c r="G203" s="789"/>
      <c r="H203" s="790"/>
      <c r="AD203" s="791"/>
      <c r="AE203" s="792"/>
    </row>
    <row r="204" spans="5:31" s="134" customFormat="1" ht="3" customHeight="1" x14ac:dyDescent="0.25">
      <c r="E204" s="789"/>
      <c r="F204" s="789"/>
      <c r="G204" s="789"/>
      <c r="H204" s="790"/>
      <c r="AD204" s="791"/>
      <c r="AE204" s="792"/>
    </row>
    <row r="205" spans="5:31" s="134" customFormat="1" ht="3" customHeight="1" x14ac:dyDescent="0.25">
      <c r="E205" s="789"/>
      <c r="F205" s="789"/>
      <c r="G205" s="789"/>
      <c r="H205" s="790"/>
      <c r="AD205" s="791"/>
      <c r="AE205" s="792"/>
    </row>
    <row r="206" spans="5:31" s="134" customFormat="1" ht="3" customHeight="1" x14ac:dyDescent="0.25">
      <c r="E206" s="789"/>
      <c r="F206" s="789"/>
      <c r="G206" s="789"/>
      <c r="H206" s="790"/>
      <c r="AD206" s="791"/>
      <c r="AE206" s="792"/>
    </row>
    <row r="207" spans="5:31" s="134" customFormat="1" ht="3" customHeight="1" x14ac:dyDescent="0.25">
      <c r="E207" s="789"/>
      <c r="F207" s="789"/>
      <c r="G207" s="789"/>
      <c r="H207" s="790"/>
      <c r="AD207" s="791"/>
      <c r="AE207" s="792"/>
    </row>
    <row r="208" spans="5:31" s="134" customFormat="1" ht="3" customHeight="1" x14ac:dyDescent="0.25">
      <c r="E208" s="789"/>
      <c r="F208" s="789"/>
      <c r="G208" s="789"/>
      <c r="H208" s="790"/>
      <c r="AD208" s="791"/>
      <c r="AE208" s="792"/>
    </row>
    <row r="209" spans="5:31" s="134" customFormat="1" ht="3" customHeight="1" x14ac:dyDescent="0.25">
      <c r="E209" s="789"/>
      <c r="F209" s="789"/>
      <c r="G209" s="789"/>
      <c r="H209" s="790"/>
      <c r="AD209" s="791"/>
      <c r="AE209" s="792"/>
    </row>
    <row r="210" spans="5:31" s="134" customFormat="1" ht="3" customHeight="1" x14ac:dyDescent="0.25">
      <c r="E210" s="789"/>
      <c r="F210" s="789"/>
      <c r="G210" s="789"/>
      <c r="H210" s="790"/>
      <c r="AD210" s="791"/>
      <c r="AE210" s="792"/>
    </row>
    <row r="211" spans="5:31" s="134" customFormat="1" ht="3" customHeight="1" x14ac:dyDescent="0.25">
      <c r="E211" s="789"/>
      <c r="F211" s="789"/>
      <c r="G211" s="789"/>
      <c r="H211" s="790"/>
      <c r="AD211" s="791"/>
      <c r="AE211" s="792"/>
    </row>
    <row r="212" spans="5:31" s="134" customFormat="1" ht="3" customHeight="1" x14ac:dyDescent="0.25">
      <c r="E212" s="789"/>
      <c r="F212" s="789"/>
      <c r="G212" s="789"/>
      <c r="H212" s="790"/>
      <c r="AD212" s="791"/>
      <c r="AE212" s="792"/>
    </row>
    <row r="213" spans="5:31" s="134" customFormat="1" ht="3" customHeight="1" x14ac:dyDescent="0.25">
      <c r="E213" s="789"/>
      <c r="F213" s="789"/>
      <c r="G213" s="789"/>
      <c r="H213" s="790"/>
      <c r="AD213" s="791"/>
      <c r="AE213" s="792"/>
    </row>
    <row r="214" spans="5:31" s="134" customFormat="1" ht="3" customHeight="1" x14ac:dyDescent="0.25">
      <c r="E214" s="789"/>
      <c r="F214" s="789"/>
      <c r="G214" s="789"/>
      <c r="H214" s="790"/>
      <c r="AD214" s="791"/>
      <c r="AE214" s="792"/>
    </row>
    <row r="215" spans="5:31" s="134" customFormat="1" ht="3" customHeight="1" x14ac:dyDescent="0.25">
      <c r="E215" s="789"/>
      <c r="F215" s="789"/>
      <c r="G215" s="789"/>
      <c r="H215" s="790"/>
      <c r="AD215" s="791"/>
      <c r="AE215" s="792"/>
    </row>
    <row r="216" spans="5:31" s="134" customFormat="1" ht="3" customHeight="1" x14ac:dyDescent="0.25">
      <c r="E216" s="789"/>
      <c r="F216" s="789"/>
      <c r="G216" s="789"/>
      <c r="H216" s="790"/>
      <c r="AD216" s="791"/>
      <c r="AE216" s="792"/>
    </row>
    <row r="217" spans="5:31" s="134" customFormat="1" ht="3" customHeight="1" x14ac:dyDescent="0.25">
      <c r="E217" s="789"/>
      <c r="F217" s="789"/>
      <c r="G217" s="789"/>
      <c r="H217" s="790"/>
      <c r="AD217" s="791"/>
      <c r="AE217" s="792"/>
    </row>
    <row r="218" spans="5:31" s="134" customFormat="1" ht="3" customHeight="1" x14ac:dyDescent="0.25">
      <c r="E218" s="789"/>
      <c r="F218" s="789"/>
      <c r="G218" s="789"/>
      <c r="H218" s="790"/>
      <c r="AD218" s="791"/>
      <c r="AE218" s="792"/>
    </row>
    <row r="219" spans="5:31" s="134" customFormat="1" ht="3" customHeight="1" x14ac:dyDescent="0.25">
      <c r="E219" s="789"/>
      <c r="F219" s="789"/>
      <c r="G219" s="789"/>
      <c r="H219" s="790"/>
      <c r="AD219" s="791"/>
      <c r="AE219" s="792"/>
    </row>
    <row r="220" spans="5:31" s="134" customFormat="1" ht="3" customHeight="1" x14ac:dyDescent="0.25">
      <c r="E220" s="789"/>
      <c r="F220" s="789"/>
      <c r="G220" s="789"/>
      <c r="H220" s="790"/>
      <c r="AD220" s="791"/>
      <c r="AE220" s="792"/>
    </row>
    <row r="221" spans="5:31" s="134" customFormat="1" ht="3" customHeight="1" x14ac:dyDescent="0.25">
      <c r="E221" s="789"/>
      <c r="F221" s="789"/>
      <c r="G221" s="789"/>
      <c r="H221" s="790"/>
      <c r="AD221" s="791"/>
      <c r="AE221" s="792"/>
    </row>
    <row r="222" spans="5:31" s="134" customFormat="1" ht="3" customHeight="1" x14ac:dyDescent="0.25">
      <c r="E222" s="789"/>
      <c r="F222" s="789"/>
      <c r="G222" s="789"/>
      <c r="H222" s="790"/>
      <c r="AD222" s="791"/>
      <c r="AE222" s="792"/>
    </row>
    <row r="223" spans="5:31" s="134" customFormat="1" ht="3" customHeight="1" x14ac:dyDescent="0.25">
      <c r="E223" s="789"/>
      <c r="F223" s="789"/>
      <c r="G223" s="789"/>
      <c r="H223" s="790"/>
      <c r="AD223" s="791"/>
      <c r="AE223" s="792"/>
    </row>
    <row r="224" spans="5:31" s="134" customFormat="1" ht="3" customHeight="1" x14ac:dyDescent="0.25">
      <c r="E224" s="789"/>
      <c r="F224" s="789"/>
      <c r="G224" s="789"/>
      <c r="H224" s="790"/>
      <c r="AD224" s="791"/>
      <c r="AE224" s="792"/>
    </row>
    <row r="225" spans="5:31" s="134" customFormat="1" ht="3" customHeight="1" x14ac:dyDescent="0.25">
      <c r="E225" s="789"/>
      <c r="F225" s="789"/>
      <c r="G225" s="789"/>
      <c r="H225" s="790"/>
      <c r="AD225" s="791"/>
      <c r="AE225" s="792"/>
    </row>
    <row r="226" spans="5:31" s="134" customFormat="1" ht="3" customHeight="1" x14ac:dyDescent="0.25">
      <c r="E226" s="789"/>
      <c r="F226" s="789"/>
      <c r="G226" s="789"/>
      <c r="H226" s="790"/>
      <c r="AD226" s="791"/>
      <c r="AE226" s="792"/>
    </row>
    <row r="227" spans="5:31" s="134" customFormat="1" ht="3" customHeight="1" x14ac:dyDescent="0.25">
      <c r="E227" s="789"/>
      <c r="F227" s="789"/>
      <c r="G227" s="789"/>
      <c r="H227" s="790"/>
      <c r="AD227" s="791"/>
      <c r="AE227" s="792"/>
    </row>
    <row r="228" spans="5:31" s="134" customFormat="1" ht="3" customHeight="1" x14ac:dyDescent="0.25">
      <c r="E228" s="789"/>
      <c r="F228" s="789"/>
      <c r="G228" s="789"/>
      <c r="H228" s="790"/>
      <c r="AD228" s="791"/>
      <c r="AE228" s="792"/>
    </row>
    <row r="229" spans="5:31" s="134" customFormat="1" ht="3" customHeight="1" x14ac:dyDescent="0.25">
      <c r="E229" s="789"/>
      <c r="F229" s="789"/>
      <c r="G229" s="789"/>
      <c r="H229" s="790"/>
      <c r="AD229" s="791"/>
      <c r="AE229" s="792"/>
    </row>
    <row r="230" spans="5:31" s="134" customFormat="1" ht="3" customHeight="1" x14ac:dyDescent="0.25">
      <c r="E230" s="789"/>
      <c r="F230" s="789"/>
      <c r="G230" s="789"/>
      <c r="H230" s="790"/>
      <c r="AD230" s="791"/>
      <c r="AE230" s="792"/>
    </row>
    <row r="231" spans="5:31" s="134" customFormat="1" ht="3" customHeight="1" x14ac:dyDescent="0.25">
      <c r="E231" s="789"/>
      <c r="F231" s="789"/>
      <c r="G231" s="789"/>
      <c r="H231" s="790"/>
      <c r="AD231" s="791"/>
      <c r="AE231" s="792"/>
    </row>
    <row r="232" spans="5:31" s="134" customFormat="1" ht="3" customHeight="1" x14ac:dyDescent="0.25">
      <c r="E232" s="789"/>
      <c r="F232" s="789"/>
      <c r="G232" s="789"/>
      <c r="H232" s="790"/>
      <c r="AD232" s="791"/>
      <c r="AE232" s="792"/>
    </row>
    <row r="233" spans="5:31" s="134" customFormat="1" ht="3" customHeight="1" x14ac:dyDescent="0.25">
      <c r="E233" s="789"/>
      <c r="F233" s="789"/>
      <c r="G233" s="789"/>
      <c r="H233" s="790"/>
      <c r="AD233" s="791"/>
      <c r="AE233" s="792"/>
    </row>
    <row r="234" spans="5:31" s="134" customFormat="1" ht="3" customHeight="1" x14ac:dyDescent="0.25">
      <c r="E234" s="789"/>
      <c r="F234" s="789"/>
      <c r="G234" s="789"/>
      <c r="H234" s="790"/>
      <c r="AD234" s="791"/>
      <c r="AE234" s="792"/>
    </row>
    <row r="235" spans="5:31" s="134" customFormat="1" ht="3" customHeight="1" x14ac:dyDescent="0.25">
      <c r="E235" s="789"/>
      <c r="F235" s="789"/>
      <c r="G235" s="789"/>
      <c r="H235" s="790"/>
      <c r="AD235" s="791"/>
      <c r="AE235" s="792"/>
    </row>
    <row r="236" spans="5:31" s="134" customFormat="1" ht="3" customHeight="1" x14ac:dyDescent="0.25">
      <c r="E236" s="789"/>
      <c r="F236" s="789"/>
      <c r="G236" s="789"/>
      <c r="H236" s="790"/>
      <c r="AD236" s="791"/>
      <c r="AE236" s="792"/>
    </row>
    <row r="237" spans="5:31" s="134" customFormat="1" ht="3" customHeight="1" x14ac:dyDescent="0.25">
      <c r="E237" s="789"/>
      <c r="F237" s="789"/>
      <c r="G237" s="789"/>
      <c r="H237" s="790"/>
      <c r="AD237" s="791"/>
      <c r="AE237" s="792"/>
    </row>
    <row r="238" spans="5:31" s="134" customFormat="1" ht="3" customHeight="1" x14ac:dyDescent="0.25">
      <c r="E238" s="789"/>
      <c r="F238" s="789"/>
      <c r="G238" s="789"/>
      <c r="H238" s="790"/>
      <c r="AD238" s="791"/>
      <c r="AE238" s="792"/>
    </row>
    <row r="239" spans="5:31" s="134" customFormat="1" ht="3" customHeight="1" x14ac:dyDescent="0.25">
      <c r="E239" s="789"/>
      <c r="F239" s="789"/>
      <c r="G239" s="789"/>
      <c r="H239" s="790"/>
      <c r="AD239" s="791"/>
      <c r="AE239" s="792"/>
    </row>
    <row r="240" spans="5:31" s="134" customFormat="1" ht="3" customHeight="1" x14ac:dyDescent="0.25">
      <c r="E240" s="789"/>
      <c r="F240" s="789"/>
      <c r="G240" s="789"/>
      <c r="H240" s="790"/>
      <c r="AD240" s="791"/>
      <c r="AE240" s="792"/>
    </row>
    <row r="241" spans="5:31" s="134" customFormat="1" ht="3" customHeight="1" x14ac:dyDescent="0.25">
      <c r="E241" s="789"/>
      <c r="F241" s="789"/>
      <c r="G241" s="789"/>
      <c r="H241" s="790"/>
      <c r="AD241" s="791"/>
      <c r="AE241" s="792"/>
    </row>
    <row r="242" spans="5:31" s="134" customFormat="1" ht="3" customHeight="1" x14ac:dyDescent="0.25">
      <c r="E242" s="789"/>
      <c r="F242" s="789"/>
      <c r="G242" s="789"/>
      <c r="H242" s="790"/>
      <c r="AD242" s="791"/>
      <c r="AE242" s="792"/>
    </row>
    <row r="243" spans="5:31" s="134" customFormat="1" ht="3" customHeight="1" x14ac:dyDescent="0.25">
      <c r="E243" s="789"/>
      <c r="F243" s="789"/>
      <c r="G243" s="789"/>
      <c r="H243" s="790"/>
      <c r="AD243" s="791"/>
      <c r="AE243" s="792"/>
    </row>
    <row r="244" spans="5:31" s="134" customFormat="1" ht="3" customHeight="1" x14ac:dyDescent="0.25">
      <c r="E244" s="789"/>
      <c r="F244" s="789"/>
      <c r="G244" s="789"/>
      <c r="H244" s="790"/>
      <c r="AD244" s="791"/>
      <c r="AE244" s="792"/>
    </row>
    <row r="245" spans="5:31" s="134" customFormat="1" ht="3" customHeight="1" x14ac:dyDescent="0.25">
      <c r="E245" s="789"/>
      <c r="F245" s="789"/>
      <c r="G245" s="789"/>
      <c r="H245" s="790"/>
      <c r="AD245" s="791"/>
      <c r="AE245" s="792"/>
    </row>
    <row r="246" spans="5:31" s="134" customFormat="1" ht="3" customHeight="1" x14ac:dyDescent="0.25">
      <c r="E246" s="789"/>
      <c r="F246" s="789"/>
      <c r="G246" s="789"/>
      <c r="H246" s="790"/>
      <c r="AD246" s="791"/>
      <c r="AE246" s="792"/>
    </row>
    <row r="247" spans="5:31" s="134" customFormat="1" ht="3" customHeight="1" x14ac:dyDescent="0.25">
      <c r="E247" s="789"/>
      <c r="F247" s="789"/>
      <c r="G247" s="789"/>
      <c r="H247" s="790"/>
      <c r="AD247" s="791"/>
      <c r="AE247" s="792"/>
    </row>
    <row r="248" spans="5:31" s="134" customFormat="1" ht="3" customHeight="1" x14ac:dyDescent="0.25">
      <c r="E248" s="789"/>
      <c r="F248" s="789"/>
      <c r="G248" s="789"/>
      <c r="H248" s="790"/>
      <c r="AD248" s="791"/>
      <c r="AE248" s="792"/>
    </row>
    <row r="249" spans="5:31" s="134" customFormat="1" ht="3" customHeight="1" x14ac:dyDescent="0.25">
      <c r="E249" s="789"/>
      <c r="F249" s="789"/>
      <c r="G249" s="789"/>
      <c r="H249" s="790"/>
      <c r="AD249" s="791"/>
      <c r="AE249" s="792"/>
    </row>
    <row r="250" spans="5:31" s="134" customFormat="1" ht="3" customHeight="1" x14ac:dyDescent="0.25">
      <c r="E250" s="789"/>
      <c r="F250" s="789"/>
      <c r="G250" s="789"/>
      <c r="H250" s="790"/>
      <c r="AD250" s="791"/>
      <c r="AE250" s="792"/>
    </row>
    <row r="251" spans="5:31" s="134" customFormat="1" ht="3" customHeight="1" x14ac:dyDescent="0.25">
      <c r="E251" s="789"/>
      <c r="F251" s="789"/>
      <c r="G251" s="789"/>
      <c r="H251" s="790"/>
      <c r="AD251" s="791"/>
      <c r="AE251" s="792"/>
    </row>
    <row r="252" spans="5:31" s="134" customFormat="1" ht="3" customHeight="1" x14ac:dyDescent="0.25">
      <c r="E252" s="789"/>
      <c r="F252" s="789"/>
      <c r="G252" s="789"/>
      <c r="H252" s="790"/>
      <c r="AD252" s="791"/>
      <c r="AE252" s="792"/>
    </row>
    <row r="253" spans="5:31" s="134" customFormat="1" ht="3" customHeight="1" x14ac:dyDescent="0.25">
      <c r="E253" s="789"/>
      <c r="F253" s="789"/>
      <c r="G253" s="789"/>
      <c r="H253" s="790"/>
      <c r="AD253" s="791"/>
      <c r="AE253" s="792"/>
    </row>
    <row r="254" spans="5:31" s="134" customFormat="1" ht="3" customHeight="1" x14ac:dyDescent="0.25">
      <c r="E254" s="789"/>
      <c r="F254" s="789"/>
      <c r="G254" s="789"/>
      <c r="H254" s="790"/>
      <c r="AD254" s="791"/>
      <c r="AE254" s="792"/>
    </row>
    <row r="255" spans="5:31" s="134" customFormat="1" ht="3" customHeight="1" x14ac:dyDescent="0.25">
      <c r="E255" s="789"/>
      <c r="F255" s="789"/>
      <c r="G255" s="789"/>
      <c r="H255" s="790"/>
      <c r="AD255" s="791"/>
      <c r="AE255" s="792"/>
    </row>
    <row r="256" spans="5:31" s="134" customFormat="1" ht="3" customHeight="1" x14ac:dyDescent="0.25">
      <c r="E256" s="789"/>
      <c r="F256" s="789"/>
      <c r="G256" s="789"/>
      <c r="H256" s="790"/>
      <c r="AD256" s="791"/>
      <c r="AE256" s="792"/>
    </row>
    <row r="257" spans="5:31" s="134" customFormat="1" ht="3" customHeight="1" x14ac:dyDescent="0.25">
      <c r="E257" s="789"/>
      <c r="F257" s="789"/>
      <c r="G257" s="789"/>
      <c r="H257" s="790"/>
      <c r="AD257" s="791"/>
      <c r="AE257" s="792"/>
    </row>
    <row r="258" spans="5:31" s="134" customFormat="1" ht="3" customHeight="1" x14ac:dyDescent="0.25">
      <c r="E258" s="789"/>
      <c r="F258" s="789"/>
      <c r="G258" s="789"/>
      <c r="H258" s="790"/>
      <c r="AD258" s="791"/>
      <c r="AE258" s="792"/>
    </row>
    <row r="259" spans="5:31" s="134" customFormat="1" ht="3" customHeight="1" x14ac:dyDescent="0.25">
      <c r="E259" s="789"/>
      <c r="F259" s="789"/>
      <c r="G259" s="789"/>
      <c r="H259" s="790"/>
      <c r="AD259" s="791"/>
      <c r="AE259" s="792"/>
    </row>
    <row r="260" spans="5:31" s="134" customFormat="1" ht="3" customHeight="1" x14ac:dyDescent="0.25">
      <c r="E260" s="789"/>
      <c r="F260" s="789"/>
      <c r="G260" s="789"/>
      <c r="H260" s="790"/>
      <c r="AD260" s="791"/>
      <c r="AE260" s="792"/>
    </row>
    <row r="261" spans="5:31" s="134" customFormat="1" ht="3" customHeight="1" x14ac:dyDescent="0.25">
      <c r="E261" s="789"/>
      <c r="F261" s="789"/>
      <c r="G261" s="789"/>
      <c r="H261" s="790"/>
      <c r="AD261" s="791"/>
      <c r="AE261" s="792"/>
    </row>
    <row r="262" spans="5:31" s="134" customFormat="1" ht="3" customHeight="1" x14ac:dyDescent="0.25">
      <c r="E262" s="789"/>
      <c r="F262" s="789"/>
      <c r="G262" s="789"/>
      <c r="H262" s="790"/>
      <c r="AD262" s="791"/>
      <c r="AE262" s="792"/>
    </row>
    <row r="263" spans="5:31" s="134" customFormat="1" ht="3" customHeight="1" x14ac:dyDescent="0.25">
      <c r="E263" s="789"/>
      <c r="F263" s="789"/>
      <c r="G263" s="789"/>
      <c r="H263" s="790"/>
      <c r="AD263" s="791"/>
      <c r="AE263" s="792"/>
    </row>
    <row r="264" spans="5:31" s="134" customFormat="1" ht="3" customHeight="1" x14ac:dyDescent="0.25">
      <c r="E264" s="789"/>
      <c r="F264" s="789"/>
      <c r="G264" s="789"/>
      <c r="H264" s="790"/>
      <c r="AD264" s="791"/>
      <c r="AE264" s="792"/>
    </row>
    <row r="265" spans="5:31" s="134" customFormat="1" ht="3" customHeight="1" x14ac:dyDescent="0.25">
      <c r="E265" s="789"/>
      <c r="F265" s="789"/>
      <c r="G265" s="789"/>
      <c r="H265" s="790"/>
      <c r="AD265" s="791"/>
      <c r="AE265" s="792"/>
    </row>
    <row r="266" spans="5:31" s="134" customFormat="1" ht="3" customHeight="1" x14ac:dyDescent="0.25">
      <c r="E266" s="789"/>
      <c r="F266" s="789"/>
      <c r="G266" s="789"/>
      <c r="H266" s="790"/>
      <c r="AD266" s="791"/>
      <c r="AE266" s="792"/>
    </row>
    <row r="267" spans="5:31" s="134" customFormat="1" ht="3" customHeight="1" x14ac:dyDescent="0.25">
      <c r="E267" s="789"/>
      <c r="F267" s="789"/>
      <c r="G267" s="789"/>
      <c r="H267" s="790"/>
      <c r="AD267" s="791"/>
      <c r="AE267" s="792"/>
    </row>
    <row r="268" spans="5:31" s="134" customFormat="1" ht="3" customHeight="1" x14ac:dyDescent="0.25">
      <c r="E268" s="789"/>
      <c r="F268" s="789"/>
      <c r="G268" s="789"/>
      <c r="H268" s="790"/>
      <c r="AD268" s="791"/>
      <c r="AE268" s="792"/>
    </row>
    <row r="269" spans="5:31" s="134" customFormat="1" ht="3" customHeight="1" x14ac:dyDescent="0.25">
      <c r="E269" s="789"/>
      <c r="F269" s="789"/>
      <c r="G269" s="789"/>
      <c r="H269" s="790"/>
      <c r="AD269" s="791"/>
      <c r="AE269" s="792"/>
    </row>
    <row r="270" spans="5:31" s="134" customFormat="1" ht="3" customHeight="1" x14ac:dyDescent="0.25">
      <c r="E270" s="789"/>
      <c r="F270" s="789"/>
      <c r="G270" s="789"/>
      <c r="H270" s="790"/>
      <c r="AD270" s="791"/>
      <c r="AE270" s="792"/>
    </row>
    <row r="271" spans="5:31" s="134" customFormat="1" ht="3" customHeight="1" x14ac:dyDescent="0.25">
      <c r="E271" s="789"/>
      <c r="F271" s="789"/>
      <c r="G271" s="789"/>
      <c r="H271" s="790"/>
      <c r="AD271" s="791"/>
      <c r="AE271" s="792"/>
    </row>
    <row r="272" spans="5:31" s="134" customFormat="1" ht="3" customHeight="1" x14ac:dyDescent="0.25">
      <c r="E272" s="789"/>
      <c r="F272" s="789"/>
      <c r="G272" s="789"/>
      <c r="H272" s="790"/>
      <c r="AD272" s="791"/>
      <c r="AE272" s="792"/>
    </row>
    <row r="273" spans="5:31" s="134" customFormat="1" ht="3" customHeight="1" x14ac:dyDescent="0.25">
      <c r="E273" s="789"/>
      <c r="F273" s="789"/>
      <c r="G273" s="789"/>
      <c r="H273" s="790"/>
      <c r="AD273" s="791"/>
      <c r="AE273" s="792"/>
    </row>
    <row r="274" spans="5:31" s="134" customFormat="1" ht="3" customHeight="1" x14ac:dyDescent="0.25">
      <c r="E274" s="789"/>
      <c r="F274" s="789"/>
      <c r="G274" s="789"/>
      <c r="H274" s="790"/>
      <c r="AD274" s="791"/>
      <c r="AE274" s="792"/>
    </row>
    <row r="275" spans="5:31" s="134" customFormat="1" ht="3" customHeight="1" x14ac:dyDescent="0.25">
      <c r="E275" s="789"/>
      <c r="F275" s="789"/>
      <c r="G275" s="789"/>
      <c r="H275" s="790"/>
      <c r="AD275" s="791"/>
      <c r="AE275" s="792"/>
    </row>
    <row r="276" spans="5:31" s="134" customFormat="1" ht="3" customHeight="1" x14ac:dyDescent="0.25">
      <c r="E276" s="789"/>
      <c r="F276" s="789"/>
      <c r="G276" s="789"/>
      <c r="H276" s="790"/>
      <c r="AD276" s="791"/>
      <c r="AE276" s="792"/>
    </row>
    <row r="277" spans="5:31" s="134" customFormat="1" ht="3" customHeight="1" x14ac:dyDescent="0.25">
      <c r="E277" s="789"/>
      <c r="F277" s="789"/>
      <c r="G277" s="789"/>
      <c r="H277" s="790"/>
      <c r="AD277" s="791"/>
      <c r="AE277" s="792"/>
    </row>
    <row r="278" spans="5:31" s="134" customFormat="1" ht="3" customHeight="1" x14ac:dyDescent="0.25">
      <c r="E278" s="789"/>
      <c r="F278" s="789"/>
      <c r="G278" s="789"/>
      <c r="H278" s="790"/>
      <c r="AD278" s="791"/>
      <c r="AE278" s="792"/>
    </row>
    <row r="279" spans="5:31" s="134" customFormat="1" ht="3" customHeight="1" x14ac:dyDescent="0.25">
      <c r="E279" s="789"/>
      <c r="F279" s="789"/>
      <c r="G279" s="789"/>
      <c r="H279" s="790"/>
      <c r="AD279" s="791"/>
      <c r="AE279" s="792"/>
    </row>
    <row r="280" spans="5:31" s="134" customFormat="1" ht="3" customHeight="1" x14ac:dyDescent="0.25">
      <c r="E280" s="789"/>
      <c r="F280" s="789"/>
      <c r="G280" s="789"/>
      <c r="H280" s="790"/>
      <c r="AD280" s="791"/>
      <c r="AE280" s="792"/>
    </row>
    <row r="281" spans="5:31" s="134" customFormat="1" ht="3" customHeight="1" x14ac:dyDescent="0.25">
      <c r="E281" s="789"/>
      <c r="F281" s="789"/>
      <c r="G281" s="789"/>
      <c r="H281" s="790"/>
      <c r="AD281" s="791"/>
      <c r="AE281" s="792"/>
    </row>
    <row r="282" spans="5:31" s="134" customFormat="1" ht="3" customHeight="1" x14ac:dyDescent="0.25">
      <c r="E282" s="789"/>
      <c r="F282" s="789"/>
      <c r="G282" s="789"/>
      <c r="H282" s="790"/>
      <c r="AD282" s="791"/>
      <c r="AE282" s="792"/>
    </row>
    <row r="283" spans="5:31" s="134" customFormat="1" ht="3" customHeight="1" x14ac:dyDescent="0.25">
      <c r="E283" s="789"/>
      <c r="F283" s="789"/>
      <c r="G283" s="789"/>
      <c r="H283" s="790"/>
      <c r="AD283" s="791"/>
      <c r="AE283" s="792"/>
    </row>
    <row r="284" spans="5:31" s="134" customFormat="1" ht="3" customHeight="1" x14ac:dyDescent="0.25">
      <c r="E284" s="789"/>
      <c r="F284" s="789"/>
      <c r="G284" s="789"/>
      <c r="H284" s="790"/>
      <c r="AD284" s="791"/>
      <c r="AE284" s="792"/>
    </row>
    <row r="285" spans="5:31" s="134" customFormat="1" ht="3" customHeight="1" x14ac:dyDescent="0.25">
      <c r="E285" s="789"/>
      <c r="F285" s="789"/>
      <c r="G285" s="789"/>
      <c r="H285" s="790"/>
      <c r="AD285" s="791"/>
      <c r="AE285" s="792"/>
    </row>
    <row r="286" spans="5:31" s="134" customFormat="1" ht="3" customHeight="1" x14ac:dyDescent="0.25">
      <c r="E286" s="789"/>
      <c r="F286" s="789"/>
      <c r="G286" s="789"/>
      <c r="H286" s="790"/>
      <c r="AD286" s="791"/>
      <c r="AE286" s="792"/>
    </row>
    <row r="287" spans="5:31" s="134" customFormat="1" ht="3" customHeight="1" x14ac:dyDescent="0.25">
      <c r="E287" s="789"/>
      <c r="F287" s="789"/>
      <c r="G287" s="789"/>
      <c r="H287" s="790"/>
      <c r="AD287" s="791"/>
      <c r="AE287" s="792"/>
    </row>
    <row r="288" spans="5:31" s="134" customFormat="1" ht="3" customHeight="1" x14ac:dyDescent="0.25">
      <c r="E288" s="789"/>
      <c r="F288" s="789"/>
      <c r="G288" s="789"/>
      <c r="H288" s="790"/>
      <c r="AD288" s="791"/>
      <c r="AE288" s="792"/>
    </row>
    <row r="289" spans="5:31" s="134" customFormat="1" ht="3" customHeight="1" x14ac:dyDescent="0.25">
      <c r="E289" s="789"/>
      <c r="F289" s="789"/>
      <c r="G289" s="789"/>
      <c r="H289" s="790"/>
      <c r="AD289" s="791"/>
      <c r="AE289" s="792"/>
    </row>
    <row r="290" spans="5:31" s="134" customFormat="1" ht="3" customHeight="1" x14ac:dyDescent="0.25">
      <c r="E290" s="789"/>
      <c r="F290" s="789"/>
      <c r="G290" s="789"/>
      <c r="H290" s="790"/>
      <c r="AD290" s="791"/>
      <c r="AE290" s="792"/>
    </row>
    <row r="291" spans="5:31" s="134" customFormat="1" ht="3" customHeight="1" x14ac:dyDescent="0.25">
      <c r="E291" s="789"/>
      <c r="F291" s="789"/>
      <c r="G291" s="789"/>
      <c r="H291" s="790"/>
      <c r="AD291" s="791"/>
      <c r="AE291" s="792"/>
    </row>
    <row r="292" spans="5:31" s="134" customFormat="1" ht="3" customHeight="1" x14ac:dyDescent="0.25">
      <c r="E292" s="789"/>
      <c r="F292" s="789"/>
      <c r="G292" s="789"/>
      <c r="H292" s="790"/>
      <c r="AD292" s="791"/>
      <c r="AE292" s="792"/>
    </row>
    <row r="293" spans="5:31" s="134" customFormat="1" ht="3" customHeight="1" x14ac:dyDescent="0.25">
      <c r="E293" s="789"/>
      <c r="F293" s="789"/>
      <c r="G293" s="789"/>
      <c r="H293" s="790"/>
      <c r="AD293" s="791"/>
      <c r="AE293" s="792"/>
    </row>
    <row r="294" spans="5:31" s="134" customFormat="1" ht="3" customHeight="1" x14ac:dyDescent="0.25">
      <c r="E294" s="789"/>
      <c r="F294" s="789"/>
      <c r="G294" s="789"/>
      <c r="H294" s="790"/>
      <c r="AD294" s="791"/>
      <c r="AE294" s="792"/>
    </row>
    <row r="295" spans="5:31" s="134" customFormat="1" ht="3" customHeight="1" x14ac:dyDescent="0.25">
      <c r="E295" s="789"/>
      <c r="F295" s="789"/>
      <c r="G295" s="789"/>
      <c r="H295" s="790"/>
      <c r="AD295" s="791"/>
      <c r="AE295" s="792"/>
    </row>
    <row r="296" spans="5:31" s="134" customFormat="1" ht="3" customHeight="1" x14ac:dyDescent="0.25">
      <c r="E296" s="789"/>
      <c r="F296" s="789"/>
      <c r="G296" s="789"/>
      <c r="H296" s="790"/>
      <c r="AD296" s="791"/>
      <c r="AE296" s="792"/>
    </row>
    <row r="297" spans="5:31" s="134" customFormat="1" ht="3" customHeight="1" x14ac:dyDescent="0.25">
      <c r="E297" s="789"/>
      <c r="F297" s="789"/>
      <c r="G297" s="789"/>
      <c r="H297" s="790"/>
      <c r="AD297" s="791"/>
      <c r="AE297" s="792"/>
    </row>
    <row r="298" spans="5:31" s="134" customFormat="1" ht="3" customHeight="1" x14ac:dyDescent="0.25">
      <c r="E298" s="789"/>
      <c r="F298" s="789"/>
      <c r="G298" s="789"/>
      <c r="H298" s="790"/>
      <c r="AD298" s="791"/>
      <c r="AE298" s="792"/>
    </row>
    <row r="299" spans="5:31" s="134" customFormat="1" ht="3" customHeight="1" x14ac:dyDescent="0.25">
      <c r="E299" s="789"/>
      <c r="F299" s="789"/>
      <c r="G299" s="789"/>
      <c r="H299" s="790"/>
      <c r="AD299" s="791"/>
      <c r="AE299" s="792"/>
    </row>
    <row r="300" spans="5:31" s="134" customFormat="1" ht="3" customHeight="1" x14ac:dyDescent="0.25">
      <c r="E300" s="789"/>
      <c r="F300" s="789"/>
      <c r="G300" s="789"/>
      <c r="H300" s="790"/>
      <c r="AD300" s="791"/>
      <c r="AE300" s="792"/>
    </row>
    <row r="301" spans="5:31" s="134" customFormat="1" ht="3" customHeight="1" x14ac:dyDescent="0.25">
      <c r="E301" s="789"/>
      <c r="F301" s="789"/>
      <c r="G301" s="789"/>
      <c r="H301" s="790"/>
      <c r="AD301" s="791"/>
      <c r="AE301" s="792"/>
    </row>
    <row r="302" spans="5:31" s="134" customFormat="1" ht="3" customHeight="1" x14ac:dyDescent="0.25">
      <c r="E302" s="789"/>
      <c r="F302" s="789"/>
      <c r="G302" s="789"/>
      <c r="H302" s="790"/>
      <c r="AD302" s="791"/>
      <c r="AE302" s="792"/>
    </row>
    <row r="303" spans="5:31" s="134" customFormat="1" ht="3" customHeight="1" x14ac:dyDescent="0.25">
      <c r="E303" s="789"/>
      <c r="F303" s="789"/>
      <c r="G303" s="789"/>
      <c r="H303" s="790"/>
      <c r="AD303" s="791"/>
      <c r="AE303" s="792"/>
    </row>
    <row r="304" spans="5:31" s="134" customFormat="1" ht="3" customHeight="1" x14ac:dyDescent="0.25">
      <c r="E304" s="789"/>
      <c r="F304" s="789"/>
      <c r="G304" s="789"/>
      <c r="H304" s="790"/>
      <c r="AD304" s="791"/>
      <c r="AE304" s="792"/>
    </row>
    <row r="305" spans="5:31" s="134" customFormat="1" ht="3" customHeight="1" x14ac:dyDescent="0.25">
      <c r="E305" s="789"/>
      <c r="F305" s="789"/>
      <c r="G305" s="789"/>
      <c r="H305" s="790"/>
      <c r="AD305" s="791"/>
      <c r="AE305" s="792"/>
    </row>
    <row r="306" spans="5:31" s="134" customFormat="1" ht="3" customHeight="1" x14ac:dyDescent="0.25">
      <c r="E306" s="789"/>
      <c r="F306" s="789"/>
      <c r="G306" s="789"/>
      <c r="H306" s="790"/>
      <c r="AD306" s="791"/>
      <c r="AE306" s="792"/>
    </row>
    <row r="307" spans="5:31" s="134" customFormat="1" ht="3" customHeight="1" x14ac:dyDescent="0.25">
      <c r="E307" s="789"/>
      <c r="F307" s="789"/>
      <c r="G307" s="789"/>
      <c r="H307" s="790"/>
      <c r="AD307" s="791"/>
      <c r="AE307" s="792"/>
    </row>
    <row r="308" spans="5:31" s="134" customFormat="1" ht="3" customHeight="1" x14ac:dyDescent="0.25">
      <c r="E308" s="789"/>
      <c r="F308" s="789"/>
      <c r="G308" s="789"/>
      <c r="H308" s="790"/>
      <c r="AD308" s="791"/>
      <c r="AE308" s="792"/>
    </row>
    <row r="309" spans="5:31" s="134" customFormat="1" ht="12.75" customHeight="1" x14ac:dyDescent="0.25">
      <c r="E309" s="789"/>
      <c r="F309" s="789"/>
      <c r="G309" s="789"/>
      <c r="H309" s="790"/>
      <c r="AD309" s="791"/>
      <c r="AE309" s="792"/>
    </row>
    <row r="310" spans="5:31" s="134" customFormat="1" ht="12.75" customHeight="1" x14ac:dyDescent="0.25">
      <c r="E310" s="789"/>
      <c r="F310" s="789"/>
      <c r="G310" s="789"/>
      <c r="H310" s="790"/>
      <c r="AD310" s="791"/>
      <c r="AE310" s="792"/>
    </row>
    <row r="311" spans="5:31" s="134" customFormat="1" ht="12.75" customHeight="1" x14ac:dyDescent="0.25">
      <c r="E311" s="789"/>
      <c r="F311" s="789"/>
      <c r="G311" s="789"/>
      <c r="H311" s="790"/>
      <c r="AD311" s="791"/>
      <c r="AE311" s="792"/>
    </row>
    <row r="312" spans="5:31" s="134" customFormat="1" ht="12.75" customHeight="1" x14ac:dyDescent="0.25">
      <c r="E312" s="789"/>
      <c r="F312" s="789"/>
      <c r="G312" s="789"/>
      <c r="H312" s="790"/>
      <c r="AD312" s="791"/>
      <c r="AE312" s="792"/>
    </row>
    <row r="313" spans="5:31" s="134" customFormat="1" ht="12.75" customHeight="1" x14ac:dyDescent="0.25">
      <c r="E313" s="789"/>
      <c r="F313" s="789"/>
      <c r="G313" s="789"/>
      <c r="H313" s="790"/>
      <c r="AD313" s="791"/>
      <c r="AE313" s="792"/>
    </row>
    <row r="314" spans="5:31" s="134" customFormat="1" ht="12.75" customHeight="1" x14ac:dyDescent="0.25">
      <c r="E314" s="789"/>
      <c r="F314" s="789"/>
      <c r="G314" s="789"/>
      <c r="H314" s="790"/>
      <c r="AD314" s="791"/>
      <c r="AE314" s="792"/>
    </row>
    <row r="315" spans="5:31" s="134" customFormat="1" ht="12.75" customHeight="1" x14ac:dyDescent="0.25">
      <c r="E315" s="789"/>
      <c r="F315" s="789"/>
      <c r="G315" s="789"/>
      <c r="H315" s="790"/>
      <c r="AD315" s="791"/>
      <c r="AE315" s="792"/>
    </row>
    <row r="316" spans="5:31" s="134" customFormat="1" ht="12.75" customHeight="1" x14ac:dyDescent="0.25">
      <c r="E316" s="789"/>
      <c r="F316" s="789"/>
      <c r="G316" s="789"/>
      <c r="H316" s="790"/>
      <c r="AD316" s="791"/>
      <c r="AE316" s="792"/>
    </row>
    <row r="317" spans="5:31" s="134" customFormat="1" ht="12.75" customHeight="1" x14ac:dyDescent="0.25">
      <c r="E317" s="789"/>
      <c r="F317" s="789"/>
      <c r="G317" s="789"/>
      <c r="H317" s="790"/>
      <c r="AD317" s="791"/>
      <c r="AE317" s="792"/>
    </row>
    <row r="318" spans="5:31" s="134" customFormat="1" ht="12.75" customHeight="1" x14ac:dyDescent="0.25">
      <c r="E318" s="789"/>
      <c r="F318" s="789"/>
      <c r="G318" s="789"/>
      <c r="H318" s="790"/>
      <c r="AD318" s="791"/>
      <c r="AE318" s="792"/>
    </row>
    <row r="319" spans="5:31" s="134" customFormat="1" ht="12.75" customHeight="1" x14ac:dyDescent="0.25">
      <c r="E319" s="789"/>
      <c r="F319" s="789"/>
      <c r="G319" s="789"/>
      <c r="H319" s="790"/>
      <c r="AD319" s="791"/>
      <c r="AE319" s="792"/>
    </row>
    <row r="320" spans="5:31" s="134" customFormat="1" ht="12.75" customHeight="1" x14ac:dyDescent="0.25">
      <c r="E320" s="789"/>
      <c r="F320" s="789"/>
      <c r="G320" s="789"/>
      <c r="H320" s="790"/>
      <c r="AD320" s="791"/>
      <c r="AE320" s="792"/>
    </row>
    <row r="321" spans="5:31" s="134" customFormat="1" ht="12.75" customHeight="1" x14ac:dyDescent="0.25">
      <c r="E321" s="789"/>
      <c r="F321" s="789"/>
      <c r="G321" s="789"/>
      <c r="H321" s="790"/>
      <c r="AD321" s="791"/>
      <c r="AE321" s="792"/>
    </row>
    <row r="322" spans="5:31" s="134" customFormat="1" ht="12.75" customHeight="1" x14ac:dyDescent="0.25">
      <c r="E322" s="789"/>
      <c r="F322" s="789"/>
      <c r="G322" s="789"/>
      <c r="H322" s="790"/>
      <c r="AD322" s="791"/>
      <c r="AE322" s="792"/>
    </row>
    <row r="323" spans="5:31" s="134" customFormat="1" ht="12.75" customHeight="1" x14ac:dyDescent="0.25">
      <c r="E323" s="789"/>
      <c r="F323" s="789"/>
      <c r="G323" s="789"/>
      <c r="H323" s="790"/>
      <c r="AD323" s="791"/>
      <c r="AE323" s="792"/>
    </row>
    <row r="324" spans="5:31" s="134" customFormat="1" ht="12.75" customHeight="1" x14ac:dyDescent="0.25">
      <c r="E324" s="789"/>
      <c r="F324" s="789"/>
      <c r="G324" s="789"/>
      <c r="H324" s="790"/>
      <c r="AD324" s="791"/>
      <c r="AE324" s="792"/>
    </row>
    <row r="325" spans="5:31" s="134" customFormat="1" ht="12.75" customHeight="1" x14ac:dyDescent="0.25">
      <c r="E325" s="789"/>
      <c r="F325" s="789"/>
      <c r="G325" s="789"/>
      <c r="H325" s="790"/>
      <c r="AD325" s="791"/>
      <c r="AE325" s="792"/>
    </row>
    <row r="326" spans="5:31" s="134" customFormat="1" ht="12.75" customHeight="1" x14ac:dyDescent="0.25">
      <c r="E326" s="789"/>
      <c r="F326" s="789"/>
      <c r="G326" s="789"/>
      <c r="H326" s="790"/>
      <c r="AD326" s="791"/>
      <c r="AE326" s="792"/>
    </row>
    <row r="327" spans="5:31" s="134" customFormat="1" ht="12.75" customHeight="1" x14ac:dyDescent="0.25">
      <c r="E327" s="789"/>
      <c r="F327" s="789"/>
      <c r="G327" s="789"/>
      <c r="H327" s="790"/>
      <c r="AD327" s="791"/>
      <c r="AE327" s="792"/>
    </row>
    <row r="328" spans="5:31" s="134" customFormat="1" ht="12.75" customHeight="1" x14ac:dyDescent="0.25">
      <c r="E328" s="789"/>
      <c r="F328" s="789"/>
      <c r="G328" s="789"/>
      <c r="H328" s="790"/>
      <c r="AD328" s="791"/>
      <c r="AE328" s="792"/>
    </row>
    <row r="329" spans="5:31" s="134" customFormat="1" ht="12.75" customHeight="1" x14ac:dyDescent="0.25">
      <c r="E329" s="789"/>
      <c r="F329" s="789"/>
      <c r="G329" s="789"/>
      <c r="H329" s="790"/>
      <c r="AD329" s="791"/>
      <c r="AE329" s="792"/>
    </row>
    <row r="330" spans="5:31" s="134" customFormat="1" ht="12.75" customHeight="1" x14ac:dyDescent="0.25">
      <c r="E330" s="789"/>
      <c r="F330" s="789"/>
      <c r="G330" s="789"/>
      <c r="H330" s="790"/>
      <c r="AD330" s="791"/>
      <c r="AE330" s="792"/>
    </row>
    <row r="331" spans="5:31" s="134" customFormat="1" ht="12.75" customHeight="1" x14ac:dyDescent="0.25">
      <c r="E331" s="789"/>
      <c r="F331" s="789"/>
      <c r="G331" s="789"/>
      <c r="H331" s="790"/>
      <c r="AD331" s="791"/>
      <c r="AE331" s="792"/>
    </row>
    <row r="332" spans="5:31" s="134" customFormat="1" ht="12.75" customHeight="1" x14ac:dyDescent="0.25">
      <c r="E332" s="789"/>
      <c r="F332" s="789"/>
      <c r="G332" s="789"/>
      <c r="H332" s="790"/>
      <c r="AD332" s="791"/>
      <c r="AE332" s="792"/>
    </row>
    <row r="333" spans="5:31" s="134" customFormat="1" ht="12.75" customHeight="1" x14ac:dyDescent="0.25">
      <c r="E333" s="789"/>
      <c r="F333" s="789"/>
      <c r="G333" s="789"/>
      <c r="H333" s="790"/>
      <c r="AD333" s="791"/>
      <c r="AE333" s="792"/>
    </row>
    <row r="334" spans="5:31" s="134" customFormat="1" ht="12.75" customHeight="1" x14ac:dyDescent="0.25">
      <c r="E334" s="789"/>
      <c r="F334" s="789"/>
      <c r="G334" s="789"/>
      <c r="H334" s="790"/>
      <c r="AD334" s="791"/>
      <c r="AE334" s="792"/>
    </row>
    <row r="335" spans="5:31" s="134" customFormat="1" ht="12.75" customHeight="1" x14ac:dyDescent="0.25">
      <c r="E335" s="789"/>
      <c r="F335" s="789"/>
      <c r="G335" s="789"/>
      <c r="H335" s="790"/>
      <c r="AD335" s="791"/>
      <c r="AE335" s="792"/>
    </row>
    <row r="336" spans="5:31" s="134" customFormat="1" ht="12.75" customHeight="1" x14ac:dyDescent="0.25">
      <c r="E336" s="789"/>
      <c r="F336" s="789"/>
      <c r="G336" s="789"/>
      <c r="H336" s="790"/>
      <c r="AD336" s="791"/>
      <c r="AE336" s="792"/>
    </row>
    <row r="337" spans="5:31" s="134" customFormat="1" ht="12.75" customHeight="1" x14ac:dyDescent="0.25">
      <c r="E337" s="789"/>
      <c r="F337" s="789"/>
      <c r="G337" s="789"/>
      <c r="H337" s="790"/>
      <c r="AD337" s="791"/>
      <c r="AE337" s="792"/>
    </row>
    <row r="338" spans="5:31" s="134" customFormat="1" ht="12.75" customHeight="1" x14ac:dyDescent="0.25">
      <c r="E338" s="789"/>
      <c r="F338" s="789"/>
      <c r="G338" s="789"/>
      <c r="H338" s="790"/>
      <c r="AD338" s="791"/>
      <c r="AE338" s="792"/>
    </row>
    <row r="339" spans="5:31" s="134" customFormat="1" ht="12.75" customHeight="1" x14ac:dyDescent="0.25">
      <c r="E339" s="789"/>
      <c r="F339" s="789"/>
      <c r="G339" s="789"/>
      <c r="H339" s="790"/>
      <c r="AD339" s="791"/>
      <c r="AE339" s="792"/>
    </row>
    <row r="340" spans="5:31" s="134" customFormat="1" ht="12.75" customHeight="1" x14ac:dyDescent="0.25">
      <c r="E340" s="789"/>
      <c r="F340" s="789"/>
      <c r="G340" s="789"/>
      <c r="H340" s="790"/>
      <c r="AD340" s="791"/>
      <c r="AE340" s="792"/>
    </row>
    <row r="341" spans="5:31" s="134" customFormat="1" ht="12.75" customHeight="1" x14ac:dyDescent="0.25">
      <c r="E341" s="789"/>
      <c r="F341" s="789"/>
      <c r="G341" s="789"/>
      <c r="H341" s="790"/>
      <c r="AD341" s="791"/>
      <c r="AE341" s="792"/>
    </row>
    <row r="342" spans="5:31" s="134" customFormat="1" ht="12.75" customHeight="1" x14ac:dyDescent="0.25">
      <c r="E342" s="789"/>
      <c r="F342" s="789"/>
      <c r="G342" s="789"/>
      <c r="H342" s="790"/>
      <c r="AD342" s="791"/>
      <c r="AE342" s="792"/>
    </row>
    <row r="343" spans="5:31" s="134" customFormat="1" ht="12.75" customHeight="1" x14ac:dyDescent="0.25">
      <c r="E343" s="789"/>
      <c r="F343" s="789"/>
      <c r="G343" s="789"/>
      <c r="H343" s="790"/>
      <c r="AD343" s="791"/>
      <c r="AE343" s="792"/>
    </row>
    <row r="344" spans="5:31" s="134" customFormat="1" ht="12.75" customHeight="1" x14ac:dyDescent="0.25">
      <c r="E344" s="789"/>
      <c r="F344" s="789"/>
      <c r="G344" s="789"/>
      <c r="H344" s="790"/>
      <c r="AD344" s="791"/>
      <c r="AE344" s="792"/>
    </row>
    <row r="345" spans="5:31" s="134" customFormat="1" ht="12.75" customHeight="1" x14ac:dyDescent="0.25">
      <c r="E345" s="789"/>
      <c r="F345" s="789"/>
      <c r="G345" s="789"/>
      <c r="H345" s="790"/>
      <c r="AD345" s="791"/>
      <c r="AE345" s="792"/>
    </row>
    <row r="346" spans="5:31" s="134" customFormat="1" ht="12.75" customHeight="1" x14ac:dyDescent="0.25">
      <c r="E346" s="789"/>
      <c r="F346" s="789"/>
      <c r="G346" s="789"/>
      <c r="H346" s="790"/>
      <c r="AD346" s="791"/>
      <c r="AE346" s="792"/>
    </row>
    <row r="347" spans="5:31" s="134" customFormat="1" ht="12.75" customHeight="1" x14ac:dyDescent="0.25">
      <c r="E347" s="789"/>
      <c r="F347" s="789"/>
      <c r="G347" s="789"/>
      <c r="H347" s="790"/>
      <c r="AD347" s="791"/>
      <c r="AE347" s="792"/>
    </row>
    <row r="348" spans="5:31" s="134" customFormat="1" ht="12.75" customHeight="1" x14ac:dyDescent="0.25">
      <c r="E348" s="789"/>
      <c r="F348" s="789"/>
      <c r="G348" s="789"/>
      <c r="H348" s="790"/>
      <c r="AD348" s="791"/>
      <c r="AE348" s="792"/>
    </row>
    <row r="349" spans="5:31" s="134" customFormat="1" ht="12.75" customHeight="1" x14ac:dyDescent="0.25">
      <c r="E349" s="789"/>
      <c r="F349" s="789"/>
      <c r="G349" s="789"/>
      <c r="H349" s="790"/>
      <c r="AD349" s="791"/>
      <c r="AE349" s="792"/>
    </row>
    <row r="350" spans="5:31" s="134" customFormat="1" ht="12.75" customHeight="1" x14ac:dyDescent="0.25">
      <c r="E350" s="789"/>
      <c r="F350" s="789"/>
      <c r="G350" s="789"/>
      <c r="H350" s="790"/>
      <c r="AD350" s="791"/>
      <c r="AE350" s="792"/>
    </row>
    <row r="351" spans="5:31" s="134" customFormat="1" ht="12.75" customHeight="1" x14ac:dyDescent="0.25">
      <c r="E351" s="789"/>
      <c r="F351" s="789"/>
      <c r="G351" s="789"/>
      <c r="H351" s="790"/>
      <c r="AD351" s="791"/>
      <c r="AE351" s="792"/>
    </row>
    <row r="352" spans="5:31" s="134" customFormat="1" ht="12.75" customHeight="1" x14ac:dyDescent="0.25">
      <c r="E352" s="789"/>
      <c r="F352" s="789"/>
      <c r="G352" s="789"/>
      <c r="H352" s="790"/>
      <c r="AD352" s="791"/>
      <c r="AE352" s="792"/>
    </row>
    <row r="353" spans="5:31" s="134" customFormat="1" ht="12.75" customHeight="1" x14ac:dyDescent="0.25">
      <c r="E353" s="789"/>
      <c r="F353" s="789"/>
      <c r="G353" s="789"/>
      <c r="H353" s="790"/>
      <c r="AD353" s="791"/>
      <c r="AE353" s="792"/>
    </row>
    <row r="354" spans="5:31" s="134" customFormat="1" ht="12.75" customHeight="1" x14ac:dyDescent="0.25">
      <c r="E354" s="789"/>
      <c r="F354" s="789"/>
      <c r="G354" s="789"/>
      <c r="H354" s="790"/>
      <c r="AD354" s="791"/>
      <c r="AE354" s="792"/>
    </row>
    <row r="355" spans="5:31" s="134" customFormat="1" ht="12.75" customHeight="1" x14ac:dyDescent="0.25">
      <c r="E355" s="789"/>
      <c r="F355" s="789"/>
      <c r="G355" s="789"/>
      <c r="H355" s="790"/>
      <c r="AD355" s="791"/>
      <c r="AE355" s="792"/>
    </row>
    <row r="356" spans="5:31" s="134" customFormat="1" ht="12.75" customHeight="1" x14ac:dyDescent="0.25">
      <c r="E356" s="789"/>
      <c r="F356" s="789"/>
      <c r="G356" s="789"/>
      <c r="H356" s="790"/>
      <c r="AD356" s="791"/>
      <c r="AE356" s="792"/>
    </row>
    <row r="357" spans="5:31" s="134" customFormat="1" ht="12.75" customHeight="1" x14ac:dyDescent="0.25">
      <c r="E357" s="789"/>
      <c r="F357" s="789"/>
      <c r="G357" s="789"/>
      <c r="H357" s="790"/>
      <c r="AD357" s="791"/>
      <c r="AE357" s="792"/>
    </row>
    <row r="358" spans="5:31" s="134" customFormat="1" ht="12.75" customHeight="1" x14ac:dyDescent="0.25">
      <c r="E358" s="789"/>
      <c r="F358" s="789"/>
      <c r="G358" s="789"/>
      <c r="H358" s="790"/>
      <c r="AD358" s="791"/>
      <c r="AE358" s="792"/>
    </row>
    <row r="359" spans="5:31" s="134" customFormat="1" ht="12.75" customHeight="1" x14ac:dyDescent="0.25">
      <c r="E359" s="789"/>
      <c r="F359" s="789"/>
      <c r="G359" s="789"/>
      <c r="H359" s="790"/>
      <c r="AD359" s="791"/>
      <c r="AE359" s="792"/>
    </row>
    <row r="360" spans="5:31" s="134" customFormat="1" ht="12.75" customHeight="1" x14ac:dyDescent="0.25">
      <c r="E360" s="789"/>
      <c r="F360" s="789"/>
      <c r="G360" s="789"/>
      <c r="H360" s="790"/>
      <c r="AD360" s="791"/>
      <c r="AE360" s="792"/>
    </row>
    <row r="361" spans="5:31" s="134" customFormat="1" ht="12.75" customHeight="1" x14ac:dyDescent="0.25">
      <c r="E361" s="789"/>
      <c r="F361" s="789"/>
      <c r="G361" s="789"/>
      <c r="H361" s="790"/>
      <c r="AD361" s="791"/>
      <c r="AE361" s="792"/>
    </row>
    <row r="362" spans="5:31" s="134" customFormat="1" ht="12.75" customHeight="1" x14ac:dyDescent="0.25">
      <c r="E362" s="789"/>
      <c r="F362" s="789"/>
      <c r="G362" s="789"/>
      <c r="H362" s="790"/>
      <c r="AD362" s="791"/>
      <c r="AE362" s="792"/>
    </row>
    <row r="363" spans="5:31" s="134" customFormat="1" ht="12.75" customHeight="1" x14ac:dyDescent="0.25">
      <c r="E363" s="789"/>
      <c r="F363" s="789"/>
      <c r="G363" s="789"/>
      <c r="H363" s="790"/>
      <c r="AD363" s="791"/>
      <c r="AE363" s="792"/>
    </row>
    <row r="364" spans="5:31" s="134" customFormat="1" ht="12.75" customHeight="1" x14ac:dyDescent="0.25">
      <c r="E364" s="789"/>
      <c r="F364" s="789"/>
      <c r="G364" s="789"/>
      <c r="H364" s="790"/>
      <c r="AD364" s="791"/>
      <c r="AE364" s="792"/>
    </row>
    <row r="365" spans="5:31" ht="12.75" customHeight="1" x14ac:dyDescent="0.25">
      <c r="E365" s="793"/>
      <c r="F365" s="793"/>
      <c r="G365" s="793"/>
      <c r="H365" s="794"/>
    </row>
    <row r="366" spans="5:31" ht="12.75" customHeight="1" x14ac:dyDescent="0.25">
      <c r="E366" s="793"/>
      <c r="F366" s="793"/>
      <c r="G366" s="793"/>
      <c r="H366" s="794"/>
    </row>
    <row r="367" spans="5:31" ht="12.75" customHeight="1" x14ac:dyDescent="0.25">
      <c r="E367" s="793"/>
      <c r="F367" s="793"/>
      <c r="G367" s="793"/>
      <c r="H367" s="794"/>
    </row>
    <row r="368" spans="5:31" ht="12.75" customHeight="1" x14ac:dyDescent="0.25">
      <c r="E368" s="793"/>
      <c r="F368" s="793"/>
      <c r="G368" s="793"/>
      <c r="H368" s="794"/>
    </row>
    <row r="369" spans="5:8" ht="12.75" customHeight="1" x14ac:dyDescent="0.25">
      <c r="E369" s="793"/>
      <c r="F369" s="793"/>
      <c r="G369" s="793"/>
      <c r="H369" s="794"/>
    </row>
    <row r="370" spans="5:8" ht="12.75" customHeight="1" x14ac:dyDescent="0.25">
      <c r="E370" s="793"/>
      <c r="F370" s="793"/>
      <c r="G370" s="793"/>
      <c r="H370" s="794"/>
    </row>
    <row r="371" spans="5:8" ht="12.75" customHeight="1" x14ac:dyDescent="0.25">
      <c r="E371" s="793"/>
      <c r="F371" s="793"/>
      <c r="G371" s="793"/>
      <c r="H371" s="794"/>
    </row>
    <row r="372" spans="5:8" ht="12.75" customHeight="1" x14ac:dyDescent="0.25">
      <c r="E372" s="793"/>
      <c r="F372" s="793"/>
      <c r="G372" s="793"/>
      <c r="H372" s="794"/>
    </row>
    <row r="373" spans="5:8" ht="12.75" customHeight="1" x14ac:dyDescent="0.25">
      <c r="E373" s="793"/>
      <c r="F373" s="793"/>
      <c r="G373" s="793"/>
      <c r="H373" s="794"/>
    </row>
    <row r="374" spans="5:8" ht="12.75" customHeight="1" x14ac:dyDescent="0.25">
      <c r="E374" s="793"/>
      <c r="F374" s="793"/>
      <c r="G374" s="793"/>
      <c r="H374" s="794"/>
    </row>
    <row r="375" spans="5:8" ht="12.75" customHeight="1" x14ac:dyDescent="0.25">
      <c r="E375" s="793"/>
      <c r="F375" s="793"/>
      <c r="G375" s="793"/>
      <c r="H375" s="794"/>
    </row>
    <row r="376" spans="5:8" ht="12.75" customHeight="1" x14ac:dyDescent="0.25">
      <c r="E376" s="793"/>
      <c r="F376" s="793"/>
      <c r="G376" s="793"/>
      <c r="H376" s="794"/>
    </row>
    <row r="377" spans="5:8" ht="12.75" customHeight="1" x14ac:dyDescent="0.25">
      <c r="E377" s="793"/>
      <c r="F377" s="793"/>
      <c r="G377" s="793"/>
      <c r="H377" s="794"/>
    </row>
    <row r="378" spans="5:8" ht="12.75" customHeight="1" x14ac:dyDescent="0.25">
      <c r="E378" s="793"/>
      <c r="F378" s="793"/>
      <c r="G378" s="793"/>
      <c r="H378" s="794"/>
    </row>
    <row r="379" spans="5:8" ht="12.75" customHeight="1" x14ac:dyDescent="0.25">
      <c r="E379" s="793"/>
      <c r="F379" s="793"/>
      <c r="G379" s="793"/>
      <c r="H379" s="794"/>
    </row>
    <row r="380" spans="5:8" ht="12.75" customHeight="1" x14ac:dyDescent="0.25">
      <c r="E380" s="793"/>
      <c r="F380" s="793"/>
      <c r="G380" s="793"/>
      <c r="H380" s="794"/>
    </row>
    <row r="381" spans="5:8" ht="12.75" customHeight="1" x14ac:dyDescent="0.25">
      <c r="E381" s="793"/>
      <c r="F381" s="793"/>
      <c r="G381" s="793"/>
      <c r="H381" s="794"/>
    </row>
    <row r="382" spans="5:8" ht="12.75" customHeight="1" x14ac:dyDescent="0.25">
      <c r="E382" s="793"/>
      <c r="F382" s="793"/>
      <c r="G382" s="793"/>
      <c r="H382" s="794"/>
    </row>
    <row r="383" spans="5:8" ht="12.75" customHeight="1" x14ac:dyDescent="0.25">
      <c r="E383" s="793"/>
      <c r="F383" s="793"/>
      <c r="G383" s="793"/>
      <c r="H383" s="794"/>
    </row>
    <row r="384" spans="5:8" ht="12.75" customHeight="1" x14ac:dyDescent="0.25">
      <c r="E384" s="793"/>
      <c r="F384" s="793"/>
      <c r="G384" s="793"/>
      <c r="H384" s="794"/>
    </row>
    <row r="385" spans="5:8" ht="12.75" customHeight="1" x14ac:dyDescent="0.25">
      <c r="E385" s="793"/>
      <c r="F385" s="793"/>
      <c r="G385" s="793"/>
      <c r="H385" s="794"/>
    </row>
    <row r="386" spans="5:8" ht="12.75" customHeight="1" x14ac:dyDescent="0.25">
      <c r="E386" s="793"/>
      <c r="F386" s="793"/>
      <c r="G386" s="793"/>
      <c r="H386" s="794"/>
    </row>
    <row r="387" spans="5:8" ht="12.75" customHeight="1" x14ac:dyDescent="0.25">
      <c r="E387" s="793"/>
      <c r="F387" s="793"/>
      <c r="G387" s="793"/>
      <c r="H387" s="794"/>
    </row>
    <row r="388" spans="5:8" ht="12.75" customHeight="1" x14ac:dyDescent="0.25">
      <c r="E388" s="793"/>
      <c r="F388" s="793"/>
      <c r="G388" s="793"/>
      <c r="H388" s="794"/>
    </row>
    <row r="389" spans="5:8" ht="12.75" customHeight="1" x14ac:dyDescent="0.25">
      <c r="E389" s="793"/>
      <c r="F389" s="793"/>
      <c r="G389" s="793"/>
      <c r="H389" s="794"/>
    </row>
    <row r="390" spans="5:8" ht="12.75" customHeight="1" x14ac:dyDescent="0.25">
      <c r="E390" s="793"/>
      <c r="F390" s="793"/>
      <c r="G390" s="793"/>
      <c r="H390" s="794"/>
    </row>
    <row r="391" spans="5:8" ht="12.75" customHeight="1" x14ac:dyDescent="0.25">
      <c r="E391" s="793"/>
      <c r="F391" s="793"/>
      <c r="G391" s="793"/>
      <c r="H391" s="794"/>
    </row>
    <row r="392" spans="5:8" ht="12.75" customHeight="1" x14ac:dyDescent="0.25">
      <c r="E392" s="793"/>
      <c r="F392" s="793"/>
      <c r="G392" s="793"/>
      <c r="H392" s="794"/>
    </row>
    <row r="393" spans="5:8" ht="12.75" customHeight="1" x14ac:dyDescent="0.25">
      <c r="E393" s="793"/>
      <c r="F393" s="793"/>
      <c r="G393" s="793"/>
      <c r="H393" s="794"/>
    </row>
    <row r="394" spans="5:8" ht="12.75" customHeight="1" x14ac:dyDescent="0.25">
      <c r="E394" s="793"/>
      <c r="F394" s="793"/>
      <c r="G394" s="793"/>
      <c r="H394" s="794"/>
    </row>
    <row r="395" spans="5:8" ht="12.75" customHeight="1" x14ac:dyDescent="0.25">
      <c r="E395" s="793"/>
      <c r="F395" s="793"/>
      <c r="G395" s="793"/>
      <c r="H395" s="794"/>
    </row>
    <row r="396" spans="5:8" ht="12.75" customHeight="1" x14ac:dyDescent="0.25">
      <c r="E396" s="793"/>
      <c r="F396" s="793"/>
      <c r="G396" s="793"/>
      <c r="H396" s="794"/>
    </row>
    <row r="397" spans="5:8" ht="12.75" customHeight="1" x14ac:dyDescent="0.25">
      <c r="E397" s="793"/>
      <c r="F397" s="793"/>
      <c r="G397" s="793"/>
      <c r="H397" s="794"/>
    </row>
    <row r="398" spans="5:8" ht="12.75" customHeight="1" x14ac:dyDescent="0.25">
      <c r="E398" s="793"/>
      <c r="F398" s="793"/>
      <c r="G398" s="793"/>
      <c r="H398" s="794"/>
    </row>
    <row r="399" spans="5:8" ht="12.75" customHeight="1" x14ac:dyDescent="0.25">
      <c r="E399" s="793"/>
      <c r="F399" s="793"/>
      <c r="G399" s="793"/>
      <c r="H399" s="794"/>
    </row>
    <row r="400" spans="5:8" ht="12.75" customHeight="1" x14ac:dyDescent="0.25">
      <c r="E400" s="793"/>
      <c r="F400" s="793"/>
      <c r="G400" s="793"/>
      <c r="H400" s="794"/>
    </row>
    <row r="401" spans="5:8" ht="12.75" customHeight="1" x14ac:dyDescent="0.25">
      <c r="E401" s="793"/>
      <c r="F401" s="793"/>
      <c r="G401" s="793"/>
      <c r="H401" s="794"/>
    </row>
    <row r="402" spans="5:8" ht="12.75" customHeight="1" x14ac:dyDescent="0.25">
      <c r="E402" s="793"/>
      <c r="F402" s="793"/>
      <c r="G402" s="793"/>
      <c r="H402" s="794"/>
    </row>
    <row r="403" spans="5:8" ht="12.75" customHeight="1" x14ac:dyDescent="0.25">
      <c r="E403" s="793"/>
      <c r="F403" s="793"/>
      <c r="G403" s="793"/>
      <c r="H403" s="794"/>
    </row>
    <row r="404" spans="5:8" ht="12.75" customHeight="1" x14ac:dyDescent="0.25">
      <c r="E404" s="793"/>
      <c r="F404" s="793"/>
      <c r="G404" s="793"/>
      <c r="H404" s="794"/>
    </row>
    <row r="405" spans="5:8" ht="12.75" customHeight="1" x14ac:dyDescent="0.25">
      <c r="E405" s="793"/>
      <c r="F405" s="793"/>
      <c r="G405" s="793"/>
      <c r="H405" s="794"/>
    </row>
    <row r="406" spans="5:8" ht="12.75" customHeight="1" x14ac:dyDescent="0.25">
      <c r="E406" s="793"/>
      <c r="F406" s="793"/>
      <c r="G406" s="793"/>
      <c r="H406" s="794"/>
    </row>
    <row r="407" spans="5:8" ht="12.75" customHeight="1" x14ac:dyDescent="0.25">
      <c r="E407" s="793"/>
      <c r="F407" s="793"/>
      <c r="G407" s="793"/>
      <c r="H407" s="794"/>
    </row>
    <row r="408" spans="5:8" ht="12.75" customHeight="1" x14ac:dyDescent="0.25">
      <c r="E408" s="793"/>
      <c r="F408" s="793"/>
      <c r="G408" s="793"/>
      <c r="H408" s="794"/>
    </row>
    <row r="409" spans="5:8" ht="12.75" customHeight="1" x14ac:dyDescent="0.25">
      <c r="E409" s="793"/>
      <c r="F409" s="793"/>
      <c r="G409" s="793"/>
      <c r="H409" s="794"/>
    </row>
    <row r="410" spans="5:8" ht="12.75" customHeight="1" x14ac:dyDescent="0.25">
      <c r="E410" s="793"/>
      <c r="F410" s="793"/>
      <c r="G410" s="793"/>
      <c r="H410" s="794"/>
    </row>
    <row r="411" spans="5:8" ht="12.75" customHeight="1" x14ac:dyDescent="0.25">
      <c r="E411" s="793"/>
      <c r="F411" s="793"/>
      <c r="G411" s="793"/>
      <c r="H411" s="794"/>
    </row>
    <row r="412" spans="5:8" ht="12.75" customHeight="1" x14ac:dyDescent="0.25">
      <c r="E412" s="793"/>
      <c r="F412" s="793"/>
      <c r="G412" s="793"/>
      <c r="H412" s="794"/>
    </row>
    <row r="413" spans="5:8" ht="12.75" customHeight="1" x14ac:dyDescent="0.25">
      <c r="E413" s="793"/>
      <c r="F413" s="793"/>
      <c r="G413" s="793"/>
      <c r="H413" s="794"/>
    </row>
    <row r="414" spans="5:8" ht="12.75" customHeight="1" x14ac:dyDescent="0.25">
      <c r="E414" s="793"/>
      <c r="F414" s="793"/>
      <c r="G414" s="793"/>
      <c r="H414" s="794"/>
    </row>
    <row r="415" spans="5:8" ht="12.75" customHeight="1" x14ac:dyDescent="0.25">
      <c r="E415" s="793"/>
      <c r="F415" s="793"/>
      <c r="G415" s="793"/>
      <c r="H415" s="794"/>
    </row>
    <row r="416" spans="5:8" ht="12.75" customHeight="1" x14ac:dyDescent="0.25">
      <c r="E416" s="793"/>
      <c r="F416" s="793"/>
      <c r="G416" s="793"/>
      <c r="H416" s="794"/>
    </row>
    <row r="417" spans="5:8" ht="12.75" customHeight="1" x14ac:dyDescent="0.25">
      <c r="E417" s="793"/>
      <c r="F417" s="793"/>
      <c r="G417" s="793"/>
      <c r="H417" s="794"/>
    </row>
    <row r="418" spans="5:8" ht="12.75" customHeight="1" x14ac:dyDescent="0.25">
      <c r="E418" s="793"/>
      <c r="F418" s="793"/>
      <c r="G418" s="793"/>
      <c r="H418" s="794"/>
    </row>
    <row r="419" spans="5:8" ht="12.75" customHeight="1" x14ac:dyDescent="0.25">
      <c r="E419" s="793"/>
      <c r="F419" s="793"/>
      <c r="G419" s="793"/>
      <c r="H419" s="794"/>
    </row>
    <row r="420" spans="5:8" ht="12.75" customHeight="1" x14ac:dyDescent="0.25">
      <c r="E420" s="793"/>
      <c r="F420" s="793"/>
      <c r="G420" s="793"/>
      <c r="H420" s="794"/>
    </row>
    <row r="421" spans="5:8" ht="12.75" customHeight="1" x14ac:dyDescent="0.25">
      <c r="E421" s="793"/>
      <c r="F421" s="793"/>
      <c r="G421" s="793"/>
      <c r="H421" s="794"/>
    </row>
    <row r="422" spans="5:8" ht="12.75" customHeight="1" x14ac:dyDescent="0.25">
      <c r="E422" s="793"/>
      <c r="F422" s="793"/>
      <c r="G422" s="793"/>
      <c r="H422" s="794"/>
    </row>
    <row r="423" spans="5:8" ht="12.75" customHeight="1" x14ac:dyDescent="0.25">
      <c r="E423" s="793"/>
      <c r="F423" s="793"/>
      <c r="G423" s="793"/>
      <c r="H423" s="794"/>
    </row>
    <row r="424" spans="5:8" ht="12.75" customHeight="1" x14ac:dyDescent="0.25">
      <c r="E424" s="793"/>
      <c r="F424" s="793"/>
      <c r="G424" s="793"/>
      <c r="H424" s="794"/>
    </row>
    <row r="425" spans="5:8" ht="12.75" customHeight="1" x14ac:dyDescent="0.25">
      <c r="E425" s="793"/>
      <c r="F425" s="793"/>
      <c r="G425" s="793"/>
      <c r="H425" s="794"/>
    </row>
    <row r="426" spans="5:8" ht="12.75" customHeight="1" x14ac:dyDescent="0.25">
      <c r="E426" s="793"/>
      <c r="F426" s="793"/>
      <c r="G426" s="793"/>
      <c r="H426" s="794"/>
    </row>
    <row r="427" spans="5:8" ht="12.75" customHeight="1" x14ac:dyDescent="0.25">
      <c r="E427" s="793"/>
      <c r="F427" s="793"/>
      <c r="G427" s="793"/>
      <c r="H427" s="794"/>
    </row>
    <row r="428" spans="5:8" ht="12.75" customHeight="1" x14ac:dyDescent="0.25">
      <c r="E428" s="793"/>
      <c r="F428" s="793"/>
      <c r="G428" s="793"/>
      <c r="H428" s="794"/>
    </row>
    <row r="429" spans="5:8" ht="12.75" customHeight="1" x14ac:dyDescent="0.25">
      <c r="E429" s="793"/>
      <c r="F429" s="793"/>
      <c r="G429" s="793"/>
      <c r="H429" s="794"/>
    </row>
    <row r="430" spans="5:8" ht="12.75" customHeight="1" x14ac:dyDescent="0.25">
      <c r="E430" s="793"/>
      <c r="F430" s="793"/>
      <c r="G430" s="793"/>
      <c r="H430" s="794"/>
    </row>
    <row r="431" spans="5:8" ht="12.75" customHeight="1" x14ac:dyDescent="0.25">
      <c r="E431" s="793"/>
      <c r="F431" s="793"/>
      <c r="G431" s="793"/>
      <c r="H431" s="794"/>
    </row>
    <row r="432" spans="5:8" ht="12.75" customHeight="1" x14ac:dyDescent="0.25">
      <c r="E432" s="793"/>
      <c r="F432" s="793"/>
      <c r="G432" s="793"/>
      <c r="H432" s="794"/>
    </row>
    <row r="433" spans="5:8" ht="12.75" customHeight="1" x14ac:dyDescent="0.25">
      <c r="E433" s="793"/>
      <c r="F433" s="793"/>
      <c r="G433" s="793"/>
      <c r="H433" s="794"/>
    </row>
    <row r="434" spans="5:8" ht="12.75" customHeight="1" x14ac:dyDescent="0.25">
      <c r="E434" s="793"/>
      <c r="F434" s="793"/>
      <c r="G434" s="793"/>
      <c r="H434" s="794"/>
    </row>
    <row r="435" spans="5:8" ht="12.75" customHeight="1" x14ac:dyDescent="0.25">
      <c r="E435" s="793"/>
      <c r="F435" s="793"/>
      <c r="G435" s="793"/>
      <c r="H435" s="794"/>
    </row>
    <row r="436" spans="5:8" ht="12.75" customHeight="1" x14ac:dyDescent="0.25">
      <c r="E436" s="793"/>
      <c r="F436" s="793"/>
      <c r="G436" s="793"/>
      <c r="H436" s="794"/>
    </row>
    <row r="437" spans="5:8" ht="12.75" customHeight="1" x14ac:dyDescent="0.25">
      <c r="E437" s="793"/>
      <c r="F437" s="793"/>
      <c r="G437" s="793"/>
      <c r="H437" s="794"/>
    </row>
    <row r="438" spans="5:8" ht="12.75" customHeight="1" x14ac:dyDescent="0.25">
      <c r="E438" s="793"/>
      <c r="F438" s="793"/>
      <c r="G438" s="793"/>
      <c r="H438" s="794"/>
    </row>
    <row r="439" spans="5:8" ht="12.75" customHeight="1" x14ac:dyDescent="0.25">
      <c r="E439" s="793"/>
      <c r="F439" s="793"/>
      <c r="G439" s="793"/>
      <c r="H439" s="794"/>
    </row>
    <row r="440" spans="5:8" ht="12.75" customHeight="1" x14ac:dyDescent="0.25">
      <c r="E440" s="793"/>
      <c r="F440" s="793"/>
      <c r="G440" s="793"/>
      <c r="H440" s="794"/>
    </row>
    <row r="441" spans="5:8" ht="12.75" customHeight="1" x14ac:dyDescent="0.25">
      <c r="E441" s="793"/>
      <c r="F441" s="793"/>
      <c r="G441" s="793"/>
      <c r="H441" s="794"/>
    </row>
    <row r="442" spans="5:8" ht="12.75" customHeight="1" x14ac:dyDescent="0.25">
      <c r="E442" s="793"/>
      <c r="F442" s="793"/>
      <c r="G442" s="793"/>
      <c r="H442" s="794"/>
    </row>
    <row r="443" spans="5:8" ht="12.75" customHeight="1" x14ac:dyDescent="0.25">
      <c r="E443" s="793"/>
      <c r="F443" s="793"/>
      <c r="G443" s="793"/>
      <c r="H443" s="794"/>
    </row>
    <row r="444" spans="5:8" ht="12.75" customHeight="1" x14ac:dyDescent="0.25">
      <c r="E444" s="793"/>
      <c r="F444" s="793"/>
      <c r="G444" s="793"/>
      <c r="H444" s="794"/>
    </row>
    <row r="445" spans="5:8" ht="12.75" customHeight="1" x14ac:dyDescent="0.25">
      <c r="E445" s="793"/>
      <c r="F445" s="793"/>
      <c r="G445" s="793"/>
      <c r="H445" s="794"/>
    </row>
    <row r="446" spans="5:8" ht="12.75" customHeight="1" x14ac:dyDescent="0.25">
      <c r="E446" s="793"/>
      <c r="F446" s="793"/>
      <c r="G446" s="793"/>
      <c r="H446" s="794"/>
    </row>
    <row r="447" spans="5:8" ht="12.75" customHeight="1" x14ac:dyDescent="0.25">
      <c r="E447" s="793"/>
      <c r="F447" s="793"/>
      <c r="G447" s="793"/>
      <c r="H447" s="794"/>
    </row>
    <row r="448" spans="5:8" ht="12.75" customHeight="1" x14ac:dyDescent="0.25">
      <c r="E448" s="793"/>
      <c r="F448" s="793"/>
      <c r="G448" s="793"/>
      <c r="H448" s="794"/>
    </row>
    <row r="449" spans="5:8" ht="12.75" customHeight="1" x14ac:dyDescent="0.25">
      <c r="E449" s="793"/>
      <c r="F449" s="793"/>
      <c r="G449" s="793"/>
      <c r="H449" s="794"/>
    </row>
    <row r="450" spans="5:8" ht="12.75" customHeight="1" x14ac:dyDescent="0.25">
      <c r="E450" s="793"/>
      <c r="F450" s="793"/>
      <c r="G450" s="793"/>
      <c r="H450" s="794"/>
    </row>
    <row r="451" spans="5:8" ht="12.75" customHeight="1" x14ac:dyDescent="0.25">
      <c r="E451" s="793"/>
      <c r="F451" s="793"/>
      <c r="G451" s="793"/>
      <c r="H451" s="794"/>
    </row>
    <row r="452" spans="5:8" ht="12.75" customHeight="1" x14ac:dyDescent="0.25">
      <c r="E452" s="793"/>
      <c r="F452" s="793"/>
      <c r="G452" s="793"/>
      <c r="H452" s="794"/>
    </row>
    <row r="453" spans="5:8" ht="12.75" customHeight="1" x14ac:dyDescent="0.25">
      <c r="E453" s="793"/>
      <c r="F453" s="793"/>
      <c r="G453" s="793"/>
      <c r="H453" s="794"/>
    </row>
    <row r="454" spans="5:8" ht="12.75" customHeight="1" x14ac:dyDescent="0.25">
      <c r="E454" s="793"/>
      <c r="F454" s="793"/>
      <c r="G454" s="793"/>
      <c r="H454" s="794"/>
    </row>
    <row r="455" spans="5:8" ht="12.75" customHeight="1" x14ac:dyDescent="0.25">
      <c r="E455" s="793"/>
      <c r="F455" s="793"/>
      <c r="G455" s="793"/>
      <c r="H455" s="794"/>
    </row>
    <row r="456" spans="5:8" ht="12.75" customHeight="1" x14ac:dyDescent="0.25">
      <c r="E456" s="793"/>
      <c r="F456" s="793"/>
      <c r="G456" s="793"/>
      <c r="H456" s="794"/>
    </row>
    <row r="457" spans="5:8" ht="12.75" customHeight="1" x14ac:dyDescent="0.25">
      <c r="E457" s="793"/>
      <c r="F457" s="793"/>
      <c r="G457" s="793"/>
      <c r="H457" s="794"/>
    </row>
    <row r="458" spans="5:8" ht="12.75" customHeight="1" x14ac:dyDescent="0.25">
      <c r="E458" s="793"/>
      <c r="F458" s="793"/>
      <c r="G458" s="793"/>
      <c r="H458" s="794"/>
    </row>
    <row r="459" spans="5:8" ht="12.75" customHeight="1" x14ac:dyDescent="0.25">
      <c r="E459" s="793"/>
      <c r="F459" s="793"/>
      <c r="G459" s="793"/>
      <c r="H459" s="794"/>
    </row>
    <row r="460" spans="5:8" ht="12.75" customHeight="1" x14ac:dyDescent="0.25">
      <c r="E460" s="793"/>
      <c r="F460" s="793"/>
      <c r="G460" s="793"/>
      <c r="H460" s="794"/>
    </row>
    <row r="461" spans="5:8" ht="12.75" customHeight="1" x14ac:dyDescent="0.25">
      <c r="E461" s="793"/>
      <c r="F461" s="793"/>
      <c r="G461" s="793"/>
      <c r="H461" s="794"/>
    </row>
    <row r="462" spans="5:8" ht="12.75" customHeight="1" x14ac:dyDescent="0.25">
      <c r="E462" s="793"/>
      <c r="F462" s="793"/>
      <c r="G462" s="793"/>
      <c r="H462" s="794"/>
    </row>
    <row r="463" spans="5:8" ht="12.75" customHeight="1" x14ac:dyDescent="0.25">
      <c r="E463" s="793"/>
      <c r="F463" s="793"/>
      <c r="G463" s="793"/>
      <c r="H463" s="794"/>
    </row>
    <row r="464" spans="5:8" ht="12.75" customHeight="1" x14ac:dyDescent="0.25">
      <c r="E464" s="793"/>
      <c r="F464" s="793"/>
      <c r="G464" s="793"/>
      <c r="H464" s="794"/>
    </row>
    <row r="465" spans="5:8" ht="12.75" customHeight="1" x14ac:dyDescent="0.25">
      <c r="E465" s="793"/>
      <c r="F465" s="793"/>
      <c r="G465" s="793"/>
      <c r="H465" s="794"/>
    </row>
    <row r="466" spans="5:8" ht="12.75" customHeight="1" x14ac:dyDescent="0.25">
      <c r="E466" s="793"/>
      <c r="F466" s="793"/>
      <c r="G466" s="793"/>
      <c r="H466" s="794"/>
    </row>
    <row r="467" spans="5:8" ht="12.75" customHeight="1" x14ac:dyDescent="0.25">
      <c r="E467" s="793"/>
      <c r="F467" s="793"/>
      <c r="G467" s="793"/>
      <c r="H467" s="794"/>
    </row>
    <row r="468" spans="5:8" ht="12.75" customHeight="1" x14ac:dyDescent="0.25">
      <c r="E468" s="793"/>
      <c r="F468" s="793"/>
      <c r="G468" s="793"/>
      <c r="H468" s="794"/>
    </row>
    <row r="469" spans="5:8" ht="12.75" customHeight="1" x14ac:dyDescent="0.25">
      <c r="E469" s="793"/>
      <c r="F469" s="793"/>
      <c r="G469" s="793"/>
      <c r="H469" s="794"/>
    </row>
    <row r="470" spans="5:8" ht="12.75" customHeight="1" x14ac:dyDescent="0.25">
      <c r="E470" s="793"/>
      <c r="F470" s="793"/>
      <c r="G470" s="793"/>
      <c r="H470" s="794"/>
    </row>
    <row r="471" spans="5:8" ht="12.75" customHeight="1" x14ac:dyDescent="0.25">
      <c r="E471" s="793"/>
      <c r="F471" s="793"/>
      <c r="G471" s="793"/>
      <c r="H471" s="794"/>
    </row>
    <row r="472" spans="5:8" ht="12.75" customHeight="1" x14ac:dyDescent="0.25">
      <c r="E472" s="793"/>
      <c r="F472" s="793"/>
      <c r="G472" s="793"/>
      <c r="H472" s="794"/>
    </row>
    <row r="473" spans="5:8" ht="12.75" customHeight="1" x14ac:dyDescent="0.25">
      <c r="E473" s="793"/>
      <c r="F473" s="793"/>
      <c r="G473" s="793"/>
      <c r="H473" s="794"/>
    </row>
    <row r="474" spans="5:8" ht="12.75" customHeight="1" x14ac:dyDescent="0.25">
      <c r="E474" s="793"/>
      <c r="F474" s="793"/>
      <c r="G474" s="793"/>
      <c r="H474" s="794"/>
    </row>
    <row r="475" spans="5:8" ht="12.75" customHeight="1" x14ac:dyDescent="0.25">
      <c r="E475" s="793"/>
      <c r="F475" s="793"/>
      <c r="G475" s="793"/>
      <c r="H475" s="794"/>
    </row>
    <row r="476" spans="5:8" ht="12.75" customHeight="1" x14ac:dyDescent="0.25">
      <c r="E476" s="793"/>
      <c r="F476" s="793"/>
      <c r="G476" s="793"/>
      <c r="H476" s="794"/>
    </row>
    <row r="477" spans="5:8" ht="12.75" customHeight="1" x14ac:dyDescent="0.25">
      <c r="E477" s="793"/>
      <c r="F477" s="793"/>
      <c r="G477" s="793"/>
      <c r="H477" s="794"/>
    </row>
    <row r="478" spans="5:8" ht="12.75" customHeight="1" x14ac:dyDescent="0.25">
      <c r="E478" s="793"/>
      <c r="F478" s="793"/>
      <c r="G478" s="793"/>
      <c r="H478" s="794"/>
    </row>
    <row r="479" spans="5:8" ht="12.75" customHeight="1" x14ac:dyDescent="0.25">
      <c r="E479" s="793"/>
      <c r="F479" s="793"/>
      <c r="G479" s="793"/>
      <c r="H479" s="794"/>
    </row>
    <row r="480" spans="5:8" ht="12.75" customHeight="1" x14ac:dyDescent="0.25">
      <c r="E480" s="793"/>
      <c r="F480" s="793"/>
      <c r="G480" s="793"/>
      <c r="H480" s="794"/>
    </row>
    <row r="481" spans="5:8" ht="12.75" customHeight="1" x14ac:dyDescent="0.25">
      <c r="E481" s="793"/>
      <c r="F481" s="793"/>
      <c r="G481" s="793"/>
      <c r="H481" s="794"/>
    </row>
    <row r="482" spans="5:8" ht="12.75" customHeight="1" x14ac:dyDescent="0.25">
      <c r="E482" s="793"/>
      <c r="F482" s="793"/>
      <c r="G482" s="793"/>
      <c r="H482" s="794"/>
    </row>
    <row r="483" spans="5:8" ht="12.75" customHeight="1" x14ac:dyDescent="0.25">
      <c r="E483" s="793"/>
      <c r="F483" s="793"/>
      <c r="G483" s="793"/>
      <c r="H483" s="794"/>
    </row>
    <row r="484" spans="5:8" ht="12.75" customHeight="1" x14ac:dyDescent="0.25">
      <c r="E484" s="793"/>
      <c r="F484" s="793"/>
      <c r="G484" s="793"/>
      <c r="H484" s="794"/>
    </row>
    <row r="485" spans="5:8" ht="12.75" customHeight="1" x14ac:dyDescent="0.25">
      <c r="E485" s="793"/>
      <c r="F485" s="793"/>
      <c r="G485" s="793"/>
      <c r="H485" s="794"/>
    </row>
    <row r="486" spans="5:8" ht="12.75" customHeight="1" x14ac:dyDescent="0.25">
      <c r="E486" s="793"/>
      <c r="F486" s="793"/>
      <c r="G486" s="793"/>
      <c r="H486" s="794"/>
    </row>
    <row r="487" spans="5:8" ht="12.75" customHeight="1" x14ac:dyDescent="0.25">
      <c r="E487" s="793"/>
      <c r="F487" s="793"/>
      <c r="G487" s="793"/>
      <c r="H487" s="794"/>
    </row>
    <row r="488" spans="5:8" ht="12.75" customHeight="1" x14ac:dyDescent="0.25">
      <c r="E488" s="793"/>
      <c r="F488" s="793"/>
      <c r="G488" s="793"/>
      <c r="H488" s="794"/>
    </row>
    <row r="489" spans="5:8" ht="12.75" customHeight="1" x14ac:dyDescent="0.25">
      <c r="E489" s="793"/>
      <c r="F489" s="793"/>
      <c r="G489" s="793"/>
      <c r="H489" s="794"/>
    </row>
    <row r="490" spans="5:8" ht="12.75" customHeight="1" x14ac:dyDescent="0.25">
      <c r="E490" s="793"/>
      <c r="F490" s="793"/>
      <c r="G490" s="793"/>
      <c r="H490" s="794"/>
    </row>
    <row r="491" spans="5:8" ht="12.75" customHeight="1" x14ac:dyDescent="0.25">
      <c r="E491" s="793"/>
      <c r="F491" s="793"/>
      <c r="G491" s="793"/>
      <c r="H491" s="794"/>
    </row>
    <row r="492" spans="5:8" ht="12.75" customHeight="1" x14ac:dyDescent="0.25">
      <c r="E492" s="793"/>
      <c r="F492" s="793"/>
      <c r="G492" s="793"/>
      <c r="H492" s="794"/>
    </row>
    <row r="493" spans="5:8" ht="12.75" customHeight="1" x14ac:dyDescent="0.25">
      <c r="E493" s="793"/>
      <c r="F493" s="793"/>
      <c r="G493" s="793"/>
      <c r="H493" s="794"/>
    </row>
    <row r="494" spans="5:8" ht="12.75" customHeight="1" x14ac:dyDescent="0.25">
      <c r="E494" s="793"/>
      <c r="F494" s="793"/>
      <c r="G494" s="793"/>
      <c r="H494" s="794"/>
    </row>
    <row r="495" spans="5:8" ht="12.75" customHeight="1" x14ac:dyDescent="0.25">
      <c r="E495" s="793"/>
      <c r="F495" s="793"/>
      <c r="G495" s="793"/>
      <c r="H495" s="794"/>
    </row>
    <row r="496" spans="5:8" ht="12.75" customHeight="1" x14ac:dyDescent="0.25">
      <c r="E496" s="793"/>
      <c r="F496" s="793"/>
      <c r="G496" s="793"/>
      <c r="H496" s="794"/>
    </row>
    <row r="497" spans="5:8" ht="12.75" customHeight="1" x14ac:dyDescent="0.25">
      <c r="E497" s="793"/>
      <c r="F497" s="793"/>
      <c r="G497" s="793"/>
      <c r="H497" s="794"/>
    </row>
    <row r="498" spans="5:8" ht="12.75" customHeight="1" x14ac:dyDescent="0.25">
      <c r="E498" s="793"/>
      <c r="F498" s="793"/>
      <c r="G498" s="793"/>
      <c r="H498" s="794"/>
    </row>
    <row r="499" spans="5:8" ht="12.75" customHeight="1" x14ac:dyDescent="0.25">
      <c r="E499" s="793"/>
      <c r="F499" s="793"/>
      <c r="G499" s="793"/>
      <c r="H499" s="794"/>
    </row>
    <row r="500" spans="5:8" ht="12.75" customHeight="1" x14ac:dyDescent="0.25">
      <c r="E500" s="793"/>
      <c r="F500" s="793"/>
      <c r="G500" s="793"/>
      <c r="H500" s="794"/>
    </row>
    <row r="501" spans="5:8" ht="12.75" customHeight="1" x14ac:dyDescent="0.25">
      <c r="E501" s="793"/>
      <c r="F501" s="793"/>
      <c r="G501" s="793"/>
      <c r="H501" s="794"/>
    </row>
    <row r="502" spans="5:8" ht="12.75" customHeight="1" x14ac:dyDescent="0.25">
      <c r="E502" s="793"/>
      <c r="F502" s="793"/>
      <c r="G502" s="793"/>
      <c r="H502" s="794"/>
    </row>
    <row r="503" spans="5:8" ht="12.75" customHeight="1" x14ac:dyDescent="0.25">
      <c r="E503" s="793"/>
      <c r="F503" s="793"/>
      <c r="G503" s="793"/>
      <c r="H503" s="794"/>
    </row>
    <row r="504" spans="5:8" ht="12.75" customHeight="1" x14ac:dyDescent="0.25">
      <c r="E504" s="793"/>
      <c r="F504" s="793"/>
      <c r="G504" s="793"/>
      <c r="H504" s="794"/>
    </row>
    <row r="505" spans="5:8" ht="12.75" customHeight="1" x14ac:dyDescent="0.25">
      <c r="E505" s="793"/>
      <c r="F505" s="793"/>
      <c r="G505" s="793"/>
      <c r="H505" s="794"/>
    </row>
    <row r="506" spans="5:8" ht="12.75" customHeight="1" x14ac:dyDescent="0.25">
      <c r="E506" s="793"/>
      <c r="F506" s="793"/>
      <c r="G506" s="793"/>
      <c r="H506" s="794"/>
    </row>
    <row r="507" spans="5:8" ht="12.75" customHeight="1" x14ac:dyDescent="0.25">
      <c r="E507" s="793"/>
      <c r="F507" s="793"/>
      <c r="G507" s="793"/>
      <c r="H507" s="794"/>
    </row>
    <row r="508" spans="5:8" ht="12.75" customHeight="1" x14ac:dyDescent="0.25">
      <c r="E508" s="793"/>
      <c r="F508" s="793"/>
      <c r="G508" s="793"/>
      <c r="H508" s="794"/>
    </row>
    <row r="509" spans="5:8" ht="12.75" customHeight="1" x14ac:dyDescent="0.25">
      <c r="E509" s="793"/>
      <c r="F509" s="793"/>
      <c r="G509" s="793"/>
      <c r="H509" s="794"/>
    </row>
    <row r="510" spans="5:8" ht="12.75" customHeight="1" x14ac:dyDescent="0.25">
      <c r="E510" s="793"/>
      <c r="F510" s="793"/>
      <c r="G510" s="793"/>
      <c r="H510" s="794"/>
    </row>
    <row r="511" spans="5:8" ht="12.75" customHeight="1" x14ac:dyDescent="0.25">
      <c r="E511" s="793"/>
      <c r="F511" s="793"/>
      <c r="G511" s="793"/>
      <c r="H511" s="794"/>
    </row>
    <row r="512" spans="5:8" ht="12.75" customHeight="1" x14ac:dyDescent="0.25">
      <c r="E512" s="793"/>
      <c r="F512" s="793"/>
      <c r="G512" s="793"/>
      <c r="H512" s="794"/>
    </row>
    <row r="513" spans="5:8" ht="12.75" customHeight="1" x14ac:dyDescent="0.25">
      <c r="E513" s="793"/>
      <c r="F513" s="793"/>
      <c r="G513" s="793"/>
      <c r="H513" s="794"/>
    </row>
    <row r="514" spans="5:8" ht="12.75" customHeight="1" x14ac:dyDescent="0.25">
      <c r="E514" s="793"/>
      <c r="F514" s="793"/>
      <c r="G514" s="793"/>
      <c r="H514" s="794"/>
    </row>
    <row r="515" spans="5:8" ht="12.75" customHeight="1" x14ac:dyDescent="0.25">
      <c r="E515" s="793"/>
      <c r="F515" s="793"/>
      <c r="G515" s="793"/>
      <c r="H515" s="794"/>
    </row>
    <row r="516" spans="5:8" ht="12.75" customHeight="1" x14ac:dyDescent="0.25">
      <c r="E516" s="793"/>
      <c r="F516" s="793"/>
      <c r="G516" s="793"/>
      <c r="H516" s="794"/>
    </row>
    <row r="517" spans="5:8" ht="12.75" customHeight="1" x14ac:dyDescent="0.25">
      <c r="E517" s="793"/>
      <c r="F517" s="793"/>
      <c r="G517" s="793"/>
      <c r="H517" s="794"/>
    </row>
    <row r="518" spans="5:8" ht="12.75" customHeight="1" x14ac:dyDescent="0.25">
      <c r="E518" s="793"/>
      <c r="F518" s="793"/>
      <c r="G518" s="793"/>
      <c r="H518" s="794"/>
    </row>
    <row r="519" spans="5:8" ht="12.75" customHeight="1" x14ac:dyDescent="0.25">
      <c r="E519" s="793"/>
      <c r="F519" s="793"/>
      <c r="G519" s="793"/>
      <c r="H519" s="794"/>
    </row>
    <row r="520" spans="5:8" ht="12.75" customHeight="1" x14ac:dyDescent="0.25">
      <c r="E520" s="793"/>
      <c r="F520" s="793"/>
      <c r="G520" s="793"/>
      <c r="H520" s="794"/>
    </row>
    <row r="521" spans="5:8" ht="12.75" customHeight="1" x14ac:dyDescent="0.25">
      <c r="E521" s="793"/>
      <c r="F521" s="793"/>
      <c r="G521" s="793"/>
      <c r="H521" s="794"/>
    </row>
    <row r="522" spans="5:8" ht="12.75" customHeight="1" x14ac:dyDescent="0.25">
      <c r="E522" s="793"/>
      <c r="F522" s="793"/>
      <c r="G522" s="793"/>
      <c r="H522" s="794"/>
    </row>
    <row r="523" spans="5:8" ht="12.75" customHeight="1" x14ac:dyDescent="0.25">
      <c r="E523" s="793"/>
      <c r="F523" s="793"/>
      <c r="G523" s="793"/>
      <c r="H523" s="794"/>
    </row>
    <row r="524" spans="5:8" ht="12.75" customHeight="1" x14ac:dyDescent="0.25">
      <c r="E524" s="793"/>
      <c r="F524" s="793"/>
      <c r="G524" s="793"/>
      <c r="H524" s="794"/>
    </row>
    <row r="525" spans="5:8" ht="12.75" customHeight="1" x14ac:dyDescent="0.25">
      <c r="E525" s="793"/>
      <c r="F525" s="793"/>
      <c r="G525" s="793"/>
      <c r="H525" s="794"/>
    </row>
    <row r="526" spans="5:8" ht="12.75" customHeight="1" x14ac:dyDescent="0.25">
      <c r="E526" s="793"/>
      <c r="F526" s="793"/>
      <c r="G526" s="793"/>
      <c r="H526" s="794"/>
    </row>
    <row r="527" spans="5:8" ht="12.75" customHeight="1" x14ac:dyDescent="0.25">
      <c r="E527" s="793"/>
      <c r="F527" s="793"/>
      <c r="G527" s="793"/>
      <c r="H527" s="794"/>
    </row>
    <row r="528" spans="5:8" ht="12.75" customHeight="1" x14ac:dyDescent="0.25">
      <c r="E528" s="793"/>
      <c r="F528" s="793"/>
      <c r="G528" s="793"/>
      <c r="H528" s="794"/>
    </row>
    <row r="529" spans="5:8" ht="12.75" customHeight="1" x14ac:dyDescent="0.25">
      <c r="E529" s="793"/>
      <c r="F529" s="793"/>
      <c r="G529" s="793"/>
      <c r="H529" s="794"/>
    </row>
    <row r="530" spans="5:8" ht="12.75" customHeight="1" x14ac:dyDescent="0.25">
      <c r="E530" s="793"/>
      <c r="F530" s="793"/>
      <c r="G530" s="793"/>
      <c r="H530" s="794"/>
    </row>
    <row r="531" spans="5:8" ht="12.75" customHeight="1" x14ac:dyDescent="0.25">
      <c r="E531" s="793"/>
      <c r="F531" s="793"/>
      <c r="G531" s="793"/>
      <c r="H531" s="794"/>
    </row>
    <row r="532" spans="5:8" ht="12.75" customHeight="1" x14ac:dyDescent="0.25">
      <c r="E532" s="793"/>
      <c r="F532" s="793"/>
      <c r="G532" s="793"/>
      <c r="H532" s="794"/>
    </row>
    <row r="533" spans="5:8" ht="12.75" customHeight="1" x14ac:dyDescent="0.25">
      <c r="E533" s="793"/>
      <c r="F533" s="793"/>
      <c r="G533" s="793"/>
      <c r="H533" s="794"/>
    </row>
    <row r="534" spans="5:8" ht="12.75" customHeight="1" x14ac:dyDescent="0.25">
      <c r="E534" s="793"/>
      <c r="F534" s="793"/>
      <c r="G534" s="793"/>
      <c r="H534" s="794"/>
    </row>
    <row r="535" spans="5:8" ht="12.75" customHeight="1" x14ac:dyDescent="0.25">
      <c r="E535" s="793"/>
      <c r="F535" s="793"/>
      <c r="G535" s="793"/>
      <c r="H535" s="794"/>
    </row>
    <row r="536" spans="5:8" ht="12.75" customHeight="1" x14ac:dyDescent="0.25">
      <c r="E536" s="793"/>
      <c r="F536" s="793"/>
      <c r="G536" s="793"/>
      <c r="H536" s="794"/>
    </row>
    <row r="537" spans="5:8" ht="12.75" customHeight="1" x14ac:dyDescent="0.25">
      <c r="E537" s="793"/>
      <c r="F537" s="793"/>
      <c r="G537" s="793"/>
      <c r="H537" s="794"/>
    </row>
    <row r="538" spans="5:8" ht="12.75" customHeight="1" x14ac:dyDescent="0.25">
      <c r="E538" s="793"/>
      <c r="F538" s="793"/>
      <c r="G538" s="793"/>
      <c r="H538" s="794"/>
    </row>
    <row r="539" spans="5:8" ht="12.75" customHeight="1" x14ac:dyDescent="0.25">
      <c r="E539" s="793"/>
      <c r="F539" s="793"/>
      <c r="G539" s="793"/>
      <c r="H539" s="794"/>
    </row>
    <row r="540" spans="5:8" ht="12.75" customHeight="1" x14ac:dyDescent="0.25">
      <c r="E540" s="793"/>
      <c r="F540" s="793"/>
      <c r="G540" s="793"/>
      <c r="H540" s="794"/>
    </row>
    <row r="541" spans="5:8" ht="12.75" customHeight="1" x14ac:dyDescent="0.25">
      <c r="E541" s="793"/>
      <c r="F541" s="793"/>
      <c r="G541" s="793"/>
      <c r="H541" s="794"/>
    </row>
    <row r="542" spans="5:8" ht="12.75" customHeight="1" x14ac:dyDescent="0.25">
      <c r="E542" s="793"/>
      <c r="F542" s="793"/>
      <c r="G542" s="793"/>
      <c r="H542" s="794"/>
    </row>
    <row r="543" spans="5:8" ht="12.75" customHeight="1" x14ac:dyDescent="0.25">
      <c r="E543" s="793"/>
      <c r="F543" s="793"/>
      <c r="G543" s="793"/>
      <c r="H543" s="794"/>
    </row>
    <row r="544" spans="5:8" ht="12.75" customHeight="1" x14ac:dyDescent="0.25">
      <c r="E544" s="793"/>
      <c r="F544" s="793"/>
      <c r="G544" s="793"/>
      <c r="H544" s="794"/>
    </row>
    <row r="545" spans="5:8" ht="12.75" customHeight="1" x14ac:dyDescent="0.25">
      <c r="E545" s="793"/>
      <c r="F545" s="793"/>
      <c r="G545" s="793"/>
      <c r="H545" s="794"/>
    </row>
    <row r="546" spans="5:8" ht="12.75" customHeight="1" x14ac:dyDescent="0.25">
      <c r="E546" s="793"/>
      <c r="F546" s="793"/>
      <c r="G546" s="793"/>
      <c r="H546" s="794"/>
    </row>
    <row r="547" spans="5:8" ht="12.75" customHeight="1" x14ac:dyDescent="0.25">
      <c r="E547" s="793"/>
      <c r="F547" s="793"/>
      <c r="G547" s="793"/>
      <c r="H547" s="794"/>
    </row>
    <row r="548" spans="5:8" ht="12.75" customHeight="1" x14ac:dyDescent="0.25">
      <c r="E548" s="793"/>
      <c r="F548" s="793"/>
      <c r="G548" s="793"/>
      <c r="H548" s="794"/>
    </row>
    <row r="549" spans="5:8" ht="12.75" customHeight="1" x14ac:dyDescent="0.25">
      <c r="E549" s="793"/>
      <c r="F549" s="793"/>
      <c r="G549" s="793"/>
      <c r="H549" s="794"/>
    </row>
    <row r="550" spans="5:8" ht="12.75" customHeight="1" x14ac:dyDescent="0.25">
      <c r="E550" s="793"/>
      <c r="F550" s="793"/>
      <c r="G550" s="793"/>
      <c r="H550" s="794"/>
    </row>
    <row r="551" spans="5:8" ht="12.75" customHeight="1" x14ac:dyDescent="0.25">
      <c r="E551" s="793"/>
      <c r="F551" s="793"/>
      <c r="G551" s="793"/>
      <c r="H551" s="794"/>
    </row>
    <row r="552" spans="5:8" ht="12.75" customHeight="1" x14ac:dyDescent="0.25">
      <c r="E552" s="793"/>
      <c r="F552" s="793"/>
      <c r="G552" s="793"/>
      <c r="H552" s="794"/>
    </row>
    <row r="553" spans="5:8" ht="12.75" customHeight="1" x14ac:dyDescent="0.25">
      <c r="E553" s="793"/>
      <c r="F553" s="793"/>
      <c r="G553" s="793"/>
      <c r="H553" s="794"/>
    </row>
    <row r="554" spans="5:8" ht="12.75" customHeight="1" x14ac:dyDescent="0.25">
      <c r="E554" s="793"/>
      <c r="F554" s="793"/>
      <c r="G554" s="793"/>
      <c r="H554" s="794"/>
    </row>
    <row r="555" spans="5:8" ht="12.75" customHeight="1" x14ac:dyDescent="0.25">
      <c r="E555" s="793"/>
      <c r="F555" s="793"/>
      <c r="G555" s="793"/>
      <c r="H555" s="794"/>
    </row>
    <row r="556" spans="5:8" ht="12.75" customHeight="1" x14ac:dyDescent="0.25">
      <c r="E556" s="793"/>
      <c r="F556" s="793"/>
      <c r="G556" s="793"/>
      <c r="H556" s="794"/>
    </row>
    <row r="557" spans="5:8" ht="12.75" customHeight="1" x14ac:dyDescent="0.25">
      <c r="E557" s="793"/>
      <c r="F557" s="793"/>
      <c r="G557" s="793"/>
      <c r="H557" s="794"/>
    </row>
    <row r="558" spans="5:8" ht="12.75" customHeight="1" x14ac:dyDescent="0.25">
      <c r="E558" s="793"/>
      <c r="F558" s="793"/>
      <c r="G558" s="793"/>
      <c r="H558" s="794"/>
    </row>
    <row r="559" spans="5:8" ht="12.75" customHeight="1" x14ac:dyDescent="0.25">
      <c r="E559" s="793"/>
      <c r="F559" s="793"/>
      <c r="G559" s="793"/>
      <c r="H559" s="794"/>
    </row>
    <row r="560" spans="5:8" ht="12.75" customHeight="1" x14ac:dyDescent="0.25">
      <c r="E560" s="793"/>
      <c r="F560" s="793"/>
      <c r="G560" s="793"/>
      <c r="H560" s="794"/>
    </row>
    <row r="561" spans="5:8" ht="12.75" customHeight="1" x14ac:dyDescent="0.25">
      <c r="E561" s="793"/>
      <c r="F561" s="793"/>
      <c r="G561" s="793"/>
      <c r="H561" s="794"/>
    </row>
    <row r="562" spans="5:8" ht="12.75" customHeight="1" x14ac:dyDescent="0.25">
      <c r="E562" s="793"/>
      <c r="F562" s="793"/>
      <c r="G562" s="793"/>
      <c r="H562" s="794"/>
    </row>
    <row r="563" spans="5:8" ht="12.75" customHeight="1" x14ac:dyDescent="0.25">
      <c r="E563" s="793"/>
      <c r="F563" s="793"/>
      <c r="G563" s="793"/>
      <c r="H563" s="794"/>
    </row>
    <row r="564" spans="5:8" ht="12.75" customHeight="1" x14ac:dyDescent="0.25">
      <c r="E564" s="793"/>
      <c r="F564" s="793"/>
      <c r="G564" s="793"/>
      <c r="H564" s="794"/>
    </row>
    <row r="565" spans="5:8" ht="12.75" customHeight="1" x14ac:dyDescent="0.25">
      <c r="E565" s="793"/>
      <c r="F565" s="793"/>
      <c r="G565" s="793"/>
      <c r="H565" s="794"/>
    </row>
    <row r="566" spans="5:8" ht="12.75" customHeight="1" x14ac:dyDescent="0.25">
      <c r="E566" s="793"/>
      <c r="F566" s="793"/>
      <c r="G566" s="793"/>
      <c r="H566" s="794"/>
    </row>
    <row r="567" spans="5:8" ht="12.75" customHeight="1" x14ac:dyDescent="0.25">
      <c r="E567" s="793"/>
      <c r="F567" s="793"/>
      <c r="G567" s="793"/>
      <c r="H567" s="794"/>
    </row>
    <row r="568" spans="5:8" ht="12.75" customHeight="1" x14ac:dyDescent="0.25">
      <c r="E568" s="793"/>
      <c r="F568" s="793"/>
      <c r="G568" s="793"/>
      <c r="H568" s="794"/>
    </row>
    <row r="569" spans="5:8" ht="12.75" customHeight="1" x14ac:dyDescent="0.25">
      <c r="E569" s="793"/>
      <c r="F569" s="793"/>
      <c r="G569" s="793"/>
      <c r="H569" s="794"/>
    </row>
    <row r="570" spans="5:8" ht="12.75" customHeight="1" x14ac:dyDescent="0.25">
      <c r="E570" s="793"/>
      <c r="F570" s="793"/>
      <c r="G570" s="793"/>
      <c r="H570" s="794"/>
    </row>
    <row r="571" spans="5:8" ht="12.75" customHeight="1" x14ac:dyDescent="0.25">
      <c r="E571" s="793"/>
      <c r="F571" s="793"/>
      <c r="G571" s="793"/>
      <c r="H571" s="794"/>
    </row>
    <row r="572" spans="5:8" ht="12.75" customHeight="1" x14ac:dyDescent="0.25">
      <c r="E572" s="793"/>
      <c r="F572" s="793"/>
      <c r="G572" s="793"/>
      <c r="H572" s="794"/>
    </row>
    <row r="573" spans="5:8" ht="12.75" customHeight="1" x14ac:dyDescent="0.25">
      <c r="E573" s="793"/>
      <c r="F573" s="793"/>
      <c r="G573" s="793"/>
      <c r="H573" s="794"/>
    </row>
    <row r="574" spans="5:8" ht="12.75" customHeight="1" x14ac:dyDescent="0.25">
      <c r="E574" s="793"/>
      <c r="F574" s="793"/>
      <c r="G574" s="793"/>
      <c r="H574" s="794"/>
    </row>
    <row r="575" spans="5:8" ht="12.75" customHeight="1" x14ac:dyDescent="0.25">
      <c r="E575" s="793"/>
      <c r="F575" s="793"/>
      <c r="G575" s="793"/>
      <c r="H575" s="794"/>
    </row>
    <row r="576" spans="5:8" ht="12.75" customHeight="1" x14ac:dyDescent="0.25">
      <c r="E576" s="793"/>
      <c r="F576" s="793"/>
      <c r="G576" s="793"/>
      <c r="H576" s="794"/>
    </row>
    <row r="577" spans="5:8" ht="12.75" customHeight="1" x14ac:dyDescent="0.25">
      <c r="E577" s="793"/>
      <c r="F577" s="793"/>
      <c r="G577" s="793"/>
      <c r="H577" s="794"/>
    </row>
    <row r="578" spans="5:8" ht="12.75" customHeight="1" x14ac:dyDescent="0.25">
      <c r="E578" s="793"/>
      <c r="F578" s="793"/>
      <c r="G578" s="793"/>
      <c r="H578" s="794"/>
    </row>
    <row r="579" spans="5:8" ht="12.75" customHeight="1" x14ac:dyDescent="0.25">
      <c r="E579" s="793"/>
      <c r="F579" s="793"/>
      <c r="G579" s="793"/>
      <c r="H579" s="794"/>
    </row>
    <row r="580" spans="5:8" ht="12.75" customHeight="1" x14ac:dyDescent="0.25">
      <c r="E580" s="793"/>
      <c r="F580" s="793"/>
      <c r="G580" s="793"/>
      <c r="H580" s="794"/>
    </row>
    <row r="581" spans="5:8" ht="12.75" customHeight="1" x14ac:dyDescent="0.25">
      <c r="E581" s="793"/>
      <c r="F581" s="793"/>
      <c r="G581" s="793"/>
      <c r="H581" s="794"/>
    </row>
    <row r="582" spans="5:8" ht="12.75" customHeight="1" x14ac:dyDescent="0.25">
      <c r="E582" s="793"/>
      <c r="F582" s="793"/>
      <c r="G582" s="793"/>
      <c r="H582" s="794"/>
    </row>
    <row r="583" spans="5:8" ht="12.75" customHeight="1" x14ac:dyDescent="0.25">
      <c r="E583" s="793"/>
      <c r="F583" s="793"/>
      <c r="G583" s="793"/>
      <c r="H583" s="794"/>
    </row>
    <row r="584" spans="5:8" ht="12.75" customHeight="1" x14ac:dyDescent="0.25">
      <c r="E584" s="793"/>
      <c r="F584" s="793"/>
      <c r="G584" s="793"/>
      <c r="H584" s="794"/>
    </row>
    <row r="585" spans="5:8" ht="12.75" customHeight="1" x14ac:dyDescent="0.25">
      <c r="E585" s="793"/>
      <c r="F585" s="793"/>
      <c r="G585" s="793"/>
      <c r="H585" s="794"/>
    </row>
    <row r="586" spans="5:8" ht="12.75" customHeight="1" x14ac:dyDescent="0.25">
      <c r="E586" s="793"/>
      <c r="F586" s="793"/>
      <c r="G586" s="793"/>
      <c r="H586" s="794"/>
    </row>
    <row r="587" spans="5:8" ht="12.75" customHeight="1" x14ac:dyDescent="0.25">
      <c r="E587" s="793"/>
      <c r="F587" s="793"/>
      <c r="G587" s="793"/>
      <c r="H587" s="794"/>
    </row>
    <row r="588" spans="5:8" ht="12.75" customHeight="1" x14ac:dyDescent="0.25">
      <c r="E588" s="793"/>
      <c r="F588" s="793"/>
      <c r="G588" s="793"/>
      <c r="H588" s="794"/>
    </row>
    <row r="589" spans="5:8" ht="12.75" customHeight="1" x14ac:dyDescent="0.25">
      <c r="E589" s="793"/>
      <c r="F589" s="793"/>
      <c r="G589" s="793"/>
      <c r="H589" s="794"/>
    </row>
    <row r="590" spans="5:8" ht="12.75" customHeight="1" x14ac:dyDescent="0.25">
      <c r="E590" s="793"/>
      <c r="F590" s="793"/>
      <c r="G590" s="793"/>
      <c r="H590" s="794"/>
    </row>
    <row r="591" spans="5:8" ht="12.75" customHeight="1" x14ac:dyDescent="0.25">
      <c r="E591" s="793"/>
      <c r="F591" s="793"/>
      <c r="G591" s="793"/>
      <c r="H591" s="794"/>
    </row>
    <row r="592" spans="5:8" ht="12.75" customHeight="1" x14ac:dyDescent="0.25">
      <c r="E592" s="793"/>
      <c r="F592" s="793"/>
      <c r="G592" s="793"/>
      <c r="H592" s="794"/>
    </row>
    <row r="593" spans="5:8" ht="12.75" customHeight="1" x14ac:dyDescent="0.25">
      <c r="E593" s="793"/>
      <c r="F593" s="793"/>
      <c r="G593" s="793"/>
      <c r="H593" s="794"/>
    </row>
    <row r="594" spans="5:8" ht="12.75" customHeight="1" x14ac:dyDescent="0.25">
      <c r="E594" s="793"/>
      <c r="F594" s="793"/>
      <c r="G594" s="793"/>
      <c r="H594" s="794"/>
    </row>
    <row r="595" spans="5:8" ht="12.75" customHeight="1" x14ac:dyDescent="0.25">
      <c r="E595" s="793"/>
      <c r="F595" s="793"/>
      <c r="G595" s="793"/>
      <c r="H595" s="794"/>
    </row>
    <row r="596" spans="5:8" ht="12.75" customHeight="1" x14ac:dyDescent="0.25">
      <c r="E596" s="793"/>
      <c r="F596" s="793"/>
      <c r="G596" s="793"/>
      <c r="H596" s="794"/>
    </row>
    <row r="597" spans="5:8" ht="12.75" customHeight="1" x14ac:dyDescent="0.25">
      <c r="E597" s="793"/>
      <c r="F597" s="793"/>
      <c r="G597" s="793"/>
      <c r="H597" s="794"/>
    </row>
    <row r="598" spans="5:8" ht="12.75" customHeight="1" x14ac:dyDescent="0.25">
      <c r="E598" s="793"/>
      <c r="F598" s="793"/>
      <c r="G598" s="793"/>
      <c r="H598" s="794"/>
    </row>
    <row r="599" spans="5:8" ht="12.75" customHeight="1" x14ac:dyDescent="0.25">
      <c r="E599" s="793"/>
      <c r="F599" s="793"/>
      <c r="G599" s="793"/>
      <c r="H599" s="794"/>
    </row>
    <row r="600" spans="5:8" ht="12.75" customHeight="1" x14ac:dyDescent="0.25">
      <c r="E600" s="793"/>
      <c r="F600" s="793"/>
      <c r="G600" s="793"/>
      <c r="H600" s="794"/>
    </row>
    <row r="601" spans="5:8" ht="12.75" customHeight="1" x14ac:dyDescent="0.25">
      <c r="E601" s="793"/>
      <c r="F601" s="793"/>
      <c r="G601" s="793"/>
      <c r="H601" s="794"/>
    </row>
    <row r="602" spans="5:8" ht="12.75" customHeight="1" x14ac:dyDescent="0.25">
      <c r="E602" s="793"/>
      <c r="F602" s="793"/>
      <c r="G602" s="793"/>
      <c r="H602" s="794"/>
    </row>
    <row r="603" spans="5:8" ht="12.75" customHeight="1" x14ac:dyDescent="0.25">
      <c r="E603" s="793"/>
      <c r="F603" s="793"/>
      <c r="G603" s="793"/>
      <c r="H603" s="794"/>
    </row>
    <row r="604" spans="5:8" ht="12.75" customHeight="1" x14ac:dyDescent="0.25">
      <c r="E604" s="793"/>
      <c r="F604" s="793"/>
      <c r="G604" s="793"/>
      <c r="H604" s="794"/>
    </row>
    <row r="605" spans="5:8" ht="12.75" customHeight="1" x14ac:dyDescent="0.25">
      <c r="E605" s="793"/>
      <c r="F605" s="793"/>
      <c r="G605" s="793"/>
      <c r="H605" s="794"/>
    </row>
    <row r="606" spans="5:8" ht="12.75" customHeight="1" x14ac:dyDescent="0.25">
      <c r="E606" s="793"/>
      <c r="F606" s="793"/>
      <c r="G606" s="793"/>
      <c r="H606" s="794"/>
    </row>
    <row r="607" spans="5:8" ht="12.75" customHeight="1" x14ac:dyDescent="0.25">
      <c r="E607" s="793"/>
      <c r="F607" s="793"/>
      <c r="G607" s="793"/>
      <c r="H607" s="794"/>
    </row>
    <row r="608" spans="5:8" ht="12.75" customHeight="1" x14ac:dyDescent="0.25">
      <c r="E608" s="793"/>
      <c r="F608" s="793"/>
      <c r="G608" s="793"/>
      <c r="H608" s="794"/>
    </row>
    <row r="609" spans="5:8" ht="12.75" customHeight="1" x14ac:dyDescent="0.25">
      <c r="E609" s="793"/>
      <c r="F609" s="793"/>
      <c r="G609" s="793"/>
      <c r="H609" s="794"/>
    </row>
    <row r="610" spans="5:8" ht="12.75" customHeight="1" x14ac:dyDescent="0.25">
      <c r="E610" s="793"/>
      <c r="F610" s="793"/>
      <c r="G610" s="793"/>
      <c r="H610" s="794"/>
    </row>
    <row r="611" spans="5:8" ht="12.75" customHeight="1" x14ac:dyDescent="0.25">
      <c r="E611" s="793"/>
      <c r="F611" s="793"/>
      <c r="G611" s="793"/>
      <c r="H611" s="794"/>
    </row>
    <row r="612" spans="5:8" ht="12.75" customHeight="1" x14ac:dyDescent="0.25">
      <c r="E612" s="793"/>
      <c r="F612" s="793"/>
      <c r="G612" s="793"/>
      <c r="H612" s="794"/>
    </row>
    <row r="613" spans="5:8" ht="12.75" customHeight="1" x14ac:dyDescent="0.25">
      <c r="E613" s="793"/>
      <c r="F613" s="793"/>
      <c r="G613" s="793"/>
      <c r="H613" s="794"/>
    </row>
    <row r="614" spans="5:8" ht="12.75" customHeight="1" x14ac:dyDescent="0.25">
      <c r="E614" s="793"/>
      <c r="F614" s="793"/>
      <c r="G614" s="793"/>
      <c r="H614" s="794"/>
    </row>
    <row r="615" spans="5:8" ht="12.75" customHeight="1" x14ac:dyDescent="0.25">
      <c r="E615" s="793"/>
      <c r="F615" s="793"/>
      <c r="G615" s="793"/>
      <c r="H615" s="794"/>
    </row>
    <row r="616" spans="5:8" ht="12.75" customHeight="1" x14ac:dyDescent="0.25">
      <c r="E616" s="793"/>
      <c r="F616" s="793"/>
      <c r="G616" s="793"/>
      <c r="H616" s="794"/>
    </row>
    <row r="617" spans="5:8" ht="12.75" customHeight="1" x14ac:dyDescent="0.25">
      <c r="E617" s="793"/>
      <c r="F617" s="793"/>
      <c r="G617" s="793"/>
      <c r="H617" s="794"/>
    </row>
    <row r="618" spans="5:8" ht="12.75" customHeight="1" x14ac:dyDescent="0.25">
      <c r="E618" s="793"/>
      <c r="F618" s="793"/>
      <c r="G618" s="793"/>
      <c r="H618" s="794"/>
    </row>
    <row r="619" spans="5:8" ht="12.75" customHeight="1" x14ac:dyDescent="0.25">
      <c r="E619" s="793"/>
      <c r="F619" s="793"/>
      <c r="G619" s="793"/>
      <c r="H619" s="794"/>
    </row>
    <row r="620" spans="5:8" ht="12.75" customHeight="1" x14ac:dyDescent="0.25">
      <c r="E620" s="793"/>
      <c r="F620" s="793"/>
      <c r="G620" s="793"/>
      <c r="H620" s="794"/>
    </row>
    <row r="621" spans="5:8" ht="12.75" customHeight="1" x14ac:dyDescent="0.25">
      <c r="E621" s="793"/>
      <c r="F621" s="793"/>
      <c r="G621" s="793"/>
      <c r="H621" s="794"/>
    </row>
    <row r="622" spans="5:8" ht="12.75" customHeight="1" x14ac:dyDescent="0.25">
      <c r="E622" s="793"/>
      <c r="F622" s="793"/>
      <c r="G622" s="793"/>
      <c r="H622" s="794"/>
    </row>
    <row r="623" spans="5:8" ht="12.75" customHeight="1" x14ac:dyDescent="0.25">
      <c r="E623" s="793"/>
      <c r="F623" s="793"/>
      <c r="G623" s="793"/>
      <c r="H623" s="794"/>
    </row>
    <row r="624" spans="5:8" ht="12.75" customHeight="1" x14ac:dyDescent="0.25">
      <c r="E624" s="793"/>
      <c r="F624" s="793"/>
      <c r="G624" s="793"/>
      <c r="H624" s="794"/>
    </row>
    <row r="625" spans="5:8" ht="12.75" customHeight="1" x14ac:dyDescent="0.25">
      <c r="E625" s="793"/>
      <c r="F625" s="793"/>
      <c r="G625" s="793"/>
      <c r="H625" s="794"/>
    </row>
    <row r="626" spans="5:8" ht="12.75" customHeight="1" x14ac:dyDescent="0.25">
      <c r="E626" s="793"/>
      <c r="F626" s="793"/>
      <c r="G626" s="793"/>
      <c r="H626" s="794"/>
    </row>
    <row r="627" spans="5:8" ht="12.75" customHeight="1" x14ac:dyDescent="0.25">
      <c r="E627" s="793"/>
      <c r="F627" s="793"/>
      <c r="G627" s="793"/>
      <c r="H627" s="794"/>
    </row>
    <row r="628" spans="5:8" ht="12.75" customHeight="1" x14ac:dyDescent="0.25">
      <c r="E628" s="793"/>
      <c r="F628" s="793"/>
      <c r="G628" s="793"/>
      <c r="H628" s="794"/>
    </row>
    <row r="629" spans="5:8" ht="12.75" customHeight="1" x14ac:dyDescent="0.25">
      <c r="E629" s="793"/>
      <c r="F629" s="793"/>
      <c r="G629" s="793"/>
      <c r="H629" s="794"/>
    </row>
    <row r="630" spans="5:8" ht="12.75" customHeight="1" x14ac:dyDescent="0.25">
      <c r="E630" s="793"/>
      <c r="F630" s="793"/>
      <c r="G630" s="793"/>
      <c r="H630" s="794"/>
    </row>
    <row r="631" spans="5:8" ht="12.75" customHeight="1" x14ac:dyDescent="0.25">
      <c r="E631" s="793"/>
      <c r="F631" s="793"/>
      <c r="G631" s="793"/>
      <c r="H631" s="794"/>
    </row>
    <row r="632" spans="5:8" ht="12.75" customHeight="1" x14ac:dyDescent="0.25">
      <c r="E632" s="793"/>
      <c r="F632" s="793"/>
      <c r="G632" s="793"/>
      <c r="H632" s="794"/>
    </row>
    <row r="633" spans="5:8" ht="12.75" customHeight="1" x14ac:dyDescent="0.25">
      <c r="E633" s="793"/>
      <c r="F633" s="793"/>
      <c r="G633" s="793"/>
      <c r="H633" s="794"/>
    </row>
    <row r="634" spans="5:8" ht="12.75" customHeight="1" x14ac:dyDescent="0.25">
      <c r="E634" s="793"/>
      <c r="F634" s="793"/>
      <c r="G634" s="793"/>
      <c r="H634" s="794"/>
    </row>
    <row r="635" spans="5:8" ht="12.75" customHeight="1" x14ac:dyDescent="0.25"/>
    <row r="636" spans="5:8" ht="12.75" customHeight="1" x14ac:dyDescent="0.25"/>
    <row r="637" spans="5:8" ht="12.75" customHeight="1" x14ac:dyDescent="0.25"/>
    <row r="638" spans="5:8" ht="12.75" customHeight="1" x14ac:dyDescent="0.25"/>
    <row r="639" spans="5:8" ht="12.75" customHeight="1" x14ac:dyDescent="0.25"/>
    <row r="640" spans="5:8"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row r="1068" ht="12.75" customHeight="1" x14ac:dyDescent="0.25"/>
    <row r="1069" ht="12.75" customHeight="1" x14ac:dyDescent="0.25"/>
    <row r="1070" ht="12.75" customHeight="1" x14ac:dyDescent="0.25"/>
    <row r="1071" ht="12.75" customHeight="1" x14ac:dyDescent="0.25"/>
    <row r="1072" ht="12.75" customHeight="1" x14ac:dyDescent="0.25"/>
    <row r="1073" ht="12.75" customHeight="1" x14ac:dyDescent="0.25"/>
    <row r="1074" ht="12.75" customHeight="1" x14ac:dyDescent="0.25"/>
    <row r="1075" ht="12.75" customHeight="1" x14ac:dyDescent="0.25"/>
    <row r="1076" ht="12.75" customHeight="1" x14ac:dyDescent="0.25"/>
    <row r="1077" ht="12.75" customHeight="1" x14ac:dyDescent="0.25"/>
    <row r="1078" ht="12.75" customHeight="1" x14ac:dyDescent="0.25"/>
    <row r="1079" ht="12.75" customHeight="1" x14ac:dyDescent="0.25"/>
    <row r="1080" ht="12.75" customHeight="1" x14ac:dyDescent="0.25"/>
    <row r="1081" ht="12.75" customHeight="1" x14ac:dyDescent="0.25"/>
    <row r="1082" ht="12.75" customHeight="1" x14ac:dyDescent="0.25"/>
    <row r="1083" ht="12.75" customHeight="1" x14ac:dyDescent="0.25"/>
    <row r="1084" ht="12.75" customHeight="1" x14ac:dyDescent="0.25"/>
    <row r="1085" ht="12.75" customHeight="1" x14ac:dyDescent="0.25"/>
    <row r="1086" ht="12.75" customHeight="1" x14ac:dyDescent="0.25"/>
    <row r="1087" ht="12.75" customHeight="1" x14ac:dyDescent="0.25"/>
    <row r="1088" ht="12.75" customHeight="1" x14ac:dyDescent="0.25"/>
    <row r="1089" ht="12.75" customHeight="1" x14ac:dyDescent="0.25"/>
    <row r="1090" ht="12.75" customHeight="1" x14ac:dyDescent="0.25"/>
    <row r="1091" ht="12.75" customHeight="1" x14ac:dyDescent="0.25"/>
    <row r="1092" ht="12.75" customHeight="1" x14ac:dyDescent="0.25"/>
    <row r="1093" ht="12.75" customHeight="1" x14ac:dyDescent="0.25"/>
    <row r="1094" ht="12.75" customHeight="1" x14ac:dyDescent="0.25"/>
    <row r="1095" ht="12.75" customHeight="1" x14ac:dyDescent="0.25"/>
    <row r="1096" ht="12.75" customHeight="1" x14ac:dyDescent="0.25"/>
    <row r="1097" ht="12.75" customHeight="1" x14ac:dyDescent="0.25"/>
    <row r="1098" ht="12.75" customHeight="1" x14ac:dyDescent="0.25"/>
    <row r="1099" ht="12.75" customHeight="1" x14ac:dyDescent="0.25"/>
    <row r="1100" ht="12.75" customHeight="1" x14ac:dyDescent="0.25"/>
    <row r="1101" ht="12.75" customHeight="1" x14ac:dyDescent="0.25"/>
    <row r="1102" ht="12.75" customHeight="1" x14ac:dyDescent="0.25"/>
    <row r="1103" ht="12.75" customHeight="1" x14ac:dyDescent="0.25"/>
    <row r="1104" ht="12.75" customHeight="1" x14ac:dyDescent="0.25"/>
    <row r="1105" ht="12.75" customHeight="1" x14ac:dyDescent="0.25"/>
    <row r="1106" ht="12.75" customHeight="1" x14ac:dyDescent="0.25"/>
    <row r="1107" ht="12.75" customHeight="1" x14ac:dyDescent="0.25"/>
    <row r="1108" ht="12.75" customHeight="1" x14ac:dyDescent="0.25"/>
    <row r="1109" ht="12.75" customHeight="1" x14ac:dyDescent="0.25"/>
  </sheetData>
  <sheetProtection algorithmName="SHA-512" hashValue="KPbjnZvoCkV45Jomx6n3EX+NZ9p0iRj2VjXa+pNrw5kNTT/5mxJhX3SUBpLFCFElFjvfW/KEEtas7aMrxhsMaA==" saltValue="5jzLV5nSYvTFOnNXyr7fIA==" spinCount="100000" sheet="1" autoFilter="0"/>
  <mergeCells count="85">
    <mergeCell ref="A1:B2"/>
    <mergeCell ref="E1:H2"/>
    <mergeCell ref="K1:M1"/>
    <mergeCell ref="N1:P1"/>
    <mergeCell ref="AD1:AE2"/>
    <mergeCell ref="AH1:AJ2"/>
    <mergeCell ref="AK1:AN3"/>
    <mergeCell ref="K2:M2"/>
    <mergeCell ref="N2:O17"/>
    <mergeCell ref="P2:P17"/>
    <mergeCell ref="A3:B3"/>
    <mergeCell ref="K3:M3"/>
    <mergeCell ref="AD3:AE3"/>
    <mergeCell ref="A6:A9"/>
    <mergeCell ref="B6:B9"/>
    <mergeCell ref="AD6:AD9"/>
    <mergeCell ref="AE6:AE9"/>
    <mergeCell ref="A10:A13"/>
    <mergeCell ref="B10:B13"/>
    <mergeCell ref="AD10:AD13"/>
    <mergeCell ref="AE10:AE13"/>
    <mergeCell ref="A14:A17"/>
    <mergeCell ref="B14:B17"/>
    <mergeCell ref="AD14:AD17"/>
    <mergeCell ref="AE14:AE17"/>
    <mergeCell ref="AD18:AD21"/>
    <mergeCell ref="AE18:AE21"/>
    <mergeCell ref="A22:A25"/>
    <mergeCell ref="B22:B25"/>
    <mergeCell ref="N22:P23"/>
    <mergeCell ref="AD22:AD25"/>
    <mergeCell ref="AE22:AE25"/>
    <mergeCell ref="A18:A21"/>
    <mergeCell ref="B18:B21"/>
    <mergeCell ref="N18:N21"/>
    <mergeCell ref="O18:O21"/>
    <mergeCell ref="P18:P21"/>
    <mergeCell ref="A26:A29"/>
    <mergeCell ref="B26:B29"/>
    <mergeCell ref="AD26:AD29"/>
    <mergeCell ref="AE26:AE29"/>
    <mergeCell ref="A30:A33"/>
    <mergeCell ref="B30:B33"/>
    <mergeCell ref="AD30:AD33"/>
    <mergeCell ref="AE30:AE33"/>
    <mergeCell ref="A34:A37"/>
    <mergeCell ref="B34:B37"/>
    <mergeCell ref="AD34:AD37"/>
    <mergeCell ref="AE34:AE37"/>
    <mergeCell ref="A70:A73"/>
    <mergeCell ref="B70:B73"/>
    <mergeCell ref="AD70:AD73"/>
    <mergeCell ref="AE70:AE73"/>
    <mergeCell ref="A74:A77"/>
    <mergeCell ref="B74:B77"/>
    <mergeCell ref="AD74:AD77"/>
    <mergeCell ref="AE74:AE77"/>
    <mergeCell ref="A78:A81"/>
    <mergeCell ref="B78:B81"/>
    <mergeCell ref="AD78:AD81"/>
    <mergeCell ref="AE78:AE81"/>
    <mergeCell ref="A82:A85"/>
    <mergeCell ref="B82:B85"/>
    <mergeCell ref="AD82:AD85"/>
    <mergeCell ref="AE82:AE85"/>
    <mergeCell ref="A86:A89"/>
    <mergeCell ref="B86:B89"/>
    <mergeCell ref="AD86:AD89"/>
    <mergeCell ref="AE86:AE89"/>
    <mergeCell ref="A90:A93"/>
    <mergeCell ref="B90:B93"/>
    <mergeCell ref="AD90:AD93"/>
    <mergeCell ref="AE90:AE93"/>
    <mergeCell ref="A94:A97"/>
    <mergeCell ref="B94:B97"/>
    <mergeCell ref="AD94:AD97"/>
    <mergeCell ref="AE94:AE97"/>
    <mergeCell ref="A98:A101"/>
    <mergeCell ref="B98:B101"/>
    <mergeCell ref="AD98:AD101"/>
    <mergeCell ref="AE98:AE101"/>
    <mergeCell ref="A102:A109"/>
    <mergeCell ref="B102:B109"/>
    <mergeCell ref="AD102:AD109"/>
    <mergeCell ref="AE102:AE109"/>
  </mergeCells>
  <conditionalFormatting sqref="E3:G65536">
    <cfRule type="cellIs" dxfId="139" priority="2" operator="equal">
      <formula>0</formula>
    </cfRule>
  </conditionalFormatting>
  <conditionalFormatting sqref="K4:K109">
    <cfRule type="cellIs" dxfId="138" priority="12" operator="between">
      <formula>8</formula>
      <formula>1</formula>
    </cfRule>
  </conditionalFormatting>
  <conditionalFormatting sqref="M4:M5 M30:M37 M44:M45 M52:M53 M60:M61 M68:M69 M94:M109">
    <cfRule type="cellIs" dxfId="137" priority="10" operator="equal">
      <formula>"BIT OLD MAYBE"</formula>
    </cfRule>
    <cfRule type="cellIs" dxfId="136" priority="11" operator="equal">
      <formula>"TOO YOUNG"</formula>
    </cfRule>
  </conditionalFormatting>
  <conditionalFormatting sqref="M4:M109">
    <cfRule type="cellIs" dxfId="135" priority="9" operator="equal">
      <formula>"OK"</formula>
    </cfRule>
  </conditionalFormatting>
  <conditionalFormatting sqref="M6:M29 M38:M43 M46:M51 M54:M59 M62:M67 M70:M93">
    <cfRule type="cellIs" dxfId="134" priority="13" operator="equal">
      <formula>"NOT ELIGIBLE"</formula>
    </cfRule>
    <cfRule type="cellIs" dxfId="133" priority="14" operator="equal">
      <formula>"TOO YOUNG"</formula>
    </cfRule>
  </conditionalFormatting>
  <conditionalFormatting sqref="N2">
    <cfRule type="cellIs" dxfId="132" priority="3" operator="greaterThan">
      <formula>0</formula>
    </cfRule>
  </conditionalFormatting>
  <conditionalFormatting sqref="N18:O21">
    <cfRule type="cellIs" dxfId="131" priority="6" operator="greaterThan">
      <formula>0</formula>
    </cfRule>
  </conditionalFormatting>
  <conditionalFormatting sqref="P2">
    <cfRule type="cellIs" dxfId="130" priority="7" operator="greaterThan">
      <formula>0</formula>
    </cfRule>
  </conditionalFormatting>
  <conditionalFormatting sqref="P18">
    <cfRule type="cellIs" dxfId="129" priority="5" operator="greaterThan">
      <formula>0</formula>
    </cfRule>
  </conditionalFormatting>
  <conditionalFormatting sqref="Q1:Q17 P2 Q22:Q23">
    <cfRule type="cellIs" dxfId="128" priority="4" operator="greaterThan">
      <formula>"A"</formula>
    </cfRule>
  </conditionalFormatting>
  <conditionalFormatting sqref="AH1:AJ1 AH3:AJ3 AH4:AO98 AK99:AO105 AH99:AJ109">
    <cfRule type="cellIs" dxfId="127" priority="8" operator="equal">
      <formula>0</formula>
    </cfRule>
  </conditionalFormatting>
  <dataValidations count="9">
    <dataValidation allowBlank="1" showInputMessage="1" showErrorMessage="1" promptTitle="DRAG &amp; DROP IS NOT PERMITTED" sqref="J4:J109" xr:uid="{00000000-0002-0000-0700-000000000000}">
      <formula1>0</formula1>
      <formula2>0</formula2>
    </dataValidation>
    <dataValidation allowBlank="1" showInputMessage="1" showErrorMessage="1" promptTitle="IF EMPTY" prompt="Please add the row title GIVEN NAME in this box (See Left)" sqref="F3" xr:uid="{00000000-0002-0000-0700-000001000000}">
      <formula1>0</formula1>
      <formula2>0</formula2>
    </dataValidation>
    <dataValidation allowBlank="1" showInputMessage="1" showErrorMessage="1" promptTitle="IF EMPTY" prompt="Please add the row title FAMILY NAME in this box (See Left)" sqref="G3" xr:uid="{00000000-0002-0000-0700-000002000000}">
      <formula1>0</formula1>
      <formula2>0</formula2>
    </dataValidation>
    <dataValidation allowBlank="1" showInputMessage="1" showErrorMessage="1" promptTitle="IF EMPTY" prompt="Please add the row title ASA NO in this box (See Left)" sqref="E3" xr:uid="{00000000-0002-0000-0700-000003000000}">
      <formula1>0</formula1>
      <formula2>0</formula2>
    </dataValidation>
    <dataValidation allowBlank="1" showInputMessage="1" showErrorMessage="1" promptTitle="IF EMPTY" prompt="Please add the row title D.O.B. in this box (See Left)" sqref="H3" xr:uid="{00000000-0002-0000-0700-000004000000}">
      <formula1>0</formula1>
      <formula2>0</formula2>
    </dataValidation>
    <dataValidation allowBlank="1" showInputMessage="1" showErrorMessage="1" prompt="Enter the swimmers Family Name as registered with the ASA" sqref="G4 G30 G82" xr:uid="{00000000-0002-0000-0700-000005000000}">
      <formula1>0</formula1>
      <formula2>0</formula2>
    </dataValidation>
    <dataValidation allowBlank="1" showInputMessage="1" showErrorMessage="1" prompt="Enter the Swimmers Given name (1st Name) as registered with the ASA_x000a_" sqref="F4 F30 F82" xr:uid="{00000000-0002-0000-0700-000006000000}">
      <formula1>0</formula1>
      <formula2>0</formula2>
    </dataValidation>
    <dataValidation allowBlank="1" showInputMessage="1" showErrorMessage="1" prompt="Enter the Swimmers Date of birth.  Day, Month, Year  _x000a_ie 21/11/2011" sqref="H4 H52" xr:uid="{00000000-0002-0000-0700-000007000000}">
      <formula1>0</formula1>
      <formula2>0</formula2>
    </dataValidation>
    <dataValidation allowBlank="1" showInputMessage="1" showErrorMessage="1" error="You must now &quot;undo&quot; drag and drop" sqref="F5:H5 F31:G31 H53 F83:G83" xr:uid="{00000000-0002-0000-0700-000008000000}">
      <formula1>0</formula1>
      <formula2>0</formula2>
    </dataValidation>
  </dataValidations>
  <hyperlinks>
    <hyperlink ref="N18" location="'Gala Setup'!G2" display="Gala Setup" xr:uid="{00000000-0004-0000-0700-000000000000}"/>
    <hyperlink ref="O18" location="Recording!C26" display="Gala Recording" xr:uid="{00000000-0004-0000-0700-000001000000}"/>
    <hyperlink ref="P18" location="'Lane Timer sheets'!D1" display="Lane Timer Sheets" xr:uid="{00000000-0004-0000-0700-000002000000}"/>
  </hyperlinks>
  <printOptions horizontalCentered="1" verticalCentered="1"/>
  <pageMargins left="0.35416666666666702" right="0.35416666666666702" top="0.59027777777777801" bottom="0.59027777777777801" header="0.511811023622047" footer="0.511811023622047"/>
  <pageSetup paperSize="9" fitToHeight="2"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Q1109"/>
  <sheetViews>
    <sheetView showRowColHeaders="0" topLeftCell="A4" zoomScale="80" zoomScaleNormal="80" workbookViewId="0">
      <selection activeCell="F4" sqref="F4"/>
    </sheetView>
  </sheetViews>
  <sheetFormatPr defaultColWidth="8.6640625" defaultRowHeight="13.2" x14ac:dyDescent="0.25"/>
  <cols>
    <col min="1" max="1" width="4.5546875" customWidth="1"/>
    <col min="2" max="2" width="31.88671875" customWidth="1"/>
    <col min="3" max="3" width="4.5546875" hidden="1" customWidth="1"/>
    <col min="4" max="4" width="9.6640625" hidden="1" customWidth="1"/>
    <col min="5" max="5" width="9.88671875" style="130" customWidth="1"/>
    <col min="6" max="6" width="23.6640625" style="130" customWidth="1"/>
    <col min="7" max="7" width="33.88671875" style="130" customWidth="1"/>
    <col min="8" max="8" width="12.109375" style="698" customWidth="1"/>
    <col min="9" max="10" width="12.109375" hidden="1" customWidth="1"/>
    <col min="11" max="11" width="10.6640625" customWidth="1"/>
    <col min="12" max="12" width="4.5546875" hidden="1" customWidth="1"/>
    <col min="13" max="13" width="17.6640625" customWidth="1"/>
    <col min="14" max="15" width="14.6640625" style="134" customWidth="1"/>
    <col min="16" max="16" width="29.6640625" style="134" customWidth="1"/>
    <col min="17" max="17" width="8.33203125" style="134" customWidth="1"/>
    <col min="18" max="29" width="8.88671875" style="134" customWidth="1"/>
    <col min="30" max="30" width="4.5546875" style="699" customWidth="1"/>
    <col min="31" max="31" width="26" style="700" customWidth="1"/>
    <col min="32" max="32" width="2.33203125" hidden="1" customWidth="1"/>
    <col min="33" max="33" width="3.6640625" hidden="1" customWidth="1"/>
    <col min="34" max="34" width="9.88671875" customWidth="1"/>
    <col min="35" max="35" width="23.6640625" customWidth="1"/>
    <col min="36" max="36" width="34.33203125" customWidth="1"/>
    <col min="41" max="41" width="9.109375" customWidth="1"/>
    <col min="42" max="42" width="23.6640625" customWidth="1"/>
    <col min="43" max="43" width="12.33203125" hidden="1" customWidth="1"/>
  </cols>
  <sheetData>
    <row r="1" spans="1:43" ht="42.75" customHeight="1" x14ac:dyDescent="0.25">
      <c r="A1" s="1267" t="s">
        <v>4621</v>
      </c>
      <c r="B1" s="1267"/>
      <c r="C1" s="701"/>
      <c r="D1" s="702"/>
      <c r="E1" s="1268" t="s">
        <v>4709</v>
      </c>
      <c r="F1" s="1268"/>
      <c r="G1" s="1268"/>
      <c r="H1" s="1268"/>
      <c r="I1" s="703"/>
      <c r="J1" s="704"/>
      <c r="K1" s="1269" t="s">
        <v>4623</v>
      </c>
      <c r="L1" s="1269"/>
      <c r="M1" s="1269"/>
      <c r="N1" s="1270" t="s">
        <v>4624</v>
      </c>
      <c r="O1" s="1270"/>
      <c r="P1" s="1270"/>
      <c r="Q1" s="705"/>
      <c r="AD1" s="1271" t="str">
        <f>'Team 1'!AD1</f>
        <v>TEAM NAME</v>
      </c>
      <c r="AE1" s="1271"/>
      <c r="AF1" s="706"/>
      <c r="AG1" s="707"/>
      <c r="AH1" s="1262" t="str">
        <f>E1</f>
        <v>STEVENAGE</v>
      </c>
      <c r="AI1" s="1262"/>
      <c r="AJ1" s="1262"/>
      <c r="AK1" s="1263"/>
      <c r="AL1" s="1263"/>
      <c r="AM1" s="1263"/>
      <c r="AN1" s="1263"/>
      <c r="AO1" s="708"/>
    </row>
    <row r="2" spans="1:43" ht="42.75" customHeight="1" x14ac:dyDescent="0.25">
      <c r="A2" s="1267"/>
      <c r="B2" s="1267"/>
      <c r="C2" s="709"/>
      <c r="D2" s="710"/>
      <c r="E2" s="1268"/>
      <c r="F2" s="1268"/>
      <c r="G2" s="1268"/>
      <c r="H2" s="1268"/>
      <c r="I2" s="711"/>
      <c r="J2" s="712"/>
      <c r="K2" s="1264">
        <f ca="1">DATE(YEAR(NOW()),12,31)</f>
        <v>45291</v>
      </c>
      <c r="L2" s="1264"/>
      <c r="M2" s="1264"/>
      <c r="N2" s="1265" t="s">
        <v>4710</v>
      </c>
      <c r="O2" s="1265"/>
      <c r="P2" s="1266" t="s">
        <v>4627</v>
      </c>
      <c r="Q2" s="705"/>
      <c r="AD2" s="1271"/>
      <c r="AE2" s="1271"/>
      <c r="AF2" s="713"/>
      <c r="AG2" s="714"/>
      <c r="AH2" s="1262"/>
      <c r="AI2" s="1262"/>
      <c r="AJ2" s="1262"/>
      <c r="AK2" s="1263"/>
      <c r="AL2" s="1263"/>
      <c r="AM2" s="1263"/>
      <c r="AN2" s="1263"/>
      <c r="AO2" s="708"/>
      <c r="AP2" s="708"/>
    </row>
    <row r="3" spans="1:43" ht="46.5" customHeight="1" x14ac:dyDescent="0.25">
      <c r="A3" s="1260" t="s">
        <v>27</v>
      </c>
      <c r="B3" s="1260"/>
      <c r="C3" s="715"/>
      <c r="D3" s="716"/>
      <c r="E3" s="717" t="s">
        <v>4628</v>
      </c>
      <c r="F3" s="718" t="s">
        <v>4629</v>
      </c>
      <c r="G3" s="718" t="s">
        <v>4630</v>
      </c>
      <c r="H3" s="795" t="s">
        <v>4631</v>
      </c>
      <c r="I3" s="720"/>
      <c r="J3" s="721"/>
      <c r="K3" s="1261" t="s">
        <v>4632</v>
      </c>
      <c r="L3" s="1261"/>
      <c r="M3" s="1261"/>
      <c r="N3" s="1265"/>
      <c r="O3" s="1265"/>
      <c r="P3" s="1266"/>
      <c r="Q3" s="705"/>
      <c r="AD3" s="1244"/>
      <c r="AE3" s="1244"/>
      <c r="AF3" s="723"/>
      <c r="AG3" s="724"/>
      <c r="AH3" s="725" t="str">
        <f>'Team 1'!AH3</f>
        <v>SE No</v>
      </c>
      <c r="AI3" s="726" t="s">
        <v>4629</v>
      </c>
      <c r="AJ3" s="726" t="s">
        <v>4630</v>
      </c>
      <c r="AK3" s="1263"/>
      <c r="AL3" s="1263"/>
      <c r="AM3" s="1263"/>
      <c r="AN3" s="1263"/>
      <c r="AO3" s="726"/>
      <c r="AQ3">
        <v>8</v>
      </c>
    </row>
    <row r="4" spans="1:43" ht="20.25" customHeight="1" x14ac:dyDescent="0.25">
      <c r="A4" s="727">
        <v>1</v>
      </c>
      <c r="B4" s="728" t="str">
        <f>'Team 1'!B4</f>
        <v>FEMALE 16+  200M  IM</v>
      </c>
      <c r="C4" s="728" t="s">
        <v>4635</v>
      </c>
      <c r="D4" s="729">
        <f>IF('Gala Setup'!J$9="100M",29,IF('Gala Setup'!J$9="200M",16))</f>
        <v>16</v>
      </c>
      <c r="E4" s="730">
        <v>1389524</v>
      </c>
      <c r="F4" s="731" t="s">
        <v>4711</v>
      </c>
      <c r="G4" s="731" t="s">
        <v>4712</v>
      </c>
      <c r="H4" s="732">
        <v>40021</v>
      </c>
      <c r="I4" s="733" t="str">
        <f t="shared" ref="I4:I35" si="0">CONCATENATE(F4," ",G4)</f>
        <v>Sophie Stelmach</v>
      </c>
      <c r="J4" s="734" t="str">
        <f t="shared" ref="J4:J35" si="1">CONCATENATE(G4,",",F4)</f>
        <v>Stelmach,Sophie</v>
      </c>
      <c r="K4" s="735">
        <f t="shared" ref="K4:K35" ca="1" si="2">IF(K$2=0,0,IF(AQ4=0,0,IF(COUNTBLANK(AQ4)=1,"",YEAR(K$2)-YEAR(AQ4)-IF(DATE(YEAR(K$2),MONTH(AQ4),DAY(4638))&gt;K$2,1,0))))</f>
        <v>14</v>
      </c>
      <c r="L4" s="736" t="str">
        <f t="shared" ref="L4:L35" si="3">(TEXT(H4,"DDMMYY"))</f>
        <v>270709</v>
      </c>
      <c r="M4" s="737" t="str">
        <f ca="1">IF(K4=0,0,IF(K4&lt;9,"TOO YOUNG",IF(K4&lt;60,"OK","BIT OLD MAYBE")))</f>
        <v>OK</v>
      </c>
      <c r="N4" s="1265"/>
      <c r="O4" s="1265"/>
      <c r="P4" s="1266"/>
      <c r="Q4" s="705"/>
      <c r="AD4" s="722">
        <f t="shared" ref="AD4:AE6" si="4">A4</f>
        <v>1</v>
      </c>
      <c r="AE4" s="738" t="str">
        <f t="shared" si="4"/>
        <v>FEMALE 16+  200M  IM</v>
      </c>
      <c r="AF4" s="440" t="s">
        <v>4635</v>
      </c>
      <c r="AG4" s="739">
        <v>16</v>
      </c>
      <c r="AH4" s="740">
        <f t="shared" ref="AH4:AH35" si="5">E4</f>
        <v>1389524</v>
      </c>
      <c r="AI4" s="740" t="str">
        <f t="shared" ref="AI4:AI35" si="6">F4</f>
        <v>Sophie</v>
      </c>
      <c r="AJ4" s="740" t="str">
        <f t="shared" ref="AJ4:AJ35" si="7">G4</f>
        <v>Stelmach</v>
      </c>
      <c r="AK4" s="740"/>
      <c r="AL4" s="740"/>
      <c r="AM4" s="740"/>
      <c r="AN4" s="740"/>
      <c r="AO4" s="740"/>
      <c r="AQ4" s="741">
        <f t="shared" ref="AQ4:AQ35" ca="1" si="8">INDIRECT(ADDRESS(ROW(),AQ$3))</f>
        <v>40021</v>
      </c>
    </row>
    <row r="5" spans="1:43" ht="20.25" customHeight="1" x14ac:dyDescent="0.25">
      <c r="A5" s="727">
        <v>2</v>
      </c>
      <c r="B5" s="728" t="str">
        <f>'Team 1'!B5</f>
        <v>OPEN/MALE 16+ 200M  IM</v>
      </c>
      <c r="C5" s="742" t="s">
        <v>328</v>
      </c>
      <c r="D5" s="729">
        <f>IF('Gala Setup'!J$9="100M",29,IF('Gala Setup'!J$9="200M",16))</f>
        <v>16</v>
      </c>
      <c r="E5" s="730">
        <v>978105</v>
      </c>
      <c r="F5" s="731" t="s">
        <v>4713</v>
      </c>
      <c r="G5" s="731" t="s">
        <v>4714</v>
      </c>
      <c r="H5" s="732">
        <v>39158</v>
      </c>
      <c r="I5" s="733" t="str">
        <f t="shared" si="0"/>
        <v>Harry Chapman</v>
      </c>
      <c r="J5" s="734" t="str">
        <f t="shared" si="1"/>
        <v>Chapman,Harry</v>
      </c>
      <c r="K5" s="735">
        <f t="shared" ca="1" si="2"/>
        <v>16</v>
      </c>
      <c r="L5" s="736" t="str">
        <f t="shared" si="3"/>
        <v>170307</v>
      </c>
      <c r="M5" s="743" t="str">
        <f ca="1">IF(K5=0,0,IF(K5&lt;9,"TOO YOUNG",IF(K5&lt;60,"OK","BIT OLD MAYBE")))</f>
        <v>OK</v>
      </c>
      <c r="N5" s="1265"/>
      <c r="O5" s="1265"/>
      <c r="P5" s="1266"/>
      <c r="Q5" s="705"/>
      <c r="AD5" s="722">
        <f t="shared" si="4"/>
        <v>2</v>
      </c>
      <c r="AE5" s="738" t="str">
        <f t="shared" si="4"/>
        <v>OPEN/MALE 16+ 200M  IM</v>
      </c>
      <c r="AF5" s="443" t="s">
        <v>328</v>
      </c>
      <c r="AG5" s="744">
        <v>16</v>
      </c>
      <c r="AH5" s="740">
        <f t="shared" si="5"/>
        <v>978105</v>
      </c>
      <c r="AI5" s="740" t="str">
        <f t="shared" si="6"/>
        <v>Harry</v>
      </c>
      <c r="AJ5" s="740" t="str">
        <f t="shared" si="7"/>
        <v>Chapman</v>
      </c>
      <c r="AK5" s="740"/>
      <c r="AL5" s="740"/>
      <c r="AM5" s="740"/>
      <c r="AN5" s="740"/>
      <c r="AO5" s="740"/>
      <c r="AQ5" s="741">
        <f t="shared" ca="1" si="8"/>
        <v>39158</v>
      </c>
    </row>
    <row r="6" spans="1:43" ht="20.25" customHeight="1" x14ac:dyDescent="0.25">
      <c r="A6" s="1254">
        <v>3</v>
      </c>
      <c r="B6" s="1275" t="str">
        <f>'Team 1'!B6</f>
        <v>FEMALE 9/11 4 X 50M
FREESTYLE RELAY</v>
      </c>
      <c r="C6" s="746"/>
      <c r="D6" s="747"/>
      <c r="E6" s="730">
        <v>1702495</v>
      </c>
      <c r="F6" s="731" t="s">
        <v>4715</v>
      </c>
      <c r="G6" s="731" t="s">
        <v>4716</v>
      </c>
      <c r="H6" s="732">
        <v>41448</v>
      </c>
      <c r="I6" s="733" t="str">
        <f t="shared" si="0"/>
        <v>Seren Cooper</v>
      </c>
      <c r="J6" s="734" t="str">
        <f t="shared" si="1"/>
        <v>Cooper,Seren</v>
      </c>
      <c r="K6" s="735">
        <f t="shared" ca="1" si="2"/>
        <v>10</v>
      </c>
      <c r="L6" s="736" t="str">
        <f t="shared" si="3"/>
        <v>230613</v>
      </c>
      <c r="M6" s="748" t="str">
        <f t="shared" ref="M6:M13" ca="1" si="9">IF(K6=0,0,IF(K6&lt;9,"TOO YOUNG",IF(K6&lt;12,"OK","NOT ELIGIBLE")))</f>
        <v>OK</v>
      </c>
      <c r="N6" s="1265"/>
      <c r="O6" s="1265"/>
      <c r="P6" s="1266"/>
      <c r="Q6" s="705"/>
      <c r="AD6" s="1244">
        <f t="shared" si="4"/>
        <v>3</v>
      </c>
      <c r="AE6" s="1245" t="str">
        <f t="shared" si="4"/>
        <v>FEMALE 9/11 4 X 50M
FREESTYLE RELAY</v>
      </c>
      <c r="AF6" s="749"/>
      <c r="AG6" s="750"/>
      <c r="AH6" s="740">
        <f t="shared" si="5"/>
        <v>1702495</v>
      </c>
      <c r="AI6" s="740" t="str">
        <f t="shared" si="6"/>
        <v>Seren</v>
      </c>
      <c r="AJ6" s="740" t="str">
        <f t="shared" si="7"/>
        <v>Cooper</v>
      </c>
      <c r="AK6" s="740"/>
      <c r="AL6" s="740"/>
      <c r="AM6" s="740"/>
      <c r="AN6" s="740"/>
      <c r="AO6" s="740"/>
      <c r="AQ6" s="741">
        <f t="shared" ca="1" si="8"/>
        <v>41448</v>
      </c>
    </row>
    <row r="7" spans="1:43" ht="20.25" customHeight="1" x14ac:dyDescent="0.25">
      <c r="A7" s="1254"/>
      <c r="B7" s="1275"/>
      <c r="C7" s="751"/>
      <c r="D7" s="752"/>
      <c r="E7" s="730">
        <v>1650577</v>
      </c>
      <c r="F7" s="731" t="s">
        <v>4717</v>
      </c>
      <c r="G7" s="731" t="s">
        <v>4718</v>
      </c>
      <c r="H7" s="732">
        <v>41198</v>
      </c>
      <c r="I7" s="733" t="str">
        <f t="shared" si="0"/>
        <v>Annabelle Harris</v>
      </c>
      <c r="J7" s="734" t="str">
        <f t="shared" si="1"/>
        <v>Harris,Annabelle</v>
      </c>
      <c r="K7" s="735">
        <f t="shared" ca="1" si="2"/>
        <v>11</v>
      </c>
      <c r="L7" s="736" t="str">
        <f t="shared" si="3"/>
        <v>161012</v>
      </c>
      <c r="M7" s="748" t="str">
        <f t="shared" ca="1" si="9"/>
        <v>OK</v>
      </c>
      <c r="N7" s="1265"/>
      <c r="O7" s="1265"/>
      <c r="P7" s="1266"/>
      <c r="Q7" s="705"/>
      <c r="AD7" s="1244"/>
      <c r="AE7" s="1245"/>
      <c r="AF7" s="753"/>
      <c r="AG7" s="754"/>
      <c r="AH7" s="740">
        <f t="shared" si="5"/>
        <v>1650577</v>
      </c>
      <c r="AI7" s="740" t="str">
        <f t="shared" si="6"/>
        <v>Annabelle</v>
      </c>
      <c r="AJ7" s="740" t="str">
        <f t="shared" si="7"/>
        <v>Harris</v>
      </c>
      <c r="AK7" s="740"/>
      <c r="AL7" s="740"/>
      <c r="AM7" s="740"/>
      <c r="AN7" s="740"/>
      <c r="AO7" s="740"/>
      <c r="AQ7" s="741">
        <f t="shared" ca="1" si="8"/>
        <v>41198</v>
      </c>
    </row>
    <row r="8" spans="1:43" ht="20.25" customHeight="1" x14ac:dyDescent="0.25">
      <c r="A8" s="1254"/>
      <c r="B8" s="1275"/>
      <c r="C8" s="751"/>
      <c r="D8" s="752"/>
      <c r="E8" s="730">
        <v>1350696</v>
      </c>
      <c r="F8" s="731" t="s">
        <v>4719</v>
      </c>
      <c r="G8" s="731" t="s">
        <v>4720</v>
      </c>
      <c r="H8" s="732">
        <v>40624</v>
      </c>
      <c r="I8" s="733" t="str">
        <f t="shared" si="0"/>
        <v>Jasmin Hunt</v>
      </c>
      <c r="J8" s="734" t="str">
        <f t="shared" si="1"/>
        <v>Hunt,Jasmin</v>
      </c>
      <c r="K8" s="735">
        <f t="shared" ca="1" si="2"/>
        <v>12</v>
      </c>
      <c r="L8" s="736" t="str">
        <f t="shared" si="3"/>
        <v>220311</v>
      </c>
      <c r="M8" s="748" t="str">
        <f t="shared" ca="1" si="9"/>
        <v>NOT ELIGIBLE</v>
      </c>
      <c r="N8" s="1265"/>
      <c r="O8" s="1265"/>
      <c r="P8" s="1266"/>
      <c r="Q8" s="705"/>
      <c r="AD8" s="1244"/>
      <c r="AE8" s="1245"/>
      <c r="AF8" s="753"/>
      <c r="AG8" s="754"/>
      <c r="AH8" s="740">
        <f t="shared" si="5"/>
        <v>1350696</v>
      </c>
      <c r="AI8" s="740" t="str">
        <f t="shared" si="6"/>
        <v>Jasmin</v>
      </c>
      <c r="AJ8" s="740" t="str">
        <f t="shared" si="7"/>
        <v>Hunt</v>
      </c>
      <c r="AK8" s="740"/>
      <c r="AL8" s="740"/>
      <c r="AM8" s="740"/>
      <c r="AN8" s="740"/>
      <c r="AO8" s="740"/>
      <c r="AQ8" s="741">
        <f t="shared" ca="1" si="8"/>
        <v>40624</v>
      </c>
    </row>
    <row r="9" spans="1:43" ht="20.25" customHeight="1" x14ac:dyDescent="0.25">
      <c r="A9" s="1254"/>
      <c r="B9" s="1275"/>
      <c r="C9" s="751"/>
      <c r="D9" s="752"/>
      <c r="E9" s="730">
        <v>1602705</v>
      </c>
      <c r="F9" s="731" t="s">
        <v>4721</v>
      </c>
      <c r="G9" s="731" t="s">
        <v>4722</v>
      </c>
      <c r="H9" s="732">
        <v>41026</v>
      </c>
      <c r="I9" s="733" t="str">
        <f t="shared" si="0"/>
        <v>Maya Wegner</v>
      </c>
      <c r="J9" s="734" t="str">
        <f t="shared" si="1"/>
        <v>Wegner,Maya</v>
      </c>
      <c r="K9" s="735">
        <f t="shared" ca="1" si="2"/>
        <v>11</v>
      </c>
      <c r="L9" s="736" t="str">
        <f t="shared" si="3"/>
        <v>270412</v>
      </c>
      <c r="M9" s="748" t="str">
        <f t="shared" ca="1" si="9"/>
        <v>OK</v>
      </c>
      <c r="N9" s="1265"/>
      <c r="O9" s="1265"/>
      <c r="P9" s="1266"/>
      <c r="Q9" s="705"/>
      <c r="AD9" s="1244"/>
      <c r="AE9" s="1245"/>
      <c r="AF9" s="753"/>
      <c r="AG9" s="754"/>
      <c r="AH9" s="740">
        <f t="shared" si="5"/>
        <v>1602705</v>
      </c>
      <c r="AI9" s="740" t="str">
        <f t="shared" si="6"/>
        <v>Maya</v>
      </c>
      <c r="AJ9" s="740" t="str">
        <f t="shared" si="7"/>
        <v>Wegner</v>
      </c>
      <c r="AK9" s="740"/>
      <c r="AL9" s="740"/>
      <c r="AM9" s="740"/>
      <c r="AN9" s="740"/>
      <c r="AO9" s="740"/>
      <c r="AQ9" s="741">
        <f t="shared" ca="1" si="8"/>
        <v>41026</v>
      </c>
    </row>
    <row r="10" spans="1:43" ht="20.25" customHeight="1" x14ac:dyDescent="0.25">
      <c r="A10" s="1254">
        <v>4</v>
      </c>
      <c r="B10" s="1275" t="str">
        <f>'Team 1'!B10</f>
        <v>OPEN/MALE 9/11 4 X50M
FREESTYLE RELAY</v>
      </c>
      <c r="C10" s="746"/>
      <c r="D10" s="747"/>
      <c r="E10" s="730">
        <v>1596679</v>
      </c>
      <c r="F10" s="731" t="s">
        <v>4688</v>
      </c>
      <c r="G10" s="731" t="s">
        <v>4723</v>
      </c>
      <c r="H10" s="732">
        <v>41125</v>
      </c>
      <c r="I10" s="733" t="str">
        <f t="shared" si="0"/>
        <v>James Winter</v>
      </c>
      <c r="J10" s="734" t="str">
        <f t="shared" si="1"/>
        <v>Winter,James</v>
      </c>
      <c r="K10" s="735">
        <f t="shared" ca="1" si="2"/>
        <v>11</v>
      </c>
      <c r="L10" s="736" t="str">
        <f t="shared" si="3"/>
        <v>040812</v>
      </c>
      <c r="M10" s="748" t="str">
        <f t="shared" ca="1" si="9"/>
        <v>OK</v>
      </c>
      <c r="N10" s="1265"/>
      <c r="O10" s="1265"/>
      <c r="P10" s="1266"/>
      <c r="Q10" s="705"/>
      <c r="AD10" s="1244">
        <f>A10</f>
        <v>4</v>
      </c>
      <c r="AE10" s="1245" t="str">
        <f>B10</f>
        <v>OPEN/MALE 9/11 4 X50M
FREESTYLE RELAY</v>
      </c>
      <c r="AF10" s="749"/>
      <c r="AG10" s="750"/>
      <c r="AH10" s="740">
        <f t="shared" si="5"/>
        <v>1596679</v>
      </c>
      <c r="AI10" s="740" t="str">
        <f t="shared" si="6"/>
        <v>James</v>
      </c>
      <c r="AJ10" s="740" t="str">
        <f t="shared" si="7"/>
        <v>Winter</v>
      </c>
      <c r="AK10" s="740"/>
      <c r="AL10" s="740"/>
      <c r="AM10" s="740"/>
      <c r="AN10" s="740"/>
      <c r="AO10" s="740"/>
      <c r="AQ10" s="741">
        <f t="shared" ca="1" si="8"/>
        <v>41125</v>
      </c>
    </row>
    <row r="11" spans="1:43" ht="20.25" customHeight="1" x14ac:dyDescent="0.25">
      <c r="A11" s="1254"/>
      <c r="B11" s="1275"/>
      <c r="C11" s="751"/>
      <c r="D11" s="752"/>
      <c r="E11" s="730">
        <v>1704397</v>
      </c>
      <c r="F11" s="731" t="s">
        <v>4724</v>
      </c>
      <c r="G11" s="731" t="s">
        <v>4725</v>
      </c>
      <c r="H11" s="732">
        <v>41032</v>
      </c>
      <c r="I11" s="733" t="str">
        <f t="shared" si="0"/>
        <v>Alex Cash</v>
      </c>
      <c r="J11" s="734" t="str">
        <f t="shared" si="1"/>
        <v>Cash,Alex</v>
      </c>
      <c r="K11" s="735">
        <f t="shared" ca="1" si="2"/>
        <v>11</v>
      </c>
      <c r="L11" s="736" t="str">
        <f t="shared" si="3"/>
        <v>030512</v>
      </c>
      <c r="M11" s="748" t="str">
        <f t="shared" ca="1" si="9"/>
        <v>OK</v>
      </c>
      <c r="N11" s="1265"/>
      <c r="O11" s="1265"/>
      <c r="P11" s="1266"/>
      <c r="Q11" s="705"/>
      <c r="AD11" s="1244"/>
      <c r="AE11" s="1245"/>
      <c r="AF11" s="753"/>
      <c r="AG11" s="754"/>
      <c r="AH11" s="740">
        <f t="shared" si="5"/>
        <v>1704397</v>
      </c>
      <c r="AI11" s="740" t="str">
        <f t="shared" si="6"/>
        <v>Alex</v>
      </c>
      <c r="AJ11" s="740" t="str">
        <f t="shared" si="7"/>
        <v>Cash</v>
      </c>
      <c r="AK11" s="740"/>
      <c r="AL11" s="740"/>
      <c r="AM11" s="740"/>
      <c r="AN11" s="740"/>
      <c r="AO11" s="740"/>
      <c r="AQ11" s="741">
        <f t="shared" ca="1" si="8"/>
        <v>41032</v>
      </c>
    </row>
    <row r="12" spans="1:43" ht="20.25" customHeight="1" x14ac:dyDescent="0.25">
      <c r="A12" s="1254"/>
      <c r="B12" s="1275"/>
      <c r="C12" s="751"/>
      <c r="D12" s="752"/>
      <c r="E12" s="730">
        <v>1602709</v>
      </c>
      <c r="F12" s="731" t="s">
        <v>4726</v>
      </c>
      <c r="G12" s="731" t="s">
        <v>4727</v>
      </c>
      <c r="H12" s="732">
        <v>41114</v>
      </c>
      <c r="I12" s="733" t="str">
        <f t="shared" si="0"/>
        <v>Kai Jun Wai Cheung</v>
      </c>
      <c r="J12" s="734" t="str">
        <f t="shared" si="1"/>
        <v>Cheung,Kai Jun Wai</v>
      </c>
      <c r="K12" s="735">
        <f t="shared" ca="1" si="2"/>
        <v>11</v>
      </c>
      <c r="L12" s="736" t="str">
        <f t="shared" si="3"/>
        <v>240712</v>
      </c>
      <c r="M12" s="748" t="str">
        <f t="shared" ca="1" si="9"/>
        <v>OK</v>
      </c>
      <c r="N12" s="1265"/>
      <c r="O12" s="1265"/>
      <c r="P12" s="1266"/>
      <c r="Q12" s="705"/>
      <c r="AD12" s="1244"/>
      <c r="AE12" s="1245"/>
      <c r="AF12" s="753"/>
      <c r="AG12" s="754"/>
      <c r="AH12" s="740">
        <f t="shared" si="5"/>
        <v>1602709</v>
      </c>
      <c r="AI12" s="740" t="str">
        <f t="shared" si="6"/>
        <v>Kai Jun Wai</v>
      </c>
      <c r="AJ12" s="740" t="str">
        <f t="shared" si="7"/>
        <v>Cheung</v>
      </c>
      <c r="AK12" s="740"/>
      <c r="AL12" s="740"/>
      <c r="AM12" s="740"/>
      <c r="AN12" s="740"/>
      <c r="AO12" s="740"/>
      <c r="AQ12" s="741">
        <f t="shared" ca="1" si="8"/>
        <v>41114</v>
      </c>
    </row>
    <row r="13" spans="1:43" ht="20.25" customHeight="1" x14ac:dyDescent="0.25">
      <c r="A13" s="1254"/>
      <c r="B13" s="1275"/>
      <c r="C13" s="751"/>
      <c r="D13" s="752"/>
      <c r="E13" s="730">
        <v>1644017</v>
      </c>
      <c r="F13" s="731" t="s">
        <v>4728</v>
      </c>
      <c r="G13" s="731" t="s">
        <v>4729</v>
      </c>
      <c r="H13" s="732">
        <v>41990</v>
      </c>
      <c r="I13" s="733" t="str">
        <f t="shared" si="0"/>
        <v>Charlie Pritchard</v>
      </c>
      <c r="J13" s="734" t="str">
        <f t="shared" si="1"/>
        <v>Pritchard,Charlie</v>
      </c>
      <c r="K13" s="735">
        <f t="shared" ca="1" si="2"/>
        <v>9</v>
      </c>
      <c r="L13" s="736" t="str">
        <f t="shared" si="3"/>
        <v>171214</v>
      </c>
      <c r="M13" s="748" t="str">
        <f t="shared" ca="1" si="9"/>
        <v>OK</v>
      </c>
      <c r="N13" s="1265"/>
      <c r="O13" s="1265"/>
      <c r="P13" s="1266"/>
      <c r="Q13" s="705"/>
      <c r="AD13" s="1244"/>
      <c r="AE13" s="1245"/>
      <c r="AF13" s="753"/>
      <c r="AG13" s="754"/>
      <c r="AH13" s="740">
        <f t="shared" si="5"/>
        <v>1644017</v>
      </c>
      <c r="AI13" s="740" t="str">
        <f t="shared" si="6"/>
        <v>Charlie</v>
      </c>
      <c r="AJ13" s="740" t="str">
        <f t="shared" si="7"/>
        <v>Pritchard</v>
      </c>
      <c r="AK13" s="740"/>
      <c r="AL13" s="740"/>
      <c r="AM13" s="740"/>
      <c r="AN13" s="740"/>
      <c r="AO13" s="740"/>
      <c r="AQ13" s="741">
        <f t="shared" ca="1" si="8"/>
        <v>41990</v>
      </c>
    </row>
    <row r="14" spans="1:43" ht="20.25" customHeight="1" x14ac:dyDescent="0.25">
      <c r="A14" s="1252">
        <v>5</v>
      </c>
      <c r="B14" s="1274" t="str">
        <f>'Team 1'!B14</f>
        <v>FEMALE 13/U 4 X 50M
MEDLEY RELAY</v>
      </c>
      <c r="C14" s="756"/>
      <c r="D14" s="757"/>
      <c r="E14" s="730">
        <v>1360843</v>
      </c>
      <c r="F14" s="731" t="s">
        <v>4711</v>
      </c>
      <c r="G14" s="731" t="s">
        <v>4730</v>
      </c>
      <c r="H14" s="732">
        <v>40463</v>
      </c>
      <c r="I14" s="733" t="str">
        <f t="shared" si="0"/>
        <v>Sophie Heraty</v>
      </c>
      <c r="J14" s="734" t="str">
        <f t="shared" si="1"/>
        <v>Heraty,Sophie</v>
      </c>
      <c r="K14" s="735">
        <f t="shared" ca="1" si="2"/>
        <v>13</v>
      </c>
      <c r="L14" s="736" t="str">
        <f t="shared" si="3"/>
        <v>121010</v>
      </c>
      <c r="M14" s="748" t="str">
        <f t="shared" ref="M14:M21" ca="1" si="10">IF(K14=0,0,IF(K14&lt;9,"TOO YOUNG",IF(K14&lt;14,"OK","NOT ELIGIBLE")))</f>
        <v>OK</v>
      </c>
      <c r="N14" s="1265"/>
      <c r="O14" s="1265"/>
      <c r="P14" s="1266"/>
      <c r="Q14" s="705"/>
      <c r="AD14" s="1244">
        <f>A14</f>
        <v>5</v>
      </c>
      <c r="AE14" s="1245" t="str">
        <f>B14</f>
        <v>FEMALE 13/U 4 X 50M
MEDLEY RELAY</v>
      </c>
      <c r="AF14" s="749"/>
      <c r="AG14" s="750"/>
      <c r="AH14" s="740">
        <f t="shared" si="5"/>
        <v>1360843</v>
      </c>
      <c r="AI14" s="740" t="str">
        <f t="shared" si="6"/>
        <v>Sophie</v>
      </c>
      <c r="AJ14" s="740" t="str">
        <f t="shared" si="7"/>
        <v>Heraty</v>
      </c>
      <c r="AK14" s="740"/>
      <c r="AL14" s="740"/>
      <c r="AM14" s="740"/>
      <c r="AN14" s="740"/>
      <c r="AO14" s="740"/>
      <c r="AQ14" s="741">
        <f t="shared" ca="1" si="8"/>
        <v>40463</v>
      </c>
    </row>
    <row r="15" spans="1:43" ht="20.25" customHeight="1" x14ac:dyDescent="0.25">
      <c r="A15" s="1252"/>
      <c r="B15" s="1274"/>
      <c r="C15" s="758"/>
      <c r="D15" s="759"/>
      <c r="E15" s="730">
        <v>1526532</v>
      </c>
      <c r="F15" s="731" t="s">
        <v>4731</v>
      </c>
      <c r="G15" s="731" t="s">
        <v>4120</v>
      </c>
      <c r="H15" s="732">
        <v>40586</v>
      </c>
      <c r="I15" s="733" t="str">
        <f t="shared" si="0"/>
        <v>Ruby Whitby</v>
      </c>
      <c r="J15" s="734" t="str">
        <f t="shared" si="1"/>
        <v>Whitby,Ruby</v>
      </c>
      <c r="K15" s="735">
        <f t="shared" ca="1" si="2"/>
        <v>12</v>
      </c>
      <c r="L15" s="736" t="str">
        <f t="shared" si="3"/>
        <v>120211</v>
      </c>
      <c r="M15" s="748" t="str">
        <f t="shared" ca="1" si="10"/>
        <v>OK</v>
      </c>
      <c r="N15" s="1265"/>
      <c r="O15" s="1265"/>
      <c r="P15" s="1266"/>
      <c r="Q15" s="705"/>
      <c r="AD15" s="1244"/>
      <c r="AE15" s="1245"/>
      <c r="AF15" s="753"/>
      <c r="AG15" s="754"/>
      <c r="AH15" s="740">
        <f t="shared" si="5"/>
        <v>1526532</v>
      </c>
      <c r="AI15" s="740" t="str">
        <f t="shared" si="6"/>
        <v>Ruby</v>
      </c>
      <c r="AJ15" s="740" t="str">
        <f t="shared" si="7"/>
        <v>Whitby</v>
      </c>
      <c r="AK15" s="740"/>
      <c r="AL15" s="740"/>
      <c r="AM15" s="740"/>
      <c r="AN15" s="740"/>
      <c r="AO15" s="740"/>
      <c r="AQ15" s="741">
        <f t="shared" ca="1" si="8"/>
        <v>40586</v>
      </c>
    </row>
    <row r="16" spans="1:43" ht="20.25" customHeight="1" x14ac:dyDescent="0.25">
      <c r="A16" s="1252"/>
      <c r="B16" s="1274"/>
      <c r="C16" s="758"/>
      <c r="D16" s="759"/>
      <c r="E16" s="730">
        <v>1350696</v>
      </c>
      <c r="F16" s="731" t="s">
        <v>4719</v>
      </c>
      <c r="G16" s="731" t="s">
        <v>4720</v>
      </c>
      <c r="H16" s="732">
        <v>40624</v>
      </c>
      <c r="I16" s="733" t="str">
        <f t="shared" si="0"/>
        <v>Jasmin Hunt</v>
      </c>
      <c r="J16" s="734" t="str">
        <f t="shared" si="1"/>
        <v>Hunt,Jasmin</v>
      </c>
      <c r="K16" s="735">
        <f t="shared" ca="1" si="2"/>
        <v>12</v>
      </c>
      <c r="L16" s="736" t="str">
        <f t="shared" si="3"/>
        <v>220311</v>
      </c>
      <c r="M16" s="748" t="str">
        <f t="shared" ca="1" si="10"/>
        <v>OK</v>
      </c>
      <c r="N16" s="1265"/>
      <c r="O16" s="1265"/>
      <c r="P16" s="1266"/>
      <c r="Q16" s="705"/>
      <c r="AD16" s="1244"/>
      <c r="AE16" s="1245"/>
      <c r="AF16" s="753"/>
      <c r="AG16" s="754"/>
      <c r="AH16" s="740">
        <f t="shared" si="5"/>
        <v>1350696</v>
      </c>
      <c r="AI16" s="740" t="str">
        <f t="shared" si="6"/>
        <v>Jasmin</v>
      </c>
      <c r="AJ16" s="740" t="str">
        <f t="shared" si="7"/>
        <v>Hunt</v>
      </c>
      <c r="AK16" s="740"/>
      <c r="AL16" s="740"/>
      <c r="AM16" s="740"/>
      <c r="AN16" s="740"/>
      <c r="AO16" s="740"/>
      <c r="AQ16" s="741">
        <f t="shared" ca="1" si="8"/>
        <v>40624</v>
      </c>
    </row>
    <row r="17" spans="1:43" ht="20.25" customHeight="1" x14ac:dyDescent="0.25">
      <c r="A17" s="1252"/>
      <c r="B17" s="1274"/>
      <c r="C17" s="758"/>
      <c r="D17" s="759"/>
      <c r="E17" s="730">
        <v>1630127</v>
      </c>
      <c r="F17" s="731" t="s">
        <v>4732</v>
      </c>
      <c r="G17" s="731" t="s">
        <v>4733</v>
      </c>
      <c r="H17" s="732">
        <v>40481</v>
      </c>
      <c r="I17" s="733" t="str">
        <f t="shared" si="0"/>
        <v>Gracie Fleming-Jacobs</v>
      </c>
      <c r="J17" s="734" t="str">
        <f t="shared" si="1"/>
        <v>Fleming-Jacobs,Gracie</v>
      </c>
      <c r="K17" s="735">
        <f t="shared" ca="1" si="2"/>
        <v>13</v>
      </c>
      <c r="L17" s="736" t="str">
        <f t="shared" si="3"/>
        <v>301010</v>
      </c>
      <c r="M17" s="748" t="str">
        <f t="shared" ca="1" si="10"/>
        <v>OK</v>
      </c>
      <c r="N17" s="1265"/>
      <c r="O17" s="1265"/>
      <c r="P17" s="1266"/>
      <c r="Q17" s="705"/>
      <c r="AD17" s="1244"/>
      <c r="AE17" s="1245"/>
      <c r="AF17" s="753"/>
      <c r="AG17" s="754"/>
      <c r="AH17" s="740">
        <f t="shared" si="5"/>
        <v>1630127</v>
      </c>
      <c r="AI17" s="740" t="str">
        <f t="shared" si="6"/>
        <v>Gracie</v>
      </c>
      <c r="AJ17" s="740" t="str">
        <f t="shared" si="7"/>
        <v>Fleming-Jacobs</v>
      </c>
      <c r="AK17" s="740"/>
      <c r="AL17" s="740"/>
      <c r="AM17" s="740"/>
      <c r="AN17" s="740"/>
      <c r="AO17" s="740"/>
      <c r="AQ17" s="741">
        <f t="shared" ca="1" si="8"/>
        <v>40481</v>
      </c>
    </row>
    <row r="18" spans="1:43" ht="20.25" customHeight="1" x14ac:dyDescent="0.25">
      <c r="A18" s="1252">
        <v>6</v>
      </c>
      <c r="B18" s="1274" t="str">
        <f>'Team 1'!B18</f>
        <v>OPEN/MALE 13/U 4 X 50M
MEDLEY RELAY</v>
      </c>
      <c r="C18" s="756"/>
      <c r="D18" s="757"/>
      <c r="E18" s="730">
        <v>1596679</v>
      </c>
      <c r="F18" s="731" t="s">
        <v>4688</v>
      </c>
      <c r="G18" s="731" t="s">
        <v>4723</v>
      </c>
      <c r="H18" s="732">
        <v>41125</v>
      </c>
      <c r="I18" s="733" t="str">
        <f t="shared" si="0"/>
        <v>James Winter</v>
      </c>
      <c r="J18" s="734" t="str">
        <f t="shared" si="1"/>
        <v>Winter,James</v>
      </c>
      <c r="K18" s="735">
        <f t="shared" ca="1" si="2"/>
        <v>11</v>
      </c>
      <c r="L18" s="736" t="str">
        <f t="shared" si="3"/>
        <v>040812</v>
      </c>
      <c r="M18" s="748" t="str">
        <f t="shared" ca="1" si="10"/>
        <v>OK</v>
      </c>
      <c r="N18" s="1258" t="s">
        <v>4319</v>
      </c>
      <c r="O18" s="1258" t="s">
        <v>4320</v>
      </c>
      <c r="P18" s="1259" t="s">
        <v>4663</v>
      </c>
      <c r="R18" s="760"/>
      <c r="S18" s="760"/>
      <c r="AD18" s="1244">
        <f>A18</f>
        <v>6</v>
      </c>
      <c r="AE18" s="1245" t="str">
        <f>B18</f>
        <v>OPEN/MALE 13/U 4 X 50M
MEDLEY RELAY</v>
      </c>
      <c r="AF18" s="749"/>
      <c r="AG18" s="750"/>
      <c r="AH18" s="740">
        <f t="shared" si="5"/>
        <v>1596679</v>
      </c>
      <c r="AI18" s="740" t="str">
        <f t="shared" si="6"/>
        <v>James</v>
      </c>
      <c r="AJ18" s="740" t="str">
        <f t="shared" si="7"/>
        <v>Winter</v>
      </c>
      <c r="AK18" s="740"/>
      <c r="AL18" s="740"/>
      <c r="AM18" s="740"/>
      <c r="AN18" s="740"/>
      <c r="AO18" s="740"/>
      <c r="AQ18" s="741">
        <f t="shared" ca="1" si="8"/>
        <v>41125</v>
      </c>
    </row>
    <row r="19" spans="1:43" ht="20.25" customHeight="1" x14ac:dyDescent="0.25">
      <c r="A19" s="1252"/>
      <c r="B19" s="1274"/>
      <c r="C19" s="758"/>
      <c r="D19" s="759"/>
      <c r="E19" s="730">
        <v>1602709</v>
      </c>
      <c r="F19" s="731" t="s">
        <v>4726</v>
      </c>
      <c r="G19" s="731" t="s">
        <v>4727</v>
      </c>
      <c r="H19" s="732">
        <v>41114</v>
      </c>
      <c r="I19" s="733" t="str">
        <f t="shared" si="0"/>
        <v>Kai Jun Wai Cheung</v>
      </c>
      <c r="J19" s="734" t="str">
        <f t="shared" si="1"/>
        <v>Cheung,Kai Jun Wai</v>
      </c>
      <c r="K19" s="735">
        <f t="shared" ca="1" si="2"/>
        <v>11</v>
      </c>
      <c r="L19" s="736" t="str">
        <f t="shared" si="3"/>
        <v>240712</v>
      </c>
      <c r="M19" s="748" t="str">
        <f t="shared" ca="1" si="10"/>
        <v>OK</v>
      </c>
      <c r="N19" s="1258"/>
      <c r="O19" s="1258"/>
      <c r="P19" s="1259"/>
      <c r="R19" s="760"/>
      <c r="S19" s="760"/>
      <c r="AD19" s="1244"/>
      <c r="AE19" s="1245"/>
      <c r="AF19" s="753"/>
      <c r="AG19" s="754"/>
      <c r="AH19" s="740">
        <f t="shared" si="5"/>
        <v>1602709</v>
      </c>
      <c r="AI19" s="740" t="str">
        <f t="shared" si="6"/>
        <v>Kai Jun Wai</v>
      </c>
      <c r="AJ19" s="740" t="str">
        <f t="shared" si="7"/>
        <v>Cheung</v>
      </c>
      <c r="AK19" s="740"/>
      <c r="AL19" s="740"/>
      <c r="AM19" s="740"/>
      <c r="AN19" s="740"/>
      <c r="AO19" s="740"/>
      <c r="AQ19" s="741">
        <f t="shared" ca="1" si="8"/>
        <v>41114</v>
      </c>
    </row>
    <row r="20" spans="1:43" ht="20.25" customHeight="1" x14ac:dyDescent="0.25">
      <c r="A20" s="1252"/>
      <c r="B20" s="1274"/>
      <c r="C20" s="758"/>
      <c r="D20" s="759"/>
      <c r="E20" s="730">
        <v>1548083</v>
      </c>
      <c r="F20" s="731" t="s">
        <v>4734</v>
      </c>
      <c r="G20" s="731" t="s">
        <v>4735</v>
      </c>
      <c r="H20" s="732">
        <v>40443</v>
      </c>
      <c r="I20" s="733" t="str">
        <f t="shared" si="0"/>
        <v>Oliver Tubridy</v>
      </c>
      <c r="J20" s="734" t="str">
        <f t="shared" si="1"/>
        <v>Tubridy,Oliver</v>
      </c>
      <c r="K20" s="735">
        <f t="shared" ca="1" si="2"/>
        <v>13</v>
      </c>
      <c r="L20" s="736" t="str">
        <f t="shared" si="3"/>
        <v>220910</v>
      </c>
      <c r="M20" s="748" t="str">
        <f t="shared" ca="1" si="10"/>
        <v>OK</v>
      </c>
      <c r="N20" s="1258"/>
      <c r="O20" s="1258"/>
      <c r="P20" s="1259"/>
      <c r="R20" s="760"/>
      <c r="S20" s="760"/>
      <c r="AD20" s="1244"/>
      <c r="AE20" s="1245"/>
      <c r="AF20" s="753"/>
      <c r="AG20" s="754"/>
      <c r="AH20" s="740">
        <f t="shared" si="5"/>
        <v>1548083</v>
      </c>
      <c r="AI20" s="740" t="str">
        <f t="shared" si="6"/>
        <v>Oliver</v>
      </c>
      <c r="AJ20" s="740" t="str">
        <f t="shared" si="7"/>
        <v>Tubridy</v>
      </c>
      <c r="AK20" s="740"/>
      <c r="AL20" s="740"/>
      <c r="AM20" s="740"/>
      <c r="AN20" s="740"/>
      <c r="AO20" s="740"/>
      <c r="AQ20" s="741">
        <f t="shared" ca="1" si="8"/>
        <v>40443</v>
      </c>
    </row>
    <row r="21" spans="1:43" ht="20.25" customHeight="1" x14ac:dyDescent="0.25">
      <c r="A21" s="1252"/>
      <c r="B21" s="1274"/>
      <c r="C21" s="758"/>
      <c r="D21" s="759"/>
      <c r="E21" s="730">
        <v>1504436</v>
      </c>
      <c r="F21" s="731" t="s">
        <v>4736</v>
      </c>
      <c r="G21" s="731" t="s">
        <v>4737</v>
      </c>
      <c r="H21" s="732">
        <v>40202</v>
      </c>
      <c r="I21" s="733" t="str">
        <f t="shared" si="0"/>
        <v>Joseph Bagshaw</v>
      </c>
      <c r="J21" s="734" t="str">
        <f t="shared" si="1"/>
        <v>Bagshaw,Joseph</v>
      </c>
      <c r="K21" s="735">
        <f t="shared" ca="1" si="2"/>
        <v>13</v>
      </c>
      <c r="L21" s="736" t="str">
        <f t="shared" si="3"/>
        <v>240110</v>
      </c>
      <c r="M21" s="748" t="str">
        <f t="shared" ca="1" si="10"/>
        <v>OK</v>
      </c>
      <c r="N21" s="1258"/>
      <c r="O21" s="1258"/>
      <c r="P21" s="1259"/>
      <c r="R21" s="760"/>
      <c r="S21" s="760"/>
      <c r="AD21" s="1244"/>
      <c r="AE21" s="1245"/>
      <c r="AF21" s="753"/>
      <c r="AG21" s="754"/>
      <c r="AH21" s="740">
        <f t="shared" si="5"/>
        <v>1504436</v>
      </c>
      <c r="AI21" s="740" t="str">
        <f t="shared" si="6"/>
        <v>Joseph</v>
      </c>
      <c r="AJ21" s="740" t="str">
        <f t="shared" si="7"/>
        <v>Bagshaw</v>
      </c>
      <c r="AK21" s="740"/>
      <c r="AL21" s="740"/>
      <c r="AM21" s="740"/>
      <c r="AN21" s="740"/>
      <c r="AO21" s="740"/>
      <c r="AQ21" s="741">
        <f t="shared" ca="1" si="8"/>
        <v>40202</v>
      </c>
    </row>
    <row r="22" spans="1:43" ht="20.25" customHeight="1" x14ac:dyDescent="0.25">
      <c r="A22" s="1256">
        <v>7</v>
      </c>
      <c r="B22" s="1273" t="str">
        <f>'Team 1'!B22</f>
        <v>FEMALE 15/U 4 X 50M
FREESTYLE RELAY</v>
      </c>
      <c r="C22" s="761"/>
      <c r="D22" s="762"/>
      <c r="E22" s="730">
        <v>1389524</v>
      </c>
      <c r="F22" s="731" t="s">
        <v>4711</v>
      </c>
      <c r="G22" s="731" t="s">
        <v>4712</v>
      </c>
      <c r="H22" s="732">
        <v>40021</v>
      </c>
      <c r="I22" s="733" t="str">
        <f t="shared" si="0"/>
        <v>Sophie Stelmach</v>
      </c>
      <c r="J22" s="734" t="str">
        <f t="shared" si="1"/>
        <v>Stelmach,Sophie</v>
      </c>
      <c r="K22" s="735">
        <f t="shared" ca="1" si="2"/>
        <v>14</v>
      </c>
      <c r="L22" s="736" t="str">
        <f t="shared" si="3"/>
        <v>270709</v>
      </c>
      <c r="M22" s="748" t="str">
        <f t="shared" ref="M22:M29" ca="1" si="11">IF(K22=0,0,IF(K22&lt;9,"TOO YOUNG",IF(K22&lt;16,"OK","NOT ELIGIBLE")))</f>
        <v>OK</v>
      </c>
      <c r="N22" s="1257" t="str">
        <f>'Gala Setup'!S4</f>
        <v>NASL.2023 V6</v>
      </c>
      <c r="O22" s="1257"/>
      <c r="P22" s="1257"/>
      <c r="Q22" s="705"/>
      <c r="AD22" s="1244">
        <f>A22</f>
        <v>7</v>
      </c>
      <c r="AE22" s="1245" t="str">
        <f>B22</f>
        <v>FEMALE 15/U 4 X 50M
FREESTYLE RELAY</v>
      </c>
      <c r="AF22" s="749"/>
      <c r="AG22" s="750"/>
      <c r="AH22" s="740">
        <f t="shared" si="5"/>
        <v>1389524</v>
      </c>
      <c r="AI22" s="740" t="str">
        <f t="shared" si="6"/>
        <v>Sophie</v>
      </c>
      <c r="AJ22" s="740" t="str">
        <f t="shared" si="7"/>
        <v>Stelmach</v>
      </c>
      <c r="AK22" s="740"/>
      <c r="AL22" s="740"/>
      <c r="AM22" s="740"/>
      <c r="AN22" s="740"/>
      <c r="AO22" s="740"/>
      <c r="AQ22" s="741">
        <f t="shared" ca="1" si="8"/>
        <v>40021</v>
      </c>
    </row>
    <row r="23" spans="1:43" ht="20.25" customHeight="1" x14ac:dyDescent="0.25">
      <c r="A23" s="1256"/>
      <c r="B23" s="1273"/>
      <c r="C23" s="763"/>
      <c r="D23" s="764"/>
      <c r="E23" s="730">
        <v>1630127</v>
      </c>
      <c r="F23" s="731" t="s">
        <v>4732</v>
      </c>
      <c r="G23" s="731" t="s">
        <v>4733</v>
      </c>
      <c r="H23" s="732">
        <v>40481</v>
      </c>
      <c r="I23" s="733" t="str">
        <f t="shared" si="0"/>
        <v>Gracie Fleming-Jacobs</v>
      </c>
      <c r="J23" s="734" t="str">
        <f t="shared" si="1"/>
        <v>Fleming-Jacobs,Gracie</v>
      </c>
      <c r="K23" s="735">
        <f t="shared" ca="1" si="2"/>
        <v>13</v>
      </c>
      <c r="L23" s="736" t="str">
        <f t="shared" si="3"/>
        <v>301010</v>
      </c>
      <c r="M23" s="748" t="str">
        <f t="shared" ca="1" si="11"/>
        <v>OK</v>
      </c>
      <c r="N23" s="1257"/>
      <c r="O23" s="1257"/>
      <c r="P23" s="1257"/>
      <c r="Q23" s="705"/>
      <c r="AD23" s="1244"/>
      <c r="AE23" s="1245"/>
      <c r="AF23" s="753"/>
      <c r="AG23" s="754"/>
      <c r="AH23" s="740">
        <f t="shared" si="5"/>
        <v>1630127</v>
      </c>
      <c r="AI23" s="740" t="str">
        <f t="shared" si="6"/>
        <v>Gracie</v>
      </c>
      <c r="AJ23" s="740" t="str">
        <f t="shared" si="7"/>
        <v>Fleming-Jacobs</v>
      </c>
      <c r="AK23" s="740"/>
      <c r="AL23" s="740"/>
      <c r="AM23" s="740"/>
      <c r="AN23" s="740"/>
      <c r="AO23" s="740"/>
      <c r="AQ23" s="741">
        <f t="shared" ca="1" si="8"/>
        <v>40481</v>
      </c>
    </row>
    <row r="24" spans="1:43" ht="20.25" customHeight="1" x14ac:dyDescent="0.25">
      <c r="A24" s="1256"/>
      <c r="B24" s="1273"/>
      <c r="C24" s="763"/>
      <c r="D24" s="764"/>
      <c r="E24" s="730">
        <v>1400041</v>
      </c>
      <c r="F24" s="731" t="s">
        <v>4738</v>
      </c>
      <c r="G24" s="731" t="s">
        <v>4739</v>
      </c>
      <c r="H24" s="732">
        <v>40028</v>
      </c>
      <c r="I24" s="733" t="str">
        <f t="shared" si="0"/>
        <v>Daisy Harradine</v>
      </c>
      <c r="J24" s="734" t="str">
        <f t="shared" si="1"/>
        <v>Harradine,Daisy</v>
      </c>
      <c r="K24" s="735">
        <f t="shared" ca="1" si="2"/>
        <v>14</v>
      </c>
      <c r="L24" s="736" t="str">
        <f t="shared" si="3"/>
        <v>030809</v>
      </c>
      <c r="M24" s="748" t="str">
        <f t="shared" ca="1" si="11"/>
        <v>OK</v>
      </c>
      <c r="N24" s="765"/>
      <c r="Q24" s="765"/>
      <c r="AD24" s="1244"/>
      <c r="AE24" s="1245"/>
      <c r="AF24" s="753"/>
      <c r="AG24" s="754"/>
      <c r="AH24" s="740">
        <f t="shared" si="5"/>
        <v>1400041</v>
      </c>
      <c r="AI24" s="740" t="str">
        <f t="shared" si="6"/>
        <v>Daisy</v>
      </c>
      <c r="AJ24" s="740" t="str">
        <f t="shared" si="7"/>
        <v>Harradine</v>
      </c>
      <c r="AK24" s="740"/>
      <c r="AL24" s="740"/>
      <c r="AM24" s="740"/>
      <c r="AN24" s="740"/>
      <c r="AO24" s="740"/>
      <c r="AQ24" s="741">
        <f t="shared" ca="1" si="8"/>
        <v>40028</v>
      </c>
    </row>
    <row r="25" spans="1:43" ht="20.25" customHeight="1" x14ac:dyDescent="0.25">
      <c r="A25" s="1256"/>
      <c r="B25" s="1273"/>
      <c r="C25" s="763"/>
      <c r="D25" s="764"/>
      <c r="E25" s="730">
        <v>1350701</v>
      </c>
      <c r="F25" s="731" t="s">
        <v>4684</v>
      </c>
      <c r="G25" s="731" t="s">
        <v>4740</v>
      </c>
      <c r="H25" s="732">
        <v>39732</v>
      </c>
      <c r="I25" s="733" t="str">
        <f t="shared" si="0"/>
        <v>Charlotte Lyon</v>
      </c>
      <c r="J25" s="734" t="str">
        <f t="shared" si="1"/>
        <v>Lyon,Charlotte</v>
      </c>
      <c r="K25" s="735">
        <f t="shared" ca="1" si="2"/>
        <v>15</v>
      </c>
      <c r="L25" s="736" t="str">
        <f t="shared" si="3"/>
        <v>111008</v>
      </c>
      <c r="M25" s="748" t="str">
        <f t="shared" ca="1" si="11"/>
        <v>OK</v>
      </c>
      <c r="N25" s="765"/>
      <c r="Q25" s="765"/>
      <c r="AD25" s="1244"/>
      <c r="AE25" s="1245"/>
      <c r="AF25" s="753"/>
      <c r="AG25" s="754"/>
      <c r="AH25" s="740">
        <f t="shared" si="5"/>
        <v>1350701</v>
      </c>
      <c r="AI25" s="740" t="str">
        <f t="shared" si="6"/>
        <v>Charlotte</v>
      </c>
      <c r="AJ25" s="740" t="str">
        <f t="shared" si="7"/>
        <v>Lyon</v>
      </c>
      <c r="AK25" s="740"/>
      <c r="AL25" s="740"/>
      <c r="AM25" s="740"/>
      <c r="AN25" s="740"/>
      <c r="AO25" s="740"/>
      <c r="AQ25" s="741">
        <f t="shared" ca="1" si="8"/>
        <v>39732</v>
      </c>
    </row>
    <row r="26" spans="1:43" ht="20.25" customHeight="1" x14ac:dyDescent="0.25">
      <c r="A26" s="1256">
        <v>8</v>
      </c>
      <c r="B26" s="1273" t="str">
        <f>'Team 1'!B26</f>
        <v>OPEN/MALE 15/U 4 X 50M
FREESTYLE RELAY</v>
      </c>
      <c r="C26" s="761"/>
      <c r="D26" s="762"/>
      <c r="E26" s="730">
        <v>1267461</v>
      </c>
      <c r="F26" s="731" t="s">
        <v>4741</v>
      </c>
      <c r="G26" s="731" t="s">
        <v>4742</v>
      </c>
      <c r="H26" s="732">
        <v>39635</v>
      </c>
      <c r="I26" s="733" t="str">
        <f t="shared" si="0"/>
        <v>Alexander Gregory</v>
      </c>
      <c r="J26" s="734" t="str">
        <f t="shared" si="1"/>
        <v>Gregory,Alexander</v>
      </c>
      <c r="K26" s="735">
        <f t="shared" ca="1" si="2"/>
        <v>15</v>
      </c>
      <c r="L26" s="736" t="str">
        <f t="shared" si="3"/>
        <v>060708</v>
      </c>
      <c r="M26" s="766" t="str">
        <f t="shared" ca="1" si="11"/>
        <v>OK</v>
      </c>
      <c r="N26" s="767"/>
      <c r="AD26" s="1244">
        <f>A26</f>
        <v>8</v>
      </c>
      <c r="AE26" s="1245" t="str">
        <f>B26</f>
        <v>OPEN/MALE 15/U 4 X 50M
FREESTYLE RELAY</v>
      </c>
      <c r="AF26" s="749"/>
      <c r="AG26" s="750"/>
      <c r="AH26" s="740">
        <f t="shared" si="5"/>
        <v>1267461</v>
      </c>
      <c r="AI26" s="740" t="str">
        <f t="shared" si="6"/>
        <v>Alexander</v>
      </c>
      <c r="AJ26" s="740" t="str">
        <f t="shared" si="7"/>
        <v>Gregory</v>
      </c>
      <c r="AK26" s="740"/>
      <c r="AL26" s="740"/>
      <c r="AM26" s="740"/>
      <c r="AN26" s="740"/>
      <c r="AO26" s="740"/>
      <c r="AQ26" s="741">
        <f t="shared" ca="1" si="8"/>
        <v>39635</v>
      </c>
    </row>
    <row r="27" spans="1:43" ht="20.25" customHeight="1" x14ac:dyDescent="0.25">
      <c r="A27" s="1256"/>
      <c r="B27" s="1273"/>
      <c r="C27" s="763"/>
      <c r="D27" s="764"/>
      <c r="E27" s="730">
        <v>1350706</v>
      </c>
      <c r="F27" s="731" t="s">
        <v>4743</v>
      </c>
      <c r="G27" s="731" t="s">
        <v>4730</v>
      </c>
      <c r="H27" s="732">
        <v>39703</v>
      </c>
      <c r="I27" s="733" t="str">
        <f t="shared" si="0"/>
        <v>Samuel Heraty</v>
      </c>
      <c r="J27" s="734" t="str">
        <f t="shared" si="1"/>
        <v>Heraty,Samuel</v>
      </c>
      <c r="K27" s="735">
        <f t="shared" ca="1" si="2"/>
        <v>15</v>
      </c>
      <c r="L27" s="736" t="str">
        <f t="shared" si="3"/>
        <v>120908</v>
      </c>
      <c r="M27" s="766" t="str">
        <f t="shared" ca="1" si="11"/>
        <v>OK</v>
      </c>
      <c r="N27" s="767"/>
      <c r="AD27" s="1244"/>
      <c r="AE27" s="1245"/>
      <c r="AF27" s="753"/>
      <c r="AG27" s="754"/>
      <c r="AH27" s="740">
        <f t="shared" si="5"/>
        <v>1350706</v>
      </c>
      <c r="AI27" s="740" t="str">
        <f t="shared" si="6"/>
        <v>Samuel</v>
      </c>
      <c r="AJ27" s="740" t="str">
        <f t="shared" si="7"/>
        <v>Heraty</v>
      </c>
      <c r="AK27" s="740"/>
      <c r="AL27" s="740"/>
      <c r="AM27" s="740"/>
      <c r="AN27" s="740"/>
      <c r="AO27" s="740"/>
      <c r="AQ27" s="741">
        <f t="shared" ca="1" si="8"/>
        <v>39703</v>
      </c>
    </row>
    <row r="28" spans="1:43" ht="20.25" customHeight="1" x14ac:dyDescent="0.25">
      <c r="A28" s="1256"/>
      <c r="B28" s="1273"/>
      <c r="C28" s="763"/>
      <c r="D28" s="764"/>
      <c r="E28" s="730">
        <v>1525033</v>
      </c>
      <c r="F28" s="731" t="s">
        <v>4744</v>
      </c>
      <c r="G28" s="731" t="s">
        <v>4745</v>
      </c>
      <c r="H28" s="732">
        <v>39979</v>
      </c>
      <c r="I28" s="733" t="str">
        <f t="shared" si="0"/>
        <v>Daniel Humphreys</v>
      </c>
      <c r="J28" s="734" t="str">
        <f t="shared" si="1"/>
        <v>Humphreys,Daniel</v>
      </c>
      <c r="K28" s="735">
        <f t="shared" ca="1" si="2"/>
        <v>14</v>
      </c>
      <c r="L28" s="736" t="str">
        <f t="shared" si="3"/>
        <v>150609</v>
      </c>
      <c r="M28" s="766" t="str">
        <f t="shared" ca="1" si="11"/>
        <v>OK</v>
      </c>
      <c r="N28" s="767"/>
      <c r="AD28" s="1244"/>
      <c r="AE28" s="1245"/>
      <c r="AF28" s="753"/>
      <c r="AG28" s="754"/>
      <c r="AH28" s="740">
        <f t="shared" si="5"/>
        <v>1525033</v>
      </c>
      <c r="AI28" s="740" t="str">
        <f t="shared" si="6"/>
        <v>Daniel</v>
      </c>
      <c r="AJ28" s="740" t="str">
        <f t="shared" si="7"/>
        <v>Humphreys</v>
      </c>
      <c r="AK28" s="740"/>
      <c r="AL28" s="740"/>
      <c r="AM28" s="740"/>
      <c r="AN28" s="740"/>
      <c r="AO28" s="740"/>
      <c r="AQ28" s="741">
        <f t="shared" ca="1" si="8"/>
        <v>39979</v>
      </c>
    </row>
    <row r="29" spans="1:43" ht="20.25" customHeight="1" x14ac:dyDescent="0.25">
      <c r="A29" s="1256"/>
      <c r="B29" s="1273"/>
      <c r="C29" s="763"/>
      <c r="D29" s="764"/>
      <c r="E29" s="730">
        <v>1504436</v>
      </c>
      <c r="F29" s="731" t="s">
        <v>4736</v>
      </c>
      <c r="G29" s="731" t="s">
        <v>4737</v>
      </c>
      <c r="H29" s="732">
        <v>40202</v>
      </c>
      <c r="I29" s="733" t="str">
        <f t="shared" si="0"/>
        <v>Joseph Bagshaw</v>
      </c>
      <c r="J29" s="734" t="str">
        <f t="shared" si="1"/>
        <v>Bagshaw,Joseph</v>
      </c>
      <c r="K29" s="735">
        <f t="shared" ca="1" si="2"/>
        <v>13</v>
      </c>
      <c r="L29" s="736" t="str">
        <f t="shared" si="3"/>
        <v>240110</v>
      </c>
      <c r="M29" s="766" t="str">
        <f t="shared" ca="1" si="11"/>
        <v>OK</v>
      </c>
      <c r="N29" s="767"/>
      <c r="AD29" s="1244"/>
      <c r="AE29" s="1245"/>
      <c r="AF29" s="753"/>
      <c r="AG29" s="754"/>
      <c r="AH29" s="740">
        <f t="shared" si="5"/>
        <v>1504436</v>
      </c>
      <c r="AI29" s="740" t="str">
        <f t="shared" si="6"/>
        <v>Joseph</v>
      </c>
      <c r="AJ29" s="740" t="str">
        <f t="shared" si="7"/>
        <v>Bagshaw</v>
      </c>
      <c r="AK29" s="740"/>
      <c r="AL29" s="740"/>
      <c r="AM29" s="740"/>
      <c r="AN29" s="740"/>
      <c r="AO29" s="740"/>
      <c r="AQ29" s="741">
        <f t="shared" ca="1" si="8"/>
        <v>40202</v>
      </c>
    </row>
    <row r="30" spans="1:43" ht="20.25" customHeight="1" x14ac:dyDescent="0.25">
      <c r="A30" s="1250">
        <v>9</v>
      </c>
      <c r="B30" s="1272" t="str">
        <f>'Team 1'!B30</f>
        <v>FEMALE 16+ 4 X 50M
MEDLEY RELAY</v>
      </c>
      <c r="C30" s="768"/>
      <c r="D30" s="769"/>
      <c r="E30" s="730">
        <v>1267450</v>
      </c>
      <c r="F30" s="731" t="s">
        <v>4711</v>
      </c>
      <c r="G30" s="731" t="s">
        <v>4740</v>
      </c>
      <c r="H30" s="732">
        <v>38953</v>
      </c>
      <c r="I30" s="733" t="str">
        <f t="shared" si="0"/>
        <v>Sophie Lyon</v>
      </c>
      <c r="J30" s="734" t="str">
        <f t="shared" si="1"/>
        <v>Lyon,Sophie</v>
      </c>
      <c r="K30" s="735">
        <f t="shared" ca="1" si="2"/>
        <v>17</v>
      </c>
      <c r="L30" s="736" t="str">
        <f t="shared" si="3"/>
        <v>240806</v>
      </c>
      <c r="M30" s="770" t="str">
        <f t="shared" ref="M30:M37" ca="1" si="12">IF(K30=0,0,IF(K30&lt;9,"TOO YOUNG",IF(K30&lt;60,"OK","BIT OLD MAYBE")))</f>
        <v>OK</v>
      </c>
      <c r="N30" s="767"/>
      <c r="AD30" s="1244">
        <f>A30</f>
        <v>9</v>
      </c>
      <c r="AE30" s="1245" t="str">
        <f>B30</f>
        <v>FEMALE 16+ 4 X 50M
MEDLEY RELAY</v>
      </c>
      <c r="AF30" s="749"/>
      <c r="AG30" s="750"/>
      <c r="AH30" s="740">
        <f t="shared" si="5"/>
        <v>1267450</v>
      </c>
      <c r="AI30" s="740" t="str">
        <f t="shared" si="6"/>
        <v>Sophie</v>
      </c>
      <c r="AJ30" s="740" t="str">
        <f t="shared" si="7"/>
        <v>Lyon</v>
      </c>
      <c r="AK30" s="740"/>
      <c r="AL30" s="740"/>
      <c r="AM30" s="740"/>
      <c r="AN30" s="740"/>
      <c r="AO30" s="740"/>
      <c r="AQ30" s="741">
        <f t="shared" ca="1" si="8"/>
        <v>38953</v>
      </c>
    </row>
    <row r="31" spans="1:43" ht="20.25" customHeight="1" x14ac:dyDescent="0.25">
      <c r="A31" s="1250"/>
      <c r="B31" s="1272"/>
      <c r="C31" s="771"/>
      <c r="D31" s="772"/>
      <c r="E31" s="730">
        <v>1400041</v>
      </c>
      <c r="F31" s="731" t="s">
        <v>4738</v>
      </c>
      <c r="G31" s="731" t="s">
        <v>4739</v>
      </c>
      <c r="H31" s="732">
        <v>40028</v>
      </c>
      <c r="I31" s="733" t="str">
        <f t="shared" si="0"/>
        <v>Daisy Harradine</v>
      </c>
      <c r="J31" s="734" t="str">
        <f t="shared" si="1"/>
        <v>Harradine,Daisy</v>
      </c>
      <c r="K31" s="735">
        <f t="shared" ca="1" si="2"/>
        <v>14</v>
      </c>
      <c r="L31" s="736" t="str">
        <f t="shared" si="3"/>
        <v>030809</v>
      </c>
      <c r="M31" s="770" t="str">
        <f t="shared" ca="1" si="12"/>
        <v>OK</v>
      </c>
      <c r="N31" s="767"/>
      <c r="AD31" s="1244"/>
      <c r="AE31" s="1245"/>
      <c r="AF31" s="753"/>
      <c r="AG31" s="754"/>
      <c r="AH31" s="740">
        <f t="shared" si="5"/>
        <v>1400041</v>
      </c>
      <c r="AI31" s="740" t="str">
        <f t="shared" si="6"/>
        <v>Daisy</v>
      </c>
      <c r="AJ31" s="740" t="str">
        <f t="shared" si="7"/>
        <v>Harradine</v>
      </c>
      <c r="AK31" s="740"/>
      <c r="AL31" s="740"/>
      <c r="AM31" s="740"/>
      <c r="AN31" s="740"/>
      <c r="AO31" s="740"/>
      <c r="AQ31" s="741">
        <f t="shared" ca="1" si="8"/>
        <v>40028</v>
      </c>
    </row>
    <row r="32" spans="1:43" ht="20.25" customHeight="1" x14ac:dyDescent="0.25">
      <c r="A32" s="1250"/>
      <c r="B32" s="1272"/>
      <c r="C32" s="771"/>
      <c r="D32" s="772"/>
      <c r="E32" s="730">
        <v>1336535</v>
      </c>
      <c r="F32" s="731" t="s">
        <v>4746</v>
      </c>
      <c r="G32" s="731" t="s">
        <v>4747</v>
      </c>
      <c r="H32" s="732">
        <v>38688</v>
      </c>
      <c r="I32" s="733" t="str">
        <f t="shared" si="0"/>
        <v>Madeleine Bailiss</v>
      </c>
      <c r="J32" s="734" t="str">
        <f t="shared" si="1"/>
        <v>Bailiss,Madeleine</v>
      </c>
      <c r="K32" s="735">
        <f t="shared" ca="1" si="2"/>
        <v>18</v>
      </c>
      <c r="L32" s="736" t="str">
        <f t="shared" si="3"/>
        <v>021205</v>
      </c>
      <c r="M32" s="770" t="str">
        <f t="shared" ca="1" si="12"/>
        <v>OK</v>
      </c>
      <c r="N32" s="767"/>
      <c r="AD32" s="1244"/>
      <c r="AE32" s="1245"/>
      <c r="AF32" s="753"/>
      <c r="AG32" s="754"/>
      <c r="AH32" s="740">
        <f t="shared" si="5"/>
        <v>1336535</v>
      </c>
      <c r="AI32" s="740" t="str">
        <f t="shared" si="6"/>
        <v>Madeleine</v>
      </c>
      <c r="AJ32" s="740" t="str">
        <f t="shared" si="7"/>
        <v>Bailiss</v>
      </c>
      <c r="AK32" s="740"/>
      <c r="AL32" s="740"/>
      <c r="AM32" s="740"/>
      <c r="AN32" s="740"/>
      <c r="AO32" s="740"/>
      <c r="AQ32" s="741">
        <f t="shared" ca="1" si="8"/>
        <v>38688</v>
      </c>
    </row>
    <row r="33" spans="1:43" ht="20.25" customHeight="1" x14ac:dyDescent="0.25">
      <c r="A33" s="1250"/>
      <c r="B33" s="1272"/>
      <c r="C33" s="771"/>
      <c r="D33" s="772"/>
      <c r="E33" s="730">
        <v>1389524</v>
      </c>
      <c r="F33" s="731" t="s">
        <v>4711</v>
      </c>
      <c r="G33" s="731" t="s">
        <v>4712</v>
      </c>
      <c r="H33" s="732">
        <v>40021</v>
      </c>
      <c r="I33" s="733" t="str">
        <f t="shared" si="0"/>
        <v>Sophie Stelmach</v>
      </c>
      <c r="J33" s="734" t="str">
        <f t="shared" si="1"/>
        <v>Stelmach,Sophie</v>
      </c>
      <c r="K33" s="735">
        <f t="shared" ca="1" si="2"/>
        <v>14</v>
      </c>
      <c r="L33" s="736" t="str">
        <f t="shared" si="3"/>
        <v>270709</v>
      </c>
      <c r="M33" s="770" t="str">
        <f t="shared" ca="1" si="12"/>
        <v>OK</v>
      </c>
      <c r="N33" s="767"/>
      <c r="AD33" s="1244"/>
      <c r="AE33" s="1245"/>
      <c r="AF33" s="753"/>
      <c r="AG33" s="754"/>
      <c r="AH33" s="740">
        <f t="shared" si="5"/>
        <v>1389524</v>
      </c>
      <c r="AI33" s="740" t="str">
        <f t="shared" si="6"/>
        <v>Sophie</v>
      </c>
      <c r="AJ33" s="740" t="str">
        <f t="shared" si="7"/>
        <v>Stelmach</v>
      </c>
      <c r="AK33" s="740"/>
      <c r="AL33" s="740"/>
      <c r="AM33" s="740"/>
      <c r="AN33" s="740"/>
      <c r="AO33" s="740"/>
      <c r="AQ33" s="741">
        <f t="shared" ca="1" si="8"/>
        <v>40021</v>
      </c>
    </row>
    <row r="34" spans="1:43" ht="20.25" customHeight="1" x14ac:dyDescent="0.25">
      <c r="A34" s="1250">
        <v>10</v>
      </c>
      <c r="B34" s="1272" t="str">
        <f>'Team 1'!B34</f>
        <v>OPEN/MALE 16+ 4 X 50M
MEDLEY RELAY</v>
      </c>
      <c r="C34" s="768"/>
      <c r="D34" s="769"/>
      <c r="E34" s="730">
        <v>58591</v>
      </c>
      <c r="F34" s="731" t="s">
        <v>4748</v>
      </c>
      <c r="G34" s="731" t="s">
        <v>4749</v>
      </c>
      <c r="H34" s="732">
        <v>34409</v>
      </c>
      <c r="I34" s="733" t="str">
        <f t="shared" si="0"/>
        <v>Matthew Costello</v>
      </c>
      <c r="J34" s="734" t="str">
        <f t="shared" si="1"/>
        <v>Costello,Matthew</v>
      </c>
      <c r="K34" s="735">
        <f t="shared" ca="1" si="2"/>
        <v>29</v>
      </c>
      <c r="L34" s="736" t="str">
        <f t="shared" si="3"/>
        <v>160394</v>
      </c>
      <c r="M34" s="770" t="str">
        <f t="shared" ca="1" si="12"/>
        <v>OK</v>
      </c>
      <c r="N34" s="767"/>
      <c r="AD34" s="1244">
        <f>A34</f>
        <v>10</v>
      </c>
      <c r="AE34" s="1245" t="str">
        <f>B34</f>
        <v>OPEN/MALE 16+ 4 X 50M
MEDLEY RELAY</v>
      </c>
      <c r="AF34" s="749"/>
      <c r="AG34" s="750"/>
      <c r="AH34" s="740">
        <f t="shared" si="5"/>
        <v>58591</v>
      </c>
      <c r="AI34" s="740" t="str">
        <f t="shared" si="6"/>
        <v>Matthew</v>
      </c>
      <c r="AJ34" s="740" t="str">
        <f t="shared" si="7"/>
        <v>Costello</v>
      </c>
      <c r="AK34" s="740"/>
      <c r="AL34" s="740"/>
      <c r="AM34" s="740"/>
      <c r="AN34" s="740"/>
      <c r="AO34" s="740"/>
      <c r="AQ34" s="741">
        <f t="shared" ca="1" si="8"/>
        <v>34409</v>
      </c>
    </row>
    <row r="35" spans="1:43" ht="20.25" customHeight="1" x14ac:dyDescent="0.25">
      <c r="A35" s="1250"/>
      <c r="B35" s="1272"/>
      <c r="C35" s="771"/>
      <c r="D35" s="772"/>
      <c r="E35" s="730">
        <v>1350706</v>
      </c>
      <c r="F35" s="731" t="s">
        <v>4743</v>
      </c>
      <c r="G35" s="731" t="s">
        <v>4730</v>
      </c>
      <c r="H35" s="732">
        <v>39703</v>
      </c>
      <c r="I35" s="733" t="str">
        <f t="shared" si="0"/>
        <v>Samuel Heraty</v>
      </c>
      <c r="J35" s="734" t="str">
        <f t="shared" si="1"/>
        <v>Heraty,Samuel</v>
      </c>
      <c r="K35" s="735">
        <f t="shared" ca="1" si="2"/>
        <v>15</v>
      </c>
      <c r="L35" s="736" t="str">
        <f t="shared" si="3"/>
        <v>120908</v>
      </c>
      <c r="M35" s="770" t="str">
        <f t="shared" ca="1" si="12"/>
        <v>OK</v>
      </c>
      <c r="AD35" s="1244"/>
      <c r="AE35" s="1245"/>
      <c r="AF35" s="753"/>
      <c r="AG35" s="754"/>
      <c r="AH35" s="740">
        <f t="shared" si="5"/>
        <v>1350706</v>
      </c>
      <c r="AI35" s="740" t="str">
        <f t="shared" si="6"/>
        <v>Samuel</v>
      </c>
      <c r="AJ35" s="740" t="str">
        <f t="shared" si="7"/>
        <v>Heraty</v>
      </c>
      <c r="AK35" s="740"/>
      <c r="AL35" s="740"/>
      <c r="AM35" s="740"/>
      <c r="AN35" s="740"/>
      <c r="AO35" s="740"/>
      <c r="AQ35" s="741">
        <f t="shared" ca="1" si="8"/>
        <v>39703</v>
      </c>
    </row>
    <row r="36" spans="1:43" ht="20.25" customHeight="1" x14ac:dyDescent="0.25">
      <c r="A36" s="1250"/>
      <c r="B36" s="1272"/>
      <c r="C36" s="771"/>
      <c r="D36" s="772"/>
      <c r="E36" s="730">
        <v>1525033</v>
      </c>
      <c r="F36" s="731" t="s">
        <v>4744</v>
      </c>
      <c r="G36" s="731" t="s">
        <v>4745</v>
      </c>
      <c r="H36" s="732">
        <v>39979</v>
      </c>
      <c r="I36" s="733" t="str">
        <f t="shared" ref="I36:I67" si="13">CONCATENATE(F36," ",G36)</f>
        <v>Daniel Humphreys</v>
      </c>
      <c r="J36" s="734" t="str">
        <f t="shared" ref="J36:J67" si="14">CONCATENATE(G36,",",F36)</f>
        <v>Humphreys,Daniel</v>
      </c>
      <c r="K36" s="735">
        <f t="shared" ref="K36:K67" ca="1" si="15">IF(K$2=0,0,IF(AQ36=0,0,IF(COUNTBLANK(AQ36)=1,"",YEAR(K$2)-YEAR(AQ36)-IF(DATE(YEAR(K$2),MONTH(AQ36),DAY(4638))&gt;K$2,1,0))))</f>
        <v>14</v>
      </c>
      <c r="L36" s="736" t="str">
        <f t="shared" ref="L36:L67" si="16">(TEXT(H36,"DDMMYY"))</f>
        <v>150609</v>
      </c>
      <c r="M36" s="770" t="str">
        <f t="shared" ca="1" si="12"/>
        <v>OK</v>
      </c>
      <c r="AD36" s="1244"/>
      <c r="AE36" s="1245"/>
      <c r="AF36" s="753"/>
      <c r="AG36" s="754"/>
      <c r="AH36" s="740">
        <f t="shared" ref="AH36:AH67" si="17">E36</f>
        <v>1525033</v>
      </c>
      <c r="AI36" s="740" t="str">
        <f t="shared" ref="AI36:AI67" si="18">F36</f>
        <v>Daniel</v>
      </c>
      <c r="AJ36" s="740" t="str">
        <f t="shared" ref="AJ36:AJ67" si="19">G36</f>
        <v>Humphreys</v>
      </c>
      <c r="AK36" s="740"/>
      <c r="AL36" s="740"/>
      <c r="AM36" s="740"/>
      <c r="AN36" s="740"/>
      <c r="AO36" s="740"/>
      <c r="AQ36" s="741">
        <f t="shared" ref="AQ36:AQ67" ca="1" si="20">INDIRECT(ADDRESS(ROW(),AQ$3))</f>
        <v>39979</v>
      </c>
    </row>
    <row r="37" spans="1:43" ht="20.25" customHeight="1" x14ac:dyDescent="0.25">
      <c r="A37" s="1250"/>
      <c r="B37" s="1272"/>
      <c r="C37" s="771"/>
      <c r="D37" s="772"/>
      <c r="E37" s="730">
        <v>978105</v>
      </c>
      <c r="F37" s="731" t="s">
        <v>4713</v>
      </c>
      <c r="G37" s="731" t="s">
        <v>4714</v>
      </c>
      <c r="H37" s="732">
        <v>39158</v>
      </c>
      <c r="I37" s="733" t="str">
        <f t="shared" si="13"/>
        <v>Harry Chapman</v>
      </c>
      <c r="J37" s="734" t="str">
        <f t="shared" si="14"/>
        <v>Chapman,Harry</v>
      </c>
      <c r="K37" s="735">
        <f t="shared" ca="1" si="15"/>
        <v>16</v>
      </c>
      <c r="L37" s="736" t="str">
        <f t="shared" si="16"/>
        <v>170307</v>
      </c>
      <c r="M37" s="770" t="str">
        <f t="shared" ca="1" si="12"/>
        <v>OK</v>
      </c>
      <c r="AD37" s="1244"/>
      <c r="AE37" s="1245"/>
      <c r="AF37" s="753"/>
      <c r="AG37" s="754"/>
      <c r="AH37" s="740">
        <f t="shared" si="17"/>
        <v>978105</v>
      </c>
      <c r="AI37" s="740" t="str">
        <f t="shared" si="18"/>
        <v>Harry</v>
      </c>
      <c r="AJ37" s="740" t="str">
        <f t="shared" si="19"/>
        <v>Chapman</v>
      </c>
      <c r="AK37" s="740"/>
      <c r="AL37" s="740"/>
      <c r="AM37" s="740"/>
      <c r="AN37" s="740"/>
      <c r="AO37" s="740"/>
      <c r="AQ37" s="741">
        <f t="shared" ca="1" si="20"/>
        <v>39158</v>
      </c>
    </row>
    <row r="38" spans="1:43" ht="20.25" customHeight="1" x14ac:dyDescent="0.25">
      <c r="A38" s="745">
        <v>11</v>
      </c>
      <c r="B38" s="796" t="str">
        <f>'Team 1'!B38</f>
        <v>Female 10/11 50m Backstroke</v>
      </c>
      <c r="C38" s="774" t="s">
        <v>4635</v>
      </c>
      <c r="D38" s="775">
        <v>13</v>
      </c>
      <c r="E38" s="730">
        <v>1579260</v>
      </c>
      <c r="F38" s="731" t="s">
        <v>4750</v>
      </c>
      <c r="G38" s="731" t="s">
        <v>4751</v>
      </c>
      <c r="H38" s="732">
        <v>41316</v>
      </c>
      <c r="I38" s="733" t="str">
        <f t="shared" si="13"/>
        <v>Esmae Green</v>
      </c>
      <c r="J38" s="734" t="str">
        <f t="shared" si="14"/>
        <v>Green,Esmae</v>
      </c>
      <c r="K38" s="735">
        <f t="shared" ca="1" si="15"/>
        <v>10</v>
      </c>
      <c r="L38" s="736" t="str">
        <f t="shared" si="16"/>
        <v>110213</v>
      </c>
      <c r="M38" s="766" t="str">
        <f ca="1">IF(K38=0,0,IF(K38&lt;10,"TOO YOUNG",IF(K38&lt;12,"OK","NOT ELIGIBLE")))</f>
        <v>OK</v>
      </c>
      <c r="AD38" s="722">
        <f t="shared" ref="AD38:AD70" si="21">A38</f>
        <v>11</v>
      </c>
      <c r="AE38" s="443" t="str">
        <f t="shared" ref="AE38:AE70" si="22">B38</f>
        <v>Female 10/11 50m Backstroke</v>
      </c>
      <c r="AF38" s="440" t="s">
        <v>4635</v>
      </c>
      <c r="AG38" s="739">
        <v>13</v>
      </c>
      <c r="AH38" s="740">
        <f t="shared" si="17"/>
        <v>1579260</v>
      </c>
      <c r="AI38" s="740" t="str">
        <f t="shared" si="18"/>
        <v>Esmae</v>
      </c>
      <c r="AJ38" s="740" t="str">
        <f t="shared" si="19"/>
        <v>Green</v>
      </c>
      <c r="AK38" s="740"/>
      <c r="AL38" s="740"/>
      <c r="AM38" s="740"/>
      <c r="AN38" s="740"/>
      <c r="AO38" s="740"/>
      <c r="AQ38" s="741">
        <f t="shared" ca="1" si="20"/>
        <v>41316</v>
      </c>
    </row>
    <row r="39" spans="1:43" ht="20.25" customHeight="1" x14ac:dyDescent="0.25">
      <c r="A39" s="745">
        <v>12</v>
      </c>
      <c r="B39" s="796" t="str">
        <f>'Team 1'!B39</f>
        <v>Open/Male 10/11 50m Backstroke</v>
      </c>
      <c r="C39" s="774" t="s">
        <v>328</v>
      </c>
      <c r="D39" s="775">
        <v>13</v>
      </c>
      <c r="E39" s="730">
        <v>1596679</v>
      </c>
      <c r="F39" s="731" t="s">
        <v>4688</v>
      </c>
      <c r="G39" s="731" t="s">
        <v>4723</v>
      </c>
      <c r="H39" s="732">
        <v>41125</v>
      </c>
      <c r="I39" s="733" t="str">
        <f t="shared" si="13"/>
        <v>James Winter</v>
      </c>
      <c r="J39" s="734" t="str">
        <f t="shared" si="14"/>
        <v>Winter,James</v>
      </c>
      <c r="K39" s="735">
        <f t="shared" ca="1" si="15"/>
        <v>11</v>
      </c>
      <c r="L39" s="736" t="str">
        <f t="shared" si="16"/>
        <v>040812</v>
      </c>
      <c r="M39" s="766" t="str">
        <f ca="1">IF(K39=0,0,IF(K39&lt;10,"TOO YOUNG",IF(K39&lt;12,"OK","NOT ELIGIBLE")))</f>
        <v>OK</v>
      </c>
      <c r="AD39" s="722">
        <f t="shared" si="21"/>
        <v>12</v>
      </c>
      <c r="AE39" s="443" t="str">
        <f t="shared" si="22"/>
        <v>Open/Male 10/11 50m Backstroke</v>
      </c>
      <c r="AF39" s="440" t="s">
        <v>328</v>
      </c>
      <c r="AG39" s="739">
        <v>13</v>
      </c>
      <c r="AH39" s="740">
        <f t="shared" si="17"/>
        <v>1596679</v>
      </c>
      <c r="AI39" s="740" t="str">
        <f t="shared" si="18"/>
        <v>James</v>
      </c>
      <c r="AJ39" s="740" t="str">
        <f t="shared" si="19"/>
        <v>Winter</v>
      </c>
      <c r="AK39" s="740"/>
      <c r="AL39" s="740"/>
      <c r="AM39" s="740"/>
      <c r="AN39" s="740"/>
      <c r="AO39" s="740"/>
      <c r="AQ39" s="741">
        <f t="shared" ca="1" si="20"/>
        <v>41125</v>
      </c>
    </row>
    <row r="40" spans="1:43" ht="20.25" customHeight="1" x14ac:dyDescent="0.25">
      <c r="A40" s="755">
        <v>13</v>
      </c>
      <c r="B40" s="797" t="str">
        <f>'Team 1'!B40</f>
        <v>Female 13/U 100m Breaststroke</v>
      </c>
      <c r="C40" s="777" t="s">
        <v>4635</v>
      </c>
      <c r="D40" s="778">
        <v>8</v>
      </c>
      <c r="E40" s="730">
        <v>1526532</v>
      </c>
      <c r="F40" s="731" t="s">
        <v>4731</v>
      </c>
      <c r="G40" s="731" t="s">
        <v>4120</v>
      </c>
      <c r="H40" s="732">
        <v>40586</v>
      </c>
      <c r="I40" s="733" t="str">
        <f t="shared" si="13"/>
        <v>Ruby Whitby</v>
      </c>
      <c r="J40" s="734" t="str">
        <f t="shared" si="14"/>
        <v>Whitby,Ruby</v>
      </c>
      <c r="K40" s="735">
        <f t="shared" ca="1" si="15"/>
        <v>12</v>
      </c>
      <c r="L40" s="736" t="str">
        <f t="shared" si="16"/>
        <v>120211</v>
      </c>
      <c r="M40" s="766" t="str">
        <f ca="1">IF(K40=0,0,IF(K40&lt;9,"TOO YOUNG",IF(K40&lt;14,"OK","NOT ELIGIBLE")))</f>
        <v>OK</v>
      </c>
      <c r="AD40" s="722">
        <f t="shared" si="21"/>
        <v>13</v>
      </c>
      <c r="AE40" s="443" t="str">
        <f t="shared" si="22"/>
        <v>Female 13/U 100m Breaststroke</v>
      </c>
      <c r="AF40" s="440" t="s">
        <v>4635</v>
      </c>
      <c r="AG40" s="739">
        <v>8</v>
      </c>
      <c r="AH40" s="740">
        <f t="shared" si="17"/>
        <v>1526532</v>
      </c>
      <c r="AI40" s="740" t="str">
        <f t="shared" si="18"/>
        <v>Ruby</v>
      </c>
      <c r="AJ40" s="740" t="str">
        <f t="shared" si="19"/>
        <v>Whitby</v>
      </c>
      <c r="AK40" s="740"/>
      <c r="AL40" s="740"/>
      <c r="AM40" s="740"/>
      <c r="AN40" s="740"/>
      <c r="AO40" s="740"/>
      <c r="AQ40" s="741">
        <f t="shared" ca="1" si="20"/>
        <v>40586</v>
      </c>
    </row>
    <row r="41" spans="1:43" ht="20.25" customHeight="1" x14ac:dyDescent="0.25">
      <c r="A41" s="755">
        <v>14</v>
      </c>
      <c r="B41" s="797" t="str">
        <f>'Team 1'!B41</f>
        <v>Open/Male 13/U 100m Breaststroke</v>
      </c>
      <c r="C41" s="777" t="s">
        <v>328</v>
      </c>
      <c r="D41" s="778">
        <v>8</v>
      </c>
      <c r="E41" s="730">
        <v>1602709</v>
      </c>
      <c r="F41" s="731" t="s">
        <v>4726</v>
      </c>
      <c r="G41" s="731" t="s">
        <v>4727</v>
      </c>
      <c r="H41" s="732">
        <v>41114</v>
      </c>
      <c r="I41" s="733" t="str">
        <f t="shared" si="13"/>
        <v>Kai Jun Wai Cheung</v>
      </c>
      <c r="J41" s="734" t="str">
        <f t="shared" si="14"/>
        <v>Cheung,Kai Jun Wai</v>
      </c>
      <c r="K41" s="735">
        <f t="shared" ca="1" si="15"/>
        <v>11</v>
      </c>
      <c r="L41" s="736" t="str">
        <f t="shared" si="16"/>
        <v>240712</v>
      </c>
      <c r="M41" s="766" t="str">
        <f ca="1">IF(K41=0,0,IF(K41&lt;9,"TOO YOUNG",IF(K41&lt;14,"OK","NOT ELIGIBLE")))</f>
        <v>OK</v>
      </c>
      <c r="AD41" s="722">
        <f t="shared" si="21"/>
        <v>14</v>
      </c>
      <c r="AE41" s="443" t="str">
        <f t="shared" si="22"/>
        <v>Open/Male 13/U 100m Breaststroke</v>
      </c>
      <c r="AF41" s="440" t="s">
        <v>328</v>
      </c>
      <c r="AG41" s="739">
        <v>8</v>
      </c>
      <c r="AH41" s="740">
        <f t="shared" si="17"/>
        <v>1602709</v>
      </c>
      <c r="AI41" s="740" t="str">
        <f t="shared" si="18"/>
        <v>Kai Jun Wai</v>
      </c>
      <c r="AJ41" s="740" t="str">
        <f t="shared" si="19"/>
        <v>Cheung</v>
      </c>
      <c r="AK41" s="740"/>
      <c r="AL41" s="740"/>
      <c r="AM41" s="740"/>
      <c r="AN41" s="740"/>
      <c r="AO41" s="740"/>
      <c r="AQ41" s="741">
        <f t="shared" ca="1" si="20"/>
        <v>41114</v>
      </c>
    </row>
    <row r="42" spans="1:43" ht="20.25" customHeight="1" x14ac:dyDescent="0.25">
      <c r="A42" s="779">
        <v>15</v>
      </c>
      <c r="B42" s="798" t="str">
        <f>'Team 1'!B42</f>
        <v>Female 15/U 100m Backstroke</v>
      </c>
      <c r="C42" s="781" t="s">
        <v>4635</v>
      </c>
      <c r="D42" s="782">
        <v>14</v>
      </c>
      <c r="E42" s="730">
        <v>1400041</v>
      </c>
      <c r="F42" s="731" t="s">
        <v>4738</v>
      </c>
      <c r="G42" s="731" t="s">
        <v>4739</v>
      </c>
      <c r="H42" s="732">
        <v>40028</v>
      </c>
      <c r="I42" s="733" t="str">
        <f t="shared" si="13"/>
        <v>Daisy Harradine</v>
      </c>
      <c r="J42" s="734" t="str">
        <f t="shared" si="14"/>
        <v>Harradine,Daisy</v>
      </c>
      <c r="K42" s="735">
        <f t="shared" ca="1" si="15"/>
        <v>14</v>
      </c>
      <c r="L42" s="736" t="str">
        <f t="shared" si="16"/>
        <v>030809</v>
      </c>
      <c r="M42" s="766" t="str">
        <f ca="1">IF(K42=0,0,IF(K42&lt;9,"TOO YOUNG",IF(K42&lt;16,"OK","NOT ELIGIBLE")))</f>
        <v>OK</v>
      </c>
      <c r="AD42" s="722">
        <f t="shared" si="21"/>
        <v>15</v>
      </c>
      <c r="AE42" s="443" t="str">
        <f t="shared" si="22"/>
        <v>Female 15/U 100m Backstroke</v>
      </c>
      <c r="AF42" s="440" t="s">
        <v>4635</v>
      </c>
      <c r="AG42" s="739">
        <v>14</v>
      </c>
      <c r="AH42" s="740">
        <f t="shared" si="17"/>
        <v>1400041</v>
      </c>
      <c r="AI42" s="740" t="str">
        <f t="shared" si="18"/>
        <v>Daisy</v>
      </c>
      <c r="AJ42" s="740" t="str">
        <f t="shared" si="19"/>
        <v>Harradine</v>
      </c>
      <c r="AK42" s="740"/>
      <c r="AL42" s="740"/>
      <c r="AM42" s="740"/>
      <c r="AN42" s="740"/>
      <c r="AO42" s="740"/>
      <c r="AQ42" s="741">
        <f t="shared" ca="1" si="20"/>
        <v>40028</v>
      </c>
    </row>
    <row r="43" spans="1:43" ht="20.25" customHeight="1" x14ac:dyDescent="0.25">
      <c r="A43" s="779">
        <v>16</v>
      </c>
      <c r="B43" s="798" t="str">
        <f>'Team 1'!B43</f>
        <v>Open/Male 15/U 100m Backstroke</v>
      </c>
      <c r="C43" s="781" t="s">
        <v>328</v>
      </c>
      <c r="D43" s="782">
        <v>14</v>
      </c>
      <c r="E43" s="730">
        <v>1267461</v>
      </c>
      <c r="F43" s="731" t="s">
        <v>4741</v>
      </c>
      <c r="G43" s="731" t="s">
        <v>4742</v>
      </c>
      <c r="H43" s="732">
        <v>39635</v>
      </c>
      <c r="I43" s="733" t="str">
        <f t="shared" si="13"/>
        <v>Alexander Gregory</v>
      </c>
      <c r="J43" s="734" t="str">
        <f t="shared" si="14"/>
        <v>Gregory,Alexander</v>
      </c>
      <c r="K43" s="735">
        <f t="shared" ca="1" si="15"/>
        <v>15</v>
      </c>
      <c r="L43" s="736" t="str">
        <f t="shared" si="16"/>
        <v>060708</v>
      </c>
      <c r="M43" s="766" t="str">
        <f ca="1">IF(K43=0,0,IF(K43&lt;9,"TOO YOUNG",IF(K43&lt;16,"OK","NOT ELIGIBLE")))</f>
        <v>OK</v>
      </c>
      <c r="AD43" s="722">
        <f t="shared" si="21"/>
        <v>16</v>
      </c>
      <c r="AE43" s="443" t="str">
        <f t="shared" si="22"/>
        <v>Open/Male 15/U 100m Backstroke</v>
      </c>
      <c r="AF43" s="440" t="s">
        <v>328</v>
      </c>
      <c r="AG43" s="739">
        <v>14</v>
      </c>
      <c r="AH43" s="740">
        <f t="shared" si="17"/>
        <v>1267461</v>
      </c>
      <c r="AI43" s="740" t="str">
        <f t="shared" si="18"/>
        <v>Alexander</v>
      </c>
      <c r="AJ43" s="740" t="str">
        <f t="shared" si="19"/>
        <v>Gregory</v>
      </c>
      <c r="AK43" s="740"/>
      <c r="AL43" s="740"/>
      <c r="AM43" s="740"/>
      <c r="AN43" s="740"/>
      <c r="AO43" s="740"/>
      <c r="AQ43" s="741">
        <f t="shared" ca="1" si="20"/>
        <v>39635</v>
      </c>
    </row>
    <row r="44" spans="1:43" ht="20.25" customHeight="1" x14ac:dyDescent="0.25">
      <c r="A44" s="727">
        <v>17</v>
      </c>
      <c r="B44" s="799" t="str">
        <f>'Team 1'!B44</f>
        <v>Female 16+ 100m Butterfly</v>
      </c>
      <c r="C44" s="728" t="s">
        <v>4635</v>
      </c>
      <c r="D44" s="729">
        <v>11</v>
      </c>
      <c r="E44" s="730">
        <v>1336535</v>
      </c>
      <c r="F44" s="731" t="s">
        <v>4746</v>
      </c>
      <c r="G44" s="731" t="s">
        <v>4747</v>
      </c>
      <c r="H44" s="732">
        <v>38688</v>
      </c>
      <c r="I44" s="733" t="str">
        <f t="shared" si="13"/>
        <v>Madeleine Bailiss</v>
      </c>
      <c r="J44" s="734" t="str">
        <f t="shared" si="14"/>
        <v>Bailiss,Madeleine</v>
      </c>
      <c r="K44" s="735">
        <f t="shared" ca="1" si="15"/>
        <v>18</v>
      </c>
      <c r="L44" s="736" t="str">
        <f t="shared" si="16"/>
        <v>021205</v>
      </c>
      <c r="M44" s="770" t="str">
        <f ca="1">IF(K44=0,0,IF(K44&lt;9,"TOO YOUNG",IF(K44&lt;60,"OK","BIT OLD MAYBE")))</f>
        <v>OK</v>
      </c>
      <c r="AD44" s="722">
        <f t="shared" si="21"/>
        <v>17</v>
      </c>
      <c r="AE44" s="443" t="str">
        <f t="shared" si="22"/>
        <v>Female 16+ 100m Butterfly</v>
      </c>
      <c r="AF44" s="440" t="s">
        <v>4635</v>
      </c>
      <c r="AG44" s="739">
        <v>11</v>
      </c>
      <c r="AH44" s="740">
        <f t="shared" si="17"/>
        <v>1336535</v>
      </c>
      <c r="AI44" s="740" t="str">
        <f t="shared" si="18"/>
        <v>Madeleine</v>
      </c>
      <c r="AJ44" s="740" t="str">
        <f t="shared" si="19"/>
        <v>Bailiss</v>
      </c>
      <c r="AK44" s="740"/>
      <c r="AL44" s="740"/>
      <c r="AM44" s="740"/>
      <c r="AN44" s="740"/>
      <c r="AO44" s="740"/>
      <c r="AQ44" s="741">
        <f t="shared" ca="1" si="20"/>
        <v>38688</v>
      </c>
    </row>
    <row r="45" spans="1:43" ht="20.25" customHeight="1" x14ac:dyDescent="0.25">
      <c r="A45" s="727">
        <v>18</v>
      </c>
      <c r="B45" s="799" t="str">
        <f>'Team 1'!B45</f>
        <v>Open/Male 16+ 100m Butterfly</v>
      </c>
      <c r="C45" s="728" t="s">
        <v>328</v>
      </c>
      <c r="D45" s="729">
        <v>11</v>
      </c>
      <c r="E45" s="730">
        <v>1350706</v>
      </c>
      <c r="F45" s="731" t="s">
        <v>4743</v>
      </c>
      <c r="G45" s="731" t="s">
        <v>4730</v>
      </c>
      <c r="H45" s="732">
        <v>39703</v>
      </c>
      <c r="I45" s="733" t="str">
        <f t="shared" si="13"/>
        <v>Samuel Heraty</v>
      </c>
      <c r="J45" s="734" t="str">
        <f t="shared" si="14"/>
        <v>Heraty,Samuel</v>
      </c>
      <c r="K45" s="735">
        <f t="shared" ca="1" si="15"/>
        <v>15</v>
      </c>
      <c r="L45" s="736" t="str">
        <f t="shared" si="16"/>
        <v>120908</v>
      </c>
      <c r="M45" s="770" t="str">
        <f ca="1">IF(K45=0,0,IF(K45&lt;9,"TOO YOUNG",IF(K45&lt;60,"OK","BIT OLD MAYBE")))</f>
        <v>OK</v>
      </c>
      <c r="AD45" s="722">
        <f t="shared" si="21"/>
        <v>18</v>
      </c>
      <c r="AE45" s="443" t="str">
        <f t="shared" si="22"/>
        <v>Open/Male 16+ 100m Butterfly</v>
      </c>
      <c r="AF45" s="440" t="s">
        <v>328</v>
      </c>
      <c r="AG45" s="739">
        <v>11</v>
      </c>
      <c r="AH45" s="740">
        <f t="shared" si="17"/>
        <v>1350706</v>
      </c>
      <c r="AI45" s="740" t="str">
        <f t="shared" si="18"/>
        <v>Samuel</v>
      </c>
      <c r="AJ45" s="740" t="str">
        <f t="shared" si="19"/>
        <v>Heraty</v>
      </c>
      <c r="AK45" s="740"/>
      <c r="AL45" s="740"/>
      <c r="AM45" s="740"/>
      <c r="AN45" s="740"/>
      <c r="AO45" s="740"/>
      <c r="AQ45" s="741">
        <f t="shared" ca="1" si="20"/>
        <v>39703</v>
      </c>
    </row>
    <row r="46" spans="1:43" ht="20.25" customHeight="1" x14ac:dyDescent="0.25">
      <c r="A46" s="745">
        <v>19</v>
      </c>
      <c r="B46" s="796" t="str">
        <f>'Team 1'!B46</f>
        <v>Female 10/11 50m Butterfly</v>
      </c>
      <c r="C46" s="774" t="s">
        <v>4635</v>
      </c>
      <c r="D46" s="775">
        <v>10</v>
      </c>
      <c r="E46" s="730">
        <v>1602705</v>
      </c>
      <c r="F46" s="731" t="s">
        <v>4721</v>
      </c>
      <c r="G46" s="731" t="s">
        <v>4722</v>
      </c>
      <c r="H46" s="732">
        <v>41026</v>
      </c>
      <c r="I46" s="733" t="str">
        <f t="shared" si="13"/>
        <v>Maya Wegner</v>
      </c>
      <c r="J46" s="734" t="str">
        <f t="shared" si="14"/>
        <v>Wegner,Maya</v>
      </c>
      <c r="K46" s="735">
        <f t="shared" ca="1" si="15"/>
        <v>11</v>
      </c>
      <c r="L46" s="736" t="str">
        <f t="shared" si="16"/>
        <v>270412</v>
      </c>
      <c r="M46" s="766" t="str">
        <f ca="1">IF(K46=0,0,IF(K46&lt;10,"TOO YOUNG",IF(K46&lt;12,"OK","NOT ELIGIBLE")))</f>
        <v>OK</v>
      </c>
      <c r="AD46" s="722">
        <f t="shared" si="21"/>
        <v>19</v>
      </c>
      <c r="AE46" s="443" t="str">
        <f t="shared" si="22"/>
        <v>Female 10/11 50m Butterfly</v>
      </c>
      <c r="AF46" s="440" t="s">
        <v>4635</v>
      </c>
      <c r="AG46" s="739">
        <v>10</v>
      </c>
      <c r="AH46" s="740">
        <f t="shared" si="17"/>
        <v>1602705</v>
      </c>
      <c r="AI46" s="740" t="str">
        <f t="shared" si="18"/>
        <v>Maya</v>
      </c>
      <c r="AJ46" s="740" t="str">
        <f t="shared" si="19"/>
        <v>Wegner</v>
      </c>
      <c r="AK46" s="740"/>
      <c r="AL46" s="740"/>
      <c r="AM46" s="740"/>
      <c r="AN46" s="740"/>
      <c r="AO46" s="740"/>
      <c r="AQ46" s="741">
        <f t="shared" ca="1" si="20"/>
        <v>41026</v>
      </c>
    </row>
    <row r="47" spans="1:43" ht="20.25" customHeight="1" x14ac:dyDescent="0.25">
      <c r="A47" s="745">
        <v>20</v>
      </c>
      <c r="B47" s="796" t="str">
        <f>'Team 1'!B47</f>
        <v>Open/Male 10/11 50m Butterfly</v>
      </c>
      <c r="C47" s="774" t="s">
        <v>328</v>
      </c>
      <c r="D47" s="775">
        <v>10</v>
      </c>
      <c r="E47" s="730">
        <v>1596679</v>
      </c>
      <c r="F47" s="731" t="s">
        <v>4688</v>
      </c>
      <c r="G47" s="731" t="s">
        <v>4723</v>
      </c>
      <c r="H47" s="732">
        <v>41125</v>
      </c>
      <c r="I47" s="733" t="str">
        <f t="shared" si="13"/>
        <v>James Winter</v>
      </c>
      <c r="J47" s="734" t="str">
        <f t="shared" si="14"/>
        <v>Winter,James</v>
      </c>
      <c r="K47" s="735">
        <f t="shared" ca="1" si="15"/>
        <v>11</v>
      </c>
      <c r="L47" s="736" t="str">
        <f t="shared" si="16"/>
        <v>040812</v>
      </c>
      <c r="M47" s="766" t="str">
        <f ca="1">IF(K47=0,0,IF(K47&lt;10,"TOO YOUNG",IF(K47&lt;12,"OK","NOT ELIGIBLE")))</f>
        <v>OK</v>
      </c>
      <c r="AD47" s="722">
        <f t="shared" si="21"/>
        <v>20</v>
      </c>
      <c r="AE47" s="443" t="str">
        <f t="shared" si="22"/>
        <v>Open/Male 10/11 50m Butterfly</v>
      </c>
      <c r="AF47" s="440" t="s">
        <v>328</v>
      </c>
      <c r="AG47" s="739">
        <v>10</v>
      </c>
      <c r="AH47" s="740">
        <f t="shared" si="17"/>
        <v>1596679</v>
      </c>
      <c r="AI47" s="740" t="str">
        <f t="shared" si="18"/>
        <v>James</v>
      </c>
      <c r="AJ47" s="740" t="str">
        <f t="shared" si="19"/>
        <v>Winter</v>
      </c>
      <c r="AK47" s="740"/>
      <c r="AL47" s="740"/>
      <c r="AM47" s="740"/>
      <c r="AN47" s="740"/>
      <c r="AO47" s="740"/>
      <c r="AQ47" s="741">
        <f t="shared" ca="1" si="20"/>
        <v>41125</v>
      </c>
    </row>
    <row r="48" spans="1:43" ht="20.25" customHeight="1" x14ac:dyDescent="0.25">
      <c r="A48" s="755">
        <v>21</v>
      </c>
      <c r="B48" s="797" t="str">
        <f>'Team 1'!B48</f>
        <v>Female 13/U 100m Backstroke</v>
      </c>
      <c r="C48" s="777" t="s">
        <v>4635</v>
      </c>
      <c r="D48" s="778">
        <v>14</v>
      </c>
      <c r="E48" s="730">
        <v>1360843</v>
      </c>
      <c r="F48" s="731" t="s">
        <v>4711</v>
      </c>
      <c r="G48" s="731" t="s">
        <v>4730</v>
      </c>
      <c r="H48" s="732">
        <v>40463</v>
      </c>
      <c r="I48" s="733" t="str">
        <f t="shared" si="13"/>
        <v>Sophie Heraty</v>
      </c>
      <c r="J48" s="734" t="str">
        <f t="shared" si="14"/>
        <v>Heraty,Sophie</v>
      </c>
      <c r="K48" s="735">
        <f t="shared" ca="1" si="15"/>
        <v>13</v>
      </c>
      <c r="L48" s="736" t="str">
        <f t="shared" si="16"/>
        <v>121010</v>
      </c>
      <c r="M48" s="766" t="str">
        <f ca="1">IF(K48=0,0,IF(K48&lt;9,"TOO YOUNG",IF(K48&lt;14,"OK","NOT ELIGIBLE")))</f>
        <v>OK</v>
      </c>
      <c r="AD48" s="722">
        <f t="shared" si="21"/>
        <v>21</v>
      </c>
      <c r="AE48" s="443" t="str">
        <f t="shared" si="22"/>
        <v>Female 13/U 100m Backstroke</v>
      </c>
      <c r="AF48" s="440" t="s">
        <v>4635</v>
      </c>
      <c r="AG48" s="739">
        <v>14</v>
      </c>
      <c r="AH48" s="740">
        <f t="shared" si="17"/>
        <v>1360843</v>
      </c>
      <c r="AI48" s="740" t="str">
        <f t="shared" si="18"/>
        <v>Sophie</v>
      </c>
      <c r="AJ48" s="740" t="str">
        <f t="shared" si="19"/>
        <v>Heraty</v>
      </c>
      <c r="AK48" s="740"/>
      <c r="AL48" s="740"/>
      <c r="AM48" s="740"/>
      <c r="AN48" s="740"/>
      <c r="AO48" s="740"/>
      <c r="AQ48" s="741">
        <f t="shared" ca="1" si="20"/>
        <v>40463</v>
      </c>
    </row>
    <row r="49" spans="1:43" ht="20.25" customHeight="1" x14ac:dyDescent="0.25">
      <c r="A49" s="755">
        <v>22</v>
      </c>
      <c r="B49" s="797" t="str">
        <f>'Team 1'!B49</f>
        <v>Open/Male 13/U 100m Backstroke</v>
      </c>
      <c r="C49" s="777" t="s">
        <v>328</v>
      </c>
      <c r="D49" s="778">
        <v>14</v>
      </c>
      <c r="E49" s="730">
        <v>1596679</v>
      </c>
      <c r="F49" s="731" t="s">
        <v>4688</v>
      </c>
      <c r="G49" s="731" t="s">
        <v>4723</v>
      </c>
      <c r="H49" s="732">
        <v>41125</v>
      </c>
      <c r="I49" s="733" t="str">
        <f t="shared" si="13"/>
        <v>James Winter</v>
      </c>
      <c r="J49" s="734" t="str">
        <f t="shared" si="14"/>
        <v>Winter,James</v>
      </c>
      <c r="K49" s="735">
        <f t="shared" ca="1" si="15"/>
        <v>11</v>
      </c>
      <c r="L49" s="736" t="str">
        <f t="shared" si="16"/>
        <v>040812</v>
      </c>
      <c r="M49" s="766" t="str">
        <f ca="1">IF(K49=0,0,IF(K49&lt;9,"TOO YOUNG",IF(K49&lt;14,"OK","NOT ELIGIBLE")))</f>
        <v>OK</v>
      </c>
      <c r="AD49" s="722">
        <f t="shared" si="21"/>
        <v>22</v>
      </c>
      <c r="AE49" s="443" t="str">
        <f t="shared" si="22"/>
        <v>Open/Male 13/U 100m Backstroke</v>
      </c>
      <c r="AF49" s="440" t="s">
        <v>328</v>
      </c>
      <c r="AG49" s="739">
        <v>14</v>
      </c>
      <c r="AH49" s="740">
        <f t="shared" si="17"/>
        <v>1596679</v>
      </c>
      <c r="AI49" s="740" t="str">
        <f t="shared" si="18"/>
        <v>James</v>
      </c>
      <c r="AJ49" s="740" t="str">
        <f t="shared" si="19"/>
        <v>Winter</v>
      </c>
      <c r="AK49" s="740"/>
      <c r="AL49" s="740"/>
      <c r="AM49" s="740"/>
      <c r="AN49" s="740"/>
      <c r="AO49" s="740"/>
      <c r="AQ49" s="741">
        <f t="shared" ca="1" si="20"/>
        <v>41125</v>
      </c>
    </row>
    <row r="50" spans="1:43" ht="20.25" customHeight="1" x14ac:dyDescent="0.25">
      <c r="A50" s="779">
        <v>23</v>
      </c>
      <c r="B50" s="798" t="str">
        <f>'Team 1'!B50</f>
        <v>Female 15/U 100m Butterfly</v>
      </c>
      <c r="C50" s="781" t="s">
        <v>4635</v>
      </c>
      <c r="D50" s="782">
        <v>11</v>
      </c>
      <c r="E50" s="730">
        <v>1350701</v>
      </c>
      <c r="F50" s="731" t="s">
        <v>4684</v>
      </c>
      <c r="G50" s="731" t="s">
        <v>4740</v>
      </c>
      <c r="H50" s="732">
        <v>39732</v>
      </c>
      <c r="I50" s="733" t="str">
        <f t="shared" si="13"/>
        <v>Charlotte Lyon</v>
      </c>
      <c r="J50" s="734" t="str">
        <f t="shared" si="14"/>
        <v>Lyon,Charlotte</v>
      </c>
      <c r="K50" s="735">
        <f t="shared" ca="1" si="15"/>
        <v>15</v>
      </c>
      <c r="L50" s="736" t="str">
        <f t="shared" si="16"/>
        <v>111008</v>
      </c>
      <c r="M50" s="766" t="str">
        <f ca="1">IF(K50=0,0,IF(K50&lt;9,"TOO YOUNG",IF(K50&lt;16,"OK","NOT ELIGIBLE")))</f>
        <v>OK</v>
      </c>
      <c r="AD50" s="722">
        <f t="shared" si="21"/>
        <v>23</v>
      </c>
      <c r="AE50" s="443" t="str">
        <f t="shared" si="22"/>
        <v>Female 15/U 100m Butterfly</v>
      </c>
      <c r="AF50" s="440" t="s">
        <v>4635</v>
      </c>
      <c r="AG50" s="739">
        <v>11</v>
      </c>
      <c r="AH50" s="740">
        <f t="shared" si="17"/>
        <v>1350701</v>
      </c>
      <c r="AI50" s="740" t="str">
        <f t="shared" si="18"/>
        <v>Charlotte</v>
      </c>
      <c r="AJ50" s="740" t="str">
        <f t="shared" si="19"/>
        <v>Lyon</v>
      </c>
      <c r="AK50" s="740"/>
      <c r="AL50" s="740"/>
      <c r="AM50" s="740"/>
      <c r="AN50" s="740"/>
      <c r="AO50" s="740"/>
      <c r="AQ50" s="741">
        <f t="shared" ca="1" si="20"/>
        <v>39732</v>
      </c>
    </row>
    <row r="51" spans="1:43" ht="20.25" customHeight="1" x14ac:dyDescent="0.25">
      <c r="A51" s="779">
        <v>24</v>
      </c>
      <c r="B51" s="798" t="str">
        <f>'Team 1'!B51</f>
        <v>Open/Male 15/U 100m Butterfly</v>
      </c>
      <c r="C51" s="781" t="s">
        <v>328</v>
      </c>
      <c r="D51" s="782">
        <v>11</v>
      </c>
      <c r="E51" s="730">
        <v>1548083</v>
      </c>
      <c r="F51" s="731" t="s">
        <v>4734</v>
      </c>
      <c r="G51" s="731" t="s">
        <v>4735</v>
      </c>
      <c r="H51" s="732">
        <v>40443</v>
      </c>
      <c r="I51" s="733" t="str">
        <f t="shared" si="13"/>
        <v>Oliver Tubridy</v>
      </c>
      <c r="J51" s="734" t="str">
        <f t="shared" si="14"/>
        <v>Tubridy,Oliver</v>
      </c>
      <c r="K51" s="735">
        <f t="shared" ca="1" si="15"/>
        <v>13</v>
      </c>
      <c r="L51" s="736" t="str">
        <f t="shared" si="16"/>
        <v>220910</v>
      </c>
      <c r="M51" s="766" t="str">
        <f ca="1">IF(K51=0,0,IF(K51&lt;9,"TOO YOUNG",IF(K51&lt;16,"OK","NOT ELIGIBLE")))</f>
        <v>OK</v>
      </c>
      <c r="AD51" s="722">
        <f t="shared" si="21"/>
        <v>24</v>
      </c>
      <c r="AE51" s="443" t="str">
        <f t="shared" si="22"/>
        <v>Open/Male 15/U 100m Butterfly</v>
      </c>
      <c r="AF51" s="440" t="s">
        <v>328</v>
      </c>
      <c r="AG51" s="739">
        <v>11</v>
      </c>
      <c r="AH51" s="740">
        <f t="shared" si="17"/>
        <v>1548083</v>
      </c>
      <c r="AI51" s="740" t="str">
        <f t="shared" si="18"/>
        <v>Oliver</v>
      </c>
      <c r="AJ51" s="740" t="str">
        <f t="shared" si="19"/>
        <v>Tubridy</v>
      </c>
      <c r="AK51" s="740"/>
      <c r="AL51" s="740"/>
      <c r="AM51" s="740"/>
      <c r="AN51" s="740"/>
      <c r="AO51" s="740"/>
      <c r="AQ51" s="741">
        <f t="shared" ca="1" si="20"/>
        <v>40443</v>
      </c>
    </row>
    <row r="52" spans="1:43" ht="20.25" customHeight="1" x14ac:dyDescent="0.25">
      <c r="A52" s="727">
        <v>25</v>
      </c>
      <c r="B52" s="799" t="str">
        <f>'Team 1'!B52</f>
        <v>Female 16+ 100m Backstroke</v>
      </c>
      <c r="C52" s="728" t="s">
        <v>4635</v>
      </c>
      <c r="D52" s="729">
        <v>14</v>
      </c>
      <c r="E52" s="730">
        <v>1267450</v>
      </c>
      <c r="F52" s="731" t="s">
        <v>4711</v>
      </c>
      <c r="G52" s="731" t="s">
        <v>4740</v>
      </c>
      <c r="H52" s="732">
        <v>38953</v>
      </c>
      <c r="I52" s="733" t="str">
        <f t="shared" si="13"/>
        <v>Sophie Lyon</v>
      </c>
      <c r="J52" s="734" t="str">
        <f t="shared" si="14"/>
        <v>Lyon,Sophie</v>
      </c>
      <c r="K52" s="735">
        <f t="shared" ca="1" si="15"/>
        <v>17</v>
      </c>
      <c r="L52" s="736" t="str">
        <f t="shared" si="16"/>
        <v>240806</v>
      </c>
      <c r="M52" s="770" t="str">
        <f ca="1">IF(K52=0,0,IF(K52&lt;9,"TOO YOUNG",IF(K52&lt;60,"OK","BIT OLD MAYBE")))</f>
        <v>OK</v>
      </c>
      <c r="AD52" s="722">
        <f t="shared" si="21"/>
        <v>25</v>
      </c>
      <c r="AE52" s="443" t="str">
        <f t="shared" si="22"/>
        <v>Female 16+ 100m Backstroke</v>
      </c>
      <c r="AF52" s="440" t="s">
        <v>4635</v>
      </c>
      <c r="AG52" s="739">
        <v>14</v>
      </c>
      <c r="AH52" s="740">
        <f t="shared" si="17"/>
        <v>1267450</v>
      </c>
      <c r="AI52" s="740" t="str">
        <f t="shared" si="18"/>
        <v>Sophie</v>
      </c>
      <c r="AJ52" s="740" t="str">
        <f t="shared" si="19"/>
        <v>Lyon</v>
      </c>
      <c r="AK52" s="740"/>
      <c r="AL52" s="740"/>
      <c r="AM52" s="740"/>
      <c r="AN52" s="740"/>
      <c r="AO52" s="740"/>
      <c r="AQ52" s="741">
        <f t="shared" ca="1" si="20"/>
        <v>38953</v>
      </c>
    </row>
    <row r="53" spans="1:43" ht="20.25" customHeight="1" x14ac:dyDescent="0.25">
      <c r="A53" s="727">
        <v>26</v>
      </c>
      <c r="B53" s="799" t="str">
        <f>'Team 1'!B53</f>
        <v>Open/Male 16+100m Backstroke</v>
      </c>
      <c r="C53" s="728" t="s">
        <v>328</v>
      </c>
      <c r="D53" s="729">
        <v>14</v>
      </c>
      <c r="E53" s="730">
        <v>58591</v>
      </c>
      <c r="F53" s="731" t="s">
        <v>4748</v>
      </c>
      <c r="G53" s="731" t="s">
        <v>4749</v>
      </c>
      <c r="H53" s="732">
        <v>34409</v>
      </c>
      <c r="I53" s="733" t="str">
        <f t="shared" si="13"/>
        <v>Matthew Costello</v>
      </c>
      <c r="J53" s="734" t="str">
        <f t="shared" si="14"/>
        <v>Costello,Matthew</v>
      </c>
      <c r="K53" s="735">
        <f t="shared" ca="1" si="15"/>
        <v>29</v>
      </c>
      <c r="L53" s="736" t="str">
        <f t="shared" si="16"/>
        <v>160394</v>
      </c>
      <c r="M53" s="770" t="str">
        <f ca="1">IF(K53=0,0,IF(K53&lt;9,"TOO YOUNG",IF(K53&lt;60,"OK","BIT OLD MAYBE")))</f>
        <v>OK</v>
      </c>
      <c r="AD53" s="722">
        <f t="shared" si="21"/>
        <v>26</v>
      </c>
      <c r="AE53" s="443" t="str">
        <f t="shared" si="22"/>
        <v>Open/Male 16+100m Backstroke</v>
      </c>
      <c r="AF53" s="440" t="s">
        <v>328</v>
      </c>
      <c r="AG53" s="739">
        <v>14</v>
      </c>
      <c r="AH53" s="740">
        <f t="shared" si="17"/>
        <v>58591</v>
      </c>
      <c r="AI53" s="740" t="str">
        <f t="shared" si="18"/>
        <v>Matthew</v>
      </c>
      <c r="AJ53" s="740" t="str">
        <f t="shared" si="19"/>
        <v>Costello</v>
      </c>
      <c r="AK53" s="740"/>
      <c r="AL53" s="740"/>
      <c r="AM53" s="740"/>
      <c r="AN53" s="740"/>
      <c r="AO53" s="740"/>
      <c r="AQ53" s="741">
        <f t="shared" ca="1" si="20"/>
        <v>34409</v>
      </c>
    </row>
    <row r="54" spans="1:43" ht="20.25" customHeight="1" x14ac:dyDescent="0.25">
      <c r="A54" s="745">
        <v>27</v>
      </c>
      <c r="B54" s="796" t="str">
        <f>'Team 1'!B54</f>
        <v>Female 10/11 50m Breaststroke</v>
      </c>
      <c r="C54" s="774" t="s">
        <v>4635</v>
      </c>
      <c r="D54" s="775">
        <v>7</v>
      </c>
      <c r="E54" s="730">
        <v>1702495</v>
      </c>
      <c r="F54" s="731" t="s">
        <v>4715</v>
      </c>
      <c r="G54" s="731" t="s">
        <v>4716</v>
      </c>
      <c r="H54" s="732">
        <v>41448</v>
      </c>
      <c r="I54" s="733" t="str">
        <f t="shared" si="13"/>
        <v>Seren Cooper</v>
      </c>
      <c r="J54" s="734" t="str">
        <f t="shared" si="14"/>
        <v>Cooper,Seren</v>
      </c>
      <c r="K54" s="735">
        <f t="shared" ca="1" si="15"/>
        <v>10</v>
      </c>
      <c r="L54" s="736" t="str">
        <f t="shared" si="16"/>
        <v>230613</v>
      </c>
      <c r="M54" s="766" t="str">
        <f ca="1">IF(K54=0,0,IF(K54&lt;10,"TOO YOUNG",IF(K54&lt;12,"OK","NOT ELIGIBLE")))</f>
        <v>OK</v>
      </c>
      <c r="AD54" s="722">
        <f t="shared" si="21"/>
        <v>27</v>
      </c>
      <c r="AE54" s="443" t="str">
        <f t="shared" si="22"/>
        <v>Female 10/11 50m Breaststroke</v>
      </c>
      <c r="AF54" s="440" t="s">
        <v>4635</v>
      </c>
      <c r="AG54" s="739">
        <v>7</v>
      </c>
      <c r="AH54" s="740">
        <f t="shared" si="17"/>
        <v>1702495</v>
      </c>
      <c r="AI54" s="740" t="str">
        <f t="shared" si="18"/>
        <v>Seren</v>
      </c>
      <c r="AJ54" s="740" t="str">
        <f t="shared" si="19"/>
        <v>Cooper</v>
      </c>
      <c r="AK54" s="740"/>
      <c r="AL54" s="740"/>
      <c r="AM54" s="740"/>
      <c r="AN54" s="740"/>
      <c r="AO54" s="740"/>
      <c r="AQ54" s="741">
        <f t="shared" ca="1" si="20"/>
        <v>41448</v>
      </c>
    </row>
    <row r="55" spans="1:43" ht="20.25" customHeight="1" x14ac:dyDescent="0.25">
      <c r="A55" s="745">
        <v>28</v>
      </c>
      <c r="B55" s="796" t="str">
        <f>'Team 1'!B55</f>
        <v>Open/Male 10/11 50m Breaststroke</v>
      </c>
      <c r="C55" s="774" t="s">
        <v>328</v>
      </c>
      <c r="D55" s="775">
        <v>7</v>
      </c>
      <c r="E55" s="730">
        <v>1602709</v>
      </c>
      <c r="F55" s="731" t="s">
        <v>4726</v>
      </c>
      <c r="G55" s="731" t="s">
        <v>4727</v>
      </c>
      <c r="H55" s="732">
        <v>41114</v>
      </c>
      <c r="I55" s="733" t="str">
        <f t="shared" si="13"/>
        <v>Kai Jun Wai Cheung</v>
      </c>
      <c r="J55" s="734" t="str">
        <f t="shared" si="14"/>
        <v>Cheung,Kai Jun Wai</v>
      </c>
      <c r="K55" s="735">
        <f t="shared" ca="1" si="15"/>
        <v>11</v>
      </c>
      <c r="L55" s="736" t="str">
        <f t="shared" si="16"/>
        <v>240712</v>
      </c>
      <c r="M55" s="766" t="str">
        <f ca="1">IF(K55=0,0,IF(K55&lt;10,"TOO YOUNG",IF(K55&lt;12,"OK","NOT ELIGIBLE")))</f>
        <v>OK</v>
      </c>
      <c r="AD55" s="722">
        <f t="shared" si="21"/>
        <v>28</v>
      </c>
      <c r="AE55" s="443" t="str">
        <f t="shared" si="22"/>
        <v>Open/Male 10/11 50m Breaststroke</v>
      </c>
      <c r="AF55" s="440" t="s">
        <v>328</v>
      </c>
      <c r="AG55" s="739">
        <v>7</v>
      </c>
      <c r="AH55" s="740">
        <f t="shared" si="17"/>
        <v>1602709</v>
      </c>
      <c r="AI55" s="740" t="str">
        <f t="shared" si="18"/>
        <v>Kai Jun Wai</v>
      </c>
      <c r="AJ55" s="740" t="str">
        <f t="shared" si="19"/>
        <v>Cheung</v>
      </c>
      <c r="AK55" s="740"/>
      <c r="AL55" s="740"/>
      <c r="AM55" s="740"/>
      <c r="AN55" s="740"/>
      <c r="AO55" s="740"/>
      <c r="AQ55" s="741">
        <f t="shared" ca="1" si="20"/>
        <v>41114</v>
      </c>
    </row>
    <row r="56" spans="1:43" ht="20.25" customHeight="1" x14ac:dyDescent="0.25">
      <c r="A56" s="755">
        <v>29</v>
      </c>
      <c r="B56" s="797" t="str">
        <f>'Team 1'!B56</f>
        <v>Female 13/U 100m Butterfly</v>
      </c>
      <c r="C56" s="777" t="s">
        <v>4635</v>
      </c>
      <c r="D56" s="778">
        <v>11</v>
      </c>
      <c r="E56" s="730">
        <v>1350696</v>
      </c>
      <c r="F56" s="731" t="s">
        <v>4719</v>
      </c>
      <c r="G56" s="731" t="s">
        <v>4720</v>
      </c>
      <c r="H56" s="732">
        <v>40624</v>
      </c>
      <c r="I56" s="733" t="str">
        <f t="shared" si="13"/>
        <v>Jasmin Hunt</v>
      </c>
      <c r="J56" s="734" t="str">
        <f t="shared" si="14"/>
        <v>Hunt,Jasmin</v>
      </c>
      <c r="K56" s="735">
        <f t="shared" ca="1" si="15"/>
        <v>12</v>
      </c>
      <c r="L56" s="736" t="str">
        <f t="shared" si="16"/>
        <v>220311</v>
      </c>
      <c r="M56" s="766" t="str">
        <f ca="1">IF(K56=0,0,IF(K56&lt;9,"TOO YOUNG",IF(K56&lt;14,"OK","NOT ELIGIBLE")))</f>
        <v>OK</v>
      </c>
      <c r="AD56" s="722">
        <f t="shared" si="21"/>
        <v>29</v>
      </c>
      <c r="AE56" s="443" t="str">
        <f t="shared" si="22"/>
        <v>Female 13/U 100m Butterfly</v>
      </c>
      <c r="AF56" s="440" t="s">
        <v>4635</v>
      </c>
      <c r="AG56" s="739">
        <v>11</v>
      </c>
      <c r="AH56" s="740">
        <f t="shared" si="17"/>
        <v>1350696</v>
      </c>
      <c r="AI56" s="740" t="str">
        <f t="shared" si="18"/>
        <v>Jasmin</v>
      </c>
      <c r="AJ56" s="740" t="str">
        <f t="shared" si="19"/>
        <v>Hunt</v>
      </c>
      <c r="AK56" s="740"/>
      <c r="AL56" s="740"/>
      <c r="AM56" s="740"/>
      <c r="AN56" s="740"/>
      <c r="AO56" s="740"/>
      <c r="AQ56" s="741">
        <f t="shared" ca="1" si="20"/>
        <v>40624</v>
      </c>
    </row>
    <row r="57" spans="1:43" ht="20.25" customHeight="1" x14ac:dyDescent="0.25">
      <c r="A57" s="755">
        <v>30</v>
      </c>
      <c r="B57" s="797" t="str">
        <f>'Team 1'!B57</f>
        <v>Open/Male 13/U 100m Butterfly</v>
      </c>
      <c r="C57" s="777" t="s">
        <v>328</v>
      </c>
      <c r="D57" s="778">
        <v>11</v>
      </c>
      <c r="E57" s="730">
        <v>1548083</v>
      </c>
      <c r="F57" s="731" t="s">
        <v>4734</v>
      </c>
      <c r="G57" s="731" t="s">
        <v>4735</v>
      </c>
      <c r="H57" s="732">
        <v>40443</v>
      </c>
      <c r="I57" s="733" t="str">
        <f t="shared" si="13"/>
        <v>Oliver Tubridy</v>
      </c>
      <c r="J57" s="734" t="str">
        <f t="shared" si="14"/>
        <v>Tubridy,Oliver</v>
      </c>
      <c r="K57" s="735">
        <f t="shared" ca="1" si="15"/>
        <v>13</v>
      </c>
      <c r="L57" s="736" t="str">
        <f t="shared" si="16"/>
        <v>220910</v>
      </c>
      <c r="M57" s="766" t="str">
        <f ca="1">IF(K57=0,0,IF(K57&lt;9,"TOO YOUNG",IF(K57&lt;14,"OK","NOT ELIGIBLE")))</f>
        <v>OK</v>
      </c>
      <c r="AD57" s="722">
        <f t="shared" si="21"/>
        <v>30</v>
      </c>
      <c r="AE57" s="443" t="str">
        <f t="shared" si="22"/>
        <v>Open/Male 13/U 100m Butterfly</v>
      </c>
      <c r="AF57" s="440" t="s">
        <v>328</v>
      </c>
      <c r="AG57" s="739">
        <v>11</v>
      </c>
      <c r="AH57" s="740">
        <f t="shared" si="17"/>
        <v>1548083</v>
      </c>
      <c r="AI57" s="740" t="str">
        <f t="shared" si="18"/>
        <v>Oliver</v>
      </c>
      <c r="AJ57" s="740" t="str">
        <f t="shared" si="19"/>
        <v>Tubridy</v>
      </c>
      <c r="AK57" s="740"/>
      <c r="AL57" s="740"/>
      <c r="AM57" s="740"/>
      <c r="AN57" s="740"/>
      <c r="AO57" s="740"/>
      <c r="AQ57" s="741">
        <f t="shared" ca="1" si="20"/>
        <v>40443</v>
      </c>
    </row>
    <row r="58" spans="1:43" ht="20.25" customHeight="1" x14ac:dyDescent="0.25">
      <c r="A58" s="779">
        <v>31</v>
      </c>
      <c r="B58" s="798" t="str">
        <f>'Team 1'!B58</f>
        <v>Female 15/U 100m Freestyle</v>
      </c>
      <c r="C58" s="781" t="s">
        <v>4635</v>
      </c>
      <c r="D58" s="782">
        <v>2</v>
      </c>
      <c r="E58" s="730">
        <v>1389524</v>
      </c>
      <c r="F58" s="731" t="s">
        <v>4711</v>
      </c>
      <c r="G58" s="731" t="s">
        <v>4712</v>
      </c>
      <c r="H58" s="732">
        <v>40021</v>
      </c>
      <c r="I58" s="733" t="str">
        <f t="shared" si="13"/>
        <v>Sophie Stelmach</v>
      </c>
      <c r="J58" s="734" t="str">
        <f t="shared" si="14"/>
        <v>Stelmach,Sophie</v>
      </c>
      <c r="K58" s="735">
        <f t="shared" ca="1" si="15"/>
        <v>14</v>
      </c>
      <c r="L58" s="736" t="str">
        <f t="shared" si="16"/>
        <v>270709</v>
      </c>
      <c r="M58" s="766" t="str">
        <f ca="1">IF(K58=0,0,IF(K58&lt;9,"TOO YOUNG",IF(K58&lt;16,"OK","NOT ELIGIBLE")))</f>
        <v>OK</v>
      </c>
      <c r="AD58" s="722">
        <f t="shared" si="21"/>
        <v>31</v>
      </c>
      <c r="AE58" s="443" t="str">
        <f t="shared" si="22"/>
        <v>Female 15/U 100m Freestyle</v>
      </c>
      <c r="AF58" s="440" t="s">
        <v>4635</v>
      </c>
      <c r="AG58" s="739">
        <v>2</v>
      </c>
      <c r="AH58" s="740">
        <f t="shared" si="17"/>
        <v>1389524</v>
      </c>
      <c r="AI58" s="740" t="str">
        <f t="shared" si="18"/>
        <v>Sophie</v>
      </c>
      <c r="AJ58" s="740" t="str">
        <f t="shared" si="19"/>
        <v>Stelmach</v>
      </c>
      <c r="AK58" s="740"/>
      <c r="AL58" s="740"/>
      <c r="AM58" s="740"/>
      <c r="AN58" s="740"/>
      <c r="AO58" s="740"/>
      <c r="AQ58" s="741">
        <f t="shared" ca="1" si="20"/>
        <v>40021</v>
      </c>
    </row>
    <row r="59" spans="1:43" ht="20.25" customHeight="1" x14ac:dyDescent="0.25">
      <c r="A59" s="779">
        <v>32</v>
      </c>
      <c r="B59" s="798" t="str">
        <f>'Team 1'!B59</f>
        <v>Open/Male 15/U 100m Freestyle</v>
      </c>
      <c r="C59" s="781" t="s">
        <v>328</v>
      </c>
      <c r="D59" s="782">
        <v>2</v>
      </c>
      <c r="E59" s="730">
        <v>1525033</v>
      </c>
      <c r="F59" s="731" t="s">
        <v>4744</v>
      </c>
      <c r="G59" s="731" t="s">
        <v>4745</v>
      </c>
      <c r="H59" s="732">
        <v>39979</v>
      </c>
      <c r="I59" s="733" t="str">
        <f t="shared" si="13"/>
        <v>Daniel Humphreys</v>
      </c>
      <c r="J59" s="734" t="str">
        <f t="shared" si="14"/>
        <v>Humphreys,Daniel</v>
      </c>
      <c r="K59" s="735">
        <f t="shared" ca="1" si="15"/>
        <v>14</v>
      </c>
      <c r="L59" s="736" t="str">
        <f t="shared" si="16"/>
        <v>150609</v>
      </c>
      <c r="M59" s="766" t="str">
        <f ca="1">IF(K59=0,0,IF(K59&lt;9,"TOO YOUNG",IF(K59&lt;16,"OK","NOT ELIGIBLE")))</f>
        <v>OK</v>
      </c>
      <c r="AD59" s="722">
        <f t="shared" si="21"/>
        <v>32</v>
      </c>
      <c r="AE59" s="443" t="str">
        <f t="shared" si="22"/>
        <v>Open/Male 15/U 100m Freestyle</v>
      </c>
      <c r="AF59" s="440" t="s">
        <v>328</v>
      </c>
      <c r="AG59" s="739">
        <v>2</v>
      </c>
      <c r="AH59" s="740">
        <f t="shared" si="17"/>
        <v>1525033</v>
      </c>
      <c r="AI59" s="740" t="str">
        <f t="shared" si="18"/>
        <v>Daniel</v>
      </c>
      <c r="AJ59" s="740" t="str">
        <f t="shared" si="19"/>
        <v>Humphreys</v>
      </c>
      <c r="AK59" s="740"/>
      <c r="AL59" s="740"/>
      <c r="AM59" s="740"/>
      <c r="AN59" s="740"/>
      <c r="AO59" s="740"/>
      <c r="AQ59" s="741">
        <f t="shared" ca="1" si="20"/>
        <v>39979</v>
      </c>
    </row>
    <row r="60" spans="1:43" ht="20.25" customHeight="1" x14ac:dyDescent="0.25">
      <c r="A60" s="727">
        <v>33</v>
      </c>
      <c r="B60" s="799" t="str">
        <f>'Team 1'!B60</f>
        <v>Female 16+ 100m Breaststroke</v>
      </c>
      <c r="C60" s="742" t="s">
        <v>4635</v>
      </c>
      <c r="D60" s="783">
        <v>8</v>
      </c>
      <c r="E60" s="730">
        <v>1267450</v>
      </c>
      <c r="F60" s="731" t="s">
        <v>4711</v>
      </c>
      <c r="G60" s="731" t="s">
        <v>4740</v>
      </c>
      <c r="H60" s="732">
        <v>38953</v>
      </c>
      <c r="I60" s="733" t="str">
        <f t="shared" si="13"/>
        <v>Sophie Lyon</v>
      </c>
      <c r="J60" s="734" t="str">
        <f t="shared" si="14"/>
        <v>Lyon,Sophie</v>
      </c>
      <c r="K60" s="735">
        <f t="shared" ca="1" si="15"/>
        <v>17</v>
      </c>
      <c r="L60" s="736" t="str">
        <f t="shared" si="16"/>
        <v>240806</v>
      </c>
      <c r="M60" s="770" t="str">
        <f ca="1">IF(K60=0,0,IF(K60&lt;9,"TOO YOUNG",IF(K60&lt;60,"OK","BIT OLD MAYBE")))</f>
        <v>OK</v>
      </c>
      <c r="AD60" s="722">
        <f t="shared" si="21"/>
        <v>33</v>
      </c>
      <c r="AE60" s="443" t="str">
        <f t="shared" si="22"/>
        <v>Female 16+ 100m Breaststroke</v>
      </c>
      <c r="AF60" s="443" t="s">
        <v>4635</v>
      </c>
      <c r="AG60" s="744">
        <v>9</v>
      </c>
      <c r="AH60" s="740">
        <f t="shared" si="17"/>
        <v>1267450</v>
      </c>
      <c r="AI60" s="740" t="str">
        <f t="shared" si="18"/>
        <v>Sophie</v>
      </c>
      <c r="AJ60" s="740" t="str">
        <f t="shared" si="19"/>
        <v>Lyon</v>
      </c>
      <c r="AK60" s="740"/>
      <c r="AL60" s="740"/>
      <c r="AM60" s="740"/>
      <c r="AN60" s="740"/>
      <c r="AO60" s="740"/>
      <c r="AQ60" s="741">
        <f t="shared" ca="1" si="20"/>
        <v>38953</v>
      </c>
    </row>
    <row r="61" spans="1:43" ht="20.25" customHeight="1" x14ac:dyDescent="0.25">
      <c r="A61" s="727">
        <v>34</v>
      </c>
      <c r="B61" s="799" t="str">
        <f>'Team 1'!B61</f>
        <v>Open/Male 16+ 100m Breaststroke</v>
      </c>
      <c r="C61" s="742" t="s">
        <v>328</v>
      </c>
      <c r="D61" s="783">
        <v>8</v>
      </c>
      <c r="E61" s="730">
        <v>1525033</v>
      </c>
      <c r="F61" s="731" t="s">
        <v>4744</v>
      </c>
      <c r="G61" s="731" t="s">
        <v>4745</v>
      </c>
      <c r="H61" s="732">
        <v>39979</v>
      </c>
      <c r="I61" s="733" t="str">
        <f t="shared" si="13"/>
        <v>Daniel Humphreys</v>
      </c>
      <c r="J61" s="734" t="str">
        <f t="shared" si="14"/>
        <v>Humphreys,Daniel</v>
      </c>
      <c r="K61" s="735">
        <f t="shared" ca="1" si="15"/>
        <v>14</v>
      </c>
      <c r="L61" s="736" t="str">
        <f t="shared" si="16"/>
        <v>150609</v>
      </c>
      <c r="M61" s="770" t="str">
        <f ca="1">IF(K61=0,0,IF(K61&lt;9,"TOO YOUNG",IF(K61&lt;60,"OK","BIT OLD MAYBE")))</f>
        <v>OK</v>
      </c>
      <c r="AD61" s="722">
        <f t="shared" si="21"/>
        <v>34</v>
      </c>
      <c r="AE61" s="443" t="str">
        <f t="shared" si="22"/>
        <v>Open/Male 16+ 100m Breaststroke</v>
      </c>
      <c r="AF61" s="443" t="s">
        <v>328</v>
      </c>
      <c r="AG61" s="744">
        <v>9</v>
      </c>
      <c r="AH61" s="740">
        <f t="shared" si="17"/>
        <v>1525033</v>
      </c>
      <c r="AI61" s="740" t="str">
        <f t="shared" si="18"/>
        <v>Daniel</v>
      </c>
      <c r="AJ61" s="740" t="str">
        <f t="shared" si="19"/>
        <v>Humphreys</v>
      </c>
      <c r="AK61" s="740"/>
      <c r="AL61" s="740"/>
      <c r="AM61" s="740"/>
      <c r="AN61" s="740"/>
      <c r="AO61" s="740"/>
      <c r="AQ61" s="741">
        <f t="shared" ca="1" si="20"/>
        <v>39979</v>
      </c>
    </row>
    <row r="62" spans="1:43" ht="20.25" customHeight="1" x14ac:dyDescent="0.25">
      <c r="A62" s="745">
        <v>35</v>
      </c>
      <c r="B62" s="796" t="str">
        <f>'Team 1'!B62</f>
        <v>Female 10/11 50m Freestyle</v>
      </c>
      <c r="C62" s="774" t="s">
        <v>4635</v>
      </c>
      <c r="D62" s="775">
        <v>1</v>
      </c>
      <c r="E62" s="730">
        <v>1650577</v>
      </c>
      <c r="F62" s="731" t="s">
        <v>4717</v>
      </c>
      <c r="G62" s="731" t="s">
        <v>4718</v>
      </c>
      <c r="H62" s="732">
        <v>41198</v>
      </c>
      <c r="I62" s="733" t="str">
        <f t="shared" si="13"/>
        <v>Annabelle Harris</v>
      </c>
      <c r="J62" s="734" t="str">
        <f t="shared" si="14"/>
        <v>Harris,Annabelle</v>
      </c>
      <c r="K62" s="735">
        <f t="shared" ca="1" si="15"/>
        <v>11</v>
      </c>
      <c r="L62" s="736" t="str">
        <f t="shared" si="16"/>
        <v>161012</v>
      </c>
      <c r="M62" s="766" t="str">
        <f ca="1">IF(K62=0,0,IF(K62&lt;10,"TOO YOUNG",IF(K62&lt;12,"OK","NOT ELIGIBLE")))</f>
        <v>OK</v>
      </c>
      <c r="AD62" s="722">
        <f t="shared" si="21"/>
        <v>35</v>
      </c>
      <c r="AE62" s="443" t="str">
        <f t="shared" si="22"/>
        <v>Female 10/11 50m Freestyle</v>
      </c>
      <c r="AF62" s="440" t="s">
        <v>4635</v>
      </c>
      <c r="AG62" s="739">
        <v>1</v>
      </c>
      <c r="AH62" s="740">
        <f t="shared" si="17"/>
        <v>1650577</v>
      </c>
      <c r="AI62" s="740" t="str">
        <f t="shared" si="18"/>
        <v>Annabelle</v>
      </c>
      <c r="AJ62" s="740" t="str">
        <f t="shared" si="19"/>
        <v>Harris</v>
      </c>
      <c r="AK62" s="740"/>
      <c r="AL62" s="740"/>
      <c r="AM62" s="740"/>
      <c r="AN62" s="740"/>
      <c r="AO62" s="740"/>
      <c r="AQ62" s="741">
        <f t="shared" ca="1" si="20"/>
        <v>41198</v>
      </c>
    </row>
    <row r="63" spans="1:43" ht="20.25" customHeight="1" x14ac:dyDescent="0.25">
      <c r="A63" s="745">
        <v>36</v>
      </c>
      <c r="B63" s="796" t="str">
        <f>'Team 1'!B63</f>
        <v>Open/Male 10/11 50m Freestyle</v>
      </c>
      <c r="C63" s="774" t="s">
        <v>328</v>
      </c>
      <c r="D63" s="775">
        <v>1</v>
      </c>
      <c r="E63" s="730">
        <v>1704397</v>
      </c>
      <c r="F63" s="731" t="s">
        <v>4724</v>
      </c>
      <c r="G63" s="731" t="s">
        <v>4725</v>
      </c>
      <c r="H63" s="732">
        <v>41032</v>
      </c>
      <c r="I63" s="733" t="str">
        <f t="shared" si="13"/>
        <v>Alex Cash</v>
      </c>
      <c r="J63" s="734" t="str">
        <f t="shared" si="14"/>
        <v>Cash,Alex</v>
      </c>
      <c r="K63" s="735">
        <f t="shared" ca="1" si="15"/>
        <v>11</v>
      </c>
      <c r="L63" s="736" t="str">
        <f t="shared" si="16"/>
        <v>030512</v>
      </c>
      <c r="M63" s="766" t="str">
        <f ca="1">IF(K63=0,0,IF(K63&lt;10,"TOO YOUNG",IF(K63&lt;12,"OK","NOT ELIGIBLE")))</f>
        <v>OK</v>
      </c>
      <c r="AD63" s="722">
        <f t="shared" si="21"/>
        <v>36</v>
      </c>
      <c r="AE63" s="443" t="str">
        <f t="shared" si="22"/>
        <v>Open/Male 10/11 50m Freestyle</v>
      </c>
      <c r="AF63" s="440" t="s">
        <v>328</v>
      </c>
      <c r="AG63" s="739">
        <v>1</v>
      </c>
      <c r="AH63" s="740">
        <f t="shared" si="17"/>
        <v>1704397</v>
      </c>
      <c r="AI63" s="740" t="str">
        <f t="shared" si="18"/>
        <v>Alex</v>
      </c>
      <c r="AJ63" s="740" t="str">
        <f t="shared" si="19"/>
        <v>Cash</v>
      </c>
      <c r="AK63" s="740"/>
      <c r="AL63" s="740"/>
      <c r="AM63" s="740"/>
      <c r="AN63" s="740"/>
      <c r="AO63" s="740"/>
      <c r="AQ63" s="741">
        <f t="shared" ca="1" si="20"/>
        <v>41032</v>
      </c>
    </row>
    <row r="64" spans="1:43" ht="20.25" customHeight="1" x14ac:dyDescent="0.25">
      <c r="A64" s="755">
        <v>37</v>
      </c>
      <c r="B64" s="797" t="str">
        <f>'Team 1'!B64</f>
        <v>Female 13/U 100m Freestyle</v>
      </c>
      <c r="C64" s="777" t="s">
        <v>4635</v>
      </c>
      <c r="D64" s="778">
        <v>2</v>
      </c>
      <c r="E64" s="730">
        <v>1630127</v>
      </c>
      <c r="F64" s="731" t="s">
        <v>4732</v>
      </c>
      <c r="G64" s="731" t="s">
        <v>4733</v>
      </c>
      <c r="H64" s="732">
        <v>40481</v>
      </c>
      <c r="I64" s="733" t="str">
        <f t="shared" si="13"/>
        <v>Gracie Fleming-Jacobs</v>
      </c>
      <c r="J64" s="734" t="str">
        <f t="shared" si="14"/>
        <v>Fleming-Jacobs,Gracie</v>
      </c>
      <c r="K64" s="735">
        <f t="shared" ca="1" si="15"/>
        <v>13</v>
      </c>
      <c r="L64" s="736" t="str">
        <f t="shared" si="16"/>
        <v>301010</v>
      </c>
      <c r="M64" s="766" t="str">
        <f ca="1">IF(K64=0,0,IF(K64&lt;9,"TOO YOUNG",IF(K64&lt;14,"OK","NOT ELIGIBLE")))</f>
        <v>OK</v>
      </c>
      <c r="AD64" s="722">
        <f t="shared" si="21"/>
        <v>37</v>
      </c>
      <c r="AE64" s="443" t="str">
        <f t="shared" si="22"/>
        <v>Female 13/U 100m Freestyle</v>
      </c>
      <c r="AF64" s="440" t="s">
        <v>4635</v>
      </c>
      <c r="AG64" s="739">
        <v>2</v>
      </c>
      <c r="AH64" s="740">
        <f t="shared" si="17"/>
        <v>1630127</v>
      </c>
      <c r="AI64" s="740" t="str">
        <f t="shared" si="18"/>
        <v>Gracie</v>
      </c>
      <c r="AJ64" s="740" t="str">
        <f t="shared" si="19"/>
        <v>Fleming-Jacobs</v>
      </c>
      <c r="AK64" s="740"/>
      <c r="AL64" s="740"/>
      <c r="AM64" s="740"/>
      <c r="AN64" s="740"/>
      <c r="AO64" s="740"/>
      <c r="AQ64" s="741">
        <f t="shared" ca="1" si="20"/>
        <v>40481</v>
      </c>
    </row>
    <row r="65" spans="1:43" ht="20.25" customHeight="1" x14ac:dyDescent="0.25">
      <c r="A65" s="755">
        <v>38</v>
      </c>
      <c r="B65" s="797" t="str">
        <f>'Team 1'!B65</f>
        <v>Open/Male 13/U 100m Freestyle</v>
      </c>
      <c r="C65" s="777" t="s">
        <v>328</v>
      </c>
      <c r="D65" s="778">
        <v>2</v>
      </c>
      <c r="E65" s="730">
        <v>1504436</v>
      </c>
      <c r="F65" s="731" t="s">
        <v>4736</v>
      </c>
      <c r="G65" s="731" t="s">
        <v>4737</v>
      </c>
      <c r="H65" s="732">
        <v>40202</v>
      </c>
      <c r="I65" s="733" t="str">
        <f t="shared" si="13"/>
        <v>Joseph Bagshaw</v>
      </c>
      <c r="J65" s="734" t="str">
        <f t="shared" si="14"/>
        <v>Bagshaw,Joseph</v>
      </c>
      <c r="K65" s="735">
        <f t="shared" ca="1" si="15"/>
        <v>13</v>
      </c>
      <c r="L65" s="736" t="str">
        <f t="shared" si="16"/>
        <v>240110</v>
      </c>
      <c r="M65" s="766" t="str">
        <f ca="1">IF(K65=0,0,IF(K65&lt;9,"TOO YOUNG",IF(K65&lt;14,"OK","NOT ELIGIBLE")))</f>
        <v>OK</v>
      </c>
      <c r="AD65" s="722">
        <f t="shared" si="21"/>
        <v>38</v>
      </c>
      <c r="AE65" s="443" t="str">
        <f t="shared" si="22"/>
        <v>Open/Male 13/U 100m Freestyle</v>
      </c>
      <c r="AF65" s="440" t="s">
        <v>328</v>
      </c>
      <c r="AG65" s="739">
        <v>2</v>
      </c>
      <c r="AH65" s="740">
        <f t="shared" si="17"/>
        <v>1504436</v>
      </c>
      <c r="AI65" s="740" t="str">
        <f t="shared" si="18"/>
        <v>Joseph</v>
      </c>
      <c r="AJ65" s="740" t="str">
        <f t="shared" si="19"/>
        <v>Bagshaw</v>
      </c>
      <c r="AK65" s="740"/>
      <c r="AL65" s="740"/>
      <c r="AM65" s="740"/>
      <c r="AN65" s="740"/>
      <c r="AO65" s="740"/>
      <c r="AQ65" s="741">
        <f t="shared" ca="1" si="20"/>
        <v>40202</v>
      </c>
    </row>
    <row r="66" spans="1:43" ht="20.25" customHeight="1" x14ac:dyDescent="0.25">
      <c r="A66" s="779">
        <v>39</v>
      </c>
      <c r="B66" s="798" t="str">
        <f>'Team 1'!B66</f>
        <v>Female 15/U 100m Breaststroke</v>
      </c>
      <c r="C66" s="781" t="s">
        <v>4635</v>
      </c>
      <c r="D66" s="782">
        <v>8</v>
      </c>
      <c r="E66" s="730">
        <v>1400041</v>
      </c>
      <c r="F66" s="731" t="s">
        <v>4738</v>
      </c>
      <c r="G66" s="731" t="s">
        <v>4739</v>
      </c>
      <c r="H66" s="732">
        <v>40028</v>
      </c>
      <c r="I66" s="733" t="str">
        <f t="shared" si="13"/>
        <v>Daisy Harradine</v>
      </c>
      <c r="J66" s="734" t="str">
        <f t="shared" si="14"/>
        <v>Harradine,Daisy</v>
      </c>
      <c r="K66" s="735">
        <f t="shared" ca="1" si="15"/>
        <v>14</v>
      </c>
      <c r="L66" s="736" t="str">
        <f t="shared" si="16"/>
        <v>030809</v>
      </c>
      <c r="M66" s="766" t="str">
        <f ca="1">IF(K66=0,0,IF(K66&lt;9,"TOO YOUNG",IF(K66&lt;16,"OK","NOT ELIGIBLE")))</f>
        <v>OK</v>
      </c>
      <c r="AD66" s="722">
        <f t="shared" si="21"/>
        <v>39</v>
      </c>
      <c r="AE66" s="443" t="str">
        <f t="shared" si="22"/>
        <v>Female 15/U 100m Breaststroke</v>
      </c>
      <c r="AF66" s="440" t="s">
        <v>4635</v>
      </c>
      <c r="AG66" s="739">
        <v>9</v>
      </c>
      <c r="AH66" s="740">
        <f t="shared" si="17"/>
        <v>1400041</v>
      </c>
      <c r="AI66" s="740" t="str">
        <f t="shared" si="18"/>
        <v>Daisy</v>
      </c>
      <c r="AJ66" s="740" t="str">
        <f t="shared" si="19"/>
        <v>Harradine</v>
      </c>
      <c r="AK66" s="740"/>
      <c r="AL66" s="740"/>
      <c r="AM66" s="740"/>
      <c r="AN66" s="740"/>
      <c r="AO66" s="740"/>
      <c r="AQ66" s="741">
        <f t="shared" ca="1" si="20"/>
        <v>40028</v>
      </c>
    </row>
    <row r="67" spans="1:43" ht="20.25" customHeight="1" x14ac:dyDescent="0.25">
      <c r="A67" s="779">
        <v>40</v>
      </c>
      <c r="B67" s="798" t="str">
        <f>'Team 1'!B67</f>
        <v>Open/Male 15/U 100m Breaststroke</v>
      </c>
      <c r="C67" s="781" t="s">
        <v>328</v>
      </c>
      <c r="D67" s="782">
        <v>8</v>
      </c>
      <c r="E67" s="730">
        <v>1350706</v>
      </c>
      <c r="F67" s="731" t="s">
        <v>4743</v>
      </c>
      <c r="G67" s="731" t="s">
        <v>4730</v>
      </c>
      <c r="H67" s="732">
        <v>39703</v>
      </c>
      <c r="I67" s="733" t="str">
        <f t="shared" si="13"/>
        <v>Samuel Heraty</v>
      </c>
      <c r="J67" s="734" t="str">
        <f t="shared" si="14"/>
        <v>Heraty,Samuel</v>
      </c>
      <c r="K67" s="735">
        <f t="shared" ca="1" si="15"/>
        <v>15</v>
      </c>
      <c r="L67" s="736" t="str">
        <f t="shared" si="16"/>
        <v>120908</v>
      </c>
      <c r="M67" s="766" t="str">
        <f ca="1">IF(K67=0,0,IF(K67&lt;9,"TOO YOUNG",IF(K67&lt;16,"OK","NOT ELIGIBLE")))</f>
        <v>OK</v>
      </c>
      <c r="AD67" s="722">
        <f t="shared" si="21"/>
        <v>40</v>
      </c>
      <c r="AE67" s="443" t="str">
        <f t="shared" si="22"/>
        <v>Open/Male 15/U 100m Breaststroke</v>
      </c>
      <c r="AF67" s="440" t="s">
        <v>328</v>
      </c>
      <c r="AG67" s="739">
        <v>9</v>
      </c>
      <c r="AH67" s="740">
        <f t="shared" si="17"/>
        <v>1350706</v>
      </c>
      <c r="AI67" s="740" t="str">
        <f t="shared" si="18"/>
        <v>Samuel</v>
      </c>
      <c r="AJ67" s="740" t="str">
        <f t="shared" si="19"/>
        <v>Heraty</v>
      </c>
      <c r="AK67" s="740"/>
      <c r="AL67" s="740"/>
      <c r="AM67" s="740"/>
      <c r="AN67" s="740"/>
      <c r="AO67" s="740"/>
      <c r="AQ67" s="741">
        <f t="shared" ca="1" si="20"/>
        <v>39703</v>
      </c>
    </row>
    <row r="68" spans="1:43" ht="20.25" customHeight="1" x14ac:dyDescent="0.25">
      <c r="A68" s="727">
        <v>41</v>
      </c>
      <c r="B68" s="799" t="str">
        <f>'Team 1'!B68</f>
        <v>Female 16+ 100m Freestyle</v>
      </c>
      <c r="C68" s="728" t="s">
        <v>4635</v>
      </c>
      <c r="D68" s="729">
        <v>2</v>
      </c>
      <c r="E68" s="730">
        <v>1336535</v>
      </c>
      <c r="F68" s="731" t="s">
        <v>4746</v>
      </c>
      <c r="G68" s="731" t="s">
        <v>4747</v>
      </c>
      <c r="H68" s="732">
        <v>38688</v>
      </c>
      <c r="I68" s="733" t="str">
        <f t="shared" ref="I68:I101" si="23">CONCATENATE(F68," ",G68)</f>
        <v>Madeleine Bailiss</v>
      </c>
      <c r="J68" s="734" t="str">
        <f t="shared" ref="J68:J101" si="24">CONCATENATE(G68,",",F68)</f>
        <v>Bailiss,Madeleine</v>
      </c>
      <c r="K68" s="735">
        <f t="shared" ref="K68:K99" ca="1" si="25">IF(K$2=0,0,IF(AQ68=0,0,IF(COUNTBLANK(AQ68)=1,"",YEAR(K$2)-YEAR(AQ68)-IF(DATE(YEAR(K$2),MONTH(AQ68),DAY(4638))&gt;K$2,1,0))))</f>
        <v>18</v>
      </c>
      <c r="L68" s="736" t="str">
        <f t="shared" ref="L68:L99" si="26">(TEXT(H68,"DDMMYY"))</f>
        <v>021205</v>
      </c>
      <c r="M68" s="770" t="str">
        <f ca="1">IF(K68=0,0,IF(K68&lt;9,"TOO YOUNG",IF(K68&lt;60,"OK","BIT OLD MAYBE")))</f>
        <v>OK</v>
      </c>
      <c r="AD68" s="722">
        <f t="shared" si="21"/>
        <v>41</v>
      </c>
      <c r="AE68" s="443" t="str">
        <f t="shared" si="22"/>
        <v>Female 16+ 100m Freestyle</v>
      </c>
      <c r="AF68" s="440" t="s">
        <v>4635</v>
      </c>
      <c r="AG68" s="739">
        <v>2</v>
      </c>
      <c r="AH68" s="740">
        <f t="shared" ref="AH68:AH99" si="27">E68</f>
        <v>1336535</v>
      </c>
      <c r="AI68" s="740" t="str">
        <f t="shared" ref="AI68:AI99" si="28">F68</f>
        <v>Madeleine</v>
      </c>
      <c r="AJ68" s="740" t="str">
        <f t="shared" ref="AJ68:AJ99" si="29">G68</f>
        <v>Bailiss</v>
      </c>
      <c r="AK68" s="740"/>
      <c r="AL68" s="740"/>
      <c r="AM68" s="740"/>
      <c r="AN68" s="740"/>
      <c r="AO68" s="740"/>
      <c r="AQ68" s="741">
        <f t="shared" ref="AQ68:AQ99" ca="1" si="30">INDIRECT(ADDRESS(ROW(),AQ$3))</f>
        <v>38688</v>
      </c>
    </row>
    <row r="69" spans="1:43" ht="20.25" customHeight="1" x14ac:dyDescent="0.25">
      <c r="A69" s="727">
        <v>42</v>
      </c>
      <c r="B69" s="799" t="str">
        <f>'Team 1'!B69</f>
        <v>Open/Male 16+ 100m Freestyle</v>
      </c>
      <c r="C69" s="796" t="str">
        <f>'Team 1'!C69</f>
        <v>M</v>
      </c>
      <c r="D69" s="796">
        <f>'Team 1'!D69</f>
        <v>2</v>
      </c>
      <c r="E69" s="730">
        <v>978105</v>
      </c>
      <c r="F69" s="731" t="s">
        <v>4713</v>
      </c>
      <c r="G69" s="731" t="s">
        <v>4714</v>
      </c>
      <c r="H69" s="732">
        <v>39158</v>
      </c>
      <c r="I69" s="733" t="str">
        <f t="shared" si="23"/>
        <v>Harry Chapman</v>
      </c>
      <c r="J69" s="734" t="str">
        <f t="shared" si="24"/>
        <v>Chapman,Harry</v>
      </c>
      <c r="K69" s="735">
        <f t="shared" ca="1" si="25"/>
        <v>16</v>
      </c>
      <c r="L69" s="736" t="str">
        <f t="shared" si="26"/>
        <v>170307</v>
      </c>
      <c r="M69" s="770" t="str">
        <f ca="1">IF(K69=0,0,IF(K69&lt;9,"TOO YOUNG",IF(K69&lt;60,"OK","BIT OLD MAYBE")))</f>
        <v>OK</v>
      </c>
      <c r="AD69" s="722">
        <f t="shared" si="21"/>
        <v>42</v>
      </c>
      <c r="AE69" s="443" t="str">
        <f t="shared" si="22"/>
        <v>Open/Male 16+ 100m Freestyle</v>
      </c>
      <c r="AF69" s="440" t="s">
        <v>328</v>
      </c>
      <c r="AG69" s="739">
        <v>2</v>
      </c>
      <c r="AH69" s="740">
        <f t="shared" si="27"/>
        <v>978105</v>
      </c>
      <c r="AI69" s="740" t="str">
        <f t="shared" si="28"/>
        <v>Harry</v>
      </c>
      <c r="AJ69" s="740" t="str">
        <f t="shared" si="29"/>
        <v>Chapman</v>
      </c>
      <c r="AK69" s="740"/>
      <c r="AL69" s="740"/>
      <c r="AM69" s="740"/>
      <c r="AN69" s="740"/>
      <c r="AO69" s="740"/>
      <c r="AQ69" s="741">
        <f t="shared" ca="1" si="30"/>
        <v>39158</v>
      </c>
    </row>
    <row r="70" spans="1:43" ht="20.25" customHeight="1" x14ac:dyDescent="0.25">
      <c r="A70" s="1254">
        <v>43</v>
      </c>
      <c r="B70" s="1255" t="s">
        <v>4752</v>
      </c>
      <c r="C70" s="746"/>
      <c r="D70" s="747"/>
      <c r="E70" s="730">
        <v>1579260</v>
      </c>
      <c r="F70" s="731" t="s">
        <v>4750</v>
      </c>
      <c r="G70" s="731" t="s">
        <v>4751</v>
      </c>
      <c r="H70" s="732">
        <v>41316</v>
      </c>
      <c r="I70" s="733" t="str">
        <f t="shared" si="23"/>
        <v>Esmae Green</v>
      </c>
      <c r="J70" s="734" t="str">
        <f t="shared" si="24"/>
        <v>Green,Esmae</v>
      </c>
      <c r="K70" s="735">
        <f t="shared" ca="1" si="25"/>
        <v>10</v>
      </c>
      <c r="L70" s="736" t="str">
        <f t="shared" si="26"/>
        <v>110213</v>
      </c>
      <c r="M70" s="766" t="str">
        <f t="shared" ref="M70:M77" ca="1" si="31">IF(K70=0,0,IF(K70&lt;9,"TOO YOUNG",IF(K70&lt;12,"OK","NOT ELIGIBLE")))</f>
        <v>OK</v>
      </c>
      <c r="AD70" s="1244">
        <f t="shared" si="21"/>
        <v>43</v>
      </c>
      <c r="AE70" s="1245" t="str">
        <f t="shared" si="22"/>
        <v>FEMALE 9/11
MEDLEY RELAY</v>
      </c>
      <c r="AF70" s="749"/>
      <c r="AG70" s="750"/>
      <c r="AH70" s="740">
        <f t="shared" si="27"/>
        <v>1579260</v>
      </c>
      <c r="AI70" s="740" t="str">
        <f t="shared" si="28"/>
        <v>Esmae</v>
      </c>
      <c r="AJ70" s="740" t="str">
        <f t="shared" si="29"/>
        <v>Green</v>
      </c>
      <c r="AK70" s="740"/>
      <c r="AL70" s="740"/>
      <c r="AM70" s="740"/>
      <c r="AN70" s="740"/>
      <c r="AO70" s="740"/>
      <c r="AQ70" s="741">
        <f t="shared" ca="1" si="30"/>
        <v>41316</v>
      </c>
    </row>
    <row r="71" spans="1:43" ht="20.25" customHeight="1" x14ac:dyDescent="0.25">
      <c r="A71" s="1254"/>
      <c r="B71" s="1255"/>
      <c r="C71" s="751"/>
      <c r="D71" s="752"/>
      <c r="E71" s="730">
        <v>1702495</v>
      </c>
      <c r="F71" s="731" t="s">
        <v>4715</v>
      </c>
      <c r="G71" s="731" t="s">
        <v>4716</v>
      </c>
      <c r="H71" s="732">
        <v>41448</v>
      </c>
      <c r="I71" s="733" t="str">
        <f t="shared" si="23"/>
        <v>Seren Cooper</v>
      </c>
      <c r="J71" s="734" t="str">
        <f t="shared" si="24"/>
        <v>Cooper,Seren</v>
      </c>
      <c r="K71" s="735">
        <f t="shared" ca="1" si="25"/>
        <v>10</v>
      </c>
      <c r="L71" s="736" t="str">
        <f t="shared" si="26"/>
        <v>230613</v>
      </c>
      <c r="M71" s="766" t="str">
        <f t="shared" ca="1" si="31"/>
        <v>OK</v>
      </c>
      <c r="AD71" s="1244"/>
      <c r="AE71" s="1245"/>
      <c r="AF71" s="753"/>
      <c r="AG71" s="754"/>
      <c r="AH71" s="740">
        <f t="shared" si="27"/>
        <v>1702495</v>
      </c>
      <c r="AI71" s="740" t="str">
        <f t="shared" si="28"/>
        <v>Seren</v>
      </c>
      <c r="AJ71" s="740" t="str">
        <f t="shared" si="29"/>
        <v>Cooper</v>
      </c>
      <c r="AK71" s="740"/>
      <c r="AL71" s="740"/>
      <c r="AM71" s="740"/>
      <c r="AN71" s="740"/>
      <c r="AO71" s="740"/>
      <c r="AQ71" s="741">
        <f t="shared" ca="1" si="30"/>
        <v>41448</v>
      </c>
    </row>
    <row r="72" spans="1:43" ht="20.25" customHeight="1" x14ac:dyDescent="0.25">
      <c r="A72" s="1254"/>
      <c r="B72" s="1255"/>
      <c r="C72" s="751"/>
      <c r="D72" s="752"/>
      <c r="E72" s="730">
        <v>1602705</v>
      </c>
      <c r="F72" s="731" t="s">
        <v>4721</v>
      </c>
      <c r="G72" s="731" t="s">
        <v>4722</v>
      </c>
      <c r="H72" s="732">
        <v>41026</v>
      </c>
      <c r="I72" s="733" t="str">
        <f t="shared" si="23"/>
        <v>Maya Wegner</v>
      </c>
      <c r="J72" s="734" t="str">
        <f t="shared" si="24"/>
        <v>Wegner,Maya</v>
      </c>
      <c r="K72" s="735">
        <f t="shared" ca="1" si="25"/>
        <v>11</v>
      </c>
      <c r="L72" s="736" t="str">
        <f t="shared" si="26"/>
        <v>270412</v>
      </c>
      <c r="M72" s="766" t="str">
        <f t="shared" ca="1" si="31"/>
        <v>OK</v>
      </c>
      <c r="AD72" s="1244"/>
      <c r="AE72" s="1245"/>
      <c r="AF72" s="753"/>
      <c r="AG72" s="754"/>
      <c r="AH72" s="740">
        <f t="shared" si="27"/>
        <v>1602705</v>
      </c>
      <c r="AI72" s="740" t="str">
        <f t="shared" si="28"/>
        <v>Maya</v>
      </c>
      <c r="AJ72" s="740" t="str">
        <f t="shared" si="29"/>
        <v>Wegner</v>
      </c>
      <c r="AK72" s="740"/>
      <c r="AL72" s="740"/>
      <c r="AM72" s="740"/>
      <c r="AN72" s="740"/>
      <c r="AO72" s="740"/>
      <c r="AQ72" s="741">
        <f t="shared" ca="1" si="30"/>
        <v>41026</v>
      </c>
    </row>
    <row r="73" spans="1:43" ht="20.25" customHeight="1" x14ac:dyDescent="0.25">
      <c r="A73" s="1254"/>
      <c r="B73" s="1255"/>
      <c r="C73" s="751"/>
      <c r="D73" s="752"/>
      <c r="E73" s="730">
        <v>1650577</v>
      </c>
      <c r="F73" s="731" t="s">
        <v>4717</v>
      </c>
      <c r="G73" s="731" t="s">
        <v>4718</v>
      </c>
      <c r="H73" s="732">
        <v>41198</v>
      </c>
      <c r="I73" s="733" t="str">
        <f t="shared" si="23"/>
        <v>Annabelle Harris</v>
      </c>
      <c r="J73" s="734" t="str">
        <f t="shared" si="24"/>
        <v>Harris,Annabelle</v>
      </c>
      <c r="K73" s="735">
        <f t="shared" ca="1" si="25"/>
        <v>11</v>
      </c>
      <c r="L73" s="736" t="str">
        <f t="shared" si="26"/>
        <v>161012</v>
      </c>
      <c r="M73" s="766" t="str">
        <f t="shared" ca="1" si="31"/>
        <v>OK</v>
      </c>
      <c r="AD73" s="1244"/>
      <c r="AE73" s="1245"/>
      <c r="AF73" s="753"/>
      <c r="AG73" s="754"/>
      <c r="AH73" s="740">
        <f t="shared" si="27"/>
        <v>1650577</v>
      </c>
      <c r="AI73" s="740" t="str">
        <f t="shared" si="28"/>
        <v>Annabelle</v>
      </c>
      <c r="AJ73" s="740" t="str">
        <f t="shared" si="29"/>
        <v>Harris</v>
      </c>
      <c r="AK73" s="740"/>
      <c r="AL73" s="740"/>
      <c r="AM73" s="740"/>
      <c r="AN73" s="740"/>
      <c r="AO73" s="740"/>
      <c r="AQ73" s="741">
        <f t="shared" ca="1" si="30"/>
        <v>41198</v>
      </c>
    </row>
    <row r="74" spans="1:43" ht="20.25" customHeight="1" x14ac:dyDescent="0.25">
      <c r="A74" s="1254">
        <v>44</v>
      </c>
      <c r="B74" s="1255" t="s">
        <v>4753</v>
      </c>
      <c r="C74" s="746"/>
      <c r="D74" s="747"/>
      <c r="E74" s="730">
        <v>1596679</v>
      </c>
      <c r="F74" s="731" t="s">
        <v>4688</v>
      </c>
      <c r="G74" s="731" t="s">
        <v>4723</v>
      </c>
      <c r="H74" s="732">
        <v>41125</v>
      </c>
      <c r="I74" s="733" t="str">
        <f t="shared" si="23"/>
        <v>James Winter</v>
      </c>
      <c r="J74" s="734" t="str">
        <f t="shared" si="24"/>
        <v>Winter,James</v>
      </c>
      <c r="K74" s="735">
        <f t="shared" ca="1" si="25"/>
        <v>11</v>
      </c>
      <c r="L74" s="736" t="str">
        <f t="shared" si="26"/>
        <v>040812</v>
      </c>
      <c r="M74" s="766" t="str">
        <f t="shared" ca="1" si="31"/>
        <v>OK</v>
      </c>
      <c r="AD74" s="1244">
        <f>A74</f>
        <v>44</v>
      </c>
      <c r="AE74" s="1245" t="str">
        <f>B74</f>
        <v>OPEN/MALE 9/11
MEDLEY RELAY</v>
      </c>
      <c r="AF74" s="749"/>
      <c r="AG74" s="750"/>
      <c r="AH74" s="740">
        <f t="shared" si="27"/>
        <v>1596679</v>
      </c>
      <c r="AI74" s="740" t="str">
        <f t="shared" si="28"/>
        <v>James</v>
      </c>
      <c r="AJ74" s="740" t="str">
        <f t="shared" si="29"/>
        <v>Winter</v>
      </c>
      <c r="AK74" s="740"/>
      <c r="AL74" s="740"/>
      <c r="AM74" s="740"/>
      <c r="AN74" s="740"/>
      <c r="AO74" s="740"/>
      <c r="AQ74" s="741">
        <f t="shared" ca="1" si="30"/>
        <v>41125</v>
      </c>
    </row>
    <row r="75" spans="1:43" ht="20.25" customHeight="1" x14ac:dyDescent="0.25">
      <c r="A75" s="1254"/>
      <c r="B75" s="1255"/>
      <c r="C75" s="751"/>
      <c r="D75" s="752"/>
      <c r="E75" s="730">
        <v>1602709</v>
      </c>
      <c r="F75" s="731" t="s">
        <v>4726</v>
      </c>
      <c r="G75" s="731" t="s">
        <v>4727</v>
      </c>
      <c r="H75" s="732">
        <v>41114</v>
      </c>
      <c r="I75" s="733" t="str">
        <f t="shared" si="23"/>
        <v>Kai Jun Wai Cheung</v>
      </c>
      <c r="J75" s="734" t="str">
        <f t="shared" si="24"/>
        <v>Cheung,Kai Jun Wai</v>
      </c>
      <c r="K75" s="735">
        <f t="shared" ca="1" si="25"/>
        <v>11</v>
      </c>
      <c r="L75" s="736" t="str">
        <f t="shared" si="26"/>
        <v>240712</v>
      </c>
      <c r="M75" s="766" t="str">
        <f t="shared" ca="1" si="31"/>
        <v>OK</v>
      </c>
      <c r="AD75" s="1244"/>
      <c r="AE75" s="1245"/>
      <c r="AF75" s="753"/>
      <c r="AG75" s="754"/>
      <c r="AH75" s="740">
        <f t="shared" si="27"/>
        <v>1602709</v>
      </c>
      <c r="AI75" s="740" t="str">
        <f t="shared" si="28"/>
        <v>Kai Jun Wai</v>
      </c>
      <c r="AJ75" s="740" t="str">
        <f t="shared" si="29"/>
        <v>Cheung</v>
      </c>
      <c r="AK75" s="740"/>
      <c r="AL75" s="740"/>
      <c r="AM75" s="740"/>
      <c r="AN75" s="740"/>
      <c r="AO75" s="740"/>
      <c r="AQ75" s="741">
        <f t="shared" ca="1" si="30"/>
        <v>41114</v>
      </c>
    </row>
    <row r="76" spans="1:43" ht="20.25" customHeight="1" x14ac:dyDescent="0.25">
      <c r="A76" s="1254"/>
      <c r="B76" s="1255"/>
      <c r="C76" s="751"/>
      <c r="D76" s="752"/>
      <c r="E76" s="730">
        <v>1644017</v>
      </c>
      <c r="F76" s="731" t="s">
        <v>4728</v>
      </c>
      <c r="G76" s="731" t="s">
        <v>4729</v>
      </c>
      <c r="H76" s="732">
        <v>41990</v>
      </c>
      <c r="I76" s="733" t="str">
        <f t="shared" si="23"/>
        <v>Charlie Pritchard</v>
      </c>
      <c r="J76" s="734" t="str">
        <f t="shared" si="24"/>
        <v>Pritchard,Charlie</v>
      </c>
      <c r="K76" s="735">
        <f t="shared" ca="1" si="25"/>
        <v>9</v>
      </c>
      <c r="L76" s="736" t="str">
        <f t="shared" si="26"/>
        <v>171214</v>
      </c>
      <c r="M76" s="766" t="str">
        <f t="shared" ca="1" si="31"/>
        <v>OK</v>
      </c>
      <c r="AD76" s="1244"/>
      <c r="AE76" s="1245"/>
      <c r="AF76" s="753"/>
      <c r="AG76" s="754"/>
      <c r="AH76" s="740">
        <f t="shared" si="27"/>
        <v>1644017</v>
      </c>
      <c r="AI76" s="740" t="str">
        <f t="shared" si="28"/>
        <v>Charlie</v>
      </c>
      <c r="AJ76" s="740" t="str">
        <f t="shared" si="29"/>
        <v>Pritchard</v>
      </c>
      <c r="AK76" s="740"/>
      <c r="AL76" s="740"/>
      <c r="AM76" s="740"/>
      <c r="AN76" s="740"/>
      <c r="AO76" s="740"/>
      <c r="AQ76" s="741">
        <f t="shared" ca="1" si="30"/>
        <v>41990</v>
      </c>
    </row>
    <row r="77" spans="1:43" ht="20.25" customHeight="1" x14ac:dyDescent="0.25">
      <c r="A77" s="1254"/>
      <c r="B77" s="1255"/>
      <c r="C77" s="751"/>
      <c r="D77" s="752"/>
      <c r="E77" s="730">
        <v>1704397</v>
      </c>
      <c r="F77" s="731" t="s">
        <v>4724</v>
      </c>
      <c r="G77" s="731" t="s">
        <v>4725</v>
      </c>
      <c r="H77" s="732">
        <v>41032</v>
      </c>
      <c r="I77" s="733" t="str">
        <f t="shared" si="23"/>
        <v>Alex Cash</v>
      </c>
      <c r="J77" s="734" t="str">
        <f t="shared" si="24"/>
        <v>Cash,Alex</v>
      </c>
      <c r="K77" s="735">
        <f t="shared" ca="1" si="25"/>
        <v>11</v>
      </c>
      <c r="L77" s="736" t="str">
        <f t="shared" si="26"/>
        <v>030512</v>
      </c>
      <c r="M77" s="766" t="str">
        <f t="shared" ca="1" si="31"/>
        <v>OK</v>
      </c>
      <c r="AD77" s="1244"/>
      <c r="AE77" s="1245"/>
      <c r="AF77" s="753"/>
      <c r="AG77" s="754"/>
      <c r="AH77" s="740">
        <f t="shared" si="27"/>
        <v>1704397</v>
      </c>
      <c r="AI77" s="740" t="str">
        <f t="shared" si="28"/>
        <v>Alex</v>
      </c>
      <c r="AJ77" s="740" t="str">
        <f t="shared" si="29"/>
        <v>Cash</v>
      </c>
      <c r="AK77" s="740"/>
      <c r="AL77" s="740"/>
      <c r="AM77" s="740"/>
      <c r="AN77" s="740"/>
      <c r="AO77" s="740"/>
      <c r="AQ77" s="741">
        <f t="shared" ca="1" si="30"/>
        <v>41032</v>
      </c>
    </row>
    <row r="78" spans="1:43" ht="20.25" customHeight="1" x14ac:dyDescent="0.25">
      <c r="A78" s="1252">
        <v>45</v>
      </c>
      <c r="B78" s="1253" t="s">
        <v>4754</v>
      </c>
      <c r="C78" s="756"/>
      <c r="D78" s="757"/>
      <c r="E78" s="730">
        <v>1630127</v>
      </c>
      <c r="F78" s="731" t="s">
        <v>4732</v>
      </c>
      <c r="G78" s="731" t="s">
        <v>4733</v>
      </c>
      <c r="H78" s="732">
        <v>40481</v>
      </c>
      <c r="I78" s="733" t="str">
        <f t="shared" si="23"/>
        <v>Gracie Fleming-Jacobs</v>
      </c>
      <c r="J78" s="734" t="str">
        <f t="shared" si="24"/>
        <v>Fleming-Jacobs,Gracie</v>
      </c>
      <c r="K78" s="735">
        <f t="shared" ca="1" si="25"/>
        <v>13</v>
      </c>
      <c r="L78" s="736" t="str">
        <f t="shared" si="26"/>
        <v>301010</v>
      </c>
      <c r="M78" s="766" t="str">
        <f t="shared" ref="M78:M85" ca="1" si="32">IF(K78=0,0,IF(K78&lt;9,"TOO YOUNG",IF(K78&lt;14,"OK","NOT ELIGIBLE")))</f>
        <v>OK</v>
      </c>
      <c r="AD78" s="1244">
        <f>A78</f>
        <v>45</v>
      </c>
      <c r="AE78" s="1245" t="str">
        <f>B78</f>
        <v>FEMALE 13/U
FREESTYLE RELAY</v>
      </c>
      <c r="AF78" s="749"/>
      <c r="AG78" s="750"/>
      <c r="AH78" s="740">
        <f t="shared" si="27"/>
        <v>1630127</v>
      </c>
      <c r="AI78" s="740" t="str">
        <f t="shared" si="28"/>
        <v>Gracie</v>
      </c>
      <c r="AJ78" s="740" t="str">
        <f t="shared" si="29"/>
        <v>Fleming-Jacobs</v>
      </c>
      <c r="AK78" s="740"/>
      <c r="AL78" s="740"/>
      <c r="AM78" s="740"/>
      <c r="AN78" s="740"/>
      <c r="AO78" s="740"/>
      <c r="AQ78" s="741">
        <f t="shared" ca="1" si="30"/>
        <v>40481</v>
      </c>
    </row>
    <row r="79" spans="1:43" ht="20.25" customHeight="1" x14ac:dyDescent="0.25">
      <c r="A79" s="1252"/>
      <c r="B79" s="1253"/>
      <c r="C79" s="758"/>
      <c r="D79" s="759"/>
      <c r="E79" s="730">
        <v>1350696</v>
      </c>
      <c r="F79" s="731" t="s">
        <v>4719</v>
      </c>
      <c r="G79" s="731" t="s">
        <v>4720</v>
      </c>
      <c r="H79" s="732">
        <v>40624</v>
      </c>
      <c r="I79" s="733" t="str">
        <f t="shared" si="23"/>
        <v>Jasmin Hunt</v>
      </c>
      <c r="J79" s="734" t="str">
        <f t="shared" si="24"/>
        <v>Hunt,Jasmin</v>
      </c>
      <c r="K79" s="735">
        <f t="shared" ca="1" si="25"/>
        <v>12</v>
      </c>
      <c r="L79" s="736" t="str">
        <f t="shared" si="26"/>
        <v>220311</v>
      </c>
      <c r="M79" s="766" t="str">
        <f t="shared" ca="1" si="32"/>
        <v>OK</v>
      </c>
      <c r="AD79" s="1244"/>
      <c r="AE79" s="1245"/>
      <c r="AF79" s="753"/>
      <c r="AG79" s="754"/>
      <c r="AH79" s="740">
        <f t="shared" si="27"/>
        <v>1350696</v>
      </c>
      <c r="AI79" s="740" t="str">
        <f t="shared" si="28"/>
        <v>Jasmin</v>
      </c>
      <c r="AJ79" s="740" t="str">
        <f t="shared" si="29"/>
        <v>Hunt</v>
      </c>
      <c r="AK79" s="740"/>
      <c r="AL79" s="740"/>
      <c r="AM79" s="740"/>
      <c r="AN79" s="740"/>
      <c r="AO79" s="740"/>
      <c r="AQ79" s="741">
        <f t="shared" ca="1" si="30"/>
        <v>40624</v>
      </c>
    </row>
    <row r="80" spans="1:43" ht="20.25" customHeight="1" x14ac:dyDescent="0.25">
      <c r="A80" s="1252"/>
      <c r="B80" s="1253"/>
      <c r="C80" s="758"/>
      <c r="D80" s="759"/>
      <c r="E80" s="730">
        <v>1360843</v>
      </c>
      <c r="F80" s="731" t="s">
        <v>4711</v>
      </c>
      <c r="G80" s="731" t="s">
        <v>4730</v>
      </c>
      <c r="H80" s="732">
        <v>40463</v>
      </c>
      <c r="I80" s="733" t="str">
        <f t="shared" si="23"/>
        <v>Sophie Heraty</v>
      </c>
      <c r="J80" s="734" t="str">
        <f t="shared" si="24"/>
        <v>Heraty,Sophie</v>
      </c>
      <c r="K80" s="735">
        <f t="shared" ca="1" si="25"/>
        <v>13</v>
      </c>
      <c r="L80" s="736" t="str">
        <f t="shared" si="26"/>
        <v>121010</v>
      </c>
      <c r="M80" s="766" t="str">
        <f t="shared" ca="1" si="32"/>
        <v>OK</v>
      </c>
      <c r="AD80" s="1244"/>
      <c r="AE80" s="1245"/>
      <c r="AF80" s="753"/>
      <c r="AG80" s="754"/>
      <c r="AH80" s="740">
        <f t="shared" si="27"/>
        <v>1360843</v>
      </c>
      <c r="AI80" s="740" t="str">
        <f t="shared" si="28"/>
        <v>Sophie</v>
      </c>
      <c r="AJ80" s="740" t="str">
        <f t="shared" si="29"/>
        <v>Heraty</v>
      </c>
      <c r="AK80" s="740"/>
      <c r="AL80" s="740"/>
      <c r="AM80" s="740"/>
      <c r="AN80" s="740"/>
      <c r="AO80" s="740"/>
      <c r="AQ80" s="741">
        <f t="shared" ca="1" si="30"/>
        <v>40463</v>
      </c>
    </row>
    <row r="81" spans="1:43" ht="20.25" customHeight="1" x14ac:dyDescent="0.25">
      <c r="A81" s="1252"/>
      <c r="B81" s="1253"/>
      <c r="C81" s="758"/>
      <c r="D81" s="759"/>
      <c r="E81" s="730">
        <v>1526532</v>
      </c>
      <c r="F81" s="731" t="s">
        <v>4731</v>
      </c>
      <c r="G81" s="731" t="s">
        <v>4120</v>
      </c>
      <c r="H81" s="732">
        <v>40586</v>
      </c>
      <c r="I81" s="733" t="str">
        <f t="shared" si="23"/>
        <v>Ruby Whitby</v>
      </c>
      <c r="J81" s="734" t="str">
        <f t="shared" si="24"/>
        <v>Whitby,Ruby</v>
      </c>
      <c r="K81" s="735">
        <f t="shared" ca="1" si="25"/>
        <v>12</v>
      </c>
      <c r="L81" s="736" t="str">
        <f t="shared" si="26"/>
        <v>120211</v>
      </c>
      <c r="M81" s="766" t="str">
        <f t="shared" ca="1" si="32"/>
        <v>OK</v>
      </c>
      <c r="AD81" s="1244"/>
      <c r="AE81" s="1245"/>
      <c r="AF81" s="753"/>
      <c r="AG81" s="754"/>
      <c r="AH81" s="740">
        <f t="shared" si="27"/>
        <v>1526532</v>
      </c>
      <c r="AI81" s="740" t="str">
        <f t="shared" si="28"/>
        <v>Ruby</v>
      </c>
      <c r="AJ81" s="740" t="str">
        <f t="shared" si="29"/>
        <v>Whitby</v>
      </c>
      <c r="AK81" s="740"/>
      <c r="AL81" s="740"/>
      <c r="AM81" s="740"/>
      <c r="AN81" s="740"/>
      <c r="AO81" s="740"/>
      <c r="AQ81" s="741">
        <f t="shared" ca="1" si="30"/>
        <v>40586</v>
      </c>
    </row>
    <row r="82" spans="1:43" ht="20.25" customHeight="1" x14ac:dyDescent="0.25">
      <c r="A82" s="1252">
        <v>46</v>
      </c>
      <c r="B82" s="1253" t="s">
        <v>4755</v>
      </c>
      <c r="C82" s="756"/>
      <c r="D82" s="757"/>
      <c r="E82" s="730">
        <v>1548083</v>
      </c>
      <c r="F82" s="731" t="s">
        <v>4734</v>
      </c>
      <c r="G82" s="731" t="s">
        <v>4735</v>
      </c>
      <c r="H82" s="732">
        <v>40443</v>
      </c>
      <c r="I82" s="733" t="str">
        <f t="shared" si="23"/>
        <v>Oliver Tubridy</v>
      </c>
      <c r="J82" s="734" t="str">
        <f t="shared" si="24"/>
        <v>Tubridy,Oliver</v>
      </c>
      <c r="K82" s="735">
        <f t="shared" ca="1" si="25"/>
        <v>13</v>
      </c>
      <c r="L82" s="736" t="str">
        <f t="shared" si="26"/>
        <v>220910</v>
      </c>
      <c r="M82" s="766" t="str">
        <f t="shared" ca="1" si="32"/>
        <v>OK</v>
      </c>
      <c r="AD82" s="1244">
        <f>A82</f>
        <v>46</v>
      </c>
      <c r="AE82" s="1245" t="str">
        <f>B82</f>
        <v>OPEN/MALE 13/U
FREESTYLE RELAY</v>
      </c>
      <c r="AF82" s="749"/>
      <c r="AG82" s="750"/>
      <c r="AH82" s="740">
        <f t="shared" si="27"/>
        <v>1548083</v>
      </c>
      <c r="AI82" s="740" t="str">
        <f t="shared" si="28"/>
        <v>Oliver</v>
      </c>
      <c r="AJ82" s="740" t="str">
        <f t="shared" si="29"/>
        <v>Tubridy</v>
      </c>
      <c r="AK82" s="740"/>
      <c r="AL82" s="740"/>
      <c r="AM82" s="740"/>
      <c r="AN82" s="740"/>
      <c r="AO82" s="740"/>
      <c r="AQ82" s="741">
        <f t="shared" ca="1" si="30"/>
        <v>40443</v>
      </c>
    </row>
    <row r="83" spans="1:43" ht="20.25" customHeight="1" x14ac:dyDescent="0.25">
      <c r="A83" s="1252"/>
      <c r="B83" s="1253"/>
      <c r="C83" s="758"/>
      <c r="D83" s="759"/>
      <c r="E83" s="730">
        <v>1704397</v>
      </c>
      <c r="F83" s="731" t="s">
        <v>4724</v>
      </c>
      <c r="G83" s="731" t="s">
        <v>4725</v>
      </c>
      <c r="H83" s="732">
        <v>41032</v>
      </c>
      <c r="I83" s="733" t="str">
        <f t="shared" si="23"/>
        <v>Alex Cash</v>
      </c>
      <c r="J83" s="734" t="str">
        <f t="shared" si="24"/>
        <v>Cash,Alex</v>
      </c>
      <c r="K83" s="735">
        <f t="shared" ca="1" si="25"/>
        <v>11</v>
      </c>
      <c r="L83" s="736" t="str">
        <f t="shared" si="26"/>
        <v>030512</v>
      </c>
      <c r="M83" s="766" t="str">
        <f t="shared" ca="1" si="32"/>
        <v>OK</v>
      </c>
      <c r="AD83" s="1244"/>
      <c r="AE83" s="1245"/>
      <c r="AF83" s="753"/>
      <c r="AG83" s="754"/>
      <c r="AH83" s="740">
        <f t="shared" si="27"/>
        <v>1704397</v>
      </c>
      <c r="AI83" s="740" t="str">
        <f t="shared" si="28"/>
        <v>Alex</v>
      </c>
      <c r="AJ83" s="740" t="str">
        <f t="shared" si="29"/>
        <v>Cash</v>
      </c>
      <c r="AK83" s="740"/>
      <c r="AL83" s="740"/>
      <c r="AM83" s="740"/>
      <c r="AN83" s="740"/>
      <c r="AO83" s="740"/>
      <c r="AQ83" s="741">
        <f t="shared" ca="1" si="30"/>
        <v>41032</v>
      </c>
    </row>
    <row r="84" spans="1:43" ht="20.25" customHeight="1" x14ac:dyDescent="0.25">
      <c r="A84" s="1252"/>
      <c r="B84" s="1253"/>
      <c r="C84" s="758"/>
      <c r="D84" s="759"/>
      <c r="E84" s="730">
        <v>1504436</v>
      </c>
      <c r="F84" s="731" t="s">
        <v>4736</v>
      </c>
      <c r="G84" s="731" t="s">
        <v>4737</v>
      </c>
      <c r="H84" s="732">
        <v>40202</v>
      </c>
      <c r="I84" s="733" t="str">
        <f t="shared" si="23"/>
        <v>Joseph Bagshaw</v>
      </c>
      <c r="J84" s="734" t="str">
        <f t="shared" si="24"/>
        <v>Bagshaw,Joseph</v>
      </c>
      <c r="K84" s="735">
        <f t="shared" ca="1" si="25"/>
        <v>13</v>
      </c>
      <c r="L84" s="736" t="str">
        <f t="shared" si="26"/>
        <v>240110</v>
      </c>
      <c r="M84" s="766" t="str">
        <f t="shared" ca="1" si="32"/>
        <v>OK</v>
      </c>
      <c r="AD84" s="1244"/>
      <c r="AE84" s="1245"/>
      <c r="AF84" s="753"/>
      <c r="AG84" s="754"/>
      <c r="AH84" s="740">
        <f t="shared" si="27"/>
        <v>1504436</v>
      </c>
      <c r="AI84" s="740" t="str">
        <f t="shared" si="28"/>
        <v>Joseph</v>
      </c>
      <c r="AJ84" s="740" t="str">
        <f t="shared" si="29"/>
        <v>Bagshaw</v>
      </c>
      <c r="AK84" s="740"/>
      <c r="AL84" s="740"/>
      <c r="AM84" s="740"/>
      <c r="AN84" s="740"/>
      <c r="AO84" s="740"/>
      <c r="AQ84" s="741">
        <f t="shared" ca="1" si="30"/>
        <v>40202</v>
      </c>
    </row>
    <row r="85" spans="1:43" ht="20.25" customHeight="1" x14ac:dyDescent="0.25">
      <c r="A85" s="1252"/>
      <c r="B85" s="1253"/>
      <c r="C85" s="758"/>
      <c r="D85" s="759"/>
      <c r="E85" s="730">
        <v>1644017</v>
      </c>
      <c r="F85" s="731" t="s">
        <v>4728</v>
      </c>
      <c r="G85" s="731" t="s">
        <v>4729</v>
      </c>
      <c r="H85" s="732">
        <v>41990</v>
      </c>
      <c r="I85" s="733" t="str">
        <f t="shared" si="23"/>
        <v>Charlie Pritchard</v>
      </c>
      <c r="J85" s="734" t="str">
        <f t="shared" si="24"/>
        <v>Pritchard,Charlie</v>
      </c>
      <c r="K85" s="735">
        <f t="shared" ca="1" si="25"/>
        <v>9</v>
      </c>
      <c r="L85" s="736" t="str">
        <f t="shared" si="26"/>
        <v>171214</v>
      </c>
      <c r="M85" s="766" t="str">
        <f t="shared" ca="1" si="32"/>
        <v>OK</v>
      </c>
      <c r="AD85" s="1244"/>
      <c r="AE85" s="1245"/>
      <c r="AF85" s="753"/>
      <c r="AG85" s="754"/>
      <c r="AH85" s="740">
        <f t="shared" si="27"/>
        <v>1644017</v>
      </c>
      <c r="AI85" s="740" t="str">
        <f t="shared" si="28"/>
        <v>Charlie</v>
      </c>
      <c r="AJ85" s="740" t="str">
        <f t="shared" si="29"/>
        <v>Pritchard</v>
      </c>
      <c r="AK85" s="740"/>
      <c r="AL85" s="740"/>
      <c r="AM85" s="740"/>
      <c r="AN85" s="740"/>
      <c r="AO85" s="740"/>
      <c r="AQ85" s="741">
        <f t="shared" ca="1" si="30"/>
        <v>41990</v>
      </c>
    </row>
    <row r="86" spans="1:43" ht="20.25" customHeight="1" x14ac:dyDescent="0.25">
      <c r="A86" s="1248">
        <v>47</v>
      </c>
      <c r="B86" s="1249" t="s">
        <v>4756</v>
      </c>
      <c r="C86" s="761"/>
      <c r="D86" s="762"/>
      <c r="E86" s="730">
        <v>1400041</v>
      </c>
      <c r="F86" s="731" t="s">
        <v>4738</v>
      </c>
      <c r="G86" s="731" t="s">
        <v>4739</v>
      </c>
      <c r="H86" s="732">
        <v>40028</v>
      </c>
      <c r="I86" s="733" t="str">
        <f t="shared" si="23"/>
        <v>Daisy Harradine</v>
      </c>
      <c r="J86" s="734" t="str">
        <f t="shared" si="24"/>
        <v>Harradine,Daisy</v>
      </c>
      <c r="K86" s="735">
        <f t="shared" ca="1" si="25"/>
        <v>14</v>
      </c>
      <c r="L86" s="736" t="str">
        <f t="shared" si="26"/>
        <v>030809</v>
      </c>
      <c r="M86" s="766" t="str">
        <f t="shared" ref="M86:M93" ca="1" si="33">IF(K86=0,0,IF(K86&lt;9,"TOO YOUNG",IF(K86&lt;16,"OK","NOT ELIGIBLE")))</f>
        <v>OK</v>
      </c>
      <c r="AD86" s="1244">
        <f>A86</f>
        <v>47</v>
      </c>
      <c r="AE86" s="1245" t="str">
        <f>B86</f>
        <v>FEMALE 15/U
MEDLEY RELAY</v>
      </c>
      <c r="AF86" s="749"/>
      <c r="AG86" s="750"/>
      <c r="AH86" s="740">
        <f t="shared" si="27"/>
        <v>1400041</v>
      </c>
      <c r="AI86" s="740" t="str">
        <f t="shared" si="28"/>
        <v>Daisy</v>
      </c>
      <c r="AJ86" s="740" t="str">
        <f t="shared" si="29"/>
        <v>Harradine</v>
      </c>
      <c r="AK86" s="740"/>
      <c r="AL86" s="740"/>
      <c r="AM86" s="740"/>
      <c r="AN86" s="740"/>
      <c r="AO86" s="740"/>
      <c r="AQ86" s="741">
        <f t="shared" ca="1" si="30"/>
        <v>40028</v>
      </c>
    </row>
    <row r="87" spans="1:43" ht="20.25" customHeight="1" x14ac:dyDescent="0.25">
      <c r="A87" s="1248"/>
      <c r="B87" s="1249"/>
      <c r="C87" s="763"/>
      <c r="D87" s="764"/>
      <c r="E87" s="730">
        <v>1350696</v>
      </c>
      <c r="F87" s="731" t="s">
        <v>4719</v>
      </c>
      <c r="G87" s="731" t="s">
        <v>4720</v>
      </c>
      <c r="H87" s="732">
        <v>40624</v>
      </c>
      <c r="I87" s="733" t="str">
        <f t="shared" si="23"/>
        <v>Jasmin Hunt</v>
      </c>
      <c r="J87" s="734" t="str">
        <f t="shared" si="24"/>
        <v>Hunt,Jasmin</v>
      </c>
      <c r="K87" s="735">
        <f t="shared" ca="1" si="25"/>
        <v>12</v>
      </c>
      <c r="L87" s="736" t="str">
        <f t="shared" si="26"/>
        <v>220311</v>
      </c>
      <c r="M87" s="766" t="str">
        <f t="shared" ca="1" si="33"/>
        <v>OK</v>
      </c>
      <c r="AD87" s="1244"/>
      <c r="AE87" s="1245"/>
      <c r="AF87" s="753"/>
      <c r="AG87" s="754"/>
      <c r="AH87" s="740">
        <f t="shared" si="27"/>
        <v>1350696</v>
      </c>
      <c r="AI87" s="740" t="str">
        <f t="shared" si="28"/>
        <v>Jasmin</v>
      </c>
      <c r="AJ87" s="740" t="str">
        <f t="shared" si="29"/>
        <v>Hunt</v>
      </c>
      <c r="AK87" s="740"/>
      <c r="AL87" s="740"/>
      <c r="AM87" s="740"/>
      <c r="AN87" s="740"/>
      <c r="AO87" s="740"/>
      <c r="AQ87" s="741">
        <f t="shared" ca="1" si="30"/>
        <v>40624</v>
      </c>
    </row>
    <row r="88" spans="1:43" ht="20.25" customHeight="1" x14ac:dyDescent="0.25">
      <c r="A88" s="1248"/>
      <c r="B88" s="1249"/>
      <c r="C88" s="763"/>
      <c r="D88" s="764"/>
      <c r="E88" s="730">
        <v>1350701</v>
      </c>
      <c r="F88" s="731" t="s">
        <v>4684</v>
      </c>
      <c r="G88" s="731" t="s">
        <v>4740</v>
      </c>
      <c r="H88" s="732">
        <v>39732</v>
      </c>
      <c r="I88" s="733" t="str">
        <f t="shared" si="23"/>
        <v>Charlotte Lyon</v>
      </c>
      <c r="J88" s="734" t="str">
        <f t="shared" si="24"/>
        <v>Lyon,Charlotte</v>
      </c>
      <c r="K88" s="735">
        <f t="shared" ca="1" si="25"/>
        <v>15</v>
      </c>
      <c r="L88" s="736" t="str">
        <f t="shared" si="26"/>
        <v>111008</v>
      </c>
      <c r="M88" s="766" t="str">
        <f t="shared" ca="1" si="33"/>
        <v>OK</v>
      </c>
      <c r="AD88" s="1244"/>
      <c r="AE88" s="1245"/>
      <c r="AF88" s="753"/>
      <c r="AG88" s="754"/>
      <c r="AH88" s="740">
        <f t="shared" si="27"/>
        <v>1350701</v>
      </c>
      <c r="AI88" s="740" t="str">
        <f t="shared" si="28"/>
        <v>Charlotte</v>
      </c>
      <c r="AJ88" s="740" t="str">
        <f t="shared" si="29"/>
        <v>Lyon</v>
      </c>
      <c r="AK88" s="740"/>
      <c r="AL88" s="740"/>
      <c r="AM88" s="740"/>
      <c r="AN88" s="740"/>
      <c r="AO88" s="740"/>
      <c r="AQ88" s="741">
        <f t="shared" ca="1" si="30"/>
        <v>39732</v>
      </c>
    </row>
    <row r="89" spans="1:43" ht="20.25" customHeight="1" x14ac:dyDescent="0.25">
      <c r="A89" s="1248"/>
      <c r="B89" s="1249"/>
      <c r="C89" s="763"/>
      <c r="D89" s="764"/>
      <c r="E89" s="730">
        <v>1389524</v>
      </c>
      <c r="F89" s="731" t="s">
        <v>4711</v>
      </c>
      <c r="G89" s="731" t="s">
        <v>4712</v>
      </c>
      <c r="H89" s="732">
        <v>40021</v>
      </c>
      <c r="I89" s="733" t="str">
        <f t="shared" si="23"/>
        <v>Sophie Stelmach</v>
      </c>
      <c r="J89" s="734" t="str">
        <f t="shared" si="24"/>
        <v>Stelmach,Sophie</v>
      </c>
      <c r="K89" s="735">
        <f t="shared" ca="1" si="25"/>
        <v>14</v>
      </c>
      <c r="L89" s="736" t="str">
        <f t="shared" si="26"/>
        <v>270709</v>
      </c>
      <c r="M89" s="766" t="str">
        <f t="shared" ca="1" si="33"/>
        <v>OK</v>
      </c>
      <c r="AD89" s="1244"/>
      <c r="AE89" s="1245"/>
      <c r="AF89" s="753"/>
      <c r="AG89" s="754"/>
      <c r="AH89" s="740">
        <f t="shared" si="27"/>
        <v>1389524</v>
      </c>
      <c r="AI89" s="740" t="str">
        <f t="shared" si="28"/>
        <v>Sophie</v>
      </c>
      <c r="AJ89" s="740" t="str">
        <f t="shared" si="29"/>
        <v>Stelmach</v>
      </c>
      <c r="AK89" s="740"/>
      <c r="AL89" s="740"/>
      <c r="AM89" s="740"/>
      <c r="AN89" s="740"/>
      <c r="AO89" s="740"/>
      <c r="AQ89" s="741">
        <f t="shared" ca="1" si="30"/>
        <v>40021</v>
      </c>
    </row>
    <row r="90" spans="1:43" ht="20.25" customHeight="1" x14ac:dyDescent="0.25">
      <c r="A90" s="1248">
        <v>48</v>
      </c>
      <c r="B90" s="1249" t="s">
        <v>4757</v>
      </c>
      <c r="C90" s="761"/>
      <c r="D90" s="762"/>
      <c r="E90" s="730">
        <v>1267461</v>
      </c>
      <c r="F90" s="731" t="s">
        <v>4741</v>
      </c>
      <c r="G90" s="731" t="s">
        <v>4742</v>
      </c>
      <c r="H90" s="732">
        <v>39635</v>
      </c>
      <c r="I90" s="733" t="str">
        <f t="shared" si="23"/>
        <v>Alexander Gregory</v>
      </c>
      <c r="J90" s="734" t="str">
        <f t="shared" si="24"/>
        <v>Gregory,Alexander</v>
      </c>
      <c r="K90" s="735">
        <f t="shared" ca="1" si="25"/>
        <v>15</v>
      </c>
      <c r="L90" s="736" t="str">
        <f t="shared" si="26"/>
        <v>060708</v>
      </c>
      <c r="M90" s="766" t="str">
        <f t="shared" ca="1" si="33"/>
        <v>OK</v>
      </c>
      <c r="AD90" s="1244">
        <f>A90</f>
        <v>48</v>
      </c>
      <c r="AE90" s="1245" t="str">
        <f>B90</f>
        <v>OPEN/MALE 15/U
MEDLEY RELAY</v>
      </c>
      <c r="AF90" s="749"/>
      <c r="AG90" s="750"/>
      <c r="AH90" s="740">
        <f t="shared" si="27"/>
        <v>1267461</v>
      </c>
      <c r="AI90" s="740" t="str">
        <f t="shared" si="28"/>
        <v>Alexander</v>
      </c>
      <c r="AJ90" s="740" t="str">
        <f t="shared" si="29"/>
        <v>Gregory</v>
      </c>
      <c r="AK90" s="740"/>
      <c r="AL90" s="740"/>
      <c r="AM90" s="740"/>
      <c r="AN90" s="740"/>
      <c r="AO90" s="740"/>
      <c r="AQ90" s="741">
        <f t="shared" ca="1" si="30"/>
        <v>39635</v>
      </c>
    </row>
    <row r="91" spans="1:43" ht="20.25" customHeight="1" x14ac:dyDescent="0.25">
      <c r="A91" s="1248"/>
      <c r="B91" s="1249"/>
      <c r="C91" s="763"/>
      <c r="D91" s="764"/>
      <c r="E91" s="730">
        <v>1350706</v>
      </c>
      <c r="F91" s="731" t="s">
        <v>4743</v>
      </c>
      <c r="G91" s="731" t="s">
        <v>4730</v>
      </c>
      <c r="H91" s="732">
        <v>39703</v>
      </c>
      <c r="I91" s="733" t="str">
        <f t="shared" si="23"/>
        <v>Samuel Heraty</v>
      </c>
      <c r="J91" s="734" t="str">
        <f t="shared" si="24"/>
        <v>Heraty,Samuel</v>
      </c>
      <c r="K91" s="735">
        <f t="shared" ca="1" si="25"/>
        <v>15</v>
      </c>
      <c r="L91" s="736" t="str">
        <f t="shared" si="26"/>
        <v>120908</v>
      </c>
      <c r="M91" s="766" t="str">
        <f t="shared" ca="1" si="33"/>
        <v>OK</v>
      </c>
      <c r="AD91" s="1244"/>
      <c r="AE91" s="1245"/>
      <c r="AF91" s="753"/>
      <c r="AG91" s="754"/>
      <c r="AH91" s="740">
        <f t="shared" si="27"/>
        <v>1350706</v>
      </c>
      <c r="AI91" s="740" t="str">
        <f t="shared" si="28"/>
        <v>Samuel</v>
      </c>
      <c r="AJ91" s="740" t="str">
        <f t="shared" si="29"/>
        <v>Heraty</v>
      </c>
      <c r="AK91" s="740"/>
      <c r="AL91" s="740"/>
      <c r="AM91" s="740"/>
      <c r="AN91" s="740"/>
      <c r="AO91" s="740"/>
      <c r="AQ91" s="741">
        <f t="shared" ca="1" si="30"/>
        <v>39703</v>
      </c>
    </row>
    <row r="92" spans="1:43" ht="20.25" customHeight="1" x14ac:dyDescent="0.25">
      <c r="A92" s="1248"/>
      <c r="B92" s="1249"/>
      <c r="C92" s="763"/>
      <c r="D92" s="764"/>
      <c r="E92" s="730">
        <v>1451149</v>
      </c>
      <c r="F92" s="731" t="s">
        <v>4758</v>
      </c>
      <c r="G92" s="731" t="s">
        <v>4759</v>
      </c>
      <c r="H92" s="732">
        <v>39700</v>
      </c>
      <c r="I92" s="733" t="str">
        <f t="shared" si="23"/>
        <v>John Langdon</v>
      </c>
      <c r="J92" s="734" t="str">
        <f t="shared" si="24"/>
        <v>Langdon,John</v>
      </c>
      <c r="K92" s="735">
        <f t="shared" ca="1" si="25"/>
        <v>15</v>
      </c>
      <c r="L92" s="736" t="str">
        <f t="shared" si="26"/>
        <v>090908</v>
      </c>
      <c r="M92" s="766" t="str">
        <f t="shared" ca="1" si="33"/>
        <v>OK</v>
      </c>
      <c r="AD92" s="1244"/>
      <c r="AE92" s="1245"/>
      <c r="AF92" s="753"/>
      <c r="AG92" s="754"/>
      <c r="AH92" s="740">
        <f t="shared" si="27"/>
        <v>1451149</v>
      </c>
      <c r="AI92" s="740" t="str">
        <f t="shared" si="28"/>
        <v>John</v>
      </c>
      <c r="AJ92" s="740" t="str">
        <f t="shared" si="29"/>
        <v>Langdon</v>
      </c>
      <c r="AK92" s="740"/>
      <c r="AL92" s="740"/>
      <c r="AM92" s="740"/>
      <c r="AN92" s="740"/>
      <c r="AO92" s="740"/>
      <c r="AQ92" s="741">
        <f t="shared" ca="1" si="30"/>
        <v>39700</v>
      </c>
    </row>
    <row r="93" spans="1:43" ht="20.25" customHeight="1" x14ac:dyDescent="0.25">
      <c r="A93" s="1248"/>
      <c r="B93" s="1249"/>
      <c r="C93" s="763"/>
      <c r="D93" s="764"/>
      <c r="E93" s="730">
        <v>1525033</v>
      </c>
      <c r="F93" s="731" t="s">
        <v>4744</v>
      </c>
      <c r="G93" s="731" t="s">
        <v>4745</v>
      </c>
      <c r="H93" s="732">
        <v>39979</v>
      </c>
      <c r="I93" s="733" t="str">
        <f t="shared" si="23"/>
        <v>Daniel Humphreys</v>
      </c>
      <c r="J93" s="734" t="str">
        <f t="shared" si="24"/>
        <v>Humphreys,Daniel</v>
      </c>
      <c r="K93" s="735">
        <f t="shared" ca="1" si="25"/>
        <v>14</v>
      </c>
      <c r="L93" s="736" t="str">
        <f t="shared" si="26"/>
        <v>150609</v>
      </c>
      <c r="M93" s="766" t="str">
        <f t="shared" ca="1" si="33"/>
        <v>OK</v>
      </c>
      <c r="AD93" s="1244"/>
      <c r="AE93" s="1245"/>
      <c r="AF93" s="753"/>
      <c r="AG93" s="754"/>
      <c r="AH93" s="740">
        <f t="shared" si="27"/>
        <v>1525033</v>
      </c>
      <c r="AI93" s="740" t="str">
        <f t="shared" si="28"/>
        <v>Daniel</v>
      </c>
      <c r="AJ93" s="740" t="str">
        <f t="shared" si="29"/>
        <v>Humphreys</v>
      </c>
      <c r="AK93" s="740"/>
      <c r="AL93" s="740"/>
      <c r="AM93" s="740"/>
      <c r="AN93" s="740"/>
      <c r="AO93" s="740"/>
      <c r="AQ93" s="741">
        <f t="shared" ca="1" si="30"/>
        <v>39979</v>
      </c>
    </row>
    <row r="94" spans="1:43" ht="20.25" customHeight="1" x14ac:dyDescent="0.25">
      <c r="A94" s="1250">
        <v>49</v>
      </c>
      <c r="B94" s="1251" t="s">
        <v>4760</v>
      </c>
      <c r="C94" s="768"/>
      <c r="D94" s="769"/>
      <c r="E94" s="730">
        <v>232616</v>
      </c>
      <c r="F94" s="731" t="s">
        <v>4761</v>
      </c>
      <c r="G94" s="731" t="s">
        <v>4762</v>
      </c>
      <c r="H94" s="732">
        <v>34493</v>
      </c>
      <c r="I94" s="733" t="str">
        <f t="shared" si="23"/>
        <v>Lucy Crocker</v>
      </c>
      <c r="J94" s="734" t="str">
        <f t="shared" si="24"/>
        <v>Crocker,Lucy</v>
      </c>
      <c r="K94" s="735">
        <f t="shared" ca="1" si="25"/>
        <v>29</v>
      </c>
      <c r="L94" s="736" t="str">
        <f t="shared" si="26"/>
        <v>080694</v>
      </c>
      <c r="M94" s="770" t="str">
        <f t="shared" ref="M94:M109" ca="1" si="34">IF(K94=0,0,IF(K94&lt;9,"TOO YOUNG",IF(K94&lt;60,"OK","BIT OLD MAYBE")))</f>
        <v>OK</v>
      </c>
      <c r="AD94" s="1244">
        <f>A94</f>
        <v>49</v>
      </c>
      <c r="AE94" s="1245" t="str">
        <f>B94</f>
        <v>FEMALE 16+
FREESTYLE RELAY</v>
      </c>
      <c r="AF94" s="749"/>
      <c r="AG94" s="750"/>
      <c r="AH94" s="740">
        <f t="shared" si="27"/>
        <v>232616</v>
      </c>
      <c r="AI94" s="740" t="str">
        <f t="shared" si="28"/>
        <v>Lucy</v>
      </c>
      <c r="AJ94" s="740" t="str">
        <f t="shared" si="29"/>
        <v>Crocker</v>
      </c>
      <c r="AK94" s="740"/>
      <c r="AL94" s="740"/>
      <c r="AM94" s="740"/>
      <c r="AN94" s="740"/>
      <c r="AO94" s="740"/>
      <c r="AQ94" s="741">
        <f t="shared" ca="1" si="30"/>
        <v>34493</v>
      </c>
    </row>
    <row r="95" spans="1:43" ht="20.25" customHeight="1" x14ac:dyDescent="0.25">
      <c r="A95" s="1250"/>
      <c r="B95" s="1251"/>
      <c r="C95" s="771"/>
      <c r="D95" s="772"/>
      <c r="E95" s="730">
        <v>1350701</v>
      </c>
      <c r="F95" s="731" t="s">
        <v>4684</v>
      </c>
      <c r="G95" s="731" t="s">
        <v>4740</v>
      </c>
      <c r="H95" s="732">
        <v>39732</v>
      </c>
      <c r="I95" s="733" t="str">
        <f t="shared" si="23"/>
        <v>Charlotte Lyon</v>
      </c>
      <c r="J95" s="734" t="str">
        <f t="shared" si="24"/>
        <v>Lyon,Charlotte</v>
      </c>
      <c r="K95" s="735">
        <f t="shared" ca="1" si="25"/>
        <v>15</v>
      </c>
      <c r="L95" s="736" t="str">
        <f t="shared" si="26"/>
        <v>111008</v>
      </c>
      <c r="M95" s="770" t="str">
        <f t="shared" ca="1" si="34"/>
        <v>OK</v>
      </c>
      <c r="AD95" s="1244"/>
      <c r="AE95" s="1245"/>
      <c r="AF95" s="753"/>
      <c r="AG95" s="754"/>
      <c r="AH95" s="740">
        <f t="shared" si="27"/>
        <v>1350701</v>
      </c>
      <c r="AI95" s="740" t="str">
        <f t="shared" si="28"/>
        <v>Charlotte</v>
      </c>
      <c r="AJ95" s="740" t="str">
        <f t="shared" si="29"/>
        <v>Lyon</v>
      </c>
      <c r="AK95" s="740"/>
      <c r="AL95" s="740"/>
      <c r="AM95" s="740"/>
      <c r="AN95" s="740"/>
      <c r="AO95" s="740"/>
      <c r="AQ95" s="741">
        <f t="shared" ca="1" si="30"/>
        <v>39732</v>
      </c>
    </row>
    <row r="96" spans="1:43" ht="20.25" customHeight="1" x14ac:dyDescent="0.25">
      <c r="A96" s="1250"/>
      <c r="B96" s="1251"/>
      <c r="C96" s="771"/>
      <c r="D96" s="772"/>
      <c r="E96" s="730">
        <v>1336535</v>
      </c>
      <c r="F96" s="731" t="s">
        <v>4746</v>
      </c>
      <c r="G96" s="731" t="s">
        <v>4747</v>
      </c>
      <c r="H96" s="732">
        <v>38688</v>
      </c>
      <c r="I96" s="733" t="str">
        <f t="shared" si="23"/>
        <v>Madeleine Bailiss</v>
      </c>
      <c r="J96" s="734" t="str">
        <f t="shared" si="24"/>
        <v>Bailiss,Madeleine</v>
      </c>
      <c r="K96" s="735">
        <f t="shared" ca="1" si="25"/>
        <v>18</v>
      </c>
      <c r="L96" s="736" t="str">
        <f t="shared" si="26"/>
        <v>021205</v>
      </c>
      <c r="M96" s="770" t="str">
        <f t="shared" ca="1" si="34"/>
        <v>OK</v>
      </c>
      <c r="AD96" s="1244"/>
      <c r="AE96" s="1245"/>
      <c r="AF96" s="753"/>
      <c r="AG96" s="754"/>
      <c r="AH96" s="740">
        <f t="shared" si="27"/>
        <v>1336535</v>
      </c>
      <c r="AI96" s="740" t="str">
        <f t="shared" si="28"/>
        <v>Madeleine</v>
      </c>
      <c r="AJ96" s="740" t="str">
        <f t="shared" si="29"/>
        <v>Bailiss</v>
      </c>
      <c r="AK96" s="740"/>
      <c r="AL96" s="740"/>
      <c r="AM96" s="740"/>
      <c r="AN96" s="740"/>
      <c r="AO96" s="740"/>
      <c r="AQ96" s="741">
        <f t="shared" ca="1" si="30"/>
        <v>38688</v>
      </c>
    </row>
    <row r="97" spans="1:43" ht="20.25" customHeight="1" x14ac:dyDescent="0.25">
      <c r="A97" s="1250"/>
      <c r="B97" s="1251"/>
      <c r="C97" s="771"/>
      <c r="D97" s="772"/>
      <c r="E97" s="730">
        <v>1267450</v>
      </c>
      <c r="F97" s="731" t="s">
        <v>4711</v>
      </c>
      <c r="G97" s="731" t="s">
        <v>4740</v>
      </c>
      <c r="H97" s="732">
        <v>38953</v>
      </c>
      <c r="I97" s="733" t="str">
        <f t="shared" si="23"/>
        <v>Sophie Lyon</v>
      </c>
      <c r="J97" s="734" t="str">
        <f t="shared" si="24"/>
        <v>Lyon,Sophie</v>
      </c>
      <c r="K97" s="735">
        <f t="shared" ca="1" si="25"/>
        <v>17</v>
      </c>
      <c r="L97" s="736" t="str">
        <f t="shared" si="26"/>
        <v>240806</v>
      </c>
      <c r="M97" s="770" t="str">
        <f t="shared" ca="1" si="34"/>
        <v>OK</v>
      </c>
      <c r="AD97" s="1244"/>
      <c r="AE97" s="1245"/>
      <c r="AF97" s="753"/>
      <c r="AG97" s="754"/>
      <c r="AH97" s="740">
        <f t="shared" si="27"/>
        <v>1267450</v>
      </c>
      <c r="AI97" s="740" t="str">
        <f t="shared" si="28"/>
        <v>Sophie</v>
      </c>
      <c r="AJ97" s="740" t="str">
        <f t="shared" si="29"/>
        <v>Lyon</v>
      </c>
      <c r="AK97" s="740"/>
      <c r="AL97" s="740"/>
      <c r="AM97" s="740"/>
      <c r="AN97" s="740"/>
      <c r="AO97" s="740"/>
      <c r="AQ97" s="741">
        <f t="shared" ca="1" si="30"/>
        <v>38953</v>
      </c>
    </row>
    <row r="98" spans="1:43" ht="20.25" customHeight="1" x14ac:dyDescent="0.25">
      <c r="A98" s="1242">
        <v>50</v>
      </c>
      <c r="B98" s="1243" t="s">
        <v>4763</v>
      </c>
      <c r="C98" s="768"/>
      <c r="D98" s="769"/>
      <c r="E98" s="731">
        <v>978105</v>
      </c>
      <c r="F98" s="731" t="s">
        <v>4713</v>
      </c>
      <c r="G98" s="731" t="s">
        <v>4714</v>
      </c>
      <c r="H98" s="732">
        <v>39158</v>
      </c>
      <c r="I98" s="733" t="str">
        <f t="shared" si="23"/>
        <v>Harry Chapman</v>
      </c>
      <c r="J98" s="734" t="str">
        <f t="shared" si="24"/>
        <v>Chapman,Harry</v>
      </c>
      <c r="K98" s="735">
        <f t="shared" ca="1" si="25"/>
        <v>16</v>
      </c>
      <c r="L98" s="736" t="str">
        <f t="shared" si="26"/>
        <v>170307</v>
      </c>
      <c r="M98" s="770" t="str">
        <f t="shared" ca="1" si="34"/>
        <v>OK</v>
      </c>
      <c r="AD98" s="1244">
        <f>A98</f>
        <v>50</v>
      </c>
      <c r="AE98" s="1245" t="str">
        <f>B98</f>
        <v>OPEN/MALE 16+
FREESTYLE RELAY</v>
      </c>
      <c r="AF98" s="749"/>
      <c r="AG98" s="750"/>
      <c r="AH98" s="740">
        <f t="shared" si="27"/>
        <v>978105</v>
      </c>
      <c r="AI98" s="740" t="str">
        <f t="shared" si="28"/>
        <v>Harry</v>
      </c>
      <c r="AJ98" s="740" t="str">
        <f t="shared" si="29"/>
        <v>Chapman</v>
      </c>
      <c r="AK98" s="740"/>
      <c r="AL98" s="740"/>
      <c r="AM98" s="740"/>
      <c r="AN98" s="740"/>
      <c r="AO98" s="740"/>
      <c r="AQ98" s="741">
        <f t="shared" ca="1" si="30"/>
        <v>39158</v>
      </c>
    </row>
    <row r="99" spans="1:43" ht="20.25" customHeight="1" x14ac:dyDescent="0.25">
      <c r="A99" s="1242"/>
      <c r="B99" s="1243"/>
      <c r="C99" s="771"/>
      <c r="D99" s="772"/>
      <c r="E99" s="730">
        <v>58591</v>
      </c>
      <c r="F99" s="731" t="s">
        <v>4748</v>
      </c>
      <c r="G99" s="731" t="s">
        <v>4749</v>
      </c>
      <c r="H99" s="732">
        <v>34409</v>
      </c>
      <c r="I99" s="733" t="str">
        <f t="shared" si="23"/>
        <v>Matthew Costello</v>
      </c>
      <c r="J99" s="734" t="str">
        <f t="shared" si="24"/>
        <v>Costello,Matthew</v>
      </c>
      <c r="K99" s="735">
        <f t="shared" ca="1" si="25"/>
        <v>29</v>
      </c>
      <c r="L99" s="736" t="str">
        <f t="shared" si="26"/>
        <v>160394</v>
      </c>
      <c r="M99" s="770" t="str">
        <f t="shared" ca="1" si="34"/>
        <v>OK</v>
      </c>
      <c r="AD99" s="1244"/>
      <c r="AE99" s="1245"/>
      <c r="AF99" s="753"/>
      <c r="AG99" s="754"/>
      <c r="AH99" s="740">
        <f t="shared" si="27"/>
        <v>58591</v>
      </c>
      <c r="AI99" s="740" t="str">
        <f t="shared" si="28"/>
        <v>Matthew</v>
      </c>
      <c r="AJ99" s="740" t="str">
        <f t="shared" si="29"/>
        <v>Costello</v>
      </c>
      <c r="AK99" s="740"/>
      <c r="AL99" s="740"/>
      <c r="AM99" s="740"/>
      <c r="AN99" s="740"/>
      <c r="AO99" s="740"/>
      <c r="AQ99" s="741">
        <f t="shared" ca="1" si="30"/>
        <v>34409</v>
      </c>
    </row>
    <row r="100" spans="1:43" ht="20.25" customHeight="1" x14ac:dyDescent="0.25">
      <c r="A100" s="1242"/>
      <c r="B100" s="1243"/>
      <c r="C100" s="771"/>
      <c r="D100" s="772"/>
      <c r="E100" s="730">
        <v>1350706</v>
      </c>
      <c r="F100" s="731" t="s">
        <v>4743</v>
      </c>
      <c r="G100" s="731" t="s">
        <v>4730</v>
      </c>
      <c r="H100" s="732">
        <v>39703</v>
      </c>
      <c r="I100" s="733" t="str">
        <f t="shared" si="23"/>
        <v>Samuel Heraty</v>
      </c>
      <c r="J100" s="734" t="str">
        <f t="shared" si="24"/>
        <v>Heraty,Samuel</v>
      </c>
      <c r="K100" s="735">
        <f t="shared" ref="K100:K109" ca="1" si="35">IF(K$2=0,0,IF(AQ100=0,0,IF(COUNTBLANK(AQ100)=1,"",YEAR(K$2)-YEAR(AQ100)-IF(DATE(YEAR(K$2),MONTH(AQ100),DAY(4638))&gt;K$2,1,0))))</f>
        <v>15</v>
      </c>
      <c r="L100" s="736" t="str">
        <f t="shared" ref="L100:L109" si="36">(TEXT(H100,"DDMMYY"))</f>
        <v>120908</v>
      </c>
      <c r="M100" s="770" t="str">
        <f t="shared" ca="1" si="34"/>
        <v>OK</v>
      </c>
      <c r="AD100" s="1244"/>
      <c r="AE100" s="1245"/>
      <c r="AF100" s="753"/>
      <c r="AG100" s="754"/>
      <c r="AH100" s="740">
        <f t="shared" ref="AH100:AH109" si="37">E100</f>
        <v>1350706</v>
      </c>
      <c r="AI100" s="740" t="str">
        <f t="shared" ref="AI100:AI109" si="38">F100</f>
        <v>Samuel</v>
      </c>
      <c r="AJ100" s="740" t="str">
        <f t="shared" ref="AJ100:AJ109" si="39">G100</f>
        <v>Heraty</v>
      </c>
      <c r="AK100" s="740"/>
      <c r="AL100" s="740"/>
      <c r="AM100" s="740"/>
      <c r="AN100" s="740"/>
      <c r="AO100" s="740"/>
      <c r="AQ100" s="741">
        <f t="shared" ref="AQ100:AQ109" ca="1" si="40">INDIRECT(ADDRESS(ROW(),AQ$3))</f>
        <v>39703</v>
      </c>
    </row>
    <row r="101" spans="1:43" ht="20.25" customHeight="1" x14ac:dyDescent="0.25">
      <c r="A101" s="1242"/>
      <c r="B101" s="1243"/>
      <c r="C101" s="771"/>
      <c r="D101" s="772"/>
      <c r="E101" s="730">
        <v>1525033</v>
      </c>
      <c r="F101" s="731" t="s">
        <v>4744</v>
      </c>
      <c r="G101" s="731" t="s">
        <v>4745</v>
      </c>
      <c r="H101" s="732">
        <v>39979</v>
      </c>
      <c r="I101" s="733" t="str">
        <f t="shared" si="23"/>
        <v>Daniel Humphreys</v>
      </c>
      <c r="J101" s="734" t="str">
        <f t="shared" si="24"/>
        <v>Humphreys,Daniel</v>
      </c>
      <c r="K101" s="735">
        <f t="shared" ca="1" si="35"/>
        <v>14</v>
      </c>
      <c r="L101" s="736" t="str">
        <f t="shared" si="36"/>
        <v>150609</v>
      </c>
      <c r="M101" s="770" t="str">
        <f t="shared" ca="1" si="34"/>
        <v>OK</v>
      </c>
      <c r="AD101" s="1244"/>
      <c r="AE101" s="1245"/>
      <c r="AF101" s="753"/>
      <c r="AG101" s="754"/>
      <c r="AH101" s="740">
        <f t="shared" si="37"/>
        <v>1525033</v>
      </c>
      <c r="AI101" s="740" t="str">
        <f t="shared" si="38"/>
        <v>Daniel</v>
      </c>
      <c r="AJ101" s="740" t="str">
        <f t="shared" si="39"/>
        <v>Humphreys</v>
      </c>
      <c r="AK101" s="740"/>
      <c r="AL101" s="740"/>
      <c r="AM101" s="740"/>
      <c r="AN101" s="740"/>
      <c r="AO101" s="740"/>
      <c r="AQ101" s="741">
        <f t="shared" ca="1" si="40"/>
        <v>39979</v>
      </c>
    </row>
    <row r="102" spans="1:43" ht="20.25" customHeight="1" x14ac:dyDescent="0.25">
      <c r="A102" s="1246">
        <v>51</v>
      </c>
      <c r="B102" s="1247" t="s">
        <v>4764</v>
      </c>
      <c r="C102" s="20"/>
      <c r="D102" s="784"/>
      <c r="E102" s="730">
        <v>978105</v>
      </c>
      <c r="F102" s="731" t="s">
        <v>4713</v>
      </c>
      <c r="G102" s="731" t="s">
        <v>4714</v>
      </c>
      <c r="H102" s="732">
        <v>39158</v>
      </c>
      <c r="I102" s="785"/>
      <c r="J102" s="785"/>
      <c r="K102" s="735">
        <f t="shared" ca="1" si="35"/>
        <v>16</v>
      </c>
      <c r="L102" s="736" t="str">
        <f t="shared" si="36"/>
        <v>170307</v>
      </c>
      <c r="M102" s="770" t="str">
        <f t="shared" ca="1" si="34"/>
        <v>OK</v>
      </c>
      <c r="AD102" s="1244">
        <f>A102</f>
        <v>51</v>
      </c>
      <c r="AE102" s="1245" t="str">
        <f>B102</f>
        <v>SQUADRON RELAY
1 MALE &amp; 1 FEMALE FROM EACH AGE GROUP
SWIM IN ANY ORDER</v>
      </c>
      <c r="AF102" s="786"/>
      <c r="AG102" s="787"/>
      <c r="AH102" s="740">
        <f t="shared" si="37"/>
        <v>978105</v>
      </c>
      <c r="AI102" s="740" t="str">
        <f t="shared" si="38"/>
        <v>Harry</v>
      </c>
      <c r="AJ102" s="740" t="str">
        <f t="shared" si="39"/>
        <v>Chapman</v>
      </c>
      <c r="AK102" s="740"/>
      <c r="AL102" s="740"/>
      <c r="AM102" s="740"/>
      <c r="AN102" s="740"/>
      <c r="AO102" s="740"/>
      <c r="AQ102" s="741">
        <f t="shared" ca="1" si="40"/>
        <v>39158</v>
      </c>
    </row>
    <row r="103" spans="1:43" ht="20.25" customHeight="1" x14ac:dyDescent="0.25">
      <c r="A103" s="1246"/>
      <c r="B103" s="1247"/>
      <c r="C103" s="20"/>
      <c r="D103" s="784"/>
      <c r="E103" s="730">
        <v>232616</v>
      </c>
      <c r="F103" s="731" t="s">
        <v>4761</v>
      </c>
      <c r="G103" s="731" t="s">
        <v>4762</v>
      </c>
      <c r="H103" s="732">
        <v>34493</v>
      </c>
      <c r="I103" s="785"/>
      <c r="J103" s="785"/>
      <c r="K103" s="735">
        <f t="shared" ca="1" si="35"/>
        <v>29</v>
      </c>
      <c r="L103" s="736" t="str">
        <f t="shared" si="36"/>
        <v>080694</v>
      </c>
      <c r="M103" s="770" t="str">
        <f t="shared" ca="1" si="34"/>
        <v>OK</v>
      </c>
      <c r="AD103" s="1244"/>
      <c r="AE103" s="1245"/>
      <c r="AF103" s="786"/>
      <c r="AG103" s="787"/>
      <c r="AH103" s="740">
        <f t="shared" si="37"/>
        <v>232616</v>
      </c>
      <c r="AI103" s="740" t="str">
        <f t="shared" si="38"/>
        <v>Lucy</v>
      </c>
      <c r="AJ103" s="740" t="str">
        <f t="shared" si="39"/>
        <v>Crocker</v>
      </c>
      <c r="AK103" s="740"/>
      <c r="AL103" s="740"/>
      <c r="AM103" s="740"/>
      <c r="AN103" s="740"/>
      <c r="AO103" s="740"/>
      <c r="AQ103" s="741">
        <f t="shared" ca="1" si="40"/>
        <v>34493</v>
      </c>
    </row>
    <row r="104" spans="1:43" ht="20.25" customHeight="1" x14ac:dyDescent="0.25">
      <c r="A104" s="1246"/>
      <c r="B104" s="1247"/>
      <c r="C104" s="20"/>
      <c r="D104" s="784"/>
      <c r="E104" s="730">
        <v>1267461</v>
      </c>
      <c r="F104" s="731" t="s">
        <v>4741</v>
      </c>
      <c r="G104" s="731" t="s">
        <v>4742</v>
      </c>
      <c r="H104" s="732">
        <v>39635</v>
      </c>
      <c r="I104" s="785"/>
      <c r="J104" s="785"/>
      <c r="K104" s="735">
        <f t="shared" ca="1" si="35"/>
        <v>15</v>
      </c>
      <c r="L104" s="736" t="str">
        <f t="shared" si="36"/>
        <v>060708</v>
      </c>
      <c r="M104" s="770" t="str">
        <f t="shared" ca="1" si="34"/>
        <v>OK</v>
      </c>
      <c r="AD104" s="1244"/>
      <c r="AE104" s="1245"/>
      <c r="AF104" s="786"/>
      <c r="AG104" s="787"/>
      <c r="AH104" s="740">
        <f t="shared" si="37"/>
        <v>1267461</v>
      </c>
      <c r="AI104" s="740" t="str">
        <f t="shared" si="38"/>
        <v>Alexander</v>
      </c>
      <c r="AJ104" s="740" t="str">
        <f t="shared" si="39"/>
        <v>Gregory</v>
      </c>
      <c r="AK104" s="740"/>
      <c r="AL104" s="740"/>
      <c r="AM104" s="740"/>
      <c r="AN104" s="740"/>
      <c r="AO104" s="740"/>
      <c r="AQ104" s="741">
        <f t="shared" ca="1" si="40"/>
        <v>39635</v>
      </c>
    </row>
    <row r="105" spans="1:43" ht="20.25" customHeight="1" x14ac:dyDescent="0.25">
      <c r="A105" s="1246"/>
      <c r="B105" s="1247"/>
      <c r="C105" s="20"/>
      <c r="D105" s="784"/>
      <c r="E105" s="730">
        <v>1389524</v>
      </c>
      <c r="F105" s="731" t="s">
        <v>4711</v>
      </c>
      <c r="G105" s="731" t="s">
        <v>4712</v>
      </c>
      <c r="H105" s="732">
        <v>40021</v>
      </c>
      <c r="I105" s="785"/>
      <c r="J105" s="785"/>
      <c r="K105" s="735">
        <f t="shared" ca="1" si="35"/>
        <v>14</v>
      </c>
      <c r="L105" s="736" t="str">
        <f t="shared" si="36"/>
        <v>270709</v>
      </c>
      <c r="M105" s="770" t="str">
        <f t="shared" ca="1" si="34"/>
        <v>OK</v>
      </c>
      <c r="AD105" s="1244"/>
      <c r="AE105" s="1245"/>
      <c r="AF105" s="786"/>
      <c r="AG105" s="787"/>
      <c r="AH105" s="740">
        <f t="shared" si="37"/>
        <v>1389524</v>
      </c>
      <c r="AI105" s="740" t="str">
        <f t="shared" si="38"/>
        <v>Sophie</v>
      </c>
      <c r="AJ105" s="740" t="str">
        <f t="shared" si="39"/>
        <v>Stelmach</v>
      </c>
      <c r="AK105" s="740"/>
      <c r="AL105" s="740"/>
      <c r="AM105" s="740"/>
      <c r="AN105" s="740"/>
      <c r="AO105" s="740"/>
      <c r="AQ105" s="741">
        <f t="shared" ca="1" si="40"/>
        <v>40021</v>
      </c>
    </row>
    <row r="106" spans="1:43" ht="20.25" customHeight="1" x14ac:dyDescent="0.25">
      <c r="A106" s="1246"/>
      <c r="B106" s="1247"/>
      <c r="E106" s="730">
        <v>1360843</v>
      </c>
      <c r="F106" s="731" t="s">
        <v>4711</v>
      </c>
      <c r="G106" s="731" t="s">
        <v>4730</v>
      </c>
      <c r="H106" s="732">
        <v>40463</v>
      </c>
      <c r="I106" s="785"/>
      <c r="J106" s="785"/>
      <c r="K106" s="735">
        <f t="shared" ca="1" si="35"/>
        <v>13</v>
      </c>
      <c r="L106" s="736" t="str">
        <f t="shared" si="36"/>
        <v>121010</v>
      </c>
      <c r="M106" s="770" t="str">
        <f t="shared" ca="1" si="34"/>
        <v>OK</v>
      </c>
      <c r="AD106" s="1244"/>
      <c r="AE106" s="1245"/>
      <c r="AH106" s="740">
        <f t="shared" si="37"/>
        <v>1360843</v>
      </c>
      <c r="AI106" s="740" t="str">
        <f t="shared" si="38"/>
        <v>Sophie</v>
      </c>
      <c r="AJ106" s="740" t="str">
        <f t="shared" si="39"/>
        <v>Heraty</v>
      </c>
      <c r="AK106" s="740"/>
      <c r="AL106" s="211"/>
      <c r="AM106" s="211"/>
      <c r="AN106" s="211"/>
      <c r="AO106" s="211"/>
      <c r="AQ106" s="741">
        <f t="shared" ca="1" si="40"/>
        <v>40463</v>
      </c>
    </row>
    <row r="107" spans="1:43" ht="20.25" customHeight="1" x14ac:dyDescent="0.25">
      <c r="A107" s="1246"/>
      <c r="B107" s="1247"/>
      <c r="E107" s="730">
        <v>1504436</v>
      </c>
      <c r="F107" s="731" t="s">
        <v>4736</v>
      </c>
      <c r="G107" s="731" t="s">
        <v>4737</v>
      </c>
      <c r="H107" s="732">
        <v>40202</v>
      </c>
      <c r="I107" s="785"/>
      <c r="J107" s="785"/>
      <c r="K107" s="735">
        <f t="shared" ca="1" si="35"/>
        <v>13</v>
      </c>
      <c r="L107" s="736" t="str">
        <f t="shared" si="36"/>
        <v>240110</v>
      </c>
      <c r="M107" s="770" t="str">
        <f t="shared" ca="1" si="34"/>
        <v>OK</v>
      </c>
      <c r="AD107" s="1244"/>
      <c r="AE107" s="1245"/>
      <c r="AH107" s="740">
        <f t="shared" si="37"/>
        <v>1504436</v>
      </c>
      <c r="AI107" s="740" t="str">
        <f t="shared" si="38"/>
        <v>Joseph</v>
      </c>
      <c r="AJ107" s="740" t="str">
        <f t="shared" si="39"/>
        <v>Bagshaw</v>
      </c>
      <c r="AK107" s="740"/>
      <c r="AL107" s="211"/>
      <c r="AM107" s="211"/>
      <c r="AN107" s="211"/>
      <c r="AO107" s="211"/>
      <c r="AQ107" s="741">
        <f t="shared" ca="1" si="40"/>
        <v>40202</v>
      </c>
    </row>
    <row r="108" spans="1:43" ht="20.25" customHeight="1" x14ac:dyDescent="0.25">
      <c r="A108" s="1246"/>
      <c r="B108" s="1247"/>
      <c r="E108" s="730">
        <v>1602705</v>
      </c>
      <c r="F108" s="731" t="s">
        <v>4721</v>
      </c>
      <c r="G108" s="731" t="s">
        <v>4722</v>
      </c>
      <c r="H108" s="732">
        <v>41026</v>
      </c>
      <c r="I108" s="785"/>
      <c r="J108" s="785"/>
      <c r="K108" s="735">
        <f t="shared" ca="1" si="35"/>
        <v>11</v>
      </c>
      <c r="L108" s="736" t="str">
        <f t="shared" si="36"/>
        <v>270412</v>
      </c>
      <c r="M108" s="770" t="str">
        <f t="shared" ca="1" si="34"/>
        <v>OK</v>
      </c>
      <c r="AD108" s="1244"/>
      <c r="AE108" s="1245"/>
      <c r="AH108" s="740">
        <f t="shared" si="37"/>
        <v>1602705</v>
      </c>
      <c r="AI108" s="740" t="str">
        <f t="shared" si="38"/>
        <v>Maya</v>
      </c>
      <c r="AJ108" s="740" t="str">
        <f t="shared" si="39"/>
        <v>Wegner</v>
      </c>
      <c r="AK108" s="740"/>
      <c r="AL108" s="211"/>
      <c r="AM108" s="211"/>
      <c r="AN108" s="211"/>
      <c r="AO108" s="211"/>
      <c r="AQ108" s="741">
        <f t="shared" ca="1" si="40"/>
        <v>41026</v>
      </c>
    </row>
    <row r="109" spans="1:43" ht="20.25" customHeight="1" x14ac:dyDescent="0.25">
      <c r="A109" s="1246"/>
      <c r="B109" s="1247"/>
      <c r="E109" s="730">
        <v>1644017</v>
      </c>
      <c r="F109" s="731" t="s">
        <v>4728</v>
      </c>
      <c r="G109" s="731" t="s">
        <v>4729</v>
      </c>
      <c r="H109" s="732">
        <v>41990</v>
      </c>
      <c r="I109" s="785"/>
      <c r="J109" s="785"/>
      <c r="K109" s="735">
        <f t="shared" ca="1" si="35"/>
        <v>9</v>
      </c>
      <c r="L109" s="736" t="str">
        <f t="shared" si="36"/>
        <v>171214</v>
      </c>
      <c r="M109" s="770" t="str">
        <f t="shared" ca="1" si="34"/>
        <v>OK</v>
      </c>
      <c r="AD109" s="1244"/>
      <c r="AE109" s="1245"/>
      <c r="AH109" s="740">
        <f t="shared" si="37"/>
        <v>1644017</v>
      </c>
      <c r="AI109" s="740" t="str">
        <f t="shared" si="38"/>
        <v>Charlie</v>
      </c>
      <c r="AJ109" s="740" t="str">
        <f t="shared" si="39"/>
        <v>Pritchard</v>
      </c>
      <c r="AK109" s="740"/>
      <c r="AL109" s="211"/>
      <c r="AM109" s="211"/>
      <c r="AN109" s="211"/>
      <c r="AO109" s="211"/>
      <c r="AQ109" s="741">
        <f t="shared" ca="1" si="40"/>
        <v>41990</v>
      </c>
    </row>
    <row r="110" spans="1:43" s="134" customFormat="1" ht="9" customHeight="1" x14ac:dyDescent="0.25">
      <c r="E110" s="788"/>
      <c r="F110" s="789"/>
      <c r="G110" s="789"/>
      <c r="H110" s="790"/>
      <c r="AD110" s="791"/>
      <c r="AE110" s="792"/>
    </row>
    <row r="111" spans="1:43" s="134" customFormat="1" ht="9" customHeight="1" x14ac:dyDescent="0.25">
      <c r="E111" s="788"/>
      <c r="F111" s="789"/>
      <c r="G111" s="789"/>
      <c r="H111" s="790"/>
      <c r="AD111" s="791"/>
      <c r="AE111" s="792"/>
    </row>
    <row r="112" spans="1:43" s="134" customFormat="1" ht="9" customHeight="1" x14ac:dyDescent="0.25">
      <c r="E112" s="788"/>
      <c r="F112" s="789"/>
      <c r="G112" s="789"/>
      <c r="H112" s="790"/>
      <c r="AD112" s="791"/>
      <c r="AE112" s="792"/>
    </row>
    <row r="113" spans="5:31" s="134" customFormat="1" ht="9" customHeight="1" x14ac:dyDescent="0.25">
      <c r="E113" s="788"/>
      <c r="F113" s="789"/>
      <c r="G113" s="789"/>
      <c r="H113" s="790"/>
      <c r="AD113" s="791"/>
      <c r="AE113" s="792"/>
    </row>
    <row r="114" spans="5:31" s="134" customFormat="1" ht="9" customHeight="1" x14ac:dyDescent="0.25">
      <c r="E114" s="788"/>
      <c r="F114" s="789"/>
      <c r="G114" s="789"/>
      <c r="H114" s="790"/>
      <c r="AD114" s="791"/>
      <c r="AE114" s="792"/>
    </row>
    <row r="115" spans="5:31" s="134" customFormat="1" ht="9" customHeight="1" x14ac:dyDescent="0.25">
      <c r="E115" s="788"/>
      <c r="F115" s="789"/>
      <c r="G115" s="789"/>
      <c r="H115" s="790"/>
      <c r="AD115" s="791"/>
      <c r="AE115" s="792"/>
    </row>
    <row r="116" spans="5:31" s="134" customFormat="1" ht="9" customHeight="1" x14ac:dyDescent="0.25">
      <c r="E116" s="788"/>
      <c r="F116" s="789"/>
      <c r="G116" s="789"/>
      <c r="H116" s="790"/>
      <c r="AD116" s="791"/>
      <c r="AE116" s="792"/>
    </row>
    <row r="117" spans="5:31" s="134" customFormat="1" ht="9" customHeight="1" x14ac:dyDescent="0.25">
      <c r="E117" s="788"/>
      <c r="F117" s="789"/>
      <c r="G117" s="789"/>
      <c r="H117" s="790"/>
      <c r="AD117" s="791"/>
      <c r="AE117" s="792"/>
    </row>
    <row r="118" spans="5:31" s="134" customFormat="1" ht="9" customHeight="1" x14ac:dyDescent="0.25">
      <c r="E118" s="788"/>
      <c r="F118" s="789"/>
      <c r="G118" s="789"/>
      <c r="H118" s="790"/>
      <c r="AD118" s="791"/>
      <c r="AE118" s="792"/>
    </row>
    <row r="119" spans="5:31" s="134" customFormat="1" ht="9" customHeight="1" x14ac:dyDescent="0.25">
      <c r="E119" s="788"/>
      <c r="F119" s="789"/>
      <c r="G119" s="789"/>
      <c r="H119" s="790"/>
      <c r="AD119" s="791"/>
      <c r="AE119" s="792"/>
    </row>
    <row r="120" spans="5:31" s="134" customFormat="1" ht="9" customHeight="1" x14ac:dyDescent="0.25">
      <c r="E120" s="788"/>
      <c r="F120" s="789"/>
      <c r="G120" s="789"/>
      <c r="H120" s="790"/>
      <c r="AD120" s="791"/>
      <c r="AE120" s="792"/>
    </row>
    <row r="121" spans="5:31" s="134" customFormat="1" ht="9" customHeight="1" x14ac:dyDescent="0.25">
      <c r="E121" s="788"/>
      <c r="F121" s="789"/>
      <c r="G121" s="789"/>
      <c r="H121" s="790"/>
      <c r="AD121" s="791"/>
      <c r="AE121" s="792"/>
    </row>
    <row r="122" spans="5:31" s="134" customFormat="1" ht="9" customHeight="1" x14ac:dyDescent="0.25">
      <c r="E122" s="788"/>
      <c r="F122" s="789"/>
      <c r="G122" s="789"/>
      <c r="H122" s="790"/>
      <c r="AD122" s="791"/>
      <c r="AE122" s="792"/>
    </row>
    <row r="123" spans="5:31" s="134" customFormat="1" ht="9" customHeight="1" x14ac:dyDescent="0.25">
      <c r="E123" s="788"/>
      <c r="F123" s="789"/>
      <c r="G123" s="789"/>
      <c r="H123" s="790"/>
      <c r="AD123" s="791"/>
      <c r="AE123" s="792"/>
    </row>
    <row r="124" spans="5:31" s="134" customFormat="1" ht="9" customHeight="1" x14ac:dyDescent="0.25">
      <c r="E124" s="788"/>
      <c r="F124" s="789"/>
      <c r="G124" s="789"/>
      <c r="H124" s="790"/>
      <c r="AD124" s="791"/>
      <c r="AE124" s="792"/>
    </row>
    <row r="125" spans="5:31" s="134" customFormat="1" ht="9" customHeight="1" x14ac:dyDescent="0.25">
      <c r="E125" s="788"/>
      <c r="F125" s="789"/>
      <c r="G125" s="789"/>
      <c r="H125" s="790"/>
      <c r="AD125" s="791"/>
      <c r="AE125" s="792"/>
    </row>
    <row r="126" spans="5:31" s="134" customFormat="1" ht="9" customHeight="1" x14ac:dyDescent="0.25">
      <c r="E126" s="788"/>
      <c r="F126" s="789"/>
      <c r="G126" s="789"/>
      <c r="H126" s="790"/>
      <c r="AD126" s="791"/>
      <c r="AE126" s="792"/>
    </row>
    <row r="127" spans="5:31" s="134" customFormat="1" ht="9" customHeight="1" x14ac:dyDescent="0.25">
      <c r="E127" s="788"/>
      <c r="F127" s="789"/>
      <c r="G127" s="789"/>
      <c r="H127" s="790"/>
      <c r="AD127" s="791"/>
      <c r="AE127" s="792"/>
    </row>
    <row r="128" spans="5:31" s="134" customFormat="1" ht="9" customHeight="1" x14ac:dyDescent="0.25">
      <c r="E128" s="788"/>
      <c r="F128" s="789"/>
      <c r="G128" s="789"/>
      <c r="H128" s="790"/>
      <c r="AD128" s="791"/>
      <c r="AE128" s="792"/>
    </row>
    <row r="129" spans="5:31" s="134" customFormat="1" ht="9" customHeight="1" x14ac:dyDescent="0.25">
      <c r="E129" s="788"/>
      <c r="F129" s="789"/>
      <c r="G129" s="789"/>
      <c r="H129" s="790"/>
      <c r="AD129" s="791"/>
      <c r="AE129" s="792"/>
    </row>
    <row r="130" spans="5:31" s="134" customFormat="1" ht="9" customHeight="1" x14ac:dyDescent="0.25">
      <c r="E130" s="788"/>
      <c r="F130" s="789"/>
      <c r="G130" s="789"/>
      <c r="H130" s="790"/>
      <c r="AD130" s="791"/>
      <c r="AE130" s="792"/>
    </row>
    <row r="131" spans="5:31" s="134" customFormat="1" ht="9" customHeight="1" x14ac:dyDescent="0.25">
      <c r="E131" s="788"/>
      <c r="F131" s="789"/>
      <c r="G131" s="789"/>
      <c r="H131" s="790"/>
      <c r="AD131" s="791"/>
      <c r="AE131" s="792"/>
    </row>
    <row r="132" spans="5:31" s="134" customFormat="1" ht="9" customHeight="1" x14ac:dyDescent="0.25">
      <c r="E132" s="788"/>
      <c r="F132" s="789"/>
      <c r="G132" s="789"/>
      <c r="H132" s="790"/>
      <c r="AD132" s="791"/>
      <c r="AE132" s="792"/>
    </row>
    <row r="133" spans="5:31" s="134" customFormat="1" ht="9" customHeight="1" x14ac:dyDescent="0.25">
      <c r="E133" s="788"/>
      <c r="F133" s="789"/>
      <c r="G133" s="789"/>
      <c r="H133" s="790"/>
      <c r="AD133" s="791"/>
      <c r="AE133" s="792"/>
    </row>
    <row r="134" spans="5:31" s="134" customFormat="1" ht="9" customHeight="1" x14ac:dyDescent="0.25">
      <c r="E134" s="788"/>
      <c r="F134" s="789"/>
      <c r="G134" s="789"/>
      <c r="H134" s="790"/>
      <c r="AD134" s="791"/>
      <c r="AE134" s="792"/>
    </row>
    <row r="135" spans="5:31" s="134" customFormat="1" ht="9" customHeight="1" x14ac:dyDescent="0.25">
      <c r="E135" s="788"/>
      <c r="F135" s="789"/>
      <c r="G135" s="789"/>
      <c r="H135" s="790"/>
      <c r="AD135" s="791"/>
      <c r="AE135" s="792"/>
    </row>
    <row r="136" spans="5:31" s="134" customFormat="1" ht="9" customHeight="1" x14ac:dyDescent="0.25">
      <c r="E136" s="788"/>
      <c r="F136" s="789"/>
      <c r="G136" s="789"/>
      <c r="H136" s="790"/>
      <c r="AD136" s="791"/>
      <c r="AE136" s="792"/>
    </row>
    <row r="137" spans="5:31" s="134" customFormat="1" ht="9" customHeight="1" x14ac:dyDescent="0.25">
      <c r="E137" s="788"/>
      <c r="F137" s="789"/>
      <c r="G137" s="789"/>
      <c r="H137" s="790"/>
      <c r="AD137" s="791"/>
      <c r="AE137" s="792"/>
    </row>
    <row r="138" spans="5:31" s="134" customFormat="1" ht="9" customHeight="1" x14ac:dyDescent="0.25">
      <c r="E138" s="788"/>
      <c r="F138" s="789"/>
      <c r="G138" s="789"/>
      <c r="H138" s="790"/>
      <c r="AD138" s="791"/>
      <c r="AE138" s="792"/>
    </row>
    <row r="139" spans="5:31" s="134" customFormat="1" ht="9" customHeight="1" x14ac:dyDescent="0.25">
      <c r="E139" s="788"/>
      <c r="F139" s="789"/>
      <c r="G139" s="789"/>
      <c r="H139" s="790"/>
      <c r="AD139" s="791"/>
      <c r="AE139" s="792"/>
    </row>
    <row r="140" spans="5:31" s="134" customFormat="1" ht="9" customHeight="1" x14ac:dyDescent="0.25">
      <c r="E140" s="788"/>
      <c r="F140" s="789"/>
      <c r="G140" s="789"/>
      <c r="H140" s="790"/>
      <c r="AD140" s="791"/>
      <c r="AE140" s="792"/>
    </row>
    <row r="141" spans="5:31" s="134" customFormat="1" ht="9" customHeight="1" x14ac:dyDescent="0.25">
      <c r="E141" s="789"/>
      <c r="F141" s="789"/>
      <c r="G141" s="789"/>
      <c r="H141" s="790"/>
      <c r="AD141" s="791"/>
      <c r="AE141" s="792"/>
    </row>
    <row r="142" spans="5:31" s="134" customFormat="1" ht="9" customHeight="1" x14ac:dyDescent="0.25">
      <c r="E142" s="789"/>
      <c r="F142" s="789"/>
      <c r="G142" s="789"/>
      <c r="H142" s="790"/>
      <c r="AD142" s="791"/>
      <c r="AE142" s="792"/>
    </row>
    <row r="143" spans="5:31" s="134" customFormat="1" ht="9" customHeight="1" x14ac:dyDescent="0.25">
      <c r="E143" s="789"/>
      <c r="F143" s="789"/>
      <c r="G143" s="789"/>
      <c r="H143" s="790"/>
      <c r="AD143" s="791"/>
      <c r="AE143" s="792"/>
    </row>
    <row r="144" spans="5:31" s="134" customFormat="1" ht="9" customHeight="1" x14ac:dyDescent="0.25">
      <c r="E144" s="789"/>
      <c r="F144" s="789"/>
      <c r="G144" s="789"/>
      <c r="H144" s="790"/>
      <c r="AD144" s="791"/>
      <c r="AE144" s="792"/>
    </row>
    <row r="145" spans="5:31" s="134" customFormat="1" ht="9" customHeight="1" x14ac:dyDescent="0.25">
      <c r="E145" s="789"/>
      <c r="F145" s="789"/>
      <c r="G145" s="789"/>
      <c r="H145" s="790"/>
      <c r="AD145" s="791"/>
      <c r="AE145" s="792"/>
    </row>
    <row r="146" spans="5:31" s="134" customFormat="1" ht="9" customHeight="1" x14ac:dyDescent="0.25">
      <c r="E146" s="789"/>
      <c r="F146" s="789"/>
      <c r="G146" s="789"/>
      <c r="H146" s="790"/>
      <c r="AD146" s="791"/>
      <c r="AE146" s="792"/>
    </row>
    <row r="147" spans="5:31" s="134" customFormat="1" ht="9" customHeight="1" x14ac:dyDescent="0.25">
      <c r="E147" s="789"/>
      <c r="F147" s="789"/>
      <c r="G147" s="789"/>
      <c r="H147" s="790"/>
      <c r="AD147" s="791"/>
      <c r="AE147" s="792"/>
    </row>
    <row r="148" spans="5:31" s="134" customFormat="1" ht="9" customHeight="1" x14ac:dyDescent="0.25">
      <c r="E148" s="789"/>
      <c r="F148" s="789"/>
      <c r="G148" s="789"/>
      <c r="H148" s="790"/>
      <c r="AD148" s="791"/>
      <c r="AE148" s="792"/>
    </row>
    <row r="149" spans="5:31" s="134" customFormat="1" ht="9" customHeight="1" x14ac:dyDescent="0.25">
      <c r="E149" s="789"/>
      <c r="F149" s="789"/>
      <c r="G149" s="789"/>
      <c r="H149" s="790"/>
      <c r="AD149" s="791"/>
      <c r="AE149" s="792"/>
    </row>
    <row r="150" spans="5:31" s="134" customFormat="1" ht="9" customHeight="1" x14ac:dyDescent="0.25">
      <c r="E150" s="789"/>
      <c r="F150" s="789"/>
      <c r="G150" s="789"/>
      <c r="H150" s="790"/>
      <c r="AD150" s="791"/>
      <c r="AE150" s="792"/>
    </row>
    <row r="151" spans="5:31" s="134" customFormat="1" ht="9" customHeight="1" x14ac:dyDescent="0.25">
      <c r="E151" s="789"/>
      <c r="F151" s="789"/>
      <c r="G151" s="789"/>
      <c r="H151" s="790"/>
      <c r="AD151" s="791"/>
      <c r="AE151" s="792"/>
    </row>
    <row r="152" spans="5:31" s="134" customFormat="1" ht="9" customHeight="1" x14ac:dyDescent="0.25">
      <c r="E152" s="789"/>
      <c r="F152" s="789"/>
      <c r="G152" s="789"/>
      <c r="H152" s="790"/>
      <c r="AD152" s="791"/>
      <c r="AE152" s="792"/>
    </row>
    <row r="153" spans="5:31" s="134" customFormat="1" ht="9" customHeight="1" x14ac:dyDescent="0.25">
      <c r="E153" s="789"/>
      <c r="F153" s="789"/>
      <c r="G153" s="789"/>
      <c r="H153" s="790"/>
      <c r="AD153" s="791"/>
      <c r="AE153" s="792"/>
    </row>
    <row r="154" spans="5:31" s="134" customFormat="1" ht="9" customHeight="1" x14ac:dyDescent="0.25">
      <c r="E154" s="789"/>
      <c r="F154" s="789"/>
      <c r="G154" s="789"/>
      <c r="H154" s="790"/>
      <c r="AD154" s="791"/>
      <c r="AE154" s="792"/>
    </row>
    <row r="155" spans="5:31" s="134" customFormat="1" ht="9" customHeight="1" x14ac:dyDescent="0.25">
      <c r="E155" s="789"/>
      <c r="F155" s="789"/>
      <c r="G155" s="789"/>
      <c r="H155" s="790"/>
      <c r="AD155" s="791"/>
      <c r="AE155" s="792"/>
    </row>
    <row r="156" spans="5:31" s="134" customFormat="1" ht="9" customHeight="1" x14ac:dyDescent="0.25">
      <c r="E156" s="789"/>
      <c r="F156" s="789"/>
      <c r="G156" s="789"/>
      <c r="H156" s="790"/>
      <c r="AD156" s="791"/>
      <c r="AE156" s="792"/>
    </row>
    <row r="157" spans="5:31" s="134" customFormat="1" ht="9" customHeight="1" x14ac:dyDescent="0.25">
      <c r="E157" s="789"/>
      <c r="F157" s="789"/>
      <c r="G157" s="789"/>
      <c r="H157" s="790"/>
      <c r="AD157" s="791"/>
      <c r="AE157" s="792"/>
    </row>
    <row r="158" spans="5:31" s="134" customFormat="1" ht="9" customHeight="1" x14ac:dyDescent="0.25">
      <c r="E158" s="789"/>
      <c r="F158" s="789"/>
      <c r="G158" s="789"/>
      <c r="H158" s="790"/>
      <c r="AD158" s="791"/>
      <c r="AE158" s="792"/>
    </row>
    <row r="159" spans="5:31" s="134" customFormat="1" ht="9" customHeight="1" x14ac:dyDescent="0.25">
      <c r="E159" s="789"/>
      <c r="F159" s="789"/>
      <c r="G159" s="789"/>
      <c r="H159" s="790"/>
      <c r="AD159" s="791"/>
      <c r="AE159" s="792"/>
    </row>
    <row r="160" spans="5:31" s="134" customFormat="1" ht="9" customHeight="1" x14ac:dyDescent="0.25">
      <c r="E160" s="789"/>
      <c r="F160" s="789"/>
      <c r="G160" s="789"/>
      <c r="H160" s="790"/>
      <c r="AD160" s="791"/>
      <c r="AE160" s="792"/>
    </row>
    <row r="161" spans="5:31" s="134" customFormat="1" ht="9" customHeight="1" x14ac:dyDescent="0.25">
      <c r="E161" s="789"/>
      <c r="F161" s="789"/>
      <c r="G161" s="789"/>
      <c r="H161" s="790"/>
      <c r="AD161" s="791"/>
      <c r="AE161" s="792"/>
    </row>
    <row r="162" spans="5:31" s="134" customFormat="1" ht="9" customHeight="1" x14ac:dyDescent="0.25">
      <c r="E162" s="789"/>
      <c r="F162" s="789"/>
      <c r="G162" s="789"/>
      <c r="H162" s="790"/>
      <c r="AD162" s="791"/>
      <c r="AE162" s="792"/>
    </row>
    <row r="163" spans="5:31" s="134" customFormat="1" ht="9" customHeight="1" x14ac:dyDescent="0.25">
      <c r="E163" s="789"/>
      <c r="F163" s="789"/>
      <c r="G163" s="789"/>
      <c r="H163" s="790"/>
      <c r="AD163" s="791"/>
      <c r="AE163" s="792"/>
    </row>
    <row r="164" spans="5:31" s="134" customFormat="1" ht="9" customHeight="1" x14ac:dyDescent="0.25">
      <c r="E164" s="789"/>
      <c r="F164" s="789"/>
      <c r="G164" s="789"/>
      <c r="H164" s="790"/>
      <c r="AD164" s="791"/>
      <c r="AE164" s="792"/>
    </row>
    <row r="165" spans="5:31" s="134" customFormat="1" ht="9" customHeight="1" x14ac:dyDescent="0.25">
      <c r="E165" s="789"/>
      <c r="F165" s="789"/>
      <c r="G165" s="789"/>
      <c r="H165" s="790"/>
      <c r="AD165" s="791"/>
      <c r="AE165" s="792"/>
    </row>
    <row r="166" spans="5:31" s="134" customFormat="1" ht="9" customHeight="1" x14ac:dyDescent="0.25">
      <c r="E166" s="789"/>
      <c r="F166" s="789"/>
      <c r="G166" s="789"/>
      <c r="H166" s="790"/>
      <c r="AD166" s="791"/>
      <c r="AE166" s="792"/>
    </row>
    <row r="167" spans="5:31" s="134" customFormat="1" ht="9" customHeight="1" x14ac:dyDescent="0.25">
      <c r="E167" s="789"/>
      <c r="F167" s="789"/>
      <c r="G167" s="789"/>
      <c r="H167" s="790"/>
      <c r="AD167" s="791"/>
      <c r="AE167" s="792"/>
    </row>
    <row r="168" spans="5:31" s="134" customFormat="1" ht="9" customHeight="1" x14ac:dyDescent="0.25">
      <c r="E168" s="789"/>
      <c r="F168" s="789"/>
      <c r="G168" s="789"/>
      <c r="H168" s="790"/>
      <c r="AD168" s="791"/>
      <c r="AE168" s="792"/>
    </row>
    <row r="169" spans="5:31" s="134" customFormat="1" ht="9" customHeight="1" x14ac:dyDescent="0.25">
      <c r="E169" s="789"/>
      <c r="F169" s="789"/>
      <c r="G169" s="789"/>
      <c r="H169" s="790"/>
      <c r="AD169" s="791"/>
      <c r="AE169" s="792"/>
    </row>
    <row r="170" spans="5:31" s="134" customFormat="1" ht="9" customHeight="1" x14ac:dyDescent="0.25">
      <c r="E170" s="789"/>
      <c r="F170" s="789"/>
      <c r="G170" s="789"/>
      <c r="H170" s="790"/>
      <c r="AD170" s="791"/>
      <c r="AE170" s="792"/>
    </row>
    <row r="171" spans="5:31" s="134" customFormat="1" ht="9" customHeight="1" x14ac:dyDescent="0.25">
      <c r="E171" s="789"/>
      <c r="F171" s="789"/>
      <c r="G171" s="789"/>
      <c r="H171" s="790"/>
      <c r="AD171" s="791"/>
      <c r="AE171" s="792"/>
    </row>
    <row r="172" spans="5:31" s="134" customFormat="1" ht="9" customHeight="1" x14ac:dyDescent="0.25">
      <c r="E172" s="789"/>
      <c r="F172" s="789"/>
      <c r="G172" s="789"/>
      <c r="H172" s="790"/>
      <c r="AD172" s="791"/>
      <c r="AE172" s="792"/>
    </row>
    <row r="173" spans="5:31" s="134" customFormat="1" ht="9" customHeight="1" x14ac:dyDescent="0.25">
      <c r="E173" s="789"/>
      <c r="F173" s="789"/>
      <c r="G173" s="789"/>
      <c r="H173" s="790"/>
      <c r="AD173" s="791"/>
      <c r="AE173" s="792"/>
    </row>
    <row r="174" spans="5:31" s="134" customFormat="1" ht="9" customHeight="1" x14ac:dyDescent="0.25">
      <c r="E174" s="789"/>
      <c r="F174" s="789"/>
      <c r="G174" s="789"/>
      <c r="H174" s="790"/>
      <c r="AD174" s="791"/>
      <c r="AE174" s="792"/>
    </row>
    <row r="175" spans="5:31" s="134" customFormat="1" ht="9" customHeight="1" x14ac:dyDescent="0.25">
      <c r="E175" s="789"/>
      <c r="F175" s="789"/>
      <c r="G175" s="789"/>
      <c r="H175" s="790"/>
      <c r="AD175" s="791"/>
      <c r="AE175" s="792"/>
    </row>
    <row r="176" spans="5:31" s="134" customFormat="1" ht="9" customHeight="1" x14ac:dyDescent="0.25">
      <c r="E176" s="789"/>
      <c r="F176" s="789"/>
      <c r="G176" s="789"/>
      <c r="H176" s="790"/>
      <c r="AD176" s="791"/>
      <c r="AE176" s="792"/>
    </row>
    <row r="177" spans="5:31" s="134" customFormat="1" ht="9" customHeight="1" x14ac:dyDescent="0.25">
      <c r="E177" s="789"/>
      <c r="F177" s="789"/>
      <c r="G177" s="789"/>
      <c r="H177" s="790"/>
      <c r="AD177" s="791"/>
      <c r="AE177" s="792"/>
    </row>
    <row r="178" spans="5:31" s="134" customFormat="1" ht="9" customHeight="1" x14ac:dyDescent="0.25">
      <c r="E178" s="789"/>
      <c r="F178" s="789"/>
      <c r="G178" s="789"/>
      <c r="H178" s="790"/>
      <c r="AD178" s="791"/>
      <c r="AE178" s="792"/>
    </row>
    <row r="179" spans="5:31" s="134" customFormat="1" ht="9" customHeight="1" x14ac:dyDescent="0.25">
      <c r="E179" s="789"/>
      <c r="F179" s="789"/>
      <c r="G179" s="789"/>
      <c r="H179" s="790"/>
      <c r="AD179" s="791"/>
      <c r="AE179" s="792"/>
    </row>
    <row r="180" spans="5:31" s="134" customFormat="1" ht="9" customHeight="1" x14ac:dyDescent="0.25">
      <c r="E180" s="789"/>
      <c r="F180" s="789"/>
      <c r="G180" s="789"/>
      <c r="H180" s="790"/>
      <c r="AD180" s="791"/>
      <c r="AE180" s="792"/>
    </row>
    <row r="181" spans="5:31" s="134" customFormat="1" ht="9" customHeight="1" x14ac:dyDescent="0.25">
      <c r="E181" s="789"/>
      <c r="F181" s="789"/>
      <c r="G181" s="789"/>
      <c r="H181" s="790"/>
      <c r="AD181" s="791"/>
      <c r="AE181" s="792"/>
    </row>
    <row r="182" spans="5:31" s="134" customFormat="1" ht="9" customHeight="1" x14ac:dyDescent="0.25">
      <c r="E182" s="789"/>
      <c r="F182" s="789"/>
      <c r="G182" s="789"/>
      <c r="H182" s="790"/>
      <c r="AD182" s="791"/>
      <c r="AE182" s="792"/>
    </row>
    <row r="183" spans="5:31" s="134" customFormat="1" ht="9" customHeight="1" x14ac:dyDescent="0.25">
      <c r="E183" s="789"/>
      <c r="F183" s="789"/>
      <c r="G183" s="789"/>
      <c r="H183" s="790"/>
      <c r="AD183" s="791"/>
      <c r="AE183" s="792"/>
    </row>
    <row r="184" spans="5:31" s="134" customFormat="1" ht="9" customHeight="1" x14ac:dyDescent="0.25">
      <c r="E184" s="789"/>
      <c r="F184" s="789"/>
      <c r="G184" s="789"/>
      <c r="H184" s="790"/>
      <c r="AD184" s="791"/>
      <c r="AE184" s="792"/>
    </row>
    <row r="185" spans="5:31" s="134" customFormat="1" ht="9" customHeight="1" x14ac:dyDescent="0.25">
      <c r="E185" s="789"/>
      <c r="F185" s="789"/>
      <c r="G185" s="789"/>
      <c r="H185" s="790"/>
      <c r="AD185" s="791"/>
      <c r="AE185" s="792"/>
    </row>
    <row r="186" spans="5:31" s="134" customFormat="1" ht="9" customHeight="1" x14ac:dyDescent="0.25">
      <c r="E186" s="789"/>
      <c r="F186" s="789"/>
      <c r="G186" s="789"/>
      <c r="H186" s="790"/>
      <c r="AD186" s="791"/>
      <c r="AE186" s="792"/>
    </row>
    <row r="187" spans="5:31" s="134" customFormat="1" ht="9" customHeight="1" x14ac:dyDescent="0.25">
      <c r="E187" s="789"/>
      <c r="F187" s="789"/>
      <c r="G187" s="789"/>
      <c r="H187" s="790"/>
      <c r="AD187" s="791"/>
      <c r="AE187" s="792"/>
    </row>
    <row r="188" spans="5:31" s="134" customFormat="1" ht="9" customHeight="1" x14ac:dyDescent="0.25">
      <c r="E188" s="789"/>
      <c r="F188" s="789"/>
      <c r="G188" s="789"/>
      <c r="H188" s="790"/>
      <c r="AD188" s="791"/>
      <c r="AE188" s="792"/>
    </row>
    <row r="189" spans="5:31" s="134" customFormat="1" ht="9" customHeight="1" x14ac:dyDescent="0.25">
      <c r="E189" s="789"/>
      <c r="F189" s="789"/>
      <c r="G189" s="789"/>
      <c r="H189" s="790"/>
      <c r="AD189" s="791"/>
      <c r="AE189" s="792"/>
    </row>
    <row r="190" spans="5:31" s="134" customFormat="1" ht="9" customHeight="1" x14ac:dyDescent="0.25">
      <c r="E190" s="789"/>
      <c r="F190" s="789"/>
      <c r="G190" s="789"/>
      <c r="H190" s="790"/>
      <c r="AD190" s="791"/>
      <c r="AE190" s="792"/>
    </row>
    <row r="191" spans="5:31" s="134" customFormat="1" ht="9" customHeight="1" x14ac:dyDescent="0.25">
      <c r="E191" s="789"/>
      <c r="F191" s="789"/>
      <c r="G191" s="789"/>
      <c r="H191" s="790"/>
      <c r="AD191" s="791"/>
      <c r="AE191" s="792"/>
    </row>
    <row r="192" spans="5:31" s="134" customFormat="1" ht="9" customHeight="1" x14ac:dyDescent="0.25">
      <c r="E192" s="789"/>
      <c r="F192" s="789"/>
      <c r="G192" s="789"/>
      <c r="H192" s="790"/>
      <c r="AD192" s="791"/>
      <c r="AE192" s="792"/>
    </row>
    <row r="193" spans="5:31" s="134" customFormat="1" ht="9" customHeight="1" x14ac:dyDescent="0.25">
      <c r="E193" s="789"/>
      <c r="F193" s="789"/>
      <c r="G193" s="789"/>
      <c r="H193" s="790"/>
      <c r="AD193" s="791"/>
      <c r="AE193" s="792"/>
    </row>
    <row r="194" spans="5:31" s="134" customFormat="1" ht="9" customHeight="1" x14ac:dyDescent="0.25">
      <c r="E194" s="789"/>
      <c r="F194" s="789"/>
      <c r="G194" s="789"/>
      <c r="H194" s="790"/>
      <c r="AD194" s="791"/>
      <c r="AE194" s="792"/>
    </row>
    <row r="195" spans="5:31" s="134" customFormat="1" ht="9" customHeight="1" x14ac:dyDescent="0.25">
      <c r="E195" s="789"/>
      <c r="F195" s="789"/>
      <c r="G195" s="789"/>
      <c r="H195" s="790"/>
      <c r="AD195" s="791"/>
      <c r="AE195" s="792"/>
    </row>
    <row r="196" spans="5:31" s="134" customFormat="1" ht="9" customHeight="1" x14ac:dyDescent="0.25">
      <c r="E196" s="789"/>
      <c r="F196" s="789"/>
      <c r="G196" s="789"/>
      <c r="H196" s="790"/>
      <c r="AD196" s="791"/>
      <c r="AE196" s="792"/>
    </row>
    <row r="197" spans="5:31" s="134" customFormat="1" ht="9" customHeight="1" x14ac:dyDescent="0.25">
      <c r="E197" s="789"/>
      <c r="F197" s="789"/>
      <c r="G197" s="789"/>
      <c r="H197" s="790"/>
      <c r="AD197" s="791"/>
      <c r="AE197" s="792"/>
    </row>
    <row r="198" spans="5:31" s="134" customFormat="1" ht="9" customHeight="1" x14ac:dyDescent="0.25">
      <c r="E198" s="789"/>
      <c r="F198" s="789"/>
      <c r="G198" s="789"/>
      <c r="H198" s="790"/>
      <c r="AD198" s="791"/>
      <c r="AE198" s="792"/>
    </row>
    <row r="199" spans="5:31" s="134" customFormat="1" ht="9" customHeight="1" x14ac:dyDescent="0.25">
      <c r="E199" s="789"/>
      <c r="F199" s="789"/>
      <c r="G199" s="789"/>
      <c r="H199" s="790"/>
      <c r="AD199" s="791"/>
      <c r="AE199" s="792"/>
    </row>
    <row r="200" spans="5:31" s="134" customFormat="1" ht="3" customHeight="1" x14ac:dyDescent="0.25">
      <c r="E200" s="789"/>
      <c r="F200" s="789"/>
      <c r="G200" s="789"/>
      <c r="H200" s="790"/>
      <c r="AD200" s="791"/>
      <c r="AE200" s="792"/>
    </row>
    <row r="201" spans="5:31" s="134" customFormat="1" ht="3" customHeight="1" x14ac:dyDescent="0.25">
      <c r="E201" s="789"/>
      <c r="F201" s="789"/>
      <c r="G201" s="789"/>
      <c r="H201" s="790"/>
      <c r="AD201" s="791"/>
      <c r="AE201" s="792"/>
    </row>
    <row r="202" spans="5:31" s="134" customFormat="1" ht="3" customHeight="1" x14ac:dyDescent="0.25">
      <c r="E202" s="789"/>
      <c r="F202" s="789"/>
      <c r="G202" s="789"/>
      <c r="H202" s="790"/>
      <c r="AD202" s="791"/>
      <c r="AE202" s="792"/>
    </row>
    <row r="203" spans="5:31" s="134" customFormat="1" ht="3" customHeight="1" x14ac:dyDescent="0.25">
      <c r="E203" s="789"/>
      <c r="F203" s="789"/>
      <c r="G203" s="789"/>
      <c r="H203" s="790"/>
      <c r="AD203" s="791"/>
      <c r="AE203" s="792"/>
    </row>
    <row r="204" spans="5:31" s="134" customFormat="1" ht="3" customHeight="1" x14ac:dyDescent="0.25">
      <c r="E204" s="789"/>
      <c r="F204" s="789"/>
      <c r="G204" s="789"/>
      <c r="H204" s="790"/>
      <c r="AD204" s="791"/>
      <c r="AE204" s="792"/>
    </row>
    <row r="205" spans="5:31" s="134" customFormat="1" ht="3" customHeight="1" x14ac:dyDescent="0.25">
      <c r="E205" s="789"/>
      <c r="F205" s="789"/>
      <c r="G205" s="789"/>
      <c r="H205" s="790"/>
      <c r="AD205" s="791"/>
      <c r="AE205" s="792"/>
    </row>
    <row r="206" spans="5:31" s="134" customFormat="1" ht="3" customHeight="1" x14ac:dyDescent="0.25">
      <c r="E206" s="789"/>
      <c r="F206" s="789"/>
      <c r="G206" s="789"/>
      <c r="H206" s="790"/>
      <c r="AD206" s="791"/>
      <c r="AE206" s="792"/>
    </row>
    <row r="207" spans="5:31" s="134" customFormat="1" ht="3" customHeight="1" x14ac:dyDescent="0.25">
      <c r="E207" s="789"/>
      <c r="F207" s="789"/>
      <c r="G207" s="789"/>
      <c r="H207" s="790"/>
      <c r="AD207" s="791"/>
      <c r="AE207" s="792"/>
    </row>
    <row r="208" spans="5:31" s="134" customFormat="1" ht="3" customHeight="1" x14ac:dyDescent="0.25">
      <c r="E208" s="789"/>
      <c r="F208" s="789"/>
      <c r="G208" s="789"/>
      <c r="H208" s="790"/>
      <c r="AD208" s="791"/>
      <c r="AE208" s="792"/>
    </row>
    <row r="209" spans="5:31" s="134" customFormat="1" ht="3" customHeight="1" x14ac:dyDescent="0.25">
      <c r="E209" s="789"/>
      <c r="F209" s="789"/>
      <c r="G209" s="789"/>
      <c r="H209" s="790"/>
      <c r="AD209" s="791"/>
      <c r="AE209" s="792"/>
    </row>
    <row r="210" spans="5:31" s="134" customFormat="1" ht="3" customHeight="1" x14ac:dyDescent="0.25">
      <c r="E210" s="789"/>
      <c r="F210" s="789"/>
      <c r="G210" s="789"/>
      <c r="H210" s="790"/>
      <c r="AD210" s="791"/>
      <c r="AE210" s="792"/>
    </row>
    <row r="211" spans="5:31" s="134" customFormat="1" ht="3" customHeight="1" x14ac:dyDescent="0.25">
      <c r="E211" s="789"/>
      <c r="F211" s="789"/>
      <c r="G211" s="789"/>
      <c r="H211" s="790"/>
      <c r="AD211" s="791"/>
      <c r="AE211" s="792"/>
    </row>
    <row r="212" spans="5:31" s="134" customFormat="1" ht="3" customHeight="1" x14ac:dyDescent="0.25">
      <c r="E212" s="789"/>
      <c r="F212" s="789"/>
      <c r="G212" s="789"/>
      <c r="H212" s="790"/>
      <c r="AD212" s="791"/>
      <c r="AE212" s="792"/>
    </row>
    <row r="213" spans="5:31" s="134" customFormat="1" ht="3" customHeight="1" x14ac:dyDescent="0.25">
      <c r="E213" s="789"/>
      <c r="F213" s="789"/>
      <c r="G213" s="789"/>
      <c r="H213" s="790"/>
      <c r="AD213" s="791"/>
      <c r="AE213" s="792"/>
    </row>
    <row r="214" spans="5:31" s="134" customFormat="1" ht="3" customHeight="1" x14ac:dyDescent="0.25">
      <c r="E214" s="789"/>
      <c r="F214" s="789"/>
      <c r="G214" s="789"/>
      <c r="H214" s="790"/>
      <c r="AD214" s="791"/>
      <c r="AE214" s="792"/>
    </row>
    <row r="215" spans="5:31" s="134" customFormat="1" ht="3" customHeight="1" x14ac:dyDescent="0.25">
      <c r="E215" s="789"/>
      <c r="F215" s="789"/>
      <c r="G215" s="789"/>
      <c r="H215" s="790"/>
      <c r="AD215" s="791"/>
      <c r="AE215" s="792"/>
    </row>
    <row r="216" spans="5:31" s="134" customFormat="1" ht="3" customHeight="1" x14ac:dyDescent="0.25">
      <c r="E216" s="789"/>
      <c r="F216" s="789"/>
      <c r="G216" s="789"/>
      <c r="H216" s="790"/>
      <c r="AD216" s="791"/>
      <c r="AE216" s="792"/>
    </row>
    <row r="217" spans="5:31" s="134" customFormat="1" ht="3" customHeight="1" x14ac:dyDescent="0.25">
      <c r="E217" s="789"/>
      <c r="F217" s="789"/>
      <c r="G217" s="789"/>
      <c r="H217" s="790"/>
      <c r="AD217" s="791"/>
      <c r="AE217" s="792"/>
    </row>
    <row r="218" spans="5:31" s="134" customFormat="1" ht="3" customHeight="1" x14ac:dyDescent="0.25">
      <c r="E218" s="789"/>
      <c r="F218" s="789"/>
      <c r="G218" s="789"/>
      <c r="H218" s="790"/>
      <c r="AD218" s="791"/>
      <c r="AE218" s="792"/>
    </row>
    <row r="219" spans="5:31" s="134" customFormat="1" ht="3" customHeight="1" x14ac:dyDescent="0.25">
      <c r="E219" s="789"/>
      <c r="F219" s="789"/>
      <c r="G219" s="789"/>
      <c r="H219" s="790"/>
      <c r="AD219" s="791"/>
      <c r="AE219" s="792"/>
    </row>
    <row r="220" spans="5:31" s="134" customFormat="1" ht="3" customHeight="1" x14ac:dyDescent="0.25">
      <c r="E220" s="789"/>
      <c r="F220" s="789"/>
      <c r="G220" s="789"/>
      <c r="H220" s="790"/>
      <c r="AD220" s="791"/>
      <c r="AE220" s="792"/>
    </row>
    <row r="221" spans="5:31" s="134" customFormat="1" ht="3" customHeight="1" x14ac:dyDescent="0.25">
      <c r="E221" s="789"/>
      <c r="F221" s="789"/>
      <c r="G221" s="789"/>
      <c r="H221" s="790"/>
      <c r="AD221" s="791"/>
      <c r="AE221" s="792"/>
    </row>
    <row r="222" spans="5:31" s="134" customFormat="1" ht="3" customHeight="1" x14ac:dyDescent="0.25">
      <c r="E222" s="789"/>
      <c r="F222" s="789"/>
      <c r="G222" s="789"/>
      <c r="H222" s="790"/>
      <c r="AD222" s="791"/>
      <c r="AE222" s="792"/>
    </row>
    <row r="223" spans="5:31" s="134" customFormat="1" ht="3" customHeight="1" x14ac:dyDescent="0.25">
      <c r="E223" s="789"/>
      <c r="F223" s="789"/>
      <c r="G223" s="789"/>
      <c r="H223" s="790"/>
      <c r="AD223" s="791"/>
      <c r="AE223" s="792"/>
    </row>
    <row r="224" spans="5:31" s="134" customFormat="1" ht="3" customHeight="1" x14ac:dyDescent="0.25">
      <c r="E224" s="789"/>
      <c r="F224" s="789"/>
      <c r="G224" s="789"/>
      <c r="H224" s="790"/>
      <c r="AD224" s="791"/>
      <c r="AE224" s="792"/>
    </row>
    <row r="225" spans="5:31" s="134" customFormat="1" ht="3" customHeight="1" x14ac:dyDescent="0.25">
      <c r="E225" s="789"/>
      <c r="F225" s="789"/>
      <c r="G225" s="789"/>
      <c r="H225" s="790"/>
      <c r="AD225" s="791"/>
      <c r="AE225" s="792"/>
    </row>
    <row r="226" spans="5:31" s="134" customFormat="1" ht="3" customHeight="1" x14ac:dyDescent="0.25">
      <c r="E226" s="789"/>
      <c r="F226" s="789"/>
      <c r="G226" s="789"/>
      <c r="H226" s="790"/>
      <c r="AD226" s="791"/>
      <c r="AE226" s="792"/>
    </row>
    <row r="227" spans="5:31" s="134" customFormat="1" ht="3" customHeight="1" x14ac:dyDescent="0.25">
      <c r="E227" s="789"/>
      <c r="F227" s="789"/>
      <c r="G227" s="789"/>
      <c r="H227" s="790"/>
      <c r="AD227" s="791"/>
      <c r="AE227" s="792"/>
    </row>
    <row r="228" spans="5:31" s="134" customFormat="1" ht="3" customHeight="1" x14ac:dyDescent="0.25">
      <c r="E228" s="789"/>
      <c r="F228" s="789"/>
      <c r="G228" s="789"/>
      <c r="H228" s="790"/>
      <c r="AD228" s="791"/>
      <c r="AE228" s="792"/>
    </row>
    <row r="229" spans="5:31" s="134" customFormat="1" ht="3" customHeight="1" x14ac:dyDescent="0.25">
      <c r="E229" s="789"/>
      <c r="F229" s="789"/>
      <c r="G229" s="789"/>
      <c r="H229" s="790"/>
      <c r="AD229" s="791"/>
      <c r="AE229" s="792"/>
    </row>
    <row r="230" spans="5:31" s="134" customFormat="1" ht="3" customHeight="1" x14ac:dyDescent="0.25">
      <c r="E230" s="789"/>
      <c r="F230" s="789"/>
      <c r="G230" s="789"/>
      <c r="H230" s="790"/>
      <c r="AD230" s="791"/>
      <c r="AE230" s="792"/>
    </row>
    <row r="231" spans="5:31" s="134" customFormat="1" ht="3" customHeight="1" x14ac:dyDescent="0.25">
      <c r="E231" s="789"/>
      <c r="F231" s="789"/>
      <c r="G231" s="789"/>
      <c r="H231" s="790"/>
      <c r="AD231" s="791"/>
      <c r="AE231" s="792"/>
    </row>
    <row r="232" spans="5:31" s="134" customFormat="1" ht="3" customHeight="1" x14ac:dyDescent="0.25">
      <c r="E232" s="789"/>
      <c r="F232" s="789"/>
      <c r="G232" s="789"/>
      <c r="H232" s="790"/>
      <c r="AD232" s="791"/>
      <c r="AE232" s="792"/>
    </row>
    <row r="233" spans="5:31" s="134" customFormat="1" ht="3" customHeight="1" x14ac:dyDescent="0.25">
      <c r="E233" s="789"/>
      <c r="F233" s="789"/>
      <c r="G233" s="789"/>
      <c r="H233" s="790"/>
      <c r="AD233" s="791"/>
      <c r="AE233" s="792"/>
    </row>
    <row r="234" spans="5:31" s="134" customFormat="1" ht="3" customHeight="1" x14ac:dyDescent="0.25">
      <c r="E234" s="789"/>
      <c r="F234" s="789"/>
      <c r="G234" s="789"/>
      <c r="H234" s="790"/>
      <c r="AD234" s="791"/>
      <c r="AE234" s="792"/>
    </row>
    <row r="235" spans="5:31" s="134" customFormat="1" ht="3" customHeight="1" x14ac:dyDescent="0.25">
      <c r="E235" s="789"/>
      <c r="F235" s="789"/>
      <c r="G235" s="789"/>
      <c r="H235" s="790"/>
      <c r="AD235" s="791"/>
      <c r="AE235" s="792"/>
    </row>
    <row r="236" spans="5:31" s="134" customFormat="1" ht="3" customHeight="1" x14ac:dyDescent="0.25">
      <c r="E236" s="789"/>
      <c r="F236" s="789"/>
      <c r="G236" s="789"/>
      <c r="H236" s="790"/>
      <c r="AD236" s="791"/>
      <c r="AE236" s="792"/>
    </row>
    <row r="237" spans="5:31" s="134" customFormat="1" ht="3" customHeight="1" x14ac:dyDescent="0.25">
      <c r="E237" s="789"/>
      <c r="F237" s="789"/>
      <c r="G237" s="789"/>
      <c r="H237" s="790"/>
      <c r="AD237" s="791"/>
      <c r="AE237" s="792"/>
    </row>
    <row r="238" spans="5:31" s="134" customFormat="1" ht="3" customHeight="1" x14ac:dyDescent="0.25">
      <c r="E238" s="789"/>
      <c r="F238" s="789"/>
      <c r="G238" s="789"/>
      <c r="H238" s="790"/>
      <c r="AD238" s="791"/>
      <c r="AE238" s="792"/>
    </row>
    <row r="239" spans="5:31" s="134" customFormat="1" ht="3" customHeight="1" x14ac:dyDescent="0.25">
      <c r="E239" s="789"/>
      <c r="F239" s="789"/>
      <c r="G239" s="789"/>
      <c r="H239" s="790"/>
      <c r="AD239" s="791"/>
      <c r="AE239" s="792"/>
    </row>
    <row r="240" spans="5:31" s="134" customFormat="1" ht="3" customHeight="1" x14ac:dyDescent="0.25">
      <c r="E240" s="789"/>
      <c r="F240" s="789"/>
      <c r="G240" s="789"/>
      <c r="H240" s="790"/>
      <c r="AD240" s="791"/>
      <c r="AE240" s="792"/>
    </row>
    <row r="241" spans="5:31" s="134" customFormat="1" ht="3" customHeight="1" x14ac:dyDescent="0.25">
      <c r="E241" s="789"/>
      <c r="F241" s="789"/>
      <c r="G241" s="789"/>
      <c r="H241" s="790"/>
      <c r="AD241" s="791"/>
      <c r="AE241" s="792"/>
    </row>
    <row r="242" spans="5:31" s="134" customFormat="1" ht="3" customHeight="1" x14ac:dyDescent="0.25">
      <c r="E242" s="789"/>
      <c r="F242" s="789"/>
      <c r="G242" s="789"/>
      <c r="H242" s="790"/>
      <c r="AD242" s="791"/>
      <c r="AE242" s="792"/>
    </row>
    <row r="243" spans="5:31" s="134" customFormat="1" ht="3" customHeight="1" x14ac:dyDescent="0.25">
      <c r="E243" s="789"/>
      <c r="F243" s="789"/>
      <c r="G243" s="789"/>
      <c r="H243" s="790"/>
      <c r="AD243" s="791"/>
      <c r="AE243" s="792"/>
    </row>
    <row r="244" spans="5:31" s="134" customFormat="1" ht="3" customHeight="1" x14ac:dyDescent="0.25">
      <c r="E244" s="789"/>
      <c r="F244" s="789"/>
      <c r="G244" s="789"/>
      <c r="H244" s="790"/>
      <c r="AD244" s="791"/>
      <c r="AE244" s="792"/>
    </row>
    <row r="245" spans="5:31" s="134" customFormat="1" ht="3" customHeight="1" x14ac:dyDescent="0.25">
      <c r="E245" s="789"/>
      <c r="F245" s="789"/>
      <c r="G245" s="789"/>
      <c r="H245" s="790"/>
      <c r="AD245" s="791"/>
      <c r="AE245" s="792"/>
    </row>
    <row r="246" spans="5:31" s="134" customFormat="1" ht="3" customHeight="1" x14ac:dyDescent="0.25">
      <c r="E246" s="789"/>
      <c r="F246" s="789"/>
      <c r="G246" s="789"/>
      <c r="H246" s="790"/>
      <c r="AD246" s="791"/>
      <c r="AE246" s="792"/>
    </row>
    <row r="247" spans="5:31" s="134" customFormat="1" ht="3" customHeight="1" x14ac:dyDescent="0.25">
      <c r="E247" s="789"/>
      <c r="F247" s="789"/>
      <c r="G247" s="789"/>
      <c r="H247" s="790"/>
      <c r="AD247" s="791"/>
      <c r="AE247" s="792"/>
    </row>
    <row r="248" spans="5:31" s="134" customFormat="1" ht="3" customHeight="1" x14ac:dyDescent="0.25">
      <c r="E248" s="789"/>
      <c r="F248" s="789"/>
      <c r="G248" s="789"/>
      <c r="H248" s="790"/>
      <c r="AD248" s="791"/>
      <c r="AE248" s="792"/>
    </row>
    <row r="249" spans="5:31" s="134" customFormat="1" ht="3" customHeight="1" x14ac:dyDescent="0.25">
      <c r="E249" s="789"/>
      <c r="F249" s="789"/>
      <c r="G249" s="789"/>
      <c r="H249" s="790"/>
      <c r="AD249" s="791"/>
      <c r="AE249" s="792"/>
    </row>
    <row r="250" spans="5:31" s="134" customFormat="1" ht="3" customHeight="1" x14ac:dyDescent="0.25">
      <c r="E250" s="789"/>
      <c r="F250" s="789"/>
      <c r="G250" s="789"/>
      <c r="H250" s="790"/>
      <c r="AD250" s="791"/>
      <c r="AE250" s="792"/>
    </row>
    <row r="251" spans="5:31" s="134" customFormat="1" ht="3" customHeight="1" x14ac:dyDescent="0.25">
      <c r="E251" s="789"/>
      <c r="F251" s="789"/>
      <c r="G251" s="789"/>
      <c r="H251" s="790"/>
      <c r="AD251" s="791"/>
      <c r="AE251" s="792"/>
    </row>
    <row r="252" spans="5:31" s="134" customFormat="1" ht="3" customHeight="1" x14ac:dyDescent="0.25">
      <c r="E252" s="789"/>
      <c r="F252" s="789"/>
      <c r="G252" s="789"/>
      <c r="H252" s="790"/>
      <c r="AD252" s="791"/>
      <c r="AE252" s="792"/>
    </row>
    <row r="253" spans="5:31" s="134" customFormat="1" ht="3" customHeight="1" x14ac:dyDescent="0.25">
      <c r="E253" s="789"/>
      <c r="F253" s="789"/>
      <c r="G253" s="789"/>
      <c r="H253" s="790"/>
      <c r="AD253" s="791"/>
      <c r="AE253" s="792"/>
    </row>
    <row r="254" spans="5:31" s="134" customFormat="1" ht="3" customHeight="1" x14ac:dyDescent="0.25">
      <c r="E254" s="789"/>
      <c r="F254" s="789"/>
      <c r="G254" s="789"/>
      <c r="H254" s="790"/>
      <c r="AD254" s="791"/>
      <c r="AE254" s="792"/>
    </row>
    <row r="255" spans="5:31" s="134" customFormat="1" ht="3" customHeight="1" x14ac:dyDescent="0.25">
      <c r="E255" s="789"/>
      <c r="F255" s="789"/>
      <c r="G255" s="789"/>
      <c r="H255" s="790"/>
      <c r="AD255" s="791"/>
      <c r="AE255" s="792"/>
    </row>
    <row r="256" spans="5:31" s="134" customFormat="1" ht="3" customHeight="1" x14ac:dyDescent="0.25">
      <c r="E256" s="789"/>
      <c r="F256" s="789"/>
      <c r="G256" s="789"/>
      <c r="H256" s="790"/>
      <c r="AD256" s="791"/>
      <c r="AE256" s="792"/>
    </row>
    <row r="257" spans="5:31" s="134" customFormat="1" ht="3" customHeight="1" x14ac:dyDescent="0.25">
      <c r="E257" s="789"/>
      <c r="F257" s="789"/>
      <c r="G257" s="789"/>
      <c r="H257" s="790"/>
      <c r="AD257" s="791"/>
      <c r="AE257" s="792"/>
    </row>
    <row r="258" spans="5:31" s="134" customFormat="1" ht="3" customHeight="1" x14ac:dyDescent="0.25">
      <c r="E258" s="789"/>
      <c r="F258" s="789"/>
      <c r="G258" s="789"/>
      <c r="H258" s="790"/>
      <c r="AD258" s="791"/>
      <c r="AE258" s="792"/>
    </row>
    <row r="259" spans="5:31" s="134" customFormat="1" ht="3" customHeight="1" x14ac:dyDescent="0.25">
      <c r="E259" s="789"/>
      <c r="F259" s="789"/>
      <c r="G259" s="789"/>
      <c r="H259" s="790"/>
      <c r="AD259" s="791"/>
      <c r="AE259" s="792"/>
    </row>
    <row r="260" spans="5:31" s="134" customFormat="1" ht="3" customHeight="1" x14ac:dyDescent="0.25">
      <c r="E260" s="789"/>
      <c r="F260" s="789"/>
      <c r="G260" s="789"/>
      <c r="H260" s="790"/>
      <c r="AD260" s="791"/>
      <c r="AE260" s="792"/>
    </row>
    <row r="261" spans="5:31" s="134" customFormat="1" ht="3" customHeight="1" x14ac:dyDescent="0.25">
      <c r="E261" s="789"/>
      <c r="F261" s="789"/>
      <c r="G261" s="789"/>
      <c r="H261" s="790"/>
      <c r="AD261" s="791"/>
      <c r="AE261" s="792"/>
    </row>
    <row r="262" spans="5:31" s="134" customFormat="1" ht="3" customHeight="1" x14ac:dyDescent="0.25">
      <c r="E262" s="789"/>
      <c r="F262" s="789"/>
      <c r="G262" s="789"/>
      <c r="H262" s="790"/>
      <c r="AD262" s="791"/>
      <c r="AE262" s="792"/>
    </row>
    <row r="263" spans="5:31" s="134" customFormat="1" ht="3" customHeight="1" x14ac:dyDescent="0.25">
      <c r="E263" s="789"/>
      <c r="F263" s="789"/>
      <c r="G263" s="789"/>
      <c r="H263" s="790"/>
      <c r="AD263" s="791"/>
      <c r="AE263" s="792"/>
    </row>
    <row r="264" spans="5:31" s="134" customFormat="1" ht="3" customHeight="1" x14ac:dyDescent="0.25">
      <c r="E264" s="789"/>
      <c r="F264" s="789"/>
      <c r="G264" s="789"/>
      <c r="H264" s="790"/>
      <c r="AD264" s="791"/>
      <c r="AE264" s="792"/>
    </row>
    <row r="265" spans="5:31" s="134" customFormat="1" ht="3" customHeight="1" x14ac:dyDescent="0.25">
      <c r="E265" s="789"/>
      <c r="F265" s="789"/>
      <c r="G265" s="789"/>
      <c r="H265" s="790"/>
      <c r="AD265" s="791"/>
      <c r="AE265" s="792"/>
    </row>
    <row r="266" spans="5:31" s="134" customFormat="1" ht="3" customHeight="1" x14ac:dyDescent="0.25">
      <c r="E266" s="789"/>
      <c r="F266" s="789"/>
      <c r="G266" s="789"/>
      <c r="H266" s="790"/>
      <c r="AD266" s="791"/>
      <c r="AE266" s="792"/>
    </row>
    <row r="267" spans="5:31" s="134" customFormat="1" ht="3" customHeight="1" x14ac:dyDescent="0.25">
      <c r="E267" s="789"/>
      <c r="F267" s="789"/>
      <c r="G267" s="789"/>
      <c r="H267" s="790"/>
      <c r="AD267" s="791"/>
      <c r="AE267" s="792"/>
    </row>
    <row r="268" spans="5:31" s="134" customFormat="1" ht="3" customHeight="1" x14ac:dyDescent="0.25">
      <c r="E268" s="789"/>
      <c r="F268" s="789"/>
      <c r="G268" s="789"/>
      <c r="H268" s="790"/>
      <c r="AD268" s="791"/>
      <c r="AE268" s="792"/>
    </row>
    <row r="269" spans="5:31" s="134" customFormat="1" ht="3" customHeight="1" x14ac:dyDescent="0.25">
      <c r="E269" s="789"/>
      <c r="F269" s="789"/>
      <c r="G269" s="789"/>
      <c r="H269" s="790"/>
      <c r="AD269" s="791"/>
      <c r="AE269" s="792"/>
    </row>
    <row r="270" spans="5:31" s="134" customFormat="1" ht="3" customHeight="1" x14ac:dyDescent="0.25">
      <c r="E270" s="789"/>
      <c r="F270" s="789"/>
      <c r="G270" s="789"/>
      <c r="H270" s="790"/>
      <c r="AD270" s="791"/>
      <c r="AE270" s="792"/>
    </row>
    <row r="271" spans="5:31" s="134" customFormat="1" ht="3" customHeight="1" x14ac:dyDescent="0.25">
      <c r="E271" s="789"/>
      <c r="F271" s="789"/>
      <c r="G271" s="789"/>
      <c r="H271" s="790"/>
      <c r="AD271" s="791"/>
      <c r="AE271" s="792"/>
    </row>
    <row r="272" spans="5:31" s="134" customFormat="1" ht="3" customHeight="1" x14ac:dyDescent="0.25">
      <c r="E272" s="789"/>
      <c r="F272" s="789"/>
      <c r="G272" s="789"/>
      <c r="H272" s="790"/>
      <c r="AD272" s="791"/>
      <c r="AE272" s="792"/>
    </row>
    <row r="273" spans="5:31" s="134" customFormat="1" ht="3" customHeight="1" x14ac:dyDescent="0.25">
      <c r="E273" s="789"/>
      <c r="F273" s="789"/>
      <c r="G273" s="789"/>
      <c r="H273" s="790"/>
      <c r="AD273" s="791"/>
      <c r="AE273" s="792"/>
    </row>
    <row r="274" spans="5:31" s="134" customFormat="1" ht="3" customHeight="1" x14ac:dyDescent="0.25">
      <c r="E274" s="789"/>
      <c r="F274" s="789"/>
      <c r="G274" s="789"/>
      <c r="H274" s="790"/>
      <c r="AD274" s="791"/>
      <c r="AE274" s="792"/>
    </row>
    <row r="275" spans="5:31" s="134" customFormat="1" ht="3" customHeight="1" x14ac:dyDescent="0.25">
      <c r="E275" s="789"/>
      <c r="F275" s="789"/>
      <c r="G275" s="789"/>
      <c r="H275" s="790"/>
      <c r="AD275" s="791"/>
      <c r="AE275" s="792"/>
    </row>
    <row r="276" spans="5:31" s="134" customFormat="1" ht="3" customHeight="1" x14ac:dyDescent="0.25">
      <c r="E276" s="789"/>
      <c r="F276" s="789"/>
      <c r="G276" s="789"/>
      <c r="H276" s="790"/>
      <c r="AD276" s="791"/>
      <c r="AE276" s="792"/>
    </row>
    <row r="277" spans="5:31" s="134" customFormat="1" ht="3" customHeight="1" x14ac:dyDescent="0.25">
      <c r="E277" s="789"/>
      <c r="F277" s="789"/>
      <c r="G277" s="789"/>
      <c r="H277" s="790"/>
      <c r="AD277" s="791"/>
      <c r="AE277" s="792"/>
    </row>
    <row r="278" spans="5:31" s="134" customFormat="1" ht="3" customHeight="1" x14ac:dyDescent="0.25">
      <c r="E278" s="789"/>
      <c r="F278" s="789"/>
      <c r="G278" s="789"/>
      <c r="H278" s="790"/>
      <c r="AD278" s="791"/>
      <c r="AE278" s="792"/>
    </row>
    <row r="279" spans="5:31" s="134" customFormat="1" ht="3" customHeight="1" x14ac:dyDescent="0.25">
      <c r="E279" s="789"/>
      <c r="F279" s="789"/>
      <c r="G279" s="789"/>
      <c r="H279" s="790"/>
      <c r="AD279" s="791"/>
      <c r="AE279" s="792"/>
    </row>
    <row r="280" spans="5:31" s="134" customFormat="1" ht="3" customHeight="1" x14ac:dyDescent="0.25">
      <c r="E280" s="789"/>
      <c r="F280" s="789"/>
      <c r="G280" s="789"/>
      <c r="H280" s="790"/>
      <c r="AD280" s="791"/>
      <c r="AE280" s="792"/>
    </row>
    <row r="281" spans="5:31" s="134" customFormat="1" ht="3" customHeight="1" x14ac:dyDescent="0.25">
      <c r="E281" s="789"/>
      <c r="F281" s="789"/>
      <c r="G281" s="789"/>
      <c r="H281" s="790"/>
      <c r="AD281" s="791"/>
      <c r="AE281" s="792"/>
    </row>
    <row r="282" spans="5:31" s="134" customFormat="1" ht="3" customHeight="1" x14ac:dyDescent="0.25">
      <c r="E282" s="789"/>
      <c r="F282" s="789"/>
      <c r="G282" s="789"/>
      <c r="H282" s="790"/>
      <c r="AD282" s="791"/>
      <c r="AE282" s="792"/>
    </row>
    <row r="283" spans="5:31" s="134" customFormat="1" ht="3" customHeight="1" x14ac:dyDescent="0.25">
      <c r="E283" s="789"/>
      <c r="F283" s="789"/>
      <c r="G283" s="789"/>
      <c r="H283" s="790"/>
      <c r="AD283" s="791"/>
      <c r="AE283" s="792"/>
    </row>
    <row r="284" spans="5:31" s="134" customFormat="1" ht="3" customHeight="1" x14ac:dyDescent="0.25">
      <c r="E284" s="789"/>
      <c r="F284" s="789"/>
      <c r="G284" s="789"/>
      <c r="H284" s="790"/>
      <c r="AD284" s="791"/>
      <c r="AE284" s="792"/>
    </row>
    <row r="285" spans="5:31" s="134" customFormat="1" ht="3" customHeight="1" x14ac:dyDescent="0.25">
      <c r="E285" s="789"/>
      <c r="F285" s="789"/>
      <c r="G285" s="789"/>
      <c r="H285" s="790"/>
      <c r="AD285" s="791"/>
      <c r="AE285" s="792"/>
    </row>
    <row r="286" spans="5:31" s="134" customFormat="1" ht="3" customHeight="1" x14ac:dyDescent="0.25">
      <c r="E286" s="789"/>
      <c r="F286" s="789"/>
      <c r="G286" s="789"/>
      <c r="H286" s="790"/>
      <c r="AD286" s="791"/>
      <c r="AE286" s="792"/>
    </row>
    <row r="287" spans="5:31" s="134" customFormat="1" ht="3" customHeight="1" x14ac:dyDescent="0.25">
      <c r="E287" s="789"/>
      <c r="F287" s="789"/>
      <c r="G287" s="789"/>
      <c r="H287" s="790"/>
      <c r="AD287" s="791"/>
      <c r="AE287" s="792"/>
    </row>
    <row r="288" spans="5:31" s="134" customFormat="1" ht="3" customHeight="1" x14ac:dyDescent="0.25">
      <c r="E288" s="789"/>
      <c r="F288" s="789"/>
      <c r="G288" s="789"/>
      <c r="H288" s="790"/>
      <c r="AD288" s="791"/>
      <c r="AE288" s="792"/>
    </row>
    <row r="289" spans="5:31" s="134" customFormat="1" ht="3" customHeight="1" x14ac:dyDescent="0.25">
      <c r="E289" s="789"/>
      <c r="F289" s="789"/>
      <c r="G289" s="789"/>
      <c r="H289" s="790"/>
      <c r="AD289" s="791"/>
      <c r="AE289" s="792"/>
    </row>
    <row r="290" spans="5:31" s="134" customFormat="1" ht="3" customHeight="1" x14ac:dyDescent="0.25">
      <c r="E290" s="789"/>
      <c r="F290" s="789"/>
      <c r="G290" s="789"/>
      <c r="H290" s="790"/>
      <c r="AD290" s="791"/>
      <c r="AE290" s="792"/>
    </row>
    <row r="291" spans="5:31" s="134" customFormat="1" ht="3" customHeight="1" x14ac:dyDescent="0.25">
      <c r="E291" s="789"/>
      <c r="F291" s="789"/>
      <c r="G291" s="789"/>
      <c r="H291" s="790"/>
      <c r="AD291" s="791"/>
      <c r="AE291" s="792"/>
    </row>
    <row r="292" spans="5:31" s="134" customFormat="1" ht="3" customHeight="1" x14ac:dyDescent="0.25">
      <c r="E292" s="789"/>
      <c r="F292" s="789"/>
      <c r="G292" s="789"/>
      <c r="H292" s="790"/>
      <c r="AD292" s="791"/>
      <c r="AE292" s="792"/>
    </row>
    <row r="293" spans="5:31" s="134" customFormat="1" ht="3" customHeight="1" x14ac:dyDescent="0.25">
      <c r="E293" s="789"/>
      <c r="F293" s="789"/>
      <c r="G293" s="789"/>
      <c r="H293" s="790"/>
      <c r="AD293" s="791"/>
      <c r="AE293" s="792"/>
    </row>
    <row r="294" spans="5:31" s="134" customFormat="1" ht="3" customHeight="1" x14ac:dyDescent="0.25">
      <c r="E294" s="789"/>
      <c r="F294" s="789"/>
      <c r="G294" s="789"/>
      <c r="H294" s="790"/>
      <c r="AD294" s="791"/>
      <c r="AE294" s="792"/>
    </row>
    <row r="295" spans="5:31" s="134" customFormat="1" ht="3" customHeight="1" x14ac:dyDescent="0.25">
      <c r="E295" s="789"/>
      <c r="F295" s="789"/>
      <c r="G295" s="789"/>
      <c r="H295" s="790"/>
      <c r="AD295" s="791"/>
      <c r="AE295" s="792"/>
    </row>
    <row r="296" spans="5:31" s="134" customFormat="1" ht="3" customHeight="1" x14ac:dyDescent="0.25">
      <c r="E296" s="789"/>
      <c r="F296" s="789"/>
      <c r="G296" s="789"/>
      <c r="H296" s="790"/>
      <c r="AD296" s="791"/>
      <c r="AE296" s="792"/>
    </row>
    <row r="297" spans="5:31" s="134" customFormat="1" ht="3" customHeight="1" x14ac:dyDescent="0.25">
      <c r="E297" s="789"/>
      <c r="F297" s="789"/>
      <c r="G297" s="789"/>
      <c r="H297" s="790"/>
      <c r="AD297" s="791"/>
      <c r="AE297" s="792"/>
    </row>
    <row r="298" spans="5:31" s="134" customFormat="1" ht="3" customHeight="1" x14ac:dyDescent="0.25">
      <c r="E298" s="789"/>
      <c r="F298" s="789"/>
      <c r="G298" s="789"/>
      <c r="H298" s="790"/>
      <c r="AD298" s="791"/>
      <c r="AE298" s="792"/>
    </row>
    <row r="299" spans="5:31" s="134" customFormat="1" ht="3" customHeight="1" x14ac:dyDescent="0.25">
      <c r="E299" s="789"/>
      <c r="F299" s="789"/>
      <c r="G299" s="789"/>
      <c r="H299" s="790"/>
      <c r="AD299" s="791"/>
      <c r="AE299" s="792"/>
    </row>
    <row r="300" spans="5:31" s="134" customFormat="1" ht="3" customHeight="1" x14ac:dyDescent="0.25">
      <c r="E300" s="789"/>
      <c r="F300" s="789"/>
      <c r="G300" s="789"/>
      <c r="H300" s="790"/>
      <c r="AD300" s="791"/>
      <c r="AE300" s="792"/>
    </row>
    <row r="301" spans="5:31" s="134" customFormat="1" ht="3" customHeight="1" x14ac:dyDescent="0.25">
      <c r="E301" s="789"/>
      <c r="F301" s="789"/>
      <c r="G301" s="789"/>
      <c r="H301" s="790"/>
      <c r="AD301" s="791"/>
      <c r="AE301" s="792"/>
    </row>
    <row r="302" spans="5:31" s="134" customFormat="1" ht="3" customHeight="1" x14ac:dyDescent="0.25">
      <c r="E302" s="789"/>
      <c r="F302" s="789"/>
      <c r="G302" s="789"/>
      <c r="H302" s="790"/>
      <c r="AD302" s="791"/>
      <c r="AE302" s="792"/>
    </row>
    <row r="303" spans="5:31" s="134" customFormat="1" ht="3" customHeight="1" x14ac:dyDescent="0.25">
      <c r="E303" s="789"/>
      <c r="F303" s="789"/>
      <c r="G303" s="789"/>
      <c r="H303" s="790"/>
      <c r="AD303" s="791"/>
      <c r="AE303" s="792"/>
    </row>
    <row r="304" spans="5:31" s="134" customFormat="1" ht="3" customHeight="1" x14ac:dyDescent="0.25">
      <c r="E304" s="789"/>
      <c r="F304" s="789"/>
      <c r="G304" s="789"/>
      <c r="H304" s="790"/>
      <c r="AD304" s="791"/>
      <c r="AE304" s="792"/>
    </row>
    <row r="305" spans="5:31" s="134" customFormat="1" ht="3" customHeight="1" x14ac:dyDescent="0.25">
      <c r="E305" s="789"/>
      <c r="F305" s="789"/>
      <c r="G305" s="789"/>
      <c r="H305" s="790"/>
      <c r="AD305" s="791"/>
      <c r="AE305" s="792"/>
    </row>
    <row r="306" spans="5:31" s="134" customFormat="1" ht="3" customHeight="1" x14ac:dyDescent="0.25">
      <c r="E306" s="789"/>
      <c r="F306" s="789"/>
      <c r="G306" s="789"/>
      <c r="H306" s="790"/>
      <c r="AD306" s="791"/>
      <c r="AE306" s="792"/>
    </row>
    <row r="307" spans="5:31" s="134" customFormat="1" ht="3" customHeight="1" x14ac:dyDescent="0.25">
      <c r="E307" s="789"/>
      <c r="F307" s="789"/>
      <c r="G307" s="789"/>
      <c r="H307" s="790"/>
      <c r="AD307" s="791"/>
      <c r="AE307" s="792"/>
    </row>
    <row r="308" spans="5:31" s="134" customFormat="1" ht="3" customHeight="1" x14ac:dyDescent="0.25">
      <c r="E308" s="789"/>
      <c r="F308" s="789"/>
      <c r="G308" s="789"/>
      <c r="H308" s="790"/>
      <c r="AD308" s="791"/>
      <c r="AE308" s="792"/>
    </row>
    <row r="309" spans="5:31" s="134" customFormat="1" ht="12.75" customHeight="1" x14ac:dyDescent="0.25">
      <c r="E309" s="789"/>
      <c r="F309" s="789"/>
      <c r="G309" s="789"/>
      <c r="H309" s="790"/>
      <c r="AD309" s="791"/>
      <c r="AE309" s="792"/>
    </row>
    <row r="310" spans="5:31" s="134" customFormat="1" ht="12.75" customHeight="1" x14ac:dyDescent="0.25">
      <c r="E310" s="789"/>
      <c r="F310" s="789"/>
      <c r="G310" s="789"/>
      <c r="H310" s="790"/>
      <c r="AD310" s="791"/>
      <c r="AE310" s="792"/>
    </row>
    <row r="311" spans="5:31" s="134" customFormat="1" ht="12.75" customHeight="1" x14ac:dyDescent="0.25">
      <c r="E311" s="789"/>
      <c r="F311" s="789"/>
      <c r="G311" s="789"/>
      <c r="H311" s="790"/>
      <c r="AD311" s="791"/>
      <c r="AE311" s="792"/>
    </row>
    <row r="312" spans="5:31" s="134" customFormat="1" ht="12.75" customHeight="1" x14ac:dyDescent="0.25">
      <c r="E312" s="789"/>
      <c r="F312" s="789"/>
      <c r="G312" s="789"/>
      <c r="H312" s="790"/>
      <c r="AD312" s="791"/>
      <c r="AE312" s="792"/>
    </row>
    <row r="313" spans="5:31" s="134" customFormat="1" ht="12.75" customHeight="1" x14ac:dyDescent="0.25">
      <c r="E313" s="789"/>
      <c r="F313" s="789"/>
      <c r="G313" s="789"/>
      <c r="H313" s="790"/>
      <c r="AD313" s="791"/>
      <c r="AE313" s="792"/>
    </row>
    <row r="314" spans="5:31" s="134" customFormat="1" ht="12.75" customHeight="1" x14ac:dyDescent="0.25">
      <c r="E314" s="789"/>
      <c r="F314" s="789"/>
      <c r="G314" s="789"/>
      <c r="H314" s="790"/>
      <c r="AD314" s="791"/>
      <c r="AE314" s="792"/>
    </row>
    <row r="315" spans="5:31" s="134" customFormat="1" ht="12.75" customHeight="1" x14ac:dyDescent="0.25">
      <c r="E315" s="789"/>
      <c r="F315" s="789"/>
      <c r="G315" s="789"/>
      <c r="H315" s="790"/>
      <c r="AD315" s="791"/>
      <c r="AE315" s="792"/>
    </row>
    <row r="316" spans="5:31" s="134" customFormat="1" ht="12.75" customHeight="1" x14ac:dyDescent="0.25">
      <c r="E316" s="789"/>
      <c r="F316" s="789"/>
      <c r="G316" s="789"/>
      <c r="H316" s="790"/>
      <c r="AD316" s="791"/>
      <c r="AE316" s="792"/>
    </row>
    <row r="317" spans="5:31" s="134" customFormat="1" ht="12.75" customHeight="1" x14ac:dyDescent="0.25">
      <c r="E317" s="789"/>
      <c r="F317" s="789"/>
      <c r="G317" s="789"/>
      <c r="H317" s="790"/>
      <c r="AD317" s="791"/>
      <c r="AE317" s="792"/>
    </row>
    <row r="318" spans="5:31" s="134" customFormat="1" ht="12.75" customHeight="1" x14ac:dyDescent="0.25">
      <c r="E318" s="789"/>
      <c r="F318" s="789"/>
      <c r="G318" s="789"/>
      <c r="H318" s="790"/>
      <c r="AD318" s="791"/>
      <c r="AE318" s="792"/>
    </row>
    <row r="319" spans="5:31" s="134" customFormat="1" ht="12.75" customHeight="1" x14ac:dyDescent="0.25">
      <c r="E319" s="789"/>
      <c r="F319" s="789"/>
      <c r="G319" s="789"/>
      <c r="H319" s="790"/>
      <c r="AD319" s="791"/>
      <c r="AE319" s="792"/>
    </row>
    <row r="320" spans="5:31" s="134" customFormat="1" ht="12.75" customHeight="1" x14ac:dyDescent="0.25">
      <c r="E320" s="789"/>
      <c r="F320" s="789"/>
      <c r="G320" s="789"/>
      <c r="H320" s="790"/>
      <c r="AD320" s="791"/>
      <c r="AE320" s="792"/>
    </row>
    <row r="321" spans="5:31" s="134" customFormat="1" ht="12.75" customHeight="1" x14ac:dyDescent="0.25">
      <c r="E321" s="789"/>
      <c r="F321" s="789"/>
      <c r="G321" s="789"/>
      <c r="H321" s="790"/>
      <c r="AD321" s="791"/>
      <c r="AE321" s="792"/>
    </row>
    <row r="322" spans="5:31" s="134" customFormat="1" ht="12.75" customHeight="1" x14ac:dyDescent="0.25">
      <c r="E322" s="789"/>
      <c r="F322" s="789"/>
      <c r="G322" s="789"/>
      <c r="H322" s="790"/>
      <c r="AD322" s="791"/>
      <c r="AE322" s="792"/>
    </row>
    <row r="323" spans="5:31" s="134" customFormat="1" ht="12.75" customHeight="1" x14ac:dyDescent="0.25">
      <c r="E323" s="789"/>
      <c r="F323" s="789"/>
      <c r="G323" s="789"/>
      <c r="H323" s="790"/>
      <c r="AD323" s="791"/>
      <c r="AE323" s="792"/>
    </row>
    <row r="324" spans="5:31" s="134" customFormat="1" ht="12.75" customHeight="1" x14ac:dyDescent="0.25">
      <c r="E324" s="789"/>
      <c r="F324" s="789"/>
      <c r="G324" s="789"/>
      <c r="H324" s="790"/>
      <c r="AD324" s="791"/>
      <c r="AE324" s="792"/>
    </row>
    <row r="325" spans="5:31" s="134" customFormat="1" ht="12.75" customHeight="1" x14ac:dyDescent="0.25">
      <c r="E325" s="789"/>
      <c r="F325" s="789"/>
      <c r="G325" s="789"/>
      <c r="H325" s="790"/>
      <c r="AD325" s="791"/>
      <c r="AE325" s="792"/>
    </row>
    <row r="326" spans="5:31" s="134" customFormat="1" ht="12.75" customHeight="1" x14ac:dyDescent="0.25">
      <c r="E326" s="789"/>
      <c r="F326" s="789"/>
      <c r="G326" s="789"/>
      <c r="H326" s="790"/>
      <c r="AD326" s="791"/>
      <c r="AE326" s="792"/>
    </row>
    <row r="327" spans="5:31" s="134" customFormat="1" ht="12.75" customHeight="1" x14ac:dyDescent="0.25">
      <c r="E327" s="789"/>
      <c r="F327" s="789"/>
      <c r="G327" s="789"/>
      <c r="H327" s="790"/>
      <c r="AD327" s="791"/>
      <c r="AE327" s="792"/>
    </row>
    <row r="328" spans="5:31" s="134" customFormat="1" ht="12.75" customHeight="1" x14ac:dyDescent="0.25">
      <c r="E328" s="789"/>
      <c r="F328" s="789"/>
      <c r="G328" s="789"/>
      <c r="H328" s="790"/>
      <c r="AD328" s="791"/>
      <c r="AE328" s="792"/>
    </row>
    <row r="329" spans="5:31" s="134" customFormat="1" ht="12.75" customHeight="1" x14ac:dyDescent="0.25">
      <c r="E329" s="789"/>
      <c r="F329" s="789"/>
      <c r="G329" s="789"/>
      <c r="H329" s="790"/>
      <c r="AD329" s="791"/>
      <c r="AE329" s="792"/>
    </row>
    <row r="330" spans="5:31" s="134" customFormat="1" ht="12.75" customHeight="1" x14ac:dyDescent="0.25">
      <c r="E330" s="789"/>
      <c r="F330" s="789"/>
      <c r="G330" s="789"/>
      <c r="H330" s="790"/>
      <c r="AD330" s="791"/>
      <c r="AE330" s="792"/>
    </row>
    <row r="331" spans="5:31" s="134" customFormat="1" ht="12.75" customHeight="1" x14ac:dyDescent="0.25">
      <c r="E331" s="789"/>
      <c r="F331" s="789"/>
      <c r="G331" s="789"/>
      <c r="H331" s="790"/>
      <c r="AD331" s="791"/>
      <c r="AE331" s="792"/>
    </row>
    <row r="332" spans="5:31" s="134" customFormat="1" ht="12.75" customHeight="1" x14ac:dyDescent="0.25">
      <c r="E332" s="789"/>
      <c r="F332" s="789"/>
      <c r="G332" s="789"/>
      <c r="H332" s="790"/>
      <c r="AD332" s="791"/>
      <c r="AE332" s="792"/>
    </row>
    <row r="333" spans="5:31" s="134" customFormat="1" ht="12.75" customHeight="1" x14ac:dyDescent="0.25">
      <c r="E333" s="789"/>
      <c r="F333" s="789"/>
      <c r="G333" s="789"/>
      <c r="H333" s="790"/>
      <c r="AD333" s="791"/>
      <c r="AE333" s="792"/>
    </row>
    <row r="334" spans="5:31" s="134" customFormat="1" ht="12.75" customHeight="1" x14ac:dyDescent="0.25">
      <c r="E334" s="789"/>
      <c r="F334" s="789"/>
      <c r="G334" s="789"/>
      <c r="H334" s="790"/>
      <c r="AD334" s="791"/>
      <c r="AE334" s="792"/>
    </row>
    <row r="335" spans="5:31" s="134" customFormat="1" ht="12.75" customHeight="1" x14ac:dyDescent="0.25">
      <c r="E335" s="789"/>
      <c r="F335" s="789"/>
      <c r="G335" s="789"/>
      <c r="H335" s="790"/>
      <c r="AD335" s="791"/>
      <c r="AE335" s="792"/>
    </row>
    <row r="336" spans="5:31" s="134" customFormat="1" ht="12.75" customHeight="1" x14ac:dyDescent="0.25">
      <c r="E336" s="789"/>
      <c r="F336" s="789"/>
      <c r="G336" s="789"/>
      <c r="H336" s="790"/>
      <c r="AD336" s="791"/>
      <c r="AE336" s="792"/>
    </row>
    <row r="337" spans="5:31" s="134" customFormat="1" ht="12.75" customHeight="1" x14ac:dyDescent="0.25">
      <c r="E337" s="789"/>
      <c r="F337" s="789"/>
      <c r="G337" s="789"/>
      <c r="H337" s="790"/>
      <c r="AD337" s="791"/>
      <c r="AE337" s="792"/>
    </row>
    <row r="338" spans="5:31" s="134" customFormat="1" ht="12.75" customHeight="1" x14ac:dyDescent="0.25">
      <c r="E338" s="789"/>
      <c r="F338" s="789"/>
      <c r="G338" s="789"/>
      <c r="H338" s="790"/>
      <c r="AD338" s="791"/>
      <c r="AE338" s="792"/>
    </row>
    <row r="339" spans="5:31" s="134" customFormat="1" ht="12.75" customHeight="1" x14ac:dyDescent="0.25">
      <c r="E339" s="789"/>
      <c r="F339" s="789"/>
      <c r="G339" s="789"/>
      <c r="H339" s="790"/>
      <c r="AD339" s="791"/>
      <c r="AE339" s="792"/>
    </row>
    <row r="340" spans="5:31" s="134" customFormat="1" ht="12.75" customHeight="1" x14ac:dyDescent="0.25">
      <c r="E340" s="789"/>
      <c r="F340" s="789"/>
      <c r="G340" s="789"/>
      <c r="H340" s="790"/>
      <c r="AD340" s="791"/>
      <c r="AE340" s="792"/>
    </row>
    <row r="341" spans="5:31" s="134" customFormat="1" ht="12.75" customHeight="1" x14ac:dyDescent="0.25">
      <c r="E341" s="789"/>
      <c r="F341" s="789"/>
      <c r="G341" s="789"/>
      <c r="H341" s="790"/>
      <c r="AD341" s="791"/>
      <c r="AE341" s="792"/>
    </row>
    <row r="342" spans="5:31" s="134" customFormat="1" ht="12.75" customHeight="1" x14ac:dyDescent="0.25">
      <c r="E342" s="789"/>
      <c r="F342" s="789"/>
      <c r="G342" s="789"/>
      <c r="H342" s="790"/>
      <c r="AD342" s="791"/>
      <c r="AE342" s="792"/>
    </row>
    <row r="343" spans="5:31" s="134" customFormat="1" ht="12.75" customHeight="1" x14ac:dyDescent="0.25">
      <c r="E343" s="789"/>
      <c r="F343" s="789"/>
      <c r="G343" s="789"/>
      <c r="H343" s="790"/>
      <c r="AD343" s="791"/>
      <c r="AE343" s="792"/>
    </row>
    <row r="344" spans="5:31" s="134" customFormat="1" ht="12.75" customHeight="1" x14ac:dyDescent="0.25">
      <c r="E344" s="789"/>
      <c r="F344" s="789"/>
      <c r="G344" s="789"/>
      <c r="H344" s="790"/>
      <c r="AD344" s="791"/>
      <c r="AE344" s="792"/>
    </row>
    <row r="345" spans="5:31" s="134" customFormat="1" ht="12.75" customHeight="1" x14ac:dyDescent="0.25">
      <c r="E345" s="789"/>
      <c r="F345" s="789"/>
      <c r="G345" s="789"/>
      <c r="H345" s="790"/>
      <c r="AD345" s="791"/>
      <c r="AE345" s="792"/>
    </row>
    <row r="346" spans="5:31" s="134" customFormat="1" ht="12.75" customHeight="1" x14ac:dyDescent="0.25">
      <c r="E346" s="789"/>
      <c r="F346" s="789"/>
      <c r="G346" s="789"/>
      <c r="H346" s="790"/>
      <c r="AD346" s="791"/>
      <c r="AE346" s="792"/>
    </row>
    <row r="347" spans="5:31" s="134" customFormat="1" ht="12.75" customHeight="1" x14ac:dyDescent="0.25">
      <c r="E347" s="789"/>
      <c r="F347" s="789"/>
      <c r="G347" s="789"/>
      <c r="H347" s="790"/>
      <c r="AD347" s="791"/>
      <c r="AE347" s="792"/>
    </row>
    <row r="348" spans="5:31" s="134" customFormat="1" ht="12.75" customHeight="1" x14ac:dyDescent="0.25">
      <c r="E348" s="789"/>
      <c r="F348" s="789"/>
      <c r="G348" s="789"/>
      <c r="H348" s="790"/>
      <c r="AD348" s="791"/>
      <c r="AE348" s="792"/>
    </row>
    <row r="349" spans="5:31" s="134" customFormat="1" ht="12.75" customHeight="1" x14ac:dyDescent="0.25">
      <c r="E349" s="789"/>
      <c r="F349" s="789"/>
      <c r="G349" s="789"/>
      <c r="H349" s="790"/>
      <c r="AD349" s="791"/>
      <c r="AE349" s="792"/>
    </row>
    <row r="350" spans="5:31" s="134" customFormat="1" ht="12.75" customHeight="1" x14ac:dyDescent="0.25">
      <c r="E350" s="789"/>
      <c r="F350" s="789"/>
      <c r="G350" s="789"/>
      <c r="H350" s="790"/>
      <c r="AD350" s="791"/>
      <c r="AE350" s="792"/>
    </row>
    <row r="351" spans="5:31" s="134" customFormat="1" ht="12.75" customHeight="1" x14ac:dyDescent="0.25">
      <c r="E351" s="789"/>
      <c r="F351" s="789"/>
      <c r="G351" s="789"/>
      <c r="H351" s="790"/>
      <c r="AD351" s="791"/>
      <c r="AE351" s="792"/>
    </row>
    <row r="352" spans="5:31" s="134" customFormat="1" ht="12.75" customHeight="1" x14ac:dyDescent="0.25">
      <c r="E352" s="789"/>
      <c r="F352" s="789"/>
      <c r="G352" s="789"/>
      <c r="H352" s="790"/>
      <c r="AD352" s="791"/>
      <c r="AE352" s="792"/>
    </row>
    <row r="353" spans="5:31" s="134" customFormat="1" ht="12.75" customHeight="1" x14ac:dyDescent="0.25">
      <c r="E353" s="789"/>
      <c r="F353" s="789"/>
      <c r="G353" s="789"/>
      <c r="H353" s="790"/>
      <c r="AD353" s="791"/>
      <c r="AE353" s="792"/>
    </row>
    <row r="354" spans="5:31" s="134" customFormat="1" ht="12.75" customHeight="1" x14ac:dyDescent="0.25">
      <c r="E354" s="789"/>
      <c r="F354" s="789"/>
      <c r="G354" s="789"/>
      <c r="H354" s="790"/>
      <c r="AD354" s="791"/>
      <c r="AE354" s="792"/>
    </row>
    <row r="355" spans="5:31" s="134" customFormat="1" ht="12.75" customHeight="1" x14ac:dyDescent="0.25">
      <c r="E355" s="789"/>
      <c r="F355" s="789"/>
      <c r="G355" s="789"/>
      <c r="H355" s="790"/>
      <c r="AD355" s="791"/>
      <c r="AE355" s="792"/>
    </row>
    <row r="356" spans="5:31" s="134" customFormat="1" ht="12.75" customHeight="1" x14ac:dyDescent="0.25">
      <c r="E356" s="789"/>
      <c r="F356" s="789"/>
      <c r="G356" s="789"/>
      <c r="H356" s="790"/>
      <c r="AD356" s="791"/>
      <c r="AE356" s="792"/>
    </row>
    <row r="357" spans="5:31" s="134" customFormat="1" ht="12.75" customHeight="1" x14ac:dyDescent="0.25">
      <c r="E357" s="789"/>
      <c r="F357" s="789"/>
      <c r="G357" s="789"/>
      <c r="H357" s="790"/>
      <c r="AD357" s="791"/>
      <c r="AE357" s="792"/>
    </row>
    <row r="358" spans="5:31" s="134" customFormat="1" ht="12.75" customHeight="1" x14ac:dyDescent="0.25">
      <c r="E358" s="789"/>
      <c r="F358" s="789"/>
      <c r="G358" s="789"/>
      <c r="H358" s="790"/>
      <c r="AD358" s="791"/>
      <c r="AE358" s="792"/>
    </row>
    <row r="359" spans="5:31" s="134" customFormat="1" ht="12.75" customHeight="1" x14ac:dyDescent="0.25">
      <c r="E359" s="789"/>
      <c r="F359" s="789"/>
      <c r="G359" s="789"/>
      <c r="H359" s="790"/>
      <c r="AD359" s="791"/>
      <c r="AE359" s="792"/>
    </row>
    <row r="360" spans="5:31" s="134" customFormat="1" ht="12.75" customHeight="1" x14ac:dyDescent="0.25">
      <c r="E360" s="789"/>
      <c r="F360" s="789"/>
      <c r="G360" s="789"/>
      <c r="H360" s="790"/>
      <c r="AD360" s="791"/>
      <c r="AE360" s="792"/>
    </row>
    <row r="361" spans="5:31" s="134" customFormat="1" ht="12.75" customHeight="1" x14ac:dyDescent="0.25">
      <c r="E361" s="789"/>
      <c r="F361" s="789"/>
      <c r="G361" s="789"/>
      <c r="H361" s="790"/>
      <c r="AD361" s="791"/>
      <c r="AE361" s="792"/>
    </row>
    <row r="362" spans="5:31" s="134" customFormat="1" ht="12.75" customHeight="1" x14ac:dyDescent="0.25">
      <c r="E362" s="789"/>
      <c r="F362" s="789"/>
      <c r="G362" s="789"/>
      <c r="H362" s="790"/>
      <c r="AD362" s="791"/>
      <c r="AE362" s="792"/>
    </row>
    <row r="363" spans="5:31" s="134" customFormat="1" ht="12.75" customHeight="1" x14ac:dyDescent="0.25">
      <c r="E363" s="789"/>
      <c r="F363" s="789"/>
      <c r="G363" s="789"/>
      <c r="H363" s="790"/>
      <c r="AD363" s="791"/>
      <c r="AE363" s="792"/>
    </row>
    <row r="364" spans="5:31" s="134" customFormat="1" ht="12.75" customHeight="1" x14ac:dyDescent="0.25">
      <c r="E364" s="789"/>
      <c r="F364" s="789"/>
      <c r="G364" s="789"/>
      <c r="H364" s="790"/>
      <c r="AD364" s="791"/>
      <c r="AE364" s="792"/>
    </row>
    <row r="365" spans="5:31" ht="12.75" customHeight="1" x14ac:dyDescent="0.25">
      <c r="E365" s="793"/>
      <c r="F365" s="793"/>
      <c r="G365" s="793"/>
      <c r="H365" s="794"/>
    </row>
    <row r="366" spans="5:31" ht="12.75" customHeight="1" x14ac:dyDescent="0.25">
      <c r="E366" s="793"/>
      <c r="F366" s="793"/>
      <c r="G366" s="793"/>
      <c r="H366" s="794"/>
    </row>
    <row r="367" spans="5:31" ht="12.75" customHeight="1" x14ac:dyDescent="0.25">
      <c r="E367" s="793"/>
      <c r="F367" s="793"/>
      <c r="G367" s="793"/>
      <c r="H367" s="794"/>
    </row>
    <row r="368" spans="5:31" ht="12.75" customHeight="1" x14ac:dyDescent="0.25">
      <c r="E368" s="793"/>
      <c r="F368" s="793"/>
      <c r="G368" s="793"/>
      <c r="H368" s="794"/>
    </row>
    <row r="369" spans="5:8" ht="12.75" customHeight="1" x14ac:dyDescent="0.25">
      <c r="E369" s="793"/>
      <c r="F369" s="793"/>
      <c r="G369" s="793"/>
      <c r="H369" s="794"/>
    </row>
    <row r="370" spans="5:8" ht="12.75" customHeight="1" x14ac:dyDescent="0.25">
      <c r="E370" s="793"/>
      <c r="F370" s="793"/>
      <c r="G370" s="793"/>
      <c r="H370" s="794"/>
    </row>
    <row r="371" spans="5:8" ht="12.75" customHeight="1" x14ac:dyDescent="0.25">
      <c r="E371" s="793"/>
      <c r="F371" s="793"/>
      <c r="G371" s="793"/>
      <c r="H371" s="794"/>
    </row>
    <row r="372" spans="5:8" ht="12.75" customHeight="1" x14ac:dyDescent="0.25">
      <c r="E372" s="793"/>
      <c r="F372" s="793"/>
      <c r="G372" s="793"/>
      <c r="H372" s="794"/>
    </row>
    <row r="373" spans="5:8" ht="12.75" customHeight="1" x14ac:dyDescent="0.25">
      <c r="E373" s="793"/>
      <c r="F373" s="793"/>
      <c r="G373" s="793"/>
      <c r="H373" s="794"/>
    </row>
    <row r="374" spans="5:8" ht="12.75" customHeight="1" x14ac:dyDescent="0.25">
      <c r="E374" s="793"/>
      <c r="F374" s="793"/>
      <c r="G374" s="793"/>
      <c r="H374" s="794"/>
    </row>
    <row r="375" spans="5:8" ht="12.75" customHeight="1" x14ac:dyDescent="0.25">
      <c r="E375" s="793"/>
      <c r="F375" s="793"/>
      <c r="G375" s="793"/>
      <c r="H375" s="794"/>
    </row>
    <row r="376" spans="5:8" ht="12.75" customHeight="1" x14ac:dyDescent="0.25">
      <c r="E376" s="793"/>
      <c r="F376" s="793"/>
      <c r="G376" s="793"/>
      <c r="H376" s="794"/>
    </row>
    <row r="377" spans="5:8" ht="12.75" customHeight="1" x14ac:dyDescent="0.25">
      <c r="E377" s="793"/>
      <c r="F377" s="793"/>
      <c r="G377" s="793"/>
      <c r="H377" s="794"/>
    </row>
    <row r="378" spans="5:8" ht="12.75" customHeight="1" x14ac:dyDescent="0.25">
      <c r="E378" s="793"/>
      <c r="F378" s="793"/>
      <c r="G378" s="793"/>
      <c r="H378" s="794"/>
    </row>
    <row r="379" spans="5:8" ht="12.75" customHeight="1" x14ac:dyDescent="0.25">
      <c r="E379" s="793"/>
      <c r="F379" s="793"/>
      <c r="G379" s="793"/>
      <c r="H379" s="794"/>
    </row>
    <row r="380" spans="5:8" ht="12.75" customHeight="1" x14ac:dyDescent="0.25">
      <c r="E380" s="793"/>
      <c r="F380" s="793"/>
      <c r="G380" s="793"/>
      <c r="H380" s="794"/>
    </row>
    <row r="381" spans="5:8" ht="12.75" customHeight="1" x14ac:dyDescent="0.25">
      <c r="E381" s="793"/>
      <c r="F381" s="793"/>
      <c r="G381" s="793"/>
      <c r="H381" s="794"/>
    </row>
    <row r="382" spans="5:8" ht="12.75" customHeight="1" x14ac:dyDescent="0.25">
      <c r="E382" s="793"/>
      <c r="F382" s="793"/>
      <c r="G382" s="793"/>
      <c r="H382" s="794"/>
    </row>
    <row r="383" spans="5:8" ht="12.75" customHeight="1" x14ac:dyDescent="0.25">
      <c r="E383" s="793"/>
      <c r="F383" s="793"/>
      <c r="G383" s="793"/>
      <c r="H383" s="794"/>
    </row>
    <row r="384" spans="5:8" ht="12.75" customHeight="1" x14ac:dyDescent="0.25">
      <c r="E384" s="793"/>
      <c r="F384" s="793"/>
      <c r="G384" s="793"/>
      <c r="H384" s="794"/>
    </row>
    <row r="385" spans="5:8" ht="12.75" customHeight="1" x14ac:dyDescent="0.25">
      <c r="E385" s="793"/>
      <c r="F385" s="793"/>
      <c r="G385" s="793"/>
      <c r="H385" s="794"/>
    </row>
    <row r="386" spans="5:8" ht="12.75" customHeight="1" x14ac:dyDescent="0.25">
      <c r="E386" s="793"/>
      <c r="F386" s="793"/>
      <c r="G386" s="793"/>
      <c r="H386" s="794"/>
    </row>
    <row r="387" spans="5:8" ht="12.75" customHeight="1" x14ac:dyDescent="0.25">
      <c r="E387" s="793"/>
      <c r="F387" s="793"/>
      <c r="G387" s="793"/>
      <c r="H387" s="794"/>
    </row>
    <row r="388" spans="5:8" ht="12.75" customHeight="1" x14ac:dyDescent="0.25">
      <c r="E388" s="793"/>
      <c r="F388" s="793"/>
      <c r="G388" s="793"/>
      <c r="H388" s="794"/>
    </row>
    <row r="389" spans="5:8" ht="12.75" customHeight="1" x14ac:dyDescent="0.25">
      <c r="E389" s="793"/>
      <c r="F389" s="793"/>
      <c r="G389" s="793"/>
      <c r="H389" s="794"/>
    </row>
    <row r="390" spans="5:8" ht="12.75" customHeight="1" x14ac:dyDescent="0.25">
      <c r="E390" s="793"/>
      <c r="F390" s="793"/>
      <c r="G390" s="793"/>
      <c r="H390" s="794"/>
    </row>
    <row r="391" spans="5:8" ht="12.75" customHeight="1" x14ac:dyDescent="0.25">
      <c r="E391" s="793"/>
      <c r="F391" s="793"/>
      <c r="G391" s="793"/>
      <c r="H391" s="794"/>
    </row>
    <row r="392" spans="5:8" ht="12.75" customHeight="1" x14ac:dyDescent="0.25">
      <c r="E392" s="793"/>
      <c r="F392" s="793"/>
      <c r="G392" s="793"/>
      <c r="H392" s="794"/>
    </row>
    <row r="393" spans="5:8" ht="12.75" customHeight="1" x14ac:dyDescent="0.25">
      <c r="E393" s="793"/>
      <c r="F393" s="793"/>
      <c r="G393" s="793"/>
      <c r="H393" s="794"/>
    </row>
    <row r="394" spans="5:8" ht="12.75" customHeight="1" x14ac:dyDescent="0.25">
      <c r="E394" s="793"/>
      <c r="F394" s="793"/>
      <c r="G394" s="793"/>
      <c r="H394" s="794"/>
    </row>
    <row r="395" spans="5:8" ht="12.75" customHeight="1" x14ac:dyDescent="0.25">
      <c r="E395" s="793"/>
      <c r="F395" s="793"/>
      <c r="G395" s="793"/>
      <c r="H395" s="794"/>
    </row>
    <row r="396" spans="5:8" ht="12.75" customHeight="1" x14ac:dyDescent="0.25">
      <c r="E396" s="793"/>
      <c r="F396" s="793"/>
      <c r="G396" s="793"/>
      <c r="H396" s="794"/>
    </row>
    <row r="397" spans="5:8" ht="12.75" customHeight="1" x14ac:dyDescent="0.25">
      <c r="E397" s="793"/>
      <c r="F397" s="793"/>
      <c r="G397" s="793"/>
      <c r="H397" s="794"/>
    </row>
    <row r="398" spans="5:8" ht="12.75" customHeight="1" x14ac:dyDescent="0.25">
      <c r="E398" s="793"/>
      <c r="F398" s="793"/>
      <c r="G398" s="793"/>
      <c r="H398" s="794"/>
    </row>
    <row r="399" spans="5:8" ht="12.75" customHeight="1" x14ac:dyDescent="0.25">
      <c r="E399" s="793"/>
      <c r="F399" s="793"/>
      <c r="G399" s="793"/>
      <c r="H399" s="794"/>
    </row>
    <row r="400" spans="5:8" ht="12.75" customHeight="1" x14ac:dyDescent="0.25">
      <c r="E400" s="793"/>
      <c r="F400" s="793"/>
      <c r="G400" s="793"/>
      <c r="H400" s="794"/>
    </row>
    <row r="401" spans="5:8" ht="12.75" customHeight="1" x14ac:dyDescent="0.25">
      <c r="E401" s="793"/>
      <c r="F401" s="793"/>
      <c r="G401" s="793"/>
      <c r="H401" s="794"/>
    </row>
    <row r="402" spans="5:8" ht="12.75" customHeight="1" x14ac:dyDescent="0.25">
      <c r="E402" s="793"/>
      <c r="F402" s="793"/>
      <c r="G402" s="793"/>
      <c r="H402" s="794"/>
    </row>
    <row r="403" spans="5:8" ht="12.75" customHeight="1" x14ac:dyDescent="0.25">
      <c r="E403" s="793"/>
      <c r="F403" s="793"/>
      <c r="G403" s="793"/>
      <c r="H403" s="794"/>
    </row>
    <row r="404" spans="5:8" ht="12.75" customHeight="1" x14ac:dyDescent="0.25">
      <c r="E404" s="793"/>
      <c r="F404" s="793"/>
      <c r="G404" s="793"/>
      <c r="H404" s="794"/>
    </row>
    <row r="405" spans="5:8" ht="12.75" customHeight="1" x14ac:dyDescent="0.25">
      <c r="E405" s="793"/>
      <c r="F405" s="793"/>
      <c r="G405" s="793"/>
      <c r="H405" s="794"/>
    </row>
    <row r="406" spans="5:8" ht="12.75" customHeight="1" x14ac:dyDescent="0.25">
      <c r="E406" s="793"/>
      <c r="F406" s="793"/>
      <c r="G406" s="793"/>
      <c r="H406" s="794"/>
    </row>
    <row r="407" spans="5:8" ht="12.75" customHeight="1" x14ac:dyDescent="0.25">
      <c r="E407" s="793"/>
      <c r="F407" s="793"/>
      <c r="G407" s="793"/>
      <c r="H407" s="794"/>
    </row>
    <row r="408" spans="5:8" ht="12.75" customHeight="1" x14ac:dyDescent="0.25">
      <c r="E408" s="793"/>
      <c r="F408" s="793"/>
      <c r="G408" s="793"/>
      <c r="H408" s="794"/>
    </row>
    <row r="409" spans="5:8" ht="12.75" customHeight="1" x14ac:dyDescent="0.25">
      <c r="E409" s="793"/>
      <c r="F409" s="793"/>
      <c r="G409" s="793"/>
      <c r="H409" s="794"/>
    </row>
    <row r="410" spans="5:8" ht="12.75" customHeight="1" x14ac:dyDescent="0.25">
      <c r="E410" s="793"/>
      <c r="F410" s="793"/>
      <c r="G410" s="793"/>
      <c r="H410" s="794"/>
    </row>
    <row r="411" spans="5:8" ht="12.75" customHeight="1" x14ac:dyDescent="0.25">
      <c r="E411" s="793"/>
      <c r="F411" s="793"/>
      <c r="G411" s="793"/>
      <c r="H411" s="794"/>
    </row>
    <row r="412" spans="5:8" ht="12.75" customHeight="1" x14ac:dyDescent="0.25">
      <c r="E412" s="793"/>
      <c r="F412" s="793"/>
      <c r="G412" s="793"/>
      <c r="H412" s="794"/>
    </row>
    <row r="413" spans="5:8" ht="12.75" customHeight="1" x14ac:dyDescent="0.25">
      <c r="E413" s="793"/>
      <c r="F413" s="793"/>
      <c r="G413" s="793"/>
      <c r="H413" s="794"/>
    </row>
    <row r="414" spans="5:8" ht="12.75" customHeight="1" x14ac:dyDescent="0.25">
      <c r="E414" s="793"/>
      <c r="F414" s="793"/>
      <c r="G414" s="793"/>
      <c r="H414" s="794"/>
    </row>
    <row r="415" spans="5:8" ht="12.75" customHeight="1" x14ac:dyDescent="0.25">
      <c r="E415" s="793"/>
      <c r="F415" s="793"/>
      <c r="G415" s="793"/>
      <c r="H415" s="794"/>
    </row>
    <row r="416" spans="5:8" ht="12.75" customHeight="1" x14ac:dyDescent="0.25">
      <c r="E416" s="793"/>
      <c r="F416" s="793"/>
      <c r="G416" s="793"/>
      <c r="H416" s="794"/>
    </row>
    <row r="417" spans="5:8" ht="12.75" customHeight="1" x14ac:dyDescent="0.25">
      <c r="E417" s="793"/>
      <c r="F417" s="793"/>
      <c r="G417" s="793"/>
      <c r="H417" s="794"/>
    </row>
    <row r="418" spans="5:8" ht="12.75" customHeight="1" x14ac:dyDescent="0.25">
      <c r="E418" s="793"/>
      <c r="F418" s="793"/>
      <c r="G418" s="793"/>
      <c r="H418" s="794"/>
    </row>
    <row r="419" spans="5:8" ht="12.75" customHeight="1" x14ac:dyDescent="0.25">
      <c r="E419" s="793"/>
      <c r="F419" s="793"/>
      <c r="G419" s="793"/>
      <c r="H419" s="794"/>
    </row>
    <row r="420" spans="5:8" ht="12.75" customHeight="1" x14ac:dyDescent="0.25">
      <c r="E420" s="793"/>
      <c r="F420" s="793"/>
      <c r="G420" s="793"/>
      <c r="H420" s="794"/>
    </row>
    <row r="421" spans="5:8" ht="12.75" customHeight="1" x14ac:dyDescent="0.25">
      <c r="E421" s="793"/>
      <c r="F421" s="793"/>
      <c r="G421" s="793"/>
      <c r="H421" s="794"/>
    </row>
    <row r="422" spans="5:8" ht="12.75" customHeight="1" x14ac:dyDescent="0.25">
      <c r="E422" s="793"/>
      <c r="F422" s="793"/>
      <c r="G422" s="793"/>
      <c r="H422" s="794"/>
    </row>
    <row r="423" spans="5:8" ht="12.75" customHeight="1" x14ac:dyDescent="0.25">
      <c r="E423" s="793"/>
      <c r="F423" s="793"/>
      <c r="G423" s="793"/>
      <c r="H423" s="794"/>
    </row>
    <row r="424" spans="5:8" ht="12.75" customHeight="1" x14ac:dyDescent="0.25">
      <c r="E424" s="793"/>
      <c r="F424" s="793"/>
      <c r="G424" s="793"/>
      <c r="H424" s="794"/>
    </row>
    <row r="425" spans="5:8" ht="12.75" customHeight="1" x14ac:dyDescent="0.25">
      <c r="E425" s="793"/>
      <c r="F425" s="793"/>
      <c r="G425" s="793"/>
      <c r="H425" s="794"/>
    </row>
    <row r="426" spans="5:8" ht="12.75" customHeight="1" x14ac:dyDescent="0.25">
      <c r="E426" s="793"/>
      <c r="F426" s="793"/>
      <c r="G426" s="793"/>
      <c r="H426" s="794"/>
    </row>
    <row r="427" spans="5:8" ht="12.75" customHeight="1" x14ac:dyDescent="0.25">
      <c r="E427" s="793"/>
      <c r="F427" s="793"/>
      <c r="G427" s="793"/>
      <c r="H427" s="794"/>
    </row>
    <row r="428" spans="5:8" ht="12.75" customHeight="1" x14ac:dyDescent="0.25">
      <c r="E428" s="793"/>
      <c r="F428" s="793"/>
      <c r="G428" s="793"/>
      <c r="H428" s="794"/>
    </row>
    <row r="429" spans="5:8" ht="12.75" customHeight="1" x14ac:dyDescent="0.25">
      <c r="E429" s="793"/>
      <c r="F429" s="793"/>
      <c r="G429" s="793"/>
      <c r="H429" s="794"/>
    </row>
    <row r="430" spans="5:8" ht="12.75" customHeight="1" x14ac:dyDescent="0.25">
      <c r="E430" s="793"/>
      <c r="F430" s="793"/>
      <c r="G430" s="793"/>
      <c r="H430" s="794"/>
    </row>
    <row r="431" spans="5:8" ht="12.75" customHeight="1" x14ac:dyDescent="0.25">
      <c r="E431" s="793"/>
      <c r="F431" s="793"/>
      <c r="G431" s="793"/>
      <c r="H431" s="794"/>
    </row>
    <row r="432" spans="5:8" ht="12.75" customHeight="1" x14ac:dyDescent="0.25">
      <c r="E432" s="793"/>
      <c r="F432" s="793"/>
      <c r="G432" s="793"/>
      <c r="H432" s="794"/>
    </row>
    <row r="433" spans="5:8" ht="12.75" customHeight="1" x14ac:dyDescent="0.25">
      <c r="E433" s="793"/>
      <c r="F433" s="793"/>
      <c r="G433" s="793"/>
      <c r="H433" s="794"/>
    </row>
    <row r="434" spans="5:8" ht="12.75" customHeight="1" x14ac:dyDescent="0.25">
      <c r="E434" s="793"/>
      <c r="F434" s="793"/>
      <c r="G434" s="793"/>
      <c r="H434" s="794"/>
    </row>
    <row r="435" spans="5:8" ht="12.75" customHeight="1" x14ac:dyDescent="0.25">
      <c r="E435" s="793"/>
      <c r="F435" s="793"/>
      <c r="G435" s="793"/>
      <c r="H435" s="794"/>
    </row>
    <row r="436" spans="5:8" ht="12.75" customHeight="1" x14ac:dyDescent="0.25">
      <c r="E436" s="793"/>
      <c r="F436" s="793"/>
      <c r="G436" s="793"/>
      <c r="H436" s="794"/>
    </row>
    <row r="437" spans="5:8" ht="12.75" customHeight="1" x14ac:dyDescent="0.25">
      <c r="E437" s="793"/>
      <c r="F437" s="793"/>
      <c r="G437" s="793"/>
      <c r="H437" s="794"/>
    </row>
    <row r="438" spans="5:8" ht="12.75" customHeight="1" x14ac:dyDescent="0.25">
      <c r="E438" s="793"/>
      <c r="F438" s="793"/>
      <c r="G438" s="793"/>
      <c r="H438" s="794"/>
    </row>
    <row r="439" spans="5:8" ht="12.75" customHeight="1" x14ac:dyDescent="0.25">
      <c r="E439" s="793"/>
      <c r="F439" s="793"/>
      <c r="G439" s="793"/>
      <c r="H439" s="794"/>
    </row>
    <row r="440" spans="5:8" ht="12.75" customHeight="1" x14ac:dyDescent="0.25">
      <c r="E440" s="793"/>
      <c r="F440" s="793"/>
      <c r="G440" s="793"/>
      <c r="H440" s="794"/>
    </row>
    <row r="441" spans="5:8" ht="12.75" customHeight="1" x14ac:dyDescent="0.25">
      <c r="E441" s="793"/>
      <c r="F441" s="793"/>
      <c r="G441" s="793"/>
      <c r="H441" s="794"/>
    </row>
    <row r="442" spans="5:8" ht="12.75" customHeight="1" x14ac:dyDescent="0.25">
      <c r="E442" s="793"/>
      <c r="F442" s="793"/>
      <c r="G442" s="793"/>
      <c r="H442" s="794"/>
    </row>
    <row r="443" spans="5:8" ht="12.75" customHeight="1" x14ac:dyDescent="0.25">
      <c r="E443" s="793"/>
      <c r="F443" s="793"/>
      <c r="G443" s="793"/>
      <c r="H443" s="794"/>
    </row>
    <row r="444" spans="5:8" ht="12.75" customHeight="1" x14ac:dyDescent="0.25">
      <c r="E444" s="793"/>
      <c r="F444" s="793"/>
      <c r="G444" s="793"/>
      <c r="H444" s="794"/>
    </row>
    <row r="445" spans="5:8" ht="12.75" customHeight="1" x14ac:dyDescent="0.25">
      <c r="E445" s="793"/>
      <c r="F445" s="793"/>
      <c r="G445" s="793"/>
      <c r="H445" s="794"/>
    </row>
    <row r="446" spans="5:8" ht="12.75" customHeight="1" x14ac:dyDescent="0.25">
      <c r="E446" s="793"/>
      <c r="F446" s="793"/>
      <c r="G446" s="793"/>
      <c r="H446" s="794"/>
    </row>
    <row r="447" spans="5:8" ht="12.75" customHeight="1" x14ac:dyDescent="0.25">
      <c r="E447" s="793"/>
      <c r="F447" s="793"/>
      <c r="G447" s="793"/>
      <c r="H447" s="794"/>
    </row>
    <row r="448" spans="5:8" ht="12.75" customHeight="1" x14ac:dyDescent="0.25">
      <c r="E448" s="793"/>
      <c r="F448" s="793"/>
      <c r="G448" s="793"/>
      <c r="H448" s="794"/>
    </row>
    <row r="449" spans="5:8" ht="12.75" customHeight="1" x14ac:dyDescent="0.25">
      <c r="E449" s="793"/>
      <c r="F449" s="793"/>
      <c r="G449" s="793"/>
      <c r="H449" s="794"/>
    </row>
    <row r="450" spans="5:8" ht="12.75" customHeight="1" x14ac:dyDescent="0.25">
      <c r="E450" s="793"/>
      <c r="F450" s="793"/>
      <c r="G450" s="793"/>
      <c r="H450" s="794"/>
    </row>
    <row r="451" spans="5:8" ht="12.75" customHeight="1" x14ac:dyDescent="0.25">
      <c r="E451" s="793"/>
      <c r="F451" s="793"/>
      <c r="G451" s="793"/>
      <c r="H451" s="794"/>
    </row>
    <row r="452" spans="5:8" ht="12.75" customHeight="1" x14ac:dyDescent="0.25">
      <c r="E452" s="793"/>
      <c r="F452" s="793"/>
      <c r="G452" s="793"/>
      <c r="H452" s="794"/>
    </row>
    <row r="453" spans="5:8" ht="12.75" customHeight="1" x14ac:dyDescent="0.25">
      <c r="E453" s="793"/>
      <c r="F453" s="793"/>
      <c r="G453" s="793"/>
      <c r="H453" s="794"/>
    </row>
    <row r="454" spans="5:8" ht="12.75" customHeight="1" x14ac:dyDescent="0.25">
      <c r="E454" s="793"/>
      <c r="F454" s="793"/>
      <c r="G454" s="793"/>
      <c r="H454" s="794"/>
    </row>
    <row r="455" spans="5:8" ht="12.75" customHeight="1" x14ac:dyDescent="0.25">
      <c r="E455" s="793"/>
      <c r="F455" s="793"/>
      <c r="G455" s="793"/>
      <c r="H455" s="794"/>
    </row>
    <row r="456" spans="5:8" ht="12.75" customHeight="1" x14ac:dyDescent="0.25">
      <c r="E456" s="793"/>
      <c r="F456" s="793"/>
      <c r="G456" s="793"/>
      <c r="H456" s="794"/>
    </row>
    <row r="457" spans="5:8" ht="12.75" customHeight="1" x14ac:dyDescent="0.25">
      <c r="E457" s="793"/>
      <c r="F457" s="793"/>
      <c r="G457" s="793"/>
      <c r="H457" s="794"/>
    </row>
    <row r="458" spans="5:8" ht="12.75" customHeight="1" x14ac:dyDescent="0.25">
      <c r="E458" s="793"/>
      <c r="F458" s="793"/>
      <c r="G458" s="793"/>
      <c r="H458" s="794"/>
    </row>
    <row r="459" spans="5:8" ht="12.75" customHeight="1" x14ac:dyDescent="0.25">
      <c r="E459" s="793"/>
      <c r="F459" s="793"/>
      <c r="G459" s="793"/>
      <c r="H459" s="794"/>
    </row>
    <row r="460" spans="5:8" ht="12.75" customHeight="1" x14ac:dyDescent="0.25">
      <c r="E460" s="793"/>
      <c r="F460" s="793"/>
      <c r="G460" s="793"/>
      <c r="H460" s="794"/>
    </row>
    <row r="461" spans="5:8" ht="12.75" customHeight="1" x14ac:dyDescent="0.25">
      <c r="E461" s="793"/>
      <c r="F461" s="793"/>
      <c r="G461" s="793"/>
      <c r="H461" s="794"/>
    </row>
    <row r="462" spans="5:8" ht="12.75" customHeight="1" x14ac:dyDescent="0.25">
      <c r="E462" s="793"/>
      <c r="F462" s="793"/>
      <c r="G462" s="793"/>
      <c r="H462" s="794"/>
    </row>
    <row r="463" spans="5:8" ht="12.75" customHeight="1" x14ac:dyDescent="0.25">
      <c r="E463" s="793"/>
      <c r="F463" s="793"/>
      <c r="G463" s="793"/>
      <c r="H463" s="794"/>
    </row>
    <row r="464" spans="5:8" ht="12.75" customHeight="1" x14ac:dyDescent="0.25">
      <c r="E464" s="793"/>
      <c r="F464" s="793"/>
      <c r="G464" s="793"/>
      <c r="H464" s="794"/>
    </row>
    <row r="465" spans="5:8" ht="12.75" customHeight="1" x14ac:dyDescent="0.25">
      <c r="E465" s="793"/>
      <c r="F465" s="793"/>
      <c r="G465" s="793"/>
      <c r="H465" s="794"/>
    </row>
    <row r="466" spans="5:8" ht="12.75" customHeight="1" x14ac:dyDescent="0.25">
      <c r="E466" s="793"/>
      <c r="F466" s="793"/>
      <c r="G466" s="793"/>
      <c r="H466" s="794"/>
    </row>
    <row r="467" spans="5:8" ht="12.75" customHeight="1" x14ac:dyDescent="0.25">
      <c r="E467" s="793"/>
      <c r="F467" s="793"/>
      <c r="G467" s="793"/>
      <c r="H467" s="794"/>
    </row>
    <row r="468" spans="5:8" ht="12.75" customHeight="1" x14ac:dyDescent="0.25">
      <c r="E468" s="793"/>
      <c r="F468" s="793"/>
      <c r="G468" s="793"/>
      <c r="H468" s="794"/>
    </row>
    <row r="469" spans="5:8" ht="12.75" customHeight="1" x14ac:dyDescent="0.25">
      <c r="E469" s="793"/>
      <c r="F469" s="793"/>
      <c r="G469" s="793"/>
      <c r="H469" s="794"/>
    </row>
    <row r="470" spans="5:8" ht="12.75" customHeight="1" x14ac:dyDescent="0.25">
      <c r="E470" s="793"/>
      <c r="F470" s="793"/>
      <c r="G470" s="793"/>
      <c r="H470" s="794"/>
    </row>
    <row r="471" spans="5:8" ht="12.75" customHeight="1" x14ac:dyDescent="0.25">
      <c r="E471" s="793"/>
      <c r="F471" s="793"/>
      <c r="G471" s="793"/>
      <c r="H471" s="794"/>
    </row>
    <row r="472" spans="5:8" ht="12.75" customHeight="1" x14ac:dyDescent="0.25">
      <c r="E472" s="793"/>
      <c r="F472" s="793"/>
      <c r="G472" s="793"/>
      <c r="H472" s="794"/>
    </row>
    <row r="473" spans="5:8" ht="12.75" customHeight="1" x14ac:dyDescent="0.25">
      <c r="E473" s="793"/>
      <c r="F473" s="793"/>
      <c r="G473" s="793"/>
      <c r="H473" s="794"/>
    </row>
    <row r="474" spans="5:8" ht="12.75" customHeight="1" x14ac:dyDescent="0.25">
      <c r="E474" s="793"/>
      <c r="F474" s="793"/>
      <c r="G474" s="793"/>
      <c r="H474" s="794"/>
    </row>
    <row r="475" spans="5:8" ht="12.75" customHeight="1" x14ac:dyDescent="0.25">
      <c r="E475" s="793"/>
      <c r="F475" s="793"/>
      <c r="G475" s="793"/>
      <c r="H475" s="794"/>
    </row>
    <row r="476" spans="5:8" ht="12.75" customHeight="1" x14ac:dyDescent="0.25">
      <c r="E476" s="793"/>
      <c r="F476" s="793"/>
      <c r="G476" s="793"/>
      <c r="H476" s="794"/>
    </row>
    <row r="477" spans="5:8" ht="12.75" customHeight="1" x14ac:dyDescent="0.25">
      <c r="E477" s="793"/>
      <c r="F477" s="793"/>
      <c r="G477" s="793"/>
      <c r="H477" s="794"/>
    </row>
    <row r="478" spans="5:8" ht="12.75" customHeight="1" x14ac:dyDescent="0.25">
      <c r="E478" s="793"/>
      <c r="F478" s="793"/>
      <c r="G478" s="793"/>
      <c r="H478" s="794"/>
    </row>
    <row r="479" spans="5:8" ht="12.75" customHeight="1" x14ac:dyDescent="0.25">
      <c r="E479" s="793"/>
      <c r="F479" s="793"/>
      <c r="G479" s="793"/>
      <c r="H479" s="794"/>
    </row>
    <row r="480" spans="5:8" ht="12.75" customHeight="1" x14ac:dyDescent="0.25">
      <c r="E480" s="793"/>
      <c r="F480" s="793"/>
      <c r="G480" s="793"/>
      <c r="H480" s="794"/>
    </row>
    <row r="481" spans="5:8" ht="12.75" customHeight="1" x14ac:dyDescent="0.25">
      <c r="E481" s="793"/>
      <c r="F481" s="793"/>
      <c r="G481" s="793"/>
      <c r="H481" s="794"/>
    </row>
    <row r="482" spans="5:8" ht="12.75" customHeight="1" x14ac:dyDescent="0.25">
      <c r="E482" s="793"/>
      <c r="F482" s="793"/>
      <c r="G482" s="793"/>
      <c r="H482" s="794"/>
    </row>
    <row r="483" spans="5:8" ht="12.75" customHeight="1" x14ac:dyDescent="0.25">
      <c r="E483" s="793"/>
      <c r="F483" s="793"/>
      <c r="G483" s="793"/>
      <c r="H483" s="794"/>
    </row>
    <row r="484" spans="5:8" ht="12.75" customHeight="1" x14ac:dyDescent="0.25">
      <c r="E484" s="793"/>
      <c r="F484" s="793"/>
      <c r="G484" s="793"/>
      <c r="H484" s="794"/>
    </row>
    <row r="485" spans="5:8" ht="12.75" customHeight="1" x14ac:dyDescent="0.25">
      <c r="E485" s="793"/>
      <c r="F485" s="793"/>
      <c r="G485" s="793"/>
      <c r="H485" s="794"/>
    </row>
    <row r="486" spans="5:8" ht="12.75" customHeight="1" x14ac:dyDescent="0.25">
      <c r="E486" s="793"/>
      <c r="F486" s="793"/>
      <c r="G486" s="793"/>
      <c r="H486" s="794"/>
    </row>
    <row r="487" spans="5:8" ht="12.75" customHeight="1" x14ac:dyDescent="0.25">
      <c r="E487" s="793"/>
      <c r="F487" s="793"/>
      <c r="G487" s="793"/>
      <c r="H487" s="794"/>
    </row>
    <row r="488" spans="5:8" ht="12.75" customHeight="1" x14ac:dyDescent="0.25">
      <c r="E488" s="793"/>
      <c r="F488" s="793"/>
      <c r="G488" s="793"/>
      <c r="H488" s="794"/>
    </row>
    <row r="489" spans="5:8" ht="12.75" customHeight="1" x14ac:dyDescent="0.25">
      <c r="E489" s="793"/>
      <c r="F489" s="793"/>
      <c r="G489" s="793"/>
      <c r="H489" s="794"/>
    </row>
    <row r="490" spans="5:8" ht="12.75" customHeight="1" x14ac:dyDescent="0.25">
      <c r="E490" s="793"/>
      <c r="F490" s="793"/>
      <c r="G490" s="793"/>
      <c r="H490" s="794"/>
    </row>
    <row r="491" spans="5:8" ht="12.75" customHeight="1" x14ac:dyDescent="0.25">
      <c r="E491" s="793"/>
      <c r="F491" s="793"/>
      <c r="G491" s="793"/>
      <c r="H491" s="794"/>
    </row>
    <row r="492" spans="5:8" ht="12.75" customHeight="1" x14ac:dyDescent="0.25">
      <c r="E492" s="793"/>
      <c r="F492" s="793"/>
      <c r="G492" s="793"/>
      <c r="H492" s="794"/>
    </row>
    <row r="493" spans="5:8" ht="12.75" customHeight="1" x14ac:dyDescent="0.25">
      <c r="E493" s="793"/>
      <c r="F493" s="793"/>
      <c r="G493" s="793"/>
      <c r="H493" s="794"/>
    </row>
    <row r="494" spans="5:8" ht="12.75" customHeight="1" x14ac:dyDescent="0.25">
      <c r="E494" s="793"/>
      <c r="F494" s="793"/>
      <c r="G494" s="793"/>
      <c r="H494" s="794"/>
    </row>
    <row r="495" spans="5:8" ht="12.75" customHeight="1" x14ac:dyDescent="0.25">
      <c r="E495" s="793"/>
      <c r="F495" s="793"/>
      <c r="G495" s="793"/>
      <c r="H495" s="794"/>
    </row>
    <row r="496" spans="5:8" ht="12.75" customHeight="1" x14ac:dyDescent="0.25">
      <c r="E496" s="793"/>
      <c r="F496" s="793"/>
      <c r="G496" s="793"/>
      <c r="H496" s="794"/>
    </row>
    <row r="497" spans="5:8" ht="12.75" customHeight="1" x14ac:dyDescent="0.25">
      <c r="E497" s="793"/>
      <c r="F497" s="793"/>
      <c r="G497" s="793"/>
      <c r="H497" s="794"/>
    </row>
    <row r="498" spans="5:8" ht="12.75" customHeight="1" x14ac:dyDescent="0.25">
      <c r="E498" s="793"/>
      <c r="F498" s="793"/>
      <c r="G498" s="793"/>
      <c r="H498" s="794"/>
    </row>
    <row r="499" spans="5:8" ht="12.75" customHeight="1" x14ac:dyDescent="0.25">
      <c r="E499" s="793"/>
      <c r="F499" s="793"/>
      <c r="G499" s="793"/>
      <c r="H499" s="794"/>
    </row>
    <row r="500" spans="5:8" ht="12.75" customHeight="1" x14ac:dyDescent="0.25">
      <c r="E500" s="793"/>
      <c r="F500" s="793"/>
      <c r="G500" s="793"/>
      <c r="H500" s="794"/>
    </row>
    <row r="501" spans="5:8" ht="12.75" customHeight="1" x14ac:dyDescent="0.25">
      <c r="E501" s="793"/>
      <c r="F501" s="793"/>
      <c r="G501" s="793"/>
      <c r="H501" s="794"/>
    </row>
    <row r="502" spans="5:8" ht="12.75" customHeight="1" x14ac:dyDescent="0.25">
      <c r="E502" s="793"/>
      <c r="F502" s="793"/>
      <c r="G502" s="793"/>
      <c r="H502" s="794"/>
    </row>
    <row r="503" spans="5:8" ht="12.75" customHeight="1" x14ac:dyDescent="0.25">
      <c r="E503" s="793"/>
      <c r="F503" s="793"/>
      <c r="G503" s="793"/>
      <c r="H503" s="794"/>
    </row>
    <row r="504" spans="5:8" ht="12.75" customHeight="1" x14ac:dyDescent="0.25">
      <c r="E504" s="793"/>
      <c r="F504" s="793"/>
      <c r="G504" s="793"/>
      <c r="H504" s="794"/>
    </row>
    <row r="505" spans="5:8" ht="12.75" customHeight="1" x14ac:dyDescent="0.25">
      <c r="E505" s="793"/>
      <c r="F505" s="793"/>
      <c r="G505" s="793"/>
      <c r="H505" s="794"/>
    </row>
    <row r="506" spans="5:8" ht="12.75" customHeight="1" x14ac:dyDescent="0.25">
      <c r="E506" s="793"/>
      <c r="F506" s="793"/>
      <c r="G506" s="793"/>
      <c r="H506" s="794"/>
    </row>
    <row r="507" spans="5:8" ht="12.75" customHeight="1" x14ac:dyDescent="0.25">
      <c r="E507" s="793"/>
      <c r="F507" s="793"/>
      <c r="G507" s="793"/>
      <c r="H507" s="794"/>
    </row>
    <row r="508" spans="5:8" ht="12.75" customHeight="1" x14ac:dyDescent="0.25">
      <c r="E508" s="793"/>
      <c r="F508" s="793"/>
      <c r="G508" s="793"/>
      <c r="H508" s="794"/>
    </row>
    <row r="509" spans="5:8" ht="12.75" customHeight="1" x14ac:dyDescent="0.25">
      <c r="E509" s="793"/>
      <c r="F509" s="793"/>
      <c r="G509" s="793"/>
      <c r="H509" s="794"/>
    </row>
    <row r="510" spans="5:8" ht="12.75" customHeight="1" x14ac:dyDescent="0.25">
      <c r="E510" s="793"/>
      <c r="F510" s="793"/>
      <c r="G510" s="793"/>
      <c r="H510" s="794"/>
    </row>
    <row r="511" spans="5:8" ht="12.75" customHeight="1" x14ac:dyDescent="0.25">
      <c r="E511" s="793"/>
      <c r="F511" s="793"/>
      <c r="G511" s="793"/>
      <c r="H511" s="794"/>
    </row>
    <row r="512" spans="5:8" ht="12.75" customHeight="1" x14ac:dyDescent="0.25">
      <c r="E512" s="793"/>
      <c r="F512" s="793"/>
      <c r="G512" s="793"/>
      <c r="H512" s="794"/>
    </row>
    <row r="513" spans="5:8" ht="12.75" customHeight="1" x14ac:dyDescent="0.25">
      <c r="E513" s="793"/>
      <c r="F513" s="793"/>
      <c r="G513" s="793"/>
      <c r="H513" s="794"/>
    </row>
    <row r="514" spans="5:8" ht="12.75" customHeight="1" x14ac:dyDescent="0.25">
      <c r="E514" s="793"/>
      <c r="F514" s="793"/>
      <c r="G514" s="793"/>
      <c r="H514" s="794"/>
    </row>
    <row r="515" spans="5:8" ht="12.75" customHeight="1" x14ac:dyDescent="0.25">
      <c r="E515" s="793"/>
      <c r="F515" s="793"/>
      <c r="G515" s="793"/>
      <c r="H515" s="794"/>
    </row>
    <row r="516" spans="5:8" ht="12.75" customHeight="1" x14ac:dyDescent="0.25">
      <c r="E516" s="793"/>
      <c r="F516" s="793"/>
      <c r="G516" s="793"/>
      <c r="H516" s="794"/>
    </row>
    <row r="517" spans="5:8" ht="12.75" customHeight="1" x14ac:dyDescent="0.25">
      <c r="E517" s="793"/>
      <c r="F517" s="793"/>
      <c r="G517" s="793"/>
      <c r="H517" s="794"/>
    </row>
    <row r="518" spans="5:8" ht="12.75" customHeight="1" x14ac:dyDescent="0.25">
      <c r="E518" s="793"/>
      <c r="F518" s="793"/>
      <c r="G518" s="793"/>
      <c r="H518" s="794"/>
    </row>
    <row r="519" spans="5:8" ht="12.75" customHeight="1" x14ac:dyDescent="0.25">
      <c r="E519" s="793"/>
      <c r="F519" s="793"/>
      <c r="G519" s="793"/>
      <c r="H519" s="794"/>
    </row>
    <row r="520" spans="5:8" ht="12.75" customHeight="1" x14ac:dyDescent="0.25">
      <c r="E520" s="793"/>
      <c r="F520" s="793"/>
      <c r="G520" s="793"/>
      <c r="H520" s="794"/>
    </row>
    <row r="521" spans="5:8" ht="12.75" customHeight="1" x14ac:dyDescent="0.25">
      <c r="E521" s="793"/>
      <c r="F521" s="793"/>
      <c r="G521" s="793"/>
      <c r="H521" s="794"/>
    </row>
    <row r="522" spans="5:8" ht="12.75" customHeight="1" x14ac:dyDescent="0.25">
      <c r="E522" s="793"/>
      <c r="F522" s="793"/>
      <c r="G522" s="793"/>
      <c r="H522" s="794"/>
    </row>
    <row r="523" spans="5:8" ht="12.75" customHeight="1" x14ac:dyDescent="0.25">
      <c r="E523" s="793"/>
      <c r="F523" s="793"/>
      <c r="G523" s="793"/>
      <c r="H523" s="794"/>
    </row>
    <row r="524" spans="5:8" ht="12.75" customHeight="1" x14ac:dyDescent="0.25">
      <c r="E524" s="793"/>
      <c r="F524" s="793"/>
      <c r="G524" s="793"/>
      <c r="H524" s="794"/>
    </row>
    <row r="525" spans="5:8" ht="12.75" customHeight="1" x14ac:dyDescent="0.25">
      <c r="E525" s="793"/>
      <c r="F525" s="793"/>
      <c r="G525" s="793"/>
      <c r="H525" s="794"/>
    </row>
    <row r="526" spans="5:8" ht="12.75" customHeight="1" x14ac:dyDescent="0.25">
      <c r="E526" s="793"/>
      <c r="F526" s="793"/>
      <c r="G526" s="793"/>
      <c r="H526" s="794"/>
    </row>
    <row r="527" spans="5:8" ht="12.75" customHeight="1" x14ac:dyDescent="0.25">
      <c r="E527" s="793"/>
      <c r="F527" s="793"/>
      <c r="G527" s="793"/>
      <c r="H527" s="794"/>
    </row>
    <row r="528" spans="5:8" ht="12.75" customHeight="1" x14ac:dyDescent="0.25">
      <c r="E528" s="793"/>
      <c r="F528" s="793"/>
      <c r="G528" s="793"/>
      <c r="H528" s="794"/>
    </row>
    <row r="529" spans="5:8" ht="12.75" customHeight="1" x14ac:dyDescent="0.25">
      <c r="E529" s="793"/>
      <c r="F529" s="793"/>
      <c r="G529" s="793"/>
      <c r="H529" s="794"/>
    </row>
    <row r="530" spans="5:8" ht="12.75" customHeight="1" x14ac:dyDescent="0.25">
      <c r="E530" s="793"/>
      <c r="F530" s="793"/>
      <c r="G530" s="793"/>
      <c r="H530" s="794"/>
    </row>
    <row r="531" spans="5:8" ht="12.75" customHeight="1" x14ac:dyDescent="0.25">
      <c r="E531" s="793"/>
      <c r="F531" s="793"/>
      <c r="G531" s="793"/>
      <c r="H531" s="794"/>
    </row>
    <row r="532" spans="5:8" ht="12.75" customHeight="1" x14ac:dyDescent="0.25">
      <c r="E532" s="793"/>
      <c r="F532" s="793"/>
      <c r="G532" s="793"/>
      <c r="H532" s="794"/>
    </row>
    <row r="533" spans="5:8" ht="12.75" customHeight="1" x14ac:dyDescent="0.25">
      <c r="E533" s="793"/>
      <c r="F533" s="793"/>
      <c r="G533" s="793"/>
      <c r="H533" s="794"/>
    </row>
    <row r="534" spans="5:8" ht="12.75" customHeight="1" x14ac:dyDescent="0.25">
      <c r="E534" s="793"/>
      <c r="F534" s="793"/>
      <c r="G534" s="793"/>
      <c r="H534" s="794"/>
    </row>
    <row r="535" spans="5:8" ht="12.75" customHeight="1" x14ac:dyDescent="0.25">
      <c r="E535" s="793"/>
      <c r="F535" s="793"/>
      <c r="G535" s="793"/>
      <c r="H535" s="794"/>
    </row>
    <row r="536" spans="5:8" ht="12.75" customHeight="1" x14ac:dyDescent="0.25">
      <c r="E536" s="793"/>
      <c r="F536" s="793"/>
      <c r="G536" s="793"/>
      <c r="H536" s="794"/>
    </row>
    <row r="537" spans="5:8" ht="12.75" customHeight="1" x14ac:dyDescent="0.25">
      <c r="E537" s="793"/>
      <c r="F537" s="793"/>
      <c r="G537" s="793"/>
      <c r="H537" s="794"/>
    </row>
    <row r="538" spans="5:8" ht="12.75" customHeight="1" x14ac:dyDescent="0.25">
      <c r="E538" s="793"/>
      <c r="F538" s="793"/>
      <c r="G538" s="793"/>
      <c r="H538" s="794"/>
    </row>
    <row r="539" spans="5:8" ht="12.75" customHeight="1" x14ac:dyDescent="0.25">
      <c r="E539" s="793"/>
      <c r="F539" s="793"/>
      <c r="G539" s="793"/>
      <c r="H539" s="794"/>
    </row>
    <row r="540" spans="5:8" ht="12.75" customHeight="1" x14ac:dyDescent="0.25">
      <c r="E540" s="793"/>
      <c r="F540" s="793"/>
      <c r="G540" s="793"/>
      <c r="H540" s="794"/>
    </row>
    <row r="541" spans="5:8" ht="12.75" customHeight="1" x14ac:dyDescent="0.25">
      <c r="E541" s="793"/>
      <c r="F541" s="793"/>
      <c r="G541" s="793"/>
      <c r="H541" s="794"/>
    </row>
    <row r="542" spans="5:8" ht="12.75" customHeight="1" x14ac:dyDescent="0.25">
      <c r="E542" s="793"/>
      <c r="F542" s="793"/>
      <c r="G542" s="793"/>
      <c r="H542" s="794"/>
    </row>
    <row r="543" spans="5:8" ht="12.75" customHeight="1" x14ac:dyDescent="0.25">
      <c r="E543" s="793"/>
      <c r="F543" s="793"/>
      <c r="G543" s="793"/>
      <c r="H543" s="794"/>
    </row>
    <row r="544" spans="5:8" ht="12.75" customHeight="1" x14ac:dyDescent="0.25">
      <c r="E544" s="793"/>
      <c r="F544" s="793"/>
      <c r="G544" s="793"/>
      <c r="H544" s="794"/>
    </row>
    <row r="545" spans="5:8" ht="12.75" customHeight="1" x14ac:dyDescent="0.25">
      <c r="E545" s="793"/>
      <c r="F545" s="793"/>
      <c r="G545" s="793"/>
      <c r="H545" s="794"/>
    </row>
    <row r="546" spans="5:8" ht="12.75" customHeight="1" x14ac:dyDescent="0.25">
      <c r="E546" s="793"/>
      <c r="F546" s="793"/>
      <c r="G546" s="793"/>
      <c r="H546" s="794"/>
    </row>
    <row r="547" spans="5:8" ht="12.75" customHeight="1" x14ac:dyDescent="0.25">
      <c r="E547" s="793"/>
      <c r="F547" s="793"/>
      <c r="G547" s="793"/>
      <c r="H547" s="794"/>
    </row>
    <row r="548" spans="5:8" ht="12.75" customHeight="1" x14ac:dyDescent="0.25">
      <c r="E548" s="793"/>
      <c r="F548" s="793"/>
      <c r="G548" s="793"/>
      <c r="H548" s="794"/>
    </row>
    <row r="549" spans="5:8" ht="12.75" customHeight="1" x14ac:dyDescent="0.25">
      <c r="E549" s="793"/>
      <c r="F549" s="793"/>
      <c r="G549" s="793"/>
      <c r="H549" s="794"/>
    </row>
    <row r="550" spans="5:8" ht="12.75" customHeight="1" x14ac:dyDescent="0.25">
      <c r="E550" s="793"/>
      <c r="F550" s="793"/>
      <c r="G550" s="793"/>
      <c r="H550" s="794"/>
    </row>
    <row r="551" spans="5:8" ht="12.75" customHeight="1" x14ac:dyDescent="0.25">
      <c r="E551" s="793"/>
      <c r="F551" s="793"/>
      <c r="G551" s="793"/>
      <c r="H551" s="794"/>
    </row>
    <row r="552" spans="5:8" ht="12.75" customHeight="1" x14ac:dyDescent="0.25">
      <c r="E552" s="793"/>
      <c r="F552" s="793"/>
      <c r="G552" s="793"/>
      <c r="H552" s="794"/>
    </row>
    <row r="553" spans="5:8" ht="12.75" customHeight="1" x14ac:dyDescent="0.25">
      <c r="E553" s="793"/>
      <c r="F553" s="793"/>
      <c r="G553" s="793"/>
      <c r="H553" s="794"/>
    </row>
    <row r="554" spans="5:8" ht="12.75" customHeight="1" x14ac:dyDescent="0.25">
      <c r="E554" s="793"/>
      <c r="F554" s="793"/>
      <c r="G554" s="793"/>
      <c r="H554" s="794"/>
    </row>
    <row r="555" spans="5:8" ht="12.75" customHeight="1" x14ac:dyDescent="0.25">
      <c r="E555" s="793"/>
      <c r="F555" s="793"/>
      <c r="G555" s="793"/>
      <c r="H555" s="794"/>
    </row>
    <row r="556" spans="5:8" ht="12.75" customHeight="1" x14ac:dyDescent="0.25">
      <c r="E556" s="793"/>
      <c r="F556" s="793"/>
      <c r="G556" s="793"/>
      <c r="H556" s="794"/>
    </row>
    <row r="557" spans="5:8" ht="12.75" customHeight="1" x14ac:dyDescent="0.25">
      <c r="E557" s="793"/>
      <c r="F557" s="793"/>
      <c r="G557" s="793"/>
      <c r="H557" s="794"/>
    </row>
    <row r="558" spans="5:8" ht="12.75" customHeight="1" x14ac:dyDescent="0.25">
      <c r="E558" s="793"/>
      <c r="F558" s="793"/>
      <c r="G558" s="793"/>
      <c r="H558" s="794"/>
    </row>
    <row r="559" spans="5:8" ht="12.75" customHeight="1" x14ac:dyDescent="0.25">
      <c r="E559" s="793"/>
      <c r="F559" s="793"/>
      <c r="G559" s="793"/>
      <c r="H559" s="794"/>
    </row>
    <row r="560" spans="5:8" ht="12.75" customHeight="1" x14ac:dyDescent="0.25">
      <c r="E560" s="793"/>
      <c r="F560" s="793"/>
      <c r="G560" s="793"/>
      <c r="H560" s="794"/>
    </row>
    <row r="561" spans="5:8" ht="12.75" customHeight="1" x14ac:dyDescent="0.25">
      <c r="E561" s="793"/>
      <c r="F561" s="793"/>
      <c r="G561" s="793"/>
      <c r="H561" s="794"/>
    </row>
    <row r="562" spans="5:8" ht="12.75" customHeight="1" x14ac:dyDescent="0.25">
      <c r="E562" s="793"/>
      <c r="F562" s="793"/>
      <c r="G562" s="793"/>
      <c r="H562" s="794"/>
    </row>
    <row r="563" spans="5:8" ht="12.75" customHeight="1" x14ac:dyDescent="0.25">
      <c r="E563" s="793"/>
      <c r="F563" s="793"/>
      <c r="G563" s="793"/>
      <c r="H563" s="794"/>
    </row>
    <row r="564" spans="5:8" ht="12.75" customHeight="1" x14ac:dyDescent="0.25">
      <c r="E564" s="793"/>
      <c r="F564" s="793"/>
      <c r="G564" s="793"/>
      <c r="H564" s="794"/>
    </row>
    <row r="565" spans="5:8" ht="12.75" customHeight="1" x14ac:dyDescent="0.25">
      <c r="E565" s="793"/>
      <c r="F565" s="793"/>
      <c r="G565" s="793"/>
      <c r="H565" s="794"/>
    </row>
    <row r="566" spans="5:8" ht="12.75" customHeight="1" x14ac:dyDescent="0.25">
      <c r="E566" s="793"/>
      <c r="F566" s="793"/>
      <c r="G566" s="793"/>
      <c r="H566" s="794"/>
    </row>
    <row r="567" spans="5:8" ht="12.75" customHeight="1" x14ac:dyDescent="0.25">
      <c r="E567" s="793"/>
      <c r="F567" s="793"/>
      <c r="G567" s="793"/>
      <c r="H567" s="794"/>
    </row>
    <row r="568" spans="5:8" ht="12.75" customHeight="1" x14ac:dyDescent="0.25">
      <c r="E568" s="793"/>
      <c r="F568" s="793"/>
      <c r="G568" s="793"/>
      <c r="H568" s="794"/>
    </row>
    <row r="569" spans="5:8" ht="12.75" customHeight="1" x14ac:dyDescent="0.25">
      <c r="E569" s="793"/>
      <c r="F569" s="793"/>
      <c r="G569" s="793"/>
      <c r="H569" s="794"/>
    </row>
    <row r="570" spans="5:8" ht="12.75" customHeight="1" x14ac:dyDescent="0.25">
      <c r="E570" s="793"/>
      <c r="F570" s="793"/>
      <c r="G570" s="793"/>
      <c r="H570" s="794"/>
    </row>
    <row r="571" spans="5:8" ht="12.75" customHeight="1" x14ac:dyDescent="0.25">
      <c r="E571" s="793"/>
      <c r="F571" s="793"/>
      <c r="G571" s="793"/>
      <c r="H571" s="794"/>
    </row>
    <row r="572" spans="5:8" ht="12.75" customHeight="1" x14ac:dyDescent="0.25">
      <c r="E572" s="793"/>
      <c r="F572" s="793"/>
      <c r="G572" s="793"/>
      <c r="H572" s="794"/>
    </row>
    <row r="573" spans="5:8" ht="12.75" customHeight="1" x14ac:dyDescent="0.25">
      <c r="E573" s="793"/>
      <c r="F573" s="793"/>
      <c r="G573" s="793"/>
      <c r="H573" s="794"/>
    </row>
    <row r="574" spans="5:8" ht="12.75" customHeight="1" x14ac:dyDescent="0.25">
      <c r="E574" s="793"/>
      <c r="F574" s="793"/>
      <c r="G574" s="793"/>
      <c r="H574" s="794"/>
    </row>
    <row r="575" spans="5:8" ht="12.75" customHeight="1" x14ac:dyDescent="0.25">
      <c r="E575" s="793"/>
      <c r="F575" s="793"/>
      <c r="G575" s="793"/>
      <c r="H575" s="794"/>
    </row>
    <row r="576" spans="5:8" ht="12.75" customHeight="1" x14ac:dyDescent="0.25">
      <c r="E576" s="793"/>
      <c r="F576" s="793"/>
      <c r="G576" s="793"/>
      <c r="H576" s="794"/>
    </row>
    <row r="577" spans="5:8" ht="12.75" customHeight="1" x14ac:dyDescent="0.25">
      <c r="E577" s="793"/>
      <c r="F577" s="793"/>
      <c r="G577" s="793"/>
      <c r="H577" s="794"/>
    </row>
    <row r="578" spans="5:8" ht="12.75" customHeight="1" x14ac:dyDescent="0.25">
      <c r="E578" s="793"/>
      <c r="F578" s="793"/>
      <c r="G578" s="793"/>
      <c r="H578" s="794"/>
    </row>
    <row r="579" spans="5:8" ht="12.75" customHeight="1" x14ac:dyDescent="0.25">
      <c r="E579" s="793"/>
      <c r="F579" s="793"/>
      <c r="G579" s="793"/>
      <c r="H579" s="794"/>
    </row>
    <row r="580" spans="5:8" ht="12.75" customHeight="1" x14ac:dyDescent="0.25">
      <c r="E580" s="793"/>
      <c r="F580" s="793"/>
      <c r="G580" s="793"/>
      <c r="H580" s="794"/>
    </row>
    <row r="581" spans="5:8" ht="12.75" customHeight="1" x14ac:dyDescent="0.25">
      <c r="E581" s="793"/>
      <c r="F581" s="793"/>
      <c r="G581" s="793"/>
      <c r="H581" s="794"/>
    </row>
    <row r="582" spans="5:8" ht="12.75" customHeight="1" x14ac:dyDescent="0.25">
      <c r="E582" s="793"/>
      <c r="F582" s="793"/>
      <c r="G582" s="793"/>
      <c r="H582" s="794"/>
    </row>
    <row r="583" spans="5:8" ht="12.75" customHeight="1" x14ac:dyDescent="0.25">
      <c r="E583" s="793"/>
      <c r="F583" s="793"/>
      <c r="G583" s="793"/>
      <c r="H583" s="794"/>
    </row>
    <row r="584" spans="5:8" ht="12.75" customHeight="1" x14ac:dyDescent="0.25">
      <c r="E584" s="793"/>
      <c r="F584" s="793"/>
      <c r="G584" s="793"/>
      <c r="H584" s="794"/>
    </row>
    <row r="585" spans="5:8" ht="12.75" customHeight="1" x14ac:dyDescent="0.25">
      <c r="E585" s="793"/>
      <c r="F585" s="793"/>
      <c r="G585" s="793"/>
      <c r="H585" s="794"/>
    </row>
    <row r="586" spans="5:8" ht="12.75" customHeight="1" x14ac:dyDescent="0.25">
      <c r="E586" s="793"/>
      <c r="F586" s="793"/>
      <c r="G586" s="793"/>
      <c r="H586" s="794"/>
    </row>
    <row r="587" spans="5:8" ht="12.75" customHeight="1" x14ac:dyDescent="0.25">
      <c r="E587" s="793"/>
      <c r="F587" s="793"/>
      <c r="G587" s="793"/>
      <c r="H587" s="794"/>
    </row>
    <row r="588" spans="5:8" ht="12.75" customHeight="1" x14ac:dyDescent="0.25">
      <c r="E588" s="793"/>
      <c r="F588" s="793"/>
      <c r="G588" s="793"/>
      <c r="H588" s="794"/>
    </row>
    <row r="589" spans="5:8" ht="12.75" customHeight="1" x14ac:dyDescent="0.25">
      <c r="E589" s="793"/>
      <c r="F589" s="793"/>
      <c r="G589" s="793"/>
      <c r="H589" s="794"/>
    </row>
    <row r="590" spans="5:8" ht="12.75" customHeight="1" x14ac:dyDescent="0.25">
      <c r="E590" s="793"/>
      <c r="F590" s="793"/>
      <c r="G590" s="793"/>
      <c r="H590" s="794"/>
    </row>
    <row r="591" spans="5:8" ht="12.75" customHeight="1" x14ac:dyDescent="0.25">
      <c r="E591" s="793"/>
      <c r="F591" s="793"/>
      <c r="G591" s="793"/>
      <c r="H591" s="794"/>
    </row>
    <row r="592" spans="5:8" ht="12.75" customHeight="1" x14ac:dyDescent="0.25">
      <c r="E592" s="793"/>
      <c r="F592" s="793"/>
      <c r="G592" s="793"/>
      <c r="H592" s="794"/>
    </row>
    <row r="593" spans="5:8" ht="12.75" customHeight="1" x14ac:dyDescent="0.25">
      <c r="E593" s="793"/>
      <c r="F593" s="793"/>
      <c r="G593" s="793"/>
      <c r="H593" s="794"/>
    </row>
    <row r="594" spans="5:8" ht="12.75" customHeight="1" x14ac:dyDescent="0.25">
      <c r="E594" s="793"/>
      <c r="F594" s="793"/>
      <c r="G594" s="793"/>
      <c r="H594" s="794"/>
    </row>
    <row r="595" spans="5:8" ht="12.75" customHeight="1" x14ac:dyDescent="0.25">
      <c r="E595" s="793"/>
      <c r="F595" s="793"/>
      <c r="G595" s="793"/>
      <c r="H595" s="794"/>
    </row>
    <row r="596" spans="5:8" ht="12.75" customHeight="1" x14ac:dyDescent="0.25">
      <c r="E596" s="793"/>
      <c r="F596" s="793"/>
      <c r="G596" s="793"/>
      <c r="H596" s="794"/>
    </row>
    <row r="597" spans="5:8" ht="12.75" customHeight="1" x14ac:dyDescent="0.25">
      <c r="E597" s="793"/>
      <c r="F597" s="793"/>
      <c r="G597" s="793"/>
      <c r="H597" s="794"/>
    </row>
    <row r="598" spans="5:8" ht="12.75" customHeight="1" x14ac:dyDescent="0.25">
      <c r="E598" s="793"/>
      <c r="F598" s="793"/>
      <c r="G598" s="793"/>
      <c r="H598" s="794"/>
    </row>
    <row r="599" spans="5:8" ht="12.75" customHeight="1" x14ac:dyDescent="0.25">
      <c r="E599" s="793"/>
      <c r="F599" s="793"/>
      <c r="G599" s="793"/>
      <c r="H599" s="794"/>
    </row>
    <row r="600" spans="5:8" ht="12.75" customHeight="1" x14ac:dyDescent="0.25">
      <c r="E600" s="793"/>
      <c r="F600" s="793"/>
      <c r="G600" s="793"/>
      <c r="H600" s="794"/>
    </row>
    <row r="601" spans="5:8" ht="12.75" customHeight="1" x14ac:dyDescent="0.25">
      <c r="E601" s="793"/>
      <c r="F601" s="793"/>
      <c r="G601" s="793"/>
      <c r="H601" s="794"/>
    </row>
    <row r="602" spans="5:8" ht="12.75" customHeight="1" x14ac:dyDescent="0.25">
      <c r="E602" s="793"/>
      <c r="F602" s="793"/>
      <c r="G602" s="793"/>
      <c r="H602" s="794"/>
    </row>
    <row r="603" spans="5:8" ht="12.75" customHeight="1" x14ac:dyDescent="0.25">
      <c r="E603" s="793"/>
      <c r="F603" s="793"/>
      <c r="G603" s="793"/>
      <c r="H603" s="794"/>
    </row>
    <row r="604" spans="5:8" ht="12.75" customHeight="1" x14ac:dyDescent="0.25">
      <c r="E604" s="793"/>
      <c r="F604" s="793"/>
      <c r="G604" s="793"/>
      <c r="H604" s="794"/>
    </row>
    <row r="605" spans="5:8" ht="12.75" customHeight="1" x14ac:dyDescent="0.25">
      <c r="E605" s="793"/>
      <c r="F605" s="793"/>
      <c r="G605" s="793"/>
      <c r="H605" s="794"/>
    </row>
    <row r="606" spans="5:8" ht="12.75" customHeight="1" x14ac:dyDescent="0.25">
      <c r="E606" s="793"/>
      <c r="F606" s="793"/>
      <c r="G606" s="793"/>
      <c r="H606" s="794"/>
    </row>
    <row r="607" spans="5:8" ht="12.75" customHeight="1" x14ac:dyDescent="0.25">
      <c r="E607" s="793"/>
      <c r="F607" s="793"/>
      <c r="G607" s="793"/>
      <c r="H607" s="794"/>
    </row>
    <row r="608" spans="5:8" ht="12.75" customHeight="1" x14ac:dyDescent="0.25">
      <c r="E608" s="793"/>
      <c r="F608" s="793"/>
      <c r="G608" s="793"/>
      <c r="H608" s="794"/>
    </row>
    <row r="609" spans="5:8" ht="12.75" customHeight="1" x14ac:dyDescent="0.25">
      <c r="E609" s="793"/>
      <c r="F609" s="793"/>
      <c r="G609" s="793"/>
      <c r="H609" s="794"/>
    </row>
    <row r="610" spans="5:8" ht="12.75" customHeight="1" x14ac:dyDescent="0.25">
      <c r="E610" s="793"/>
      <c r="F610" s="793"/>
      <c r="G610" s="793"/>
      <c r="H610" s="794"/>
    </row>
    <row r="611" spans="5:8" ht="12.75" customHeight="1" x14ac:dyDescent="0.25">
      <c r="E611" s="793"/>
      <c r="F611" s="793"/>
      <c r="G611" s="793"/>
      <c r="H611" s="794"/>
    </row>
    <row r="612" spans="5:8" ht="12.75" customHeight="1" x14ac:dyDescent="0.25">
      <c r="E612" s="793"/>
      <c r="F612" s="793"/>
      <c r="G612" s="793"/>
      <c r="H612" s="794"/>
    </row>
    <row r="613" spans="5:8" ht="12.75" customHeight="1" x14ac:dyDescent="0.25">
      <c r="E613" s="793"/>
      <c r="F613" s="793"/>
      <c r="G613" s="793"/>
      <c r="H613" s="794"/>
    </row>
    <row r="614" spans="5:8" ht="12.75" customHeight="1" x14ac:dyDescent="0.25">
      <c r="E614" s="793"/>
      <c r="F614" s="793"/>
      <c r="G614" s="793"/>
      <c r="H614" s="794"/>
    </row>
    <row r="615" spans="5:8" ht="12.75" customHeight="1" x14ac:dyDescent="0.25">
      <c r="E615" s="793"/>
      <c r="F615" s="793"/>
      <c r="G615" s="793"/>
      <c r="H615" s="794"/>
    </row>
    <row r="616" spans="5:8" ht="12.75" customHeight="1" x14ac:dyDescent="0.25">
      <c r="E616" s="793"/>
      <c r="F616" s="793"/>
      <c r="G616" s="793"/>
      <c r="H616" s="794"/>
    </row>
    <row r="617" spans="5:8" ht="12.75" customHeight="1" x14ac:dyDescent="0.25">
      <c r="E617" s="793"/>
      <c r="F617" s="793"/>
      <c r="G617" s="793"/>
      <c r="H617" s="794"/>
    </row>
    <row r="618" spans="5:8" ht="12.75" customHeight="1" x14ac:dyDescent="0.25">
      <c r="E618" s="793"/>
      <c r="F618" s="793"/>
      <c r="G618" s="793"/>
      <c r="H618" s="794"/>
    </row>
    <row r="619" spans="5:8" ht="12.75" customHeight="1" x14ac:dyDescent="0.25">
      <c r="E619" s="793"/>
      <c r="F619" s="793"/>
      <c r="G619" s="793"/>
      <c r="H619" s="794"/>
    </row>
    <row r="620" spans="5:8" ht="12.75" customHeight="1" x14ac:dyDescent="0.25">
      <c r="E620" s="793"/>
      <c r="F620" s="793"/>
      <c r="G620" s="793"/>
      <c r="H620" s="794"/>
    </row>
    <row r="621" spans="5:8" ht="12.75" customHeight="1" x14ac:dyDescent="0.25">
      <c r="E621" s="793"/>
      <c r="F621" s="793"/>
      <c r="G621" s="793"/>
      <c r="H621" s="794"/>
    </row>
    <row r="622" spans="5:8" ht="12.75" customHeight="1" x14ac:dyDescent="0.25">
      <c r="E622" s="793"/>
      <c r="F622" s="793"/>
      <c r="G622" s="793"/>
      <c r="H622" s="794"/>
    </row>
    <row r="623" spans="5:8" ht="12.75" customHeight="1" x14ac:dyDescent="0.25">
      <c r="E623" s="793"/>
      <c r="F623" s="793"/>
      <c r="G623" s="793"/>
      <c r="H623" s="794"/>
    </row>
    <row r="624" spans="5:8" ht="12.75" customHeight="1" x14ac:dyDescent="0.25">
      <c r="E624" s="793"/>
      <c r="F624" s="793"/>
      <c r="G624" s="793"/>
      <c r="H624" s="794"/>
    </row>
    <row r="625" spans="5:8" ht="12.75" customHeight="1" x14ac:dyDescent="0.25">
      <c r="E625" s="793"/>
      <c r="F625" s="793"/>
      <c r="G625" s="793"/>
      <c r="H625" s="794"/>
    </row>
    <row r="626" spans="5:8" ht="12.75" customHeight="1" x14ac:dyDescent="0.25">
      <c r="E626" s="793"/>
      <c r="F626" s="793"/>
      <c r="G626" s="793"/>
      <c r="H626" s="794"/>
    </row>
    <row r="627" spans="5:8" ht="12.75" customHeight="1" x14ac:dyDescent="0.25">
      <c r="E627" s="793"/>
      <c r="F627" s="793"/>
      <c r="G627" s="793"/>
      <c r="H627" s="794"/>
    </row>
    <row r="628" spans="5:8" ht="12.75" customHeight="1" x14ac:dyDescent="0.25">
      <c r="E628" s="793"/>
      <c r="F628" s="793"/>
      <c r="G628" s="793"/>
      <c r="H628" s="794"/>
    </row>
    <row r="629" spans="5:8" ht="12.75" customHeight="1" x14ac:dyDescent="0.25">
      <c r="E629" s="793"/>
      <c r="F629" s="793"/>
      <c r="G629" s="793"/>
      <c r="H629" s="794"/>
    </row>
    <row r="630" spans="5:8" ht="12.75" customHeight="1" x14ac:dyDescent="0.25">
      <c r="E630" s="793"/>
      <c r="F630" s="793"/>
      <c r="G630" s="793"/>
      <c r="H630" s="794"/>
    </row>
    <row r="631" spans="5:8" ht="12.75" customHeight="1" x14ac:dyDescent="0.25">
      <c r="E631" s="793"/>
      <c r="F631" s="793"/>
      <c r="G631" s="793"/>
      <c r="H631" s="794"/>
    </row>
    <row r="632" spans="5:8" ht="12.75" customHeight="1" x14ac:dyDescent="0.25">
      <c r="E632" s="793"/>
      <c r="F632" s="793"/>
      <c r="G632" s="793"/>
      <c r="H632" s="794"/>
    </row>
    <row r="633" spans="5:8" ht="12.75" customHeight="1" x14ac:dyDescent="0.25">
      <c r="E633" s="793"/>
      <c r="F633" s="793"/>
      <c r="G633" s="793"/>
      <c r="H633" s="794"/>
    </row>
    <row r="634" spans="5:8" ht="12.75" customHeight="1" x14ac:dyDescent="0.25">
      <c r="E634" s="793"/>
      <c r="F634" s="793"/>
      <c r="G634" s="793"/>
      <c r="H634" s="794"/>
    </row>
    <row r="635" spans="5:8" ht="12.75" customHeight="1" x14ac:dyDescent="0.25"/>
    <row r="636" spans="5:8" ht="12.75" customHeight="1" x14ac:dyDescent="0.25"/>
    <row r="637" spans="5:8" ht="12.75" customHeight="1" x14ac:dyDescent="0.25"/>
    <row r="638" spans="5:8" ht="12.75" customHeight="1" x14ac:dyDescent="0.25"/>
    <row r="639" spans="5:8" ht="12.75" customHeight="1" x14ac:dyDescent="0.25"/>
    <row r="640" spans="5:8"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row r="1068" ht="12.75" customHeight="1" x14ac:dyDescent="0.25"/>
    <row r="1069" ht="12.75" customHeight="1" x14ac:dyDescent="0.25"/>
    <row r="1070" ht="12.75" customHeight="1" x14ac:dyDescent="0.25"/>
    <row r="1071" ht="12.75" customHeight="1" x14ac:dyDescent="0.25"/>
    <row r="1072" ht="12.75" customHeight="1" x14ac:dyDescent="0.25"/>
    <row r="1073" ht="12.75" customHeight="1" x14ac:dyDescent="0.25"/>
    <row r="1074" ht="12.75" customHeight="1" x14ac:dyDescent="0.25"/>
    <row r="1075" ht="12.75" customHeight="1" x14ac:dyDescent="0.25"/>
    <row r="1076" ht="12.75" customHeight="1" x14ac:dyDescent="0.25"/>
    <row r="1077" ht="12.75" customHeight="1" x14ac:dyDescent="0.25"/>
    <row r="1078" ht="12.75" customHeight="1" x14ac:dyDescent="0.25"/>
    <row r="1079" ht="12.75" customHeight="1" x14ac:dyDescent="0.25"/>
    <row r="1080" ht="12.75" customHeight="1" x14ac:dyDescent="0.25"/>
    <row r="1081" ht="12.75" customHeight="1" x14ac:dyDescent="0.25"/>
    <row r="1082" ht="12.75" customHeight="1" x14ac:dyDescent="0.25"/>
    <row r="1083" ht="12.75" customHeight="1" x14ac:dyDescent="0.25"/>
    <row r="1084" ht="12.75" customHeight="1" x14ac:dyDescent="0.25"/>
    <row r="1085" ht="12.75" customHeight="1" x14ac:dyDescent="0.25"/>
    <row r="1086" ht="12.75" customHeight="1" x14ac:dyDescent="0.25"/>
    <row r="1087" ht="12.75" customHeight="1" x14ac:dyDescent="0.25"/>
    <row r="1088" ht="12.75" customHeight="1" x14ac:dyDescent="0.25"/>
    <row r="1089" ht="12.75" customHeight="1" x14ac:dyDescent="0.25"/>
    <row r="1090" ht="12.75" customHeight="1" x14ac:dyDescent="0.25"/>
    <row r="1091" ht="12.75" customHeight="1" x14ac:dyDescent="0.25"/>
    <row r="1092" ht="12.75" customHeight="1" x14ac:dyDescent="0.25"/>
    <row r="1093" ht="12.75" customHeight="1" x14ac:dyDescent="0.25"/>
    <row r="1094" ht="12.75" customHeight="1" x14ac:dyDescent="0.25"/>
    <row r="1095" ht="12.75" customHeight="1" x14ac:dyDescent="0.25"/>
    <row r="1096" ht="12.75" customHeight="1" x14ac:dyDescent="0.25"/>
    <row r="1097" ht="12.75" customHeight="1" x14ac:dyDescent="0.25"/>
    <row r="1098" ht="12.75" customHeight="1" x14ac:dyDescent="0.25"/>
    <row r="1099" ht="12.75" customHeight="1" x14ac:dyDescent="0.25"/>
    <row r="1100" ht="12.75" customHeight="1" x14ac:dyDescent="0.25"/>
    <row r="1101" ht="12.75" customHeight="1" x14ac:dyDescent="0.25"/>
    <row r="1102" ht="12.75" customHeight="1" x14ac:dyDescent="0.25"/>
    <row r="1103" ht="12.75" customHeight="1" x14ac:dyDescent="0.25"/>
    <row r="1104" ht="12.75" customHeight="1" x14ac:dyDescent="0.25"/>
    <row r="1105" ht="12.75" customHeight="1" x14ac:dyDescent="0.25"/>
    <row r="1106" ht="12.75" customHeight="1" x14ac:dyDescent="0.25"/>
    <row r="1107" ht="12.75" customHeight="1" x14ac:dyDescent="0.25"/>
    <row r="1108" ht="12.75" customHeight="1" x14ac:dyDescent="0.25"/>
    <row r="1109" ht="12.75" customHeight="1" x14ac:dyDescent="0.25"/>
  </sheetData>
  <sheetProtection algorithmName="SHA-512" hashValue="j6hRPRt1KwXRaA8mr/4h8OQjbHtq4vEuUsnHn95M2B4kzLfM+iCQvglzUrMy0hHlGwS/tXU6MTM2ntwnI9nvDg==" saltValue="UZNvREeGJWnQerB1fiGjIw==" spinCount="100000" sheet="1" autoFilter="0"/>
  <mergeCells count="85">
    <mergeCell ref="A1:B2"/>
    <mergeCell ref="E1:H2"/>
    <mergeCell ref="K1:M1"/>
    <mergeCell ref="N1:P1"/>
    <mergeCell ref="AD1:AE2"/>
    <mergeCell ref="AH1:AJ2"/>
    <mergeCell ref="AK1:AN3"/>
    <mergeCell ref="K2:M2"/>
    <mergeCell ref="N2:O17"/>
    <mergeCell ref="P2:P17"/>
    <mergeCell ref="A3:B3"/>
    <mergeCell ref="K3:M3"/>
    <mergeCell ref="AD3:AE3"/>
    <mergeCell ref="A6:A9"/>
    <mergeCell ref="B6:B9"/>
    <mergeCell ref="AD6:AD9"/>
    <mergeCell ref="AE6:AE9"/>
    <mergeCell ref="A10:A13"/>
    <mergeCell ref="B10:B13"/>
    <mergeCell ref="AD10:AD13"/>
    <mergeCell ref="AE10:AE13"/>
    <mergeCell ref="A14:A17"/>
    <mergeCell ref="B14:B17"/>
    <mergeCell ref="AD14:AD17"/>
    <mergeCell ref="AE14:AE17"/>
    <mergeCell ref="AD18:AD21"/>
    <mergeCell ref="AE18:AE21"/>
    <mergeCell ref="A22:A25"/>
    <mergeCell ref="B22:B25"/>
    <mergeCell ref="N22:P23"/>
    <mergeCell ref="AD22:AD25"/>
    <mergeCell ref="AE22:AE25"/>
    <mergeCell ref="A18:A21"/>
    <mergeCell ref="B18:B21"/>
    <mergeCell ref="N18:N21"/>
    <mergeCell ref="O18:O21"/>
    <mergeCell ref="P18:P21"/>
    <mergeCell ref="A26:A29"/>
    <mergeCell ref="B26:B29"/>
    <mergeCell ref="AD26:AD29"/>
    <mergeCell ref="AE26:AE29"/>
    <mergeCell ref="A30:A33"/>
    <mergeCell ref="B30:B33"/>
    <mergeCell ref="AD30:AD33"/>
    <mergeCell ref="AE30:AE33"/>
    <mergeCell ref="A34:A37"/>
    <mergeCell ref="B34:B37"/>
    <mergeCell ref="AD34:AD37"/>
    <mergeCell ref="AE34:AE37"/>
    <mergeCell ref="A70:A73"/>
    <mergeCell ref="B70:B73"/>
    <mergeCell ref="AD70:AD73"/>
    <mergeCell ref="AE70:AE73"/>
    <mergeCell ref="A74:A77"/>
    <mergeCell ref="B74:B77"/>
    <mergeCell ref="AD74:AD77"/>
    <mergeCell ref="AE74:AE77"/>
    <mergeCell ref="A78:A81"/>
    <mergeCell ref="B78:B81"/>
    <mergeCell ref="AD78:AD81"/>
    <mergeCell ref="AE78:AE81"/>
    <mergeCell ref="A82:A85"/>
    <mergeCell ref="B82:B85"/>
    <mergeCell ref="AD82:AD85"/>
    <mergeCell ref="AE82:AE85"/>
    <mergeCell ref="A86:A89"/>
    <mergeCell ref="B86:B89"/>
    <mergeCell ref="AD86:AD89"/>
    <mergeCell ref="AE86:AE89"/>
    <mergeCell ref="A90:A93"/>
    <mergeCell ref="B90:B93"/>
    <mergeCell ref="AD90:AD93"/>
    <mergeCell ref="AE90:AE93"/>
    <mergeCell ref="A94:A97"/>
    <mergeCell ref="B94:B97"/>
    <mergeCell ref="AD94:AD97"/>
    <mergeCell ref="AE94:AE97"/>
    <mergeCell ref="A98:A101"/>
    <mergeCell ref="B98:B101"/>
    <mergeCell ref="AD98:AD101"/>
    <mergeCell ref="AE98:AE101"/>
    <mergeCell ref="A102:A109"/>
    <mergeCell ref="B102:B109"/>
    <mergeCell ref="AD102:AD109"/>
    <mergeCell ref="AE102:AE109"/>
  </mergeCells>
  <conditionalFormatting sqref="E3:G65536">
    <cfRule type="cellIs" dxfId="126" priority="2" operator="equal">
      <formula>0</formula>
    </cfRule>
  </conditionalFormatting>
  <conditionalFormatting sqref="K4:K109">
    <cfRule type="cellIs" dxfId="125" priority="12" operator="between">
      <formula>8</formula>
      <formula>1</formula>
    </cfRule>
  </conditionalFormatting>
  <conditionalFormatting sqref="M4:M5 M30:M37 M44:M45 M52:M53 M60:M61 M68:M69 M94:M109">
    <cfRule type="cellIs" dxfId="124" priority="10" operator="equal">
      <formula>"BIT OLD MAYBE"</formula>
    </cfRule>
    <cfRule type="cellIs" dxfId="123" priority="11" operator="equal">
      <formula>"TOO YOUNG"</formula>
    </cfRule>
  </conditionalFormatting>
  <conditionalFormatting sqref="M4:M109">
    <cfRule type="cellIs" dxfId="122" priority="9" operator="equal">
      <formula>"OK"</formula>
    </cfRule>
  </conditionalFormatting>
  <conditionalFormatting sqref="M6:M29 M38:M43 M46:M51 M54:M59 M62:M67 M70:M93">
    <cfRule type="cellIs" dxfId="121" priority="13" operator="equal">
      <formula>"NOT ELIGIBLE"</formula>
    </cfRule>
    <cfRule type="cellIs" dxfId="120" priority="14" operator="equal">
      <formula>"TOO YOUNG"</formula>
    </cfRule>
  </conditionalFormatting>
  <conditionalFormatting sqref="N2">
    <cfRule type="cellIs" dxfId="119" priority="3" operator="greaterThan">
      <formula>0</formula>
    </cfRule>
  </conditionalFormatting>
  <conditionalFormatting sqref="N18:O21">
    <cfRule type="cellIs" dxfId="118" priority="6" operator="greaterThan">
      <formula>0</formula>
    </cfRule>
  </conditionalFormatting>
  <conditionalFormatting sqref="P2">
    <cfRule type="cellIs" dxfId="117" priority="7" operator="greaterThan">
      <formula>0</formula>
    </cfRule>
  </conditionalFormatting>
  <conditionalFormatting sqref="P18">
    <cfRule type="cellIs" dxfId="116" priority="5" operator="greaterThan">
      <formula>0</formula>
    </cfRule>
  </conditionalFormatting>
  <conditionalFormatting sqref="Q1:Q17 P2 Q22:Q23">
    <cfRule type="cellIs" dxfId="115" priority="4" operator="greaterThan">
      <formula>"A"</formula>
    </cfRule>
  </conditionalFormatting>
  <conditionalFormatting sqref="AH1:AJ1 AH3:AJ3 AH4:AO98 AL99:AO105 AH99:AK109">
    <cfRule type="cellIs" dxfId="114" priority="8" operator="equal">
      <formula>0</formula>
    </cfRule>
  </conditionalFormatting>
  <dataValidations count="9">
    <dataValidation allowBlank="1" showInputMessage="1" showErrorMessage="1" promptTitle="DRAG &amp; DROP IS NOT PERMITTED" sqref="J4:J101" xr:uid="{00000000-0002-0000-0800-000000000000}">
      <formula1>0</formula1>
      <formula2>0</formula2>
    </dataValidation>
    <dataValidation allowBlank="1" showInputMessage="1" showErrorMessage="1" promptTitle="IF EMPTY" prompt="Please add the row title GIVEN NAME in this box (See Left)" sqref="F3" xr:uid="{00000000-0002-0000-0800-000001000000}">
      <formula1>0</formula1>
      <formula2>0</formula2>
    </dataValidation>
    <dataValidation allowBlank="1" showInputMessage="1" showErrorMessage="1" promptTitle="IF EMPTY" prompt="Please add the row title FAMILY NAME in this box (See Left)" sqref="G3" xr:uid="{00000000-0002-0000-0800-000002000000}">
      <formula1>0</formula1>
      <formula2>0</formula2>
    </dataValidation>
    <dataValidation allowBlank="1" showInputMessage="1" showErrorMessage="1" promptTitle="IF EMPTY" prompt="Please add the row title ASA NO in this box (See Left)" sqref="E3" xr:uid="{00000000-0002-0000-0800-000003000000}">
      <formula1>0</formula1>
      <formula2>0</formula2>
    </dataValidation>
    <dataValidation allowBlank="1" showInputMessage="1" showErrorMessage="1" promptTitle="IF EMPTY" prompt="Please add the row title D.O.B. in this box (See Left)" sqref="H3" xr:uid="{00000000-0002-0000-0800-000004000000}">
      <formula1>0</formula1>
      <formula2>0</formula2>
    </dataValidation>
    <dataValidation allowBlank="1" showInputMessage="1" showErrorMessage="1" prompt="Enter the swimmers Family Name as registered with the ASA" sqref="G4 G30 G82" xr:uid="{00000000-0002-0000-0800-000005000000}">
      <formula1>0</formula1>
      <formula2>0</formula2>
    </dataValidation>
    <dataValidation allowBlank="1" showInputMessage="1" showErrorMessage="1" prompt="Enter the Swimmers Given name (1st Name) as registered with the ASA_x000a_" sqref="F4 F30 F82" xr:uid="{00000000-0002-0000-0800-000006000000}">
      <formula1>0</formula1>
      <formula2>0</formula2>
    </dataValidation>
    <dataValidation allowBlank="1" showInputMessage="1" showErrorMessage="1" prompt="Enter the Swimmers Date of birth.  Day, Month, Year  _x000a_ie 21/11/2011" sqref="H4 H52" xr:uid="{00000000-0002-0000-0800-000007000000}">
      <formula1>0</formula1>
      <formula2>0</formula2>
    </dataValidation>
    <dataValidation allowBlank="1" showInputMessage="1" showErrorMessage="1" error="You must now &quot;undo&quot; drag and drop" sqref="F5:H5 F31:G31 H53 F83:G83" xr:uid="{00000000-0002-0000-0800-000008000000}">
      <formula1>0</formula1>
      <formula2>0</formula2>
    </dataValidation>
  </dataValidations>
  <hyperlinks>
    <hyperlink ref="N18" location="'Gala Setup'!G2" display="Gala Setup" xr:uid="{00000000-0004-0000-0800-000000000000}"/>
    <hyperlink ref="O18" location="Recording!C26" display="Gala Recording" xr:uid="{00000000-0004-0000-0800-000001000000}"/>
    <hyperlink ref="P18" location="'Lane Timer sheets'!D1" display="Lane Timer Sheets" xr:uid="{00000000-0004-0000-0800-000002000000}"/>
  </hyperlinks>
  <pageMargins left="0.39374999999999999" right="0.35416666666666702" top="0.39374999999999999" bottom="0.39374999999999999" header="0.511811023622047" footer="0.511811023622047"/>
  <pageSetup paperSize="9" fitToHeight="2"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Q1109"/>
  <sheetViews>
    <sheetView showRowColHeaders="0" zoomScale="80" zoomScaleNormal="80" workbookViewId="0">
      <selection activeCell="E3" sqref="E3"/>
    </sheetView>
  </sheetViews>
  <sheetFormatPr defaultColWidth="8.6640625" defaultRowHeight="13.2" x14ac:dyDescent="0.25"/>
  <cols>
    <col min="1" max="1" width="4.5546875" customWidth="1"/>
    <col min="2" max="2" width="31.88671875" customWidth="1"/>
    <col min="3" max="3" width="4.5546875" hidden="1" customWidth="1"/>
    <col min="4" max="4" width="9.6640625" hidden="1" customWidth="1"/>
    <col min="5" max="5" width="9.88671875" style="130" customWidth="1"/>
    <col min="6" max="6" width="23.6640625" style="130" customWidth="1"/>
    <col min="7" max="7" width="33.88671875" style="130" customWidth="1"/>
    <col min="8" max="8" width="12.109375" style="698" customWidth="1"/>
    <col min="9" max="10" width="12.109375" hidden="1" customWidth="1"/>
    <col min="11" max="11" width="10.6640625" customWidth="1"/>
    <col min="12" max="12" width="4.5546875" hidden="1" customWidth="1"/>
    <col min="13" max="13" width="17.6640625" customWidth="1"/>
    <col min="14" max="15" width="14.6640625" style="134" customWidth="1"/>
    <col min="16" max="16" width="29.6640625" style="134" customWidth="1"/>
    <col min="17" max="17" width="8.33203125" style="134" customWidth="1"/>
    <col min="18" max="29" width="8.88671875" style="134" customWidth="1"/>
    <col min="30" max="30" width="4.5546875" style="699" customWidth="1"/>
    <col min="31" max="31" width="26" style="700" customWidth="1"/>
    <col min="32" max="32" width="2.33203125" hidden="1" customWidth="1"/>
    <col min="33" max="33" width="3.6640625" hidden="1" customWidth="1"/>
    <col min="34" max="34" width="9.88671875" customWidth="1"/>
    <col min="35" max="35" width="23.6640625" customWidth="1"/>
    <col min="36" max="36" width="34.33203125" customWidth="1"/>
    <col min="41" max="41" width="9.109375" customWidth="1"/>
    <col min="42" max="42" width="23.6640625" customWidth="1"/>
    <col min="43" max="43" width="8.33203125" hidden="1" customWidth="1"/>
  </cols>
  <sheetData>
    <row r="1" spans="1:43" ht="42.75" customHeight="1" x14ac:dyDescent="0.25">
      <c r="A1" s="1267" t="s">
        <v>4621</v>
      </c>
      <c r="B1" s="1267"/>
      <c r="C1" s="701"/>
      <c r="D1" s="702"/>
      <c r="E1" s="1268" t="s">
        <v>4765</v>
      </c>
      <c r="F1" s="1268"/>
      <c r="G1" s="1268"/>
      <c r="H1" s="1268"/>
      <c r="I1" s="703"/>
      <c r="J1" s="704"/>
      <c r="K1" s="1269" t="s">
        <v>4623</v>
      </c>
      <c r="L1" s="1269"/>
      <c r="M1" s="1269"/>
      <c r="N1" s="1270" t="s">
        <v>4624</v>
      </c>
      <c r="O1" s="1270"/>
      <c r="P1" s="1270"/>
      <c r="Q1" s="705"/>
      <c r="AD1" s="1271" t="str">
        <f t="array" ref="AD1">'Team 1'!AD1:AE2</f>
        <v>TEAM NAME</v>
      </c>
      <c r="AE1" s="1271"/>
      <c r="AF1" s="706"/>
      <c r="AG1" s="707"/>
      <c r="AH1" s="1262" t="str">
        <f>E1</f>
        <v>BORO OF BROXBOURNE</v>
      </c>
      <c r="AI1" s="1262"/>
      <c r="AJ1" s="1262"/>
      <c r="AK1" s="1263"/>
      <c r="AL1" s="1263"/>
      <c r="AM1" s="1263"/>
      <c r="AN1" s="1263"/>
      <c r="AO1" s="708"/>
    </row>
    <row r="2" spans="1:43" ht="42.75" customHeight="1" x14ac:dyDescent="0.25">
      <c r="A2" s="1267"/>
      <c r="B2" s="1267"/>
      <c r="C2" s="709"/>
      <c r="D2" s="710"/>
      <c r="E2" s="1268"/>
      <c r="F2" s="1268"/>
      <c r="G2" s="1268"/>
      <c r="H2" s="1268"/>
      <c r="I2" s="711"/>
      <c r="J2" s="712"/>
      <c r="K2" s="1264">
        <f ca="1">DATE(YEAR(NOW()),12,31)</f>
        <v>45291</v>
      </c>
      <c r="L2" s="1264"/>
      <c r="M2" s="1264"/>
      <c r="N2" s="1265" t="s">
        <v>4766</v>
      </c>
      <c r="O2" s="1265"/>
      <c r="P2" s="1266" t="s">
        <v>4627</v>
      </c>
      <c r="Q2" s="705"/>
      <c r="AD2" s="1271"/>
      <c r="AE2" s="1271"/>
      <c r="AF2" s="713"/>
      <c r="AG2" s="714"/>
      <c r="AH2" s="1262"/>
      <c r="AI2" s="1262"/>
      <c r="AJ2" s="1262"/>
      <c r="AK2" s="1263"/>
      <c r="AL2" s="1263"/>
      <c r="AM2" s="1263"/>
      <c r="AN2" s="1263"/>
      <c r="AO2" s="708"/>
      <c r="AP2" s="708"/>
    </row>
    <row r="3" spans="1:43" ht="46.5" customHeight="1" x14ac:dyDescent="0.25">
      <c r="A3" s="1260" t="s">
        <v>32</v>
      </c>
      <c r="B3" s="1260"/>
      <c r="C3" s="715"/>
      <c r="D3" s="716"/>
      <c r="E3" s="717" t="s">
        <v>4628</v>
      </c>
      <c r="F3" s="718" t="s">
        <v>4629</v>
      </c>
      <c r="G3" s="718" t="s">
        <v>4630</v>
      </c>
      <c r="H3" s="795" t="s">
        <v>4631</v>
      </c>
      <c r="I3" s="720"/>
      <c r="J3" s="721"/>
      <c r="K3" s="1261" t="s">
        <v>4632</v>
      </c>
      <c r="L3" s="1261"/>
      <c r="M3" s="1261"/>
      <c r="N3" s="1265"/>
      <c r="O3" s="1265"/>
      <c r="P3" s="1266"/>
      <c r="Q3" s="705"/>
      <c r="AD3" s="1244"/>
      <c r="AE3" s="1244"/>
      <c r="AF3" s="723"/>
      <c r="AG3" s="724"/>
      <c r="AH3" s="725" t="str">
        <f>'Team 1'!AH3</f>
        <v>SE No</v>
      </c>
      <c r="AI3" s="726" t="s">
        <v>4629</v>
      </c>
      <c r="AJ3" s="726" t="s">
        <v>4630</v>
      </c>
      <c r="AK3" s="1263"/>
      <c r="AL3" s="1263"/>
      <c r="AM3" s="1263"/>
      <c r="AN3" s="1263"/>
      <c r="AO3" s="726"/>
      <c r="AQ3">
        <v>8</v>
      </c>
    </row>
    <row r="4" spans="1:43" ht="20.25" customHeight="1" x14ac:dyDescent="0.25">
      <c r="A4" s="727">
        <v>1</v>
      </c>
      <c r="B4" s="728" t="s">
        <v>4634</v>
      </c>
      <c r="C4" s="728" t="s">
        <v>4635</v>
      </c>
      <c r="D4" s="729">
        <f>IF('Gala Setup'!J$9="100M",29,IF('Gala Setup'!J$9="200M",16))</f>
        <v>16</v>
      </c>
      <c r="E4" s="730">
        <v>1312590</v>
      </c>
      <c r="F4" s="731" t="s">
        <v>4767</v>
      </c>
      <c r="G4" s="731" t="s">
        <v>4768</v>
      </c>
      <c r="H4" s="732">
        <v>39496</v>
      </c>
      <c r="I4" s="733" t="str">
        <f t="shared" ref="I4:I35" si="0">CONCATENATE(F4," ",G4)</f>
        <v>Hannah Lovelock</v>
      </c>
      <c r="J4" s="734" t="str">
        <f t="shared" ref="J4:J35" si="1">CONCATENATE(G4,",",F4)</f>
        <v>Lovelock,Hannah</v>
      </c>
      <c r="K4" s="735">
        <f t="shared" ref="K4:K35" ca="1" si="2">IF(K$2=0,0,IF(AQ4=0,0,IF(COUNTBLANK(AQ4)=1,"",YEAR(K$2)-YEAR(AQ4)-IF(DATE(YEAR(K$2),MONTH(AQ4),DAY(4638))&gt;K$2,1,0))))</f>
        <v>15</v>
      </c>
      <c r="L4" s="736" t="str">
        <f t="shared" ref="L4:L35" si="3">(TEXT(H4,"DDMMYY"))</f>
        <v>180208</v>
      </c>
      <c r="M4" s="737" t="str">
        <f ca="1">IF(K4=0,0,IF(K4&lt;9,"TOO YOUNG",IF(K4&lt;60,"OK","BIT OLD MAYBE")))</f>
        <v>OK</v>
      </c>
      <c r="N4" s="1265"/>
      <c r="O4" s="1265"/>
      <c r="P4" s="1266"/>
      <c r="Q4" s="705"/>
      <c r="AD4" s="722">
        <f t="shared" ref="AD4:AE6" si="4">A4</f>
        <v>1</v>
      </c>
      <c r="AE4" s="738" t="str">
        <f t="shared" si="4"/>
        <v>FEMALE 16+  200M  IM</v>
      </c>
      <c r="AF4" s="440" t="s">
        <v>4635</v>
      </c>
      <c r="AG4" s="739">
        <v>16</v>
      </c>
      <c r="AH4" s="740">
        <f t="shared" ref="AH4:AH35" si="5">E4</f>
        <v>1312590</v>
      </c>
      <c r="AI4" s="740" t="str">
        <f t="shared" ref="AI4:AI35" si="6">F4</f>
        <v>Hannah</v>
      </c>
      <c r="AJ4" s="740" t="str">
        <f t="shared" ref="AJ4:AJ35" si="7">G4</f>
        <v>Lovelock</v>
      </c>
      <c r="AK4" s="740"/>
      <c r="AL4" s="740"/>
      <c r="AM4" s="740"/>
      <c r="AN4" s="740"/>
      <c r="AO4" s="740"/>
      <c r="AQ4" s="741">
        <f t="shared" ref="AQ4:AQ35" ca="1" si="8">INDIRECT(ADDRESS(ROW(),AQ$3))</f>
        <v>39496</v>
      </c>
    </row>
    <row r="5" spans="1:43" ht="20.25" customHeight="1" x14ac:dyDescent="0.25">
      <c r="A5" s="727">
        <v>2</v>
      </c>
      <c r="B5" s="742" t="s">
        <v>4638</v>
      </c>
      <c r="C5" s="742" t="s">
        <v>328</v>
      </c>
      <c r="D5" s="729">
        <f>IF('Gala Setup'!J$9="100M",29,IF('Gala Setup'!J$9="200M",16))</f>
        <v>16</v>
      </c>
      <c r="E5" s="730">
        <v>1289074</v>
      </c>
      <c r="F5" s="731" t="s">
        <v>4769</v>
      </c>
      <c r="G5" s="731" t="s">
        <v>4768</v>
      </c>
      <c r="H5" s="732">
        <v>38654</v>
      </c>
      <c r="I5" s="733" t="str">
        <f t="shared" si="0"/>
        <v>George Lovelock</v>
      </c>
      <c r="J5" s="734" t="str">
        <f t="shared" si="1"/>
        <v>Lovelock,George</v>
      </c>
      <c r="K5" s="735">
        <f t="shared" ca="1" si="2"/>
        <v>18</v>
      </c>
      <c r="L5" s="736" t="str">
        <f t="shared" si="3"/>
        <v>291005</v>
      </c>
      <c r="M5" s="743" t="str">
        <f ca="1">IF(K5=0,0,IF(K5&lt;9,"TOO YOUNG",IF(K5&lt;60,"OK","BIT OLD MAYBE")))</f>
        <v>OK</v>
      </c>
      <c r="N5" s="1265"/>
      <c r="O5" s="1265"/>
      <c r="P5" s="1266"/>
      <c r="Q5" s="705"/>
      <c r="AD5" s="722">
        <f t="shared" si="4"/>
        <v>2</v>
      </c>
      <c r="AE5" s="738" t="str">
        <f t="shared" si="4"/>
        <v>OPEN/MALE 16+ 200M  IM</v>
      </c>
      <c r="AF5" s="443" t="s">
        <v>328</v>
      </c>
      <c r="AG5" s="744">
        <v>16</v>
      </c>
      <c r="AH5" s="740">
        <f t="shared" si="5"/>
        <v>1289074</v>
      </c>
      <c r="AI5" s="740" t="str">
        <f t="shared" si="6"/>
        <v>George</v>
      </c>
      <c r="AJ5" s="740" t="str">
        <f t="shared" si="7"/>
        <v>Lovelock</v>
      </c>
      <c r="AK5" s="740"/>
      <c r="AL5" s="740"/>
      <c r="AM5" s="740"/>
      <c r="AN5" s="740"/>
      <c r="AO5" s="740"/>
      <c r="AQ5" s="741">
        <f t="shared" ca="1" si="8"/>
        <v>38654</v>
      </c>
    </row>
    <row r="6" spans="1:43" ht="20.25" customHeight="1" x14ac:dyDescent="0.25">
      <c r="A6" s="1254">
        <v>3</v>
      </c>
      <c r="B6" s="1255" t="s">
        <v>4641</v>
      </c>
      <c r="C6" s="746"/>
      <c r="D6" s="747"/>
      <c r="E6" s="730">
        <v>1670745</v>
      </c>
      <c r="F6" s="731" t="s">
        <v>4767</v>
      </c>
      <c r="G6" s="731" t="s">
        <v>4770</v>
      </c>
      <c r="H6" s="732">
        <v>41054</v>
      </c>
      <c r="I6" s="733" t="str">
        <f t="shared" si="0"/>
        <v>Hannah Jounor</v>
      </c>
      <c r="J6" s="734" t="str">
        <f t="shared" si="1"/>
        <v>Jounor,Hannah</v>
      </c>
      <c r="K6" s="735">
        <f t="shared" ca="1" si="2"/>
        <v>11</v>
      </c>
      <c r="L6" s="736" t="str">
        <f t="shared" si="3"/>
        <v>250512</v>
      </c>
      <c r="M6" s="748" t="str">
        <f t="shared" ref="M6:M13" ca="1" si="9">IF(K6=0,0,IF(K6&lt;9,"TOO YOUNG",IF(K6&lt;12,"OK","NOT ELIGIBLE")))</f>
        <v>OK</v>
      </c>
      <c r="N6" s="1265"/>
      <c r="O6" s="1265"/>
      <c r="P6" s="1266"/>
      <c r="Q6" s="705"/>
      <c r="AD6" s="1244">
        <f t="shared" si="4"/>
        <v>3</v>
      </c>
      <c r="AE6" s="1245" t="str">
        <f t="shared" si="4"/>
        <v>FEMALE 9/11 4 X 50M
FREESTYLE RELAY</v>
      </c>
      <c r="AF6" s="749"/>
      <c r="AG6" s="750"/>
      <c r="AH6" s="740">
        <f t="shared" si="5"/>
        <v>1670745</v>
      </c>
      <c r="AI6" s="740" t="str">
        <f t="shared" si="6"/>
        <v>Hannah</v>
      </c>
      <c r="AJ6" s="740" t="str">
        <f t="shared" si="7"/>
        <v>Jounor</v>
      </c>
      <c r="AK6" s="740"/>
      <c r="AL6" s="740"/>
      <c r="AM6" s="740"/>
      <c r="AN6" s="740"/>
      <c r="AO6" s="740"/>
      <c r="AQ6" s="741">
        <f t="shared" ca="1" si="8"/>
        <v>41054</v>
      </c>
    </row>
    <row r="7" spans="1:43" ht="20.25" customHeight="1" x14ac:dyDescent="0.25">
      <c r="A7" s="1254"/>
      <c r="B7" s="1255"/>
      <c r="C7" s="751"/>
      <c r="D7" s="752"/>
      <c r="E7" s="730">
        <v>1518515</v>
      </c>
      <c r="F7" s="731" t="s">
        <v>4771</v>
      </c>
      <c r="G7" s="731" t="s">
        <v>4772</v>
      </c>
      <c r="H7" s="732">
        <v>40571</v>
      </c>
      <c r="I7" s="733" t="str">
        <f t="shared" si="0"/>
        <v>Niamh Holland</v>
      </c>
      <c r="J7" s="734" t="str">
        <f t="shared" si="1"/>
        <v>Holland,Niamh</v>
      </c>
      <c r="K7" s="735">
        <f t="shared" ca="1" si="2"/>
        <v>12</v>
      </c>
      <c r="L7" s="736" t="str">
        <f t="shared" si="3"/>
        <v>280111</v>
      </c>
      <c r="M7" s="748" t="str">
        <f t="shared" ca="1" si="9"/>
        <v>NOT ELIGIBLE</v>
      </c>
      <c r="N7" s="1265"/>
      <c r="O7" s="1265"/>
      <c r="P7" s="1266"/>
      <c r="Q7" s="705"/>
      <c r="AD7" s="1244"/>
      <c r="AE7" s="1245"/>
      <c r="AF7" s="753"/>
      <c r="AG7" s="754"/>
      <c r="AH7" s="740">
        <f t="shared" si="5"/>
        <v>1518515</v>
      </c>
      <c r="AI7" s="740" t="str">
        <f t="shared" si="6"/>
        <v>Niamh</v>
      </c>
      <c r="AJ7" s="740" t="str">
        <f t="shared" si="7"/>
        <v>Holland</v>
      </c>
      <c r="AK7" s="740"/>
      <c r="AL7" s="740"/>
      <c r="AM7" s="740"/>
      <c r="AN7" s="740"/>
      <c r="AO7" s="740"/>
      <c r="AQ7" s="741">
        <f t="shared" ca="1" si="8"/>
        <v>40571</v>
      </c>
    </row>
    <row r="8" spans="1:43" ht="20.25" customHeight="1" x14ac:dyDescent="0.25">
      <c r="A8" s="1254"/>
      <c r="B8" s="1255"/>
      <c r="C8" s="751"/>
      <c r="D8" s="752"/>
      <c r="E8" s="730">
        <v>1597016</v>
      </c>
      <c r="F8" s="731" t="s">
        <v>4773</v>
      </c>
      <c r="G8" s="731" t="s">
        <v>4774</v>
      </c>
      <c r="H8" s="732">
        <v>41526</v>
      </c>
      <c r="I8" s="733" t="str">
        <f t="shared" si="0"/>
        <v>Scarlett Omand</v>
      </c>
      <c r="J8" s="734" t="str">
        <f t="shared" si="1"/>
        <v>Omand,Scarlett</v>
      </c>
      <c r="K8" s="735">
        <f t="shared" ca="1" si="2"/>
        <v>10</v>
      </c>
      <c r="L8" s="736" t="str">
        <f t="shared" si="3"/>
        <v>090913</v>
      </c>
      <c r="M8" s="748" t="str">
        <f t="shared" ca="1" si="9"/>
        <v>OK</v>
      </c>
      <c r="N8" s="1265"/>
      <c r="O8" s="1265"/>
      <c r="P8" s="1266"/>
      <c r="Q8" s="705"/>
      <c r="AD8" s="1244"/>
      <c r="AE8" s="1245"/>
      <c r="AF8" s="753"/>
      <c r="AG8" s="754"/>
      <c r="AH8" s="740">
        <f t="shared" si="5"/>
        <v>1597016</v>
      </c>
      <c r="AI8" s="740" t="str">
        <f t="shared" si="6"/>
        <v>Scarlett</v>
      </c>
      <c r="AJ8" s="740" t="str">
        <f t="shared" si="7"/>
        <v>Omand</v>
      </c>
      <c r="AK8" s="740"/>
      <c r="AL8" s="740"/>
      <c r="AM8" s="740"/>
      <c r="AN8" s="740"/>
      <c r="AO8" s="740"/>
      <c r="AQ8" s="741">
        <f t="shared" ca="1" si="8"/>
        <v>41526</v>
      </c>
    </row>
    <row r="9" spans="1:43" ht="20.25" customHeight="1" x14ac:dyDescent="0.25">
      <c r="A9" s="1254"/>
      <c r="B9" s="1255"/>
      <c r="C9" s="751"/>
      <c r="D9" s="752"/>
      <c r="E9" s="730">
        <v>1597012</v>
      </c>
      <c r="F9" s="731" t="s">
        <v>4775</v>
      </c>
      <c r="G9" s="731" t="s">
        <v>4776</v>
      </c>
      <c r="H9" s="732">
        <v>41791</v>
      </c>
      <c r="I9" s="733" t="str">
        <f t="shared" si="0"/>
        <v>Chloe Wimpenny</v>
      </c>
      <c r="J9" s="734" t="str">
        <f t="shared" si="1"/>
        <v>Wimpenny,Chloe</v>
      </c>
      <c r="K9" s="735">
        <f t="shared" ca="1" si="2"/>
        <v>9</v>
      </c>
      <c r="L9" s="736" t="str">
        <f t="shared" si="3"/>
        <v>010614</v>
      </c>
      <c r="M9" s="748" t="str">
        <f t="shared" ca="1" si="9"/>
        <v>OK</v>
      </c>
      <c r="N9" s="1265"/>
      <c r="O9" s="1265"/>
      <c r="P9" s="1266"/>
      <c r="Q9" s="705"/>
      <c r="AD9" s="1244"/>
      <c r="AE9" s="1245"/>
      <c r="AF9" s="753"/>
      <c r="AG9" s="754"/>
      <c r="AH9" s="740">
        <f t="shared" si="5"/>
        <v>1597012</v>
      </c>
      <c r="AI9" s="740" t="str">
        <f t="shared" si="6"/>
        <v>Chloe</v>
      </c>
      <c r="AJ9" s="740" t="str">
        <f t="shared" si="7"/>
        <v>Wimpenny</v>
      </c>
      <c r="AK9" s="740"/>
      <c r="AL9" s="740"/>
      <c r="AM9" s="740"/>
      <c r="AN9" s="740"/>
      <c r="AO9" s="740"/>
      <c r="AQ9" s="741">
        <f t="shared" ca="1" si="8"/>
        <v>41791</v>
      </c>
    </row>
    <row r="10" spans="1:43" ht="20.25" customHeight="1" x14ac:dyDescent="0.25">
      <c r="A10" s="1254">
        <v>4</v>
      </c>
      <c r="B10" s="1255" t="s">
        <v>4650</v>
      </c>
      <c r="C10" s="746"/>
      <c r="D10" s="747"/>
      <c r="E10" s="730">
        <v>1657594</v>
      </c>
      <c r="F10" s="731" t="s">
        <v>4777</v>
      </c>
      <c r="G10" s="731" t="s">
        <v>4778</v>
      </c>
      <c r="H10" s="732">
        <v>41589</v>
      </c>
      <c r="I10" s="733" t="str">
        <f t="shared" si="0"/>
        <v>Liam  Thompson</v>
      </c>
      <c r="J10" s="734" t="str">
        <f t="shared" si="1"/>
        <v xml:space="preserve">Thompson,Liam </v>
      </c>
      <c r="K10" s="735">
        <f t="shared" ca="1" si="2"/>
        <v>10</v>
      </c>
      <c r="L10" s="736" t="str">
        <f t="shared" si="3"/>
        <v>111113</v>
      </c>
      <c r="M10" s="748" t="str">
        <f t="shared" ca="1" si="9"/>
        <v>OK</v>
      </c>
      <c r="N10" s="1265"/>
      <c r="O10" s="1265"/>
      <c r="P10" s="1266"/>
      <c r="Q10" s="705"/>
      <c r="AD10" s="1244">
        <f>A10</f>
        <v>4</v>
      </c>
      <c r="AE10" s="1245" t="str">
        <f>B10</f>
        <v>OPEN/MALE 9/11 4 X50M
FREESTYLE RELAY</v>
      </c>
      <c r="AF10" s="749"/>
      <c r="AG10" s="750"/>
      <c r="AH10" s="740">
        <f t="shared" si="5"/>
        <v>1657594</v>
      </c>
      <c r="AI10" s="740" t="str">
        <f t="shared" si="6"/>
        <v xml:space="preserve">Liam </v>
      </c>
      <c r="AJ10" s="740" t="str">
        <f t="shared" si="7"/>
        <v>Thompson</v>
      </c>
      <c r="AK10" s="740"/>
      <c r="AL10" s="740"/>
      <c r="AM10" s="740"/>
      <c r="AN10" s="740"/>
      <c r="AO10" s="740"/>
      <c r="AQ10" s="741">
        <f t="shared" ca="1" si="8"/>
        <v>41589</v>
      </c>
    </row>
    <row r="11" spans="1:43" ht="20.25" customHeight="1" x14ac:dyDescent="0.25">
      <c r="A11" s="1254"/>
      <c r="B11" s="1255"/>
      <c r="C11" s="751"/>
      <c r="D11" s="752"/>
      <c r="E11" s="730">
        <v>1597049</v>
      </c>
      <c r="F11" s="731" t="s">
        <v>2504</v>
      </c>
      <c r="G11" s="731" t="s">
        <v>4779</v>
      </c>
      <c r="H11" s="732">
        <v>41340</v>
      </c>
      <c r="I11" s="733" t="str">
        <f t="shared" si="0"/>
        <v>Maxwell Croft</v>
      </c>
      <c r="J11" s="734" t="str">
        <f t="shared" si="1"/>
        <v>Croft,Maxwell</v>
      </c>
      <c r="K11" s="735">
        <f t="shared" ca="1" si="2"/>
        <v>10</v>
      </c>
      <c r="L11" s="736" t="str">
        <f t="shared" si="3"/>
        <v>070313</v>
      </c>
      <c r="M11" s="748" t="str">
        <f t="shared" ca="1" si="9"/>
        <v>OK</v>
      </c>
      <c r="N11" s="1265"/>
      <c r="O11" s="1265"/>
      <c r="P11" s="1266"/>
      <c r="Q11" s="705"/>
      <c r="AD11" s="1244"/>
      <c r="AE11" s="1245"/>
      <c r="AF11" s="753"/>
      <c r="AG11" s="754"/>
      <c r="AH11" s="740">
        <f t="shared" si="5"/>
        <v>1597049</v>
      </c>
      <c r="AI11" s="740" t="str">
        <f t="shared" si="6"/>
        <v>Maxwell</v>
      </c>
      <c r="AJ11" s="740" t="str">
        <f t="shared" si="7"/>
        <v>Croft</v>
      </c>
      <c r="AK11" s="740"/>
      <c r="AL11" s="740"/>
      <c r="AM11" s="740"/>
      <c r="AN11" s="740"/>
      <c r="AO11" s="740"/>
      <c r="AQ11" s="741">
        <f t="shared" ca="1" si="8"/>
        <v>41340</v>
      </c>
    </row>
    <row r="12" spans="1:43" ht="20.25" customHeight="1" x14ac:dyDescent="0.25">
      <c r="A12" s="1254"/>
      <c r="B12" s="1255"/>
      <c r="C12" s="751"/>
      <c r="D12" s="752"/>
      <c r="E12" s="730">
        <v>1319576</v>
      </c>
      <c r="F12" s="731" t="s">
        <v>4713</v>
      </c>
      <c r="G12" s="731" t="s">
        <v>4780</v>
      </c>
      <c r="H12" s="732">
        <v>41086</v>
      </c>
      <c r="I12" s="733" t="str">
        <f t="shared" si="0"/>
        <v>Harry Lythgoe</v>
      </c>
      <c r="J12" s="734" t="str">
        <f t="shared" si="1"/>
        <v>Lythgoe,Harry</v>
      </c>
      <c r="K12" s="735">
        <f t="shared" ca="1" si="2"/>
        <v>11</v>
      </c>
      <c r="L12" s="736" t="str">
        <f t="shared" si="3"/>
        <v>260612</v>
      </c>
      <c r="M12" s="748" t="str">
        <f t="shared" ca="1" si="9"/>
        <v>OK</v>
      </c>
      <c r="N12" s="1265"/>
      <c r="O12" s="1265"/>
      <c r="P12" s="1266"/>
      <c r="Q12" s="705"/>
      <c r="AD12" s="1244"/>
      <c r="AE12" s="1245"/>
      <c r="AF12" s="753"/>
      <c r="AG12" s="754"/>
      <c r="AH12" s="740">
        <f t="shared" si="5"/>
        <v>1319576</v>
      </c>
      <c r="AI12" s="740" t="str">
        <f t="shared" si="6"/>
        <v>Harry</v>
      </c>
      <c r="AJ12" s="740" t="str">
        <f t="shared" si="7"/>
        <v>Lythgoe</v>
      </c>
      <c r="AK12" s="740"/>
      <c r="AL12" s="740"/>
      <c r="AM12" s="740"/>
      <c r="AN12" s="740"/>
      <c r="AO12" s="740"/>
      <c r="AQ12" s="741">
        <f t="shared" ca="1" si="8"/>
        <v>41086</v>
      </c>
    </row>
    <row r="13" spans="1:43" ht="20.25" customHeight="1" x14ac:dyDescent="0.25">
      <c r="A13" s="1254"/>
      <c r="B13" s="1255"/>
      <c r="C13" s="751"/>
      <c r="D13" s="752"/>
      <c r="E13" s="730">
        <v>1501896</v>
      </c>
      <c r="F13" s="731" t="s">
        <v>4781</v>
      </c>
      <c r="G13" s="731" t="s">
        <v>4782</v>
      </c>
      <c r="H13" s="732">
        <v>41177</v>
      </c>
      <c r="I13" s="733" t="str">
        <f t="shared" si="0"/>
        <v>Fabio Giambrone</v>
      </c>
      <c r="J13" s="734" t="str">
        <f t="shared" si="1"/>
        <v>Giambrone,Fabio</v>
      </c>
      <c r="K13" s="735">
        <f t="shared" ca="1" si="2"/>
        <v>11</v>
      </c>
      <c r="L13" s="736" t="str">
        <f t="shared" si="3"/>
        <v>250912</v>
      </c>
      <c r="M13" s="748" t="str">
        <f t="shared" ca="1" si="9"/>
        <v>OK</v>
      </c>
      <c r="N13" s="1265"/>
      <c r="O13" s="1265"/>
      <c r="P13" s="1266"/>
      <c r="Q13" s="705"/>
      <c r="AD13" s="1244"/>
      <c r="AE13" s="1245"/>
      <c r="AF13" s="753"/>
      <c r="AG13" s="754"/>
      <c r="AH13" s="740">
        <f t="shared" si="5"/>
        <v>1501896</v>
      </c>
      <c r="AI13" s="740" t="str">
        <f t="shared" si="6"/>
        <v>Fabio</v>
      </c>
      <c r="AJ13" s="740" t="str">
        <f t="shared" si="7"/>
        <v>Giambrone</v>
      </c>
      <c r="AK13" s="740"/>
      <c r="AL13" s="740"/>
      <c r="AM13" s="740"/>
      <c r="AN13" s="740"/>
      <c r="AO13" s="740"/>
      <c r="AQ13" s="741">
        <f t="shared" ca="1" si="8"/>
        <v>41177</v>
      </c>
    </row>
    <row r="14" spans="1:43" ht="20.25" customHeight="1" x14ac:dyDescent="0.25">
      <c r="A14" s="1252">
        <v>5</v>
      </c>
      <c r="B14" s="1253" t="s">
        <v>4651</v>
      </c>
      <c r="C14" s="756"/>
      <c r="D14" s="757"/>
      <c r="E14" s="730">
        <v>1484565</v>
      </c>
      <c r="F14" s="731" t="s">
        <v>4721</v>
      </c>
      <c r="G14" s="731" t="s">
        <v>4783</v>
      </c>
      <c r="H14" s="732">
        <v>40236</v>
      </c>
      <c r="I14" s="733" t="str">
        <f t="shared" si="0"/>
        <v>Maya Robu</v>
      </c>
      <c r="J14" s="734" t="str">
        <f t="shared" si="1"/>
        <v>Robu,Maya</v>
      </c>
      <c r="K14" s="735">
        <f t="shared" ca="1" si="2"/>
        <v>13</v>
      </c>
      <c r="L14" s="736" t="str">
        <f t="shared" si="3"/>
        <v>270210</v>
      </c>
      <c r="M14" s="748" t="str">
        <f t="shared" ref="M14:M21" ca="1" si="10">IF(K14=0,0,IF(K14&lt;9,"TOO YOUNG",IF(K14&lt;14,"OK","NOT ELIGIBLE")))</f>
        <v>OK</v>
      </c>
      <c r="N14" s="1265"/>
      <c r="O14" s="1265"/>
      <c r="P14" s="1266"/>
      <c r="Q14" s="705"/>
      <c r="AD14" s="1244">
        <f>A14</f>
        <v>5</v>
      </c>
      <c r="AE14" s="1245" t="str">
        <f>B14</f>
        <v>FEMALE 13/U 4 X 50M
MEDLEY RELAY</v>
      </c>
      <c r="AF14" s="749"/>
      <c r="AG14" s="750"/>
      <c r="AH14" s="740">
        <f t="shared" si="5"/>
        <v>1484565</v>
      </c>
      <c r="AI14" s="740" t="str">
        <f t="shared" si="6"/>
        <v>Maya</v>
      </c>
      <c r="AJ14" s="740" t="str">
        <f t="shared" si="7"/>
        <v>Robu</v>
      </c>
      <c r="AK14" s="740"/>
      <c r="AL14" s="740"/>
      <c r="AM14" s="740"/>
      <c r="AN14" s="740"/>
      <c r="AO14" s="740"/>
      <c r="AQ14" s="741">
        <f t="shared" ca="1" si="8"/>
        <v>40236</v>
      </c>
    </row>
    <row r="15" spans="1:43" ht="20.25" customHeight="1" x14ac:dyDescent="0.25">
      <c r="A15" s="1252"/>
      <c r="B15" s="1253"/>
      <c r="C15" s="758"/>
      <c r="D15" s="759"/>
      <c r="E15" s="730">
        <v>1387243</v>
      </c>
      <c r="F15" s="731" t="s">
        <v>4784</v>
      </c>
      <c r="G15" s="731" t="s">
        <v>4785</v>
      </c>
      <c r="H15" s="732">
        <v>40630</v>
      </c>
      <c r="I15" s="733" t="str">
        <f t="shared" si="0"/>
        <v>Mia Nelson</v>
      </c>
      <c r="J15" s="734" t="str">
        <f t="shared" si="1"/>
        <v>Nelson,Mia</v>
      </c>
      <c r="K15" s="735">
        <f t="shared" ca="1" si="2"/>
        <v>12</v>
      </c>
      <c r="L15" s="736" t="str">
        <f t="shared" si="3"/>
        <v>280311</v>
      </c>
      <c r="M15" s="748" t="str">
        <f t="shared" ca="1" si="10"/>
        <v>OK</v>
      </c>
      <c r="N15" s="1265"/>
      <c r="O15" s="1265"/>
      <c r="P15" s="1266"/>
      <c r="Q15" s="705"/>
      <c r="AD15" s="1244"/>
      <c r="AE15" s="1245"/>
      <c r="AF15" s="753"/>
      <c r="AG15" s="754"/>
      <c r="AH15" s="740">
        <f t="shared" si="5"/>
        <v>1387243</v>
      </c>
      <c r="AI15" s="740" t="str">
        <f t="shared" si="6"/>
        <v>Mia</v>
      </c>
      <c r="AJ15" s="740" t="str">
        <f t="shared" si="7"/>
        <v>Nelson</v>
      </c>
      <c r="AK15" s="740"/>
      <c r="AL15" s="740"/>
      <c r="AM15" s="740"/>
      <c r="AN15" s="740"/>
      <c r="AO15" s="740"/>
      <c r="AQ15" s="741">
        <f t="shared" ca="1" si="8"/>
        <v>40630</v>
      </c>
    </row>
    <row r="16" spans="1:43" ht="20.25" customHeight="1" x14ac:dyDescent="0.25">
      <c r="A16" s="1252"/>
      <c r="B16" s="1253"/>
      <c r="C16" s="758"/>
      <c r="D16" s="759"/>
      <c r="E16" s="730">
        <v>1518515</v>
      </c>
      <c r="F16" s="731" t="s">
        <v>4771</v>
      </c>
      <c r="G16" s="731" t="s">
        <v>4772</v>
      </c>
      <c r="H16" s="732">
        <v>40571</v>
      </c>
      <c r="I16" s="733" t="str">
        <f t="shared" si="0"/>
        <v>Niamh Holland</v>
      </c>
      <c r="J16" s="734" t="str">
        <f t="shared" si="1"/>
        <v>Holland,Niamh</v>
      </c>
      <c r="K16" s="735">
        <f t="shared" ca="1" si="2"/>
        <v>12</v>
      </c>
      <c r="L16" s="736" t="str">
        <f t="shared" si="3"/>
        <v>280111</v>
      </c>
      <c r="M16" s="748" t="str">
        <f t="shared" ca="1" si="10"/>
        <v>OK</v>
      </c>
      <c r="N16" s="1265"/>
      <c r="O16" s="1265"/>
      <c r="P16" s="1266"/>
      <c r="Q16" s="705"/>
      <c r="AD16" s="1244"/>
      <c r="AE16" s="1245"/>
      <c r="AF16" s="753"/>
      <c r="AG16" s="754"/>
      <c r="AH16" s="740">
        <f t="shared" si="5"/>
        <v>1518515</v>
      </c>
      <c r="AI16" s="740" t="str">
        <f t="shared" si="6"/>
        <v>Niamh</v>
      </c>
      <c r="AJ16" s="740" t="str">
        <f t="shared" si="7"/>
        <v>Holland</v>
      </c>
      <c r="AK16" s="740"/>
      <c r="AL16" s="740"/>
      <c r="AM16" s="740"/>
      <c r="AN16" s="740"/>
      <c r="AO16" s="740"/>
      <c r="AQ16" s="741">
        <f t="shared" ca="1" si="8"/>
        <v>40571</v>
      </c>
    </row>
    <row r="17" spans="1:43" ht="20.25" customHeight="1" x14ac:dyDescent="0.25">
      <c r="A17" s="1252"/>
      <c r="B17" s="1253"/>
      <c r="C17" s="758"/>
      <c r="D17" s="759"/>
      <c r="E17" s="730">
        <v>1506658</v>
      </c>
      <c r="F17" s="731" t="s">
        <v>4786</v>
      </c>
      <c r="G17" s="731" t="s">
        <v>4779</v>
      </c>
      <c r="H17" s="732">
        <v>40688</v>
      </c>
      <c r="I17" s="733" t="str">
        <f t="shared" si="0"/>
        <v>Olivia Croft</v>
      </c>
      <c r="J17" s="734" t="str">
        <f t="shared" si="1"/>
        <v>Croft,Olivia</v>
      </c>
      <c r="K17" s="735">
        <f t="shared" ca="1" si="2"/>
        <v>12</v>
      </c>
      <c r="L17" s="736" t="str">
        <f t="shared" si="3"/>
        <v>250511</v>
      </c>
      <c r="M17" s="748" t="str">
        <f t="shared" ca="1" si="10"/>
        <v>OK</v>
      </c>
      <c r="N17" s="1265"/>
      <c r="O17" s="1265"/>
      <c r="P17" s="1266"/>
      <c r="Q17" s="705"/>
      <c r="AD17" s="1244"/>
      <c r="AE17" s="1245"/>
      <c r="AF17" s="753"/>
      <c r="AG17" s="754"/>
      <c r="AH17" s="740">
        <f t="shared" si="5"/>
        <v>1506658</v>
      </c>
      <c r="AI17" s="740" t="str">
        <f t="shared" si="6"/>
        <v>Olivia</v>
      </c>
      <c r="AJ17" s="740" t="str">
        <f t="shared" si="7"/>
        <v>Croft</v>
      </c>
      <c r="AK17" s="740"/>
      <c r="AL17" s="740"/>
      <c r="AM17" s="740"/>
      <c r="AN17" s="740"/>
      <c r="AO17" s="740"/>
      <c r="AQ17" s="741">
        <f t="shared" ca="1" si="8"/>
        <v>40688</v>
      </c>
    </row>
    <row r="18" spans="1:43" ht="20.25" customHeight="1" x14ac:dyDescent="0.25">
      <c r="A18" s="1252">
        <v>6</v>
      </c>
      <c r="B18" s="1253" t="s">
        <v>4660</v>
      </c>
      <c r="C18" s="756"/>
      <c r="D18" s="757"/>
      <c r="E18" s="730">
        <v>1482094</v>
      </c>
      <c r="F18" s="731" t="s">
        <v>4787</v>
      </c>
      <c r="G18" s="731" t="s">
        <v>4776</v>
      </c>
      <c r="H18" s="732">
        <v>40272</v>
      </c>
      <c r="I18" s="733" t="str">
        <f t="shared" si="0"/>
        <v>Ryan Wimpenny</v>
      </c>
      <c r="J18" s="734" t="str">
        <f t="shared" si="1"/>
        <v>Wimpenny,Ryan</v>
      </c>
      <c r="K18" s="735">
        <f t="shared" ca="1" si="2"/>
        <v>13</v>
      </c>
      <c r="L18" s="736" t="str">
        <f t="shared" si="3"/>
        <v>040410</v>
      </c>
      <c r="M18" s="748" t="str">
        <f t="shared" ca="1" si="10"/>
        <v>OK</v>
      </c>
      <c r="N18" s="1258" t="s">
        <v>4319</v>
      </c>
      <c r="O18" s="1258" t="s">
        <v>4320</v>
      </c>
      <c r="P18" s="1259" t="s">
        <v>4663</v>
      </c>
      <c r="R18" s="760"/>
      <c r="S18" s="760"/>
      <c r="AD18" s="1244">
        <f>A18</f>
        <v>6</v>
      </c>
      <c r="AE18" s="1245" t="str">
        <f>B18</f>
        <v>OPEN/MALE 13/U 4 X 50M
MEDLEY RELAY</v>
      </c>
      <c r="AF18" s="749"/>
      <c r="AG18" s="750"/>
      <c r="AH18" s="740">
        <f t="shared" si="5"/>
        <v>1482094</v>
      </c>
      <c r="AI18" s="740" t="str">
        <f t="shared" si="6"/>
        <v>Ryan</v>
      </c>
      <c r="AJ18" s="740" t="str">
        <f t="shared" si="7"/>
        <v>Wimpenny</v>
      </c>
      <c r="AK18" s="740"/>
      <c r="AL18" s="740"/>
      <c r="AM18" s="740"/>
      <c r="AN18" s="740"/>
      <c r="AO18" s="740"/>
      <c r="AQ18" s="741">
        <f t="shared" ca="1" si="8"/>
        <v>40272</v>
      </c>
    </row>
    <row r="19" spans="1:43" ht="20.25" customHeight="1" x14ac:dyDescent="0.25">
      <c r="A19" s="1252"/>
      <c r="B19" s="1253"/>
      <c r="C19" s="758"/>
      <c r="D19" s="759"/>
      <c r="E19" s="730">
        <v>1491530</v>
      </c>
      <c r="F19" s="731" t="s">
        <v>4788</v>
      </c>
      <c r="G19" s="731" t="s">
        <v>4782</v>
      </c>
      <c r="H19" s="732">
        <v>40445</v>
      </c>
      <c r="I19" s="733" t="str">
        <f t="shared" si="0"/>
        <v>Luigi Giambrone</v>
      </c>
      <c r="J19" s="734" t="str">
        <f t="shared" si="1"/>
        <v>Giambrone,Luigi</v>
      </c>
      <c r="K19" s="735">
        <f t="shared" ca="1" si="2"/>
        <v>13</v>
      </c>
      <c r="L19" s="736" t="str">
        <f t="shared" si="3"/>
        <v>240910</v>
      </c>
      <c r="M19" s="748" t="str">
        <f t="shared" ca="1" si="10"/>
        <v>OK</v>
      </c>
      <c r="N19" s="1258"/>
      <c r="O19" s="1258"/>
      <c r="P19" s="1259"/>
      <c r="R19" s="760"/>
      <c r="S19" s="760"/>
      <c r="AD19" s="1244"/>
      <c r="AE19" s="1245"/>
      <c r="AF19" s="753"/>
      <c r="AG19" s="754"/>
      <c r="AH19" s="740">
        <f t="shared" si="5"/>
        <v>1491530</v>
      </c>
      <c r="AI19" s="740" t="str">
        <f t="shared" si="6"/>
        <v>Luigi</v>
      </c>
      <c r="AJ19" s="740" t="str">
        <f t="shared" si="7"/>
        <v>Giambrone</v>
      </c>
      <c r="AK19" s="740"/>
      <c r="AL19" s="740"/>
      <c r="AM19" s="740"/>
      <c r="AN19" s="740"/>
      <c r="AO19" s="740"/>
      <c r="AQ19" s="741">
        <f t="shared" ca="1" si="8"/>
        <v>40445</v>
      </c>
    </row>
    <row r="20" spans="1:43" ht="20.25" customHeight="1" x14ac:dyDescent="0.25">
      <c r="A20" s="1252"/>
      <c r="B20" s="1253"/>
      <c r="C20" s="758"/>
      <c r="D20" s="759"/>
      <c r="E20" s="730">
        <v>1494727</v>
      </c>
      <c r="F20" s="731" t="s">
        <v>4789</v>
      </c>
      <c r="G20" s="731" t="s">
        <v>4790</v>
      </c>
      <c r="H20" s="732">
        <v>40206</v>
      </c>
      <c r="I20" s="733" t="str">
        <f t="shared" si="0"/>
        <v>Mikhail Zharinov</v>
      </c>
      <c r="J20" s="734" t="str">
        <f t="shared" si="1"/>
        <v>Zharinov,Mikhail</v>
      </c>
      <c r="K20" s="735">
        <f t="shared" ca="1" si="2"/>
        <v>13</v>
      </c>
      <c r="L20" s="736" t="str">
        <f t="shared" si="3"/>
        <v>280110</v>
      </c>
      <c r="M20" s="748" t="str">
        <f t="shared" ca="1" si="10"/>
        <v>OK</v>
      </c>
      <c r="N20" s="1258"/>
      <c r="O20" s="1258"/>
      <c r="P20" s="1259"/>
      <c r="R20" s="760"/>
      <c r="S20" s="760"/>
      <c r="AD20" s="1244"/>
      <c r="AE20" s="1245"/>
      <c r="AF20" s="753"/>
      <c r="AG20" s="754"/>
      <c r="AH20" s="740">
        <f t="shared" si="5"/>
        <v>1494727</v>
      </c>
      <c r="AI20" s="740" t="str">
        <f t="shared" si="6"/>
        <v>Mikhail</v>
      </c>
      <c r="AJ20" s="740" t="str">
        <f t="shared" si="7"/>
        <v>Zharinov</v>
      </c>
      <c r="AK20" s="740"/>
      <c r="AL20" s="740"/>
      <c r="AM20" s="740"/>
      <c r="AN20" s="740"/>
      <c r="AO20" s="740"/>
      <c r="AQ20" s="741">
        <f t="shared" ca="1" si="8"/>
        <v>40206</v>
      </c>
    </row>
    <row r="21" spans="1:43" ht="20.25" customHeight="1" x14ac:dyDescent="0.25">
      <c r="A21" s="1252"/>
      <c r="B21" s="1253"/>
      <c r="C21" s="758"/>
      <c r="D21" s="759"/>
      <c r="E21" s="730">
        <v>1589549</v>
      </c>
      <c r="F21" s="731" t="s">
        <v>4791</v>
      </c>
      <c r="G21" s="731" t="s">
        <v>4778</v>
      </c>
      <c r="H21" s="732">
        <v>40567</v>
      </c>
      <c r="I21" s="733" t="str">
        <f t="shared" si="0"/>
        <v>Ewan Thompson</v>
      </c>
      <c r="J21" s="734" t="str">
        <f t="shared" si="1"/>
        <v>Thompson,Ewan</v>
      </c>
      <c r="K21" s="735">
        <f t="shared" ca="1" si="2"/>
        <v>12</v>
      </c>
      <c r="L21" s="736" t="str">
        <f t="shared" si="3"/>
        <v>240111</v>
      </c>
      <c r="M21" s="748" t="str">
        <f t="shared" ca="1" si="10"/>
        <v>OK</v>
      </c>
      <c r="N21" s="1258"/>
      <c r="O21" s="1258"/>
      <c r="P21" s="1259"/>
      <c r="R21" s="760"/>
      <c r="S21" s="760"/>
      <c r="AD21" s="1244"/>
      <c r="AE21" s="1245"/>
      <c r="AF21" s="753"/>
      <c r="AG21" s="754"/>
      <c r="AH21" s="740">
        <f t="shared" si="5"/>
        <v>1589549</v>
      </c>
      <c r="AI21" s="740" t="str">
        <f t="shared" si="6"/>
        <v>Ewan</v>
      </c>
      <c r="AJ21" s="740" t="str">
        <f t="shared" si="7"/>
        <v>Thompson</v>
      </c>
      <c r="AK21" s="740"/>
      <c r="AL21" s="740"/>
      <c r="AM21" s="740"/>
      <c r="AN21" s="740"/>
      <c r="AO21" s="740"/>
      <c r="AQ21" s="741">
        <f t="shared" ca="1" si="8"/>
        <v>40567</v>
      </c>
    </row>
    <row r="22" spans="1:43" ht="20.25" customHeight="1" x14ac:dyDescent="0.25">
      <c r="A22" s="1256">
        <v>7</v>
      </c>
      <c r="B22" s="1249" t="s">
        <v>4667</v>
      </c>
      <c r="C22" s="761"/>
      <c r="D22" s="762"/>
      <c r="E22" s="730">
        <v>1618230</v>
      </c>
      <c r="F22" s="731" t="s">
        <v>4792</v>
      </c>
      <c r="G22" s="731" t="s">
        <v>4793</v>
      </c>
      <c r="H22" s="732">
        <v>40090</v>
      </c>
      <c r="I22" s="733" t="str">
        <f t="shared" si="0"/>
        <v>Jessica MacKenzie</v>
      </c>
      <c r="J22" s="734" t="str">
        <f t="shared" si="1"/>
        <v>MacKenzie,Jessica</v>
      </c>
      <c r="K22" s="735">
        <f t="shared" ca="1" si="2"/>
        <v>14</v>
      </c>
      <c r="L22" s="736" t="str">
        <f t="shared" si="3"/>
        <v>041009</v>
      </c>
      <c r="M22" s="748" t="str">
        <f t="shared" ref="M22:M29" ca="1" si="11">IF(K22=0,0,IF(K22&lt;9,"TOO YOUNG",IF(K22&lt;16,"OK","NOT ELIGIBLE")))</f>
        <v>OK</v>
      </c>
      <c r="N22" s="1257" t="str">
        <f>'Gala Setup'!S4</f>
        <v>NASL.2023 V6</v>
      </c>
      <c r="O22" s="1257"/>
      <c r="P22" s="1257"/>
      <c r="Q22" s="705"/>
      <c r="AD22" s="1244">
        <f>A22</f>
        <v>7</v>
      </c>
      <c r="AE22" s="1245" t="str">
        <f>B22</f>
        <v>FEMALE 15/U 4 X 50M
FREESTYLE RELAY</v>
      </c>
      <c r="AF22" s="749"/>
      <c r="AG22" s="750"/>
      <c r="AH22" s="740">
        <f t="shared" si="5"/>
        <v>1618230</v>
      </c>
      <c r="AI22" s="740" t="str">
        <f t="shared" si="6"/>
        <v>Jessica</v>
      </c>
      <c r="AJ22" s="740" t="str">
        <f t="shared" si="7"/>
        <v>MacKenzie</v>
      </c>
      <c r="AK22" s="740"/>
      <c r="AL22" s="740"/>
      <c r="AM22" s="740"/>
      <c r="AN22" s="740"/>
      <c r="AO22" s="740"/>
      <c r="AQ22" s="741">
        <f t="shared" ca="1" si="8"/>
        <v>40090</v>
      </c>
    </row>
    <row r="23" spans="1:43" ht="20.25" customHeight="1" x14ac:dyDescent="0.25">
      <c r="A23" s="1256"/>
      <c r="B23" s="1249"/>
      <c r="C23" s="763"/>
      <c r="D23" s="764"/>
      <c r="E23" s="730">
        <v>1312590</v>
      </c>
      <c r="F23" s="731" t="s">
        <v>4767</v>
      </c>
      <c r="G23" s="731" t="s">
        <v>4768</v>
      </c>
      <c r="H23" s="732">
        <v>39496</v>
      </c>
      <c r="I23" s="733" t="str">
        <f t="shared" si="0"/>
        <v>Hannah Lovelock</v>
      </c>
      <c r="J23" s="734" t="str">
        <f t="shared" si="1"/>
        <v>Lovelock,Hannah</v>
      </c>
      <c r="K23" s="735">
        <f t="shared" ca="1" si="2"/>
        <v>15</v>
      </c>
      <c r="L23" s="736" t="str">
        <f t="shared" si="3"/>
        <v>180208</v>
      </c>
      <c r="M23" s="748" t="str">
        <f t="shared" ca="1" si="11"/>
        <v>OK</v>
      </c>
      <c r="N23" s="1257"/>
      <c r="O23" s="1257"/>
      <c r="P23" s="1257"/>
      <c r="Q23" s="705"/>
      <c r="AD23" s="1244"/>
      <c r="AE23" s="1245"/>
      <c r="AF23" s="753"/>
      <c r="AG23" s="754"/>
      <c r="AH23" s="740">
        <f t="shared" si="5"/>
        <v>1312590</v>
      </c>
      <c r="AI23" s="740" t="str">
        <f t="shared" si="6"/>
        <v>Hannah</v>
      </c>
      <c r="AJ23" s="740" t="str">
        <f t="shared" si="7"/>
        <v>Lovelock</v>
      </c>
      <c r="AK23" s="740"/>
      <c r="AL23" s="740"/>
      <c r="AM23" s="740"/>
      <c r="AN23" s="740"/>
      <c r="AO23" s="740"/>
      <c r="AQ23" s="741">
        <f t="shared" ca="1" si="8"/>
        <v>39496</v>
      </c>
    </row>
    <row r="24" spans="1:43" ht="20.25" customHeight="1" x14ac:dyDescent="0.25">
      <c r="A24" s="1256"/>
      <c r="B24" s="1249"/>
      <c r="C24" s="763"/>
      <c r="D24" s="764"/>
      <c r="E24" s="730">
        <v>1426396</v>
      </c>
      <c r="F24" s="731" t="s">
        <v>4794</v>
      </c>
      <c r="G24" s="731" t="s">
        <v>4795</v>
      </c>
      <c r="H24" s="732">
        <v>39574</v>
      </c>
      <c r="I24" s="733" t="str">
        <f t="shared" si="0"/>
        <v>Molly Bartup</v>
      </c>
      <c r="J24" s="734" t="str">
        <f t="shared" si="1"/>
        <v>Bartup,Molly</v>
      </c>
      <c r="K24" s="735">
        <f t="shared" ca="1" si="2"/>
        <v>15</v>
      </c>
      <c r="L24" s="736" t="str">
        <f t="shared" si="3"/>
        <v>060508</v>
      </c>
      <c r="M24" s="748" t="str">
        <f t="shared" ca="1" si="11"/>
        <v>OK</v>
      </c>
      <c r="N24" s="765"/>
      <c r="Q24" s="765"/>
      <c r="AD24" s="1244"/>
      <c r="AE24" s="1245"/>
      <c r="AF24" s="753"/>
      <c r="AG24" s="754"/>
      <c r="AH24" s="740">
        <f t="shared" si="5"/>
        <v>1426396</v>
      </c>
      <c r="AI24" s="740" t="str">
        <f t="shared" si="6"/>
        <v>Molly</v>
      </c>
      <c r="AJ24" s="740" t="str">
        <f t="shared" si="7"/>
        <v>Bartup</v>
      </c>
      <c r="AK24" s="740"/>
      <c r="AL24" s="740"/>
      <c r="AM24" s="740"/>
      <c r="AN24" s="740"/>
      <c r="AO24" s="740"/>
      <c r="AQ24" s="741">
        <f t="shared" ca="1" si="8"/>
        <v>39574</v>
      </c>
    </row>
    <row r="25" spans="1:43" ht="20.25" customHeight="1" x14ac:dyDescent="0.25">
      <c r="A25" s="1256"/>
      <c r="B25" s="1249"/>
      <c r="C25" s="763"/>
      <c r="D25" s="764"/>
      <c r="E25" s="730">
        <v>1426395</v>
      </c>
      <c r="F25" s="731" t="s">
        <v>4682</v>
      </c>
      <c r="G25" s="731" t="s">
        <v>4796</v>
      </c>
      <c r="H25" s="732">
        <v>39689</v>
      </c>
      <c r="I25" s="733" t="str">
        <f t="shared" si="0"/>
        <v>Isabel Mullings</v>
      </c>
      <c r="J25" s="734" t="str">
        <f t="shared" si="1"/>
        <v>Mullings,Isabel</v>
      </c>
      <c r="K25" s="735">
        <f t="shared" ca="1" si="2"/>
        <v>15</v>
      </c>
      <c r="L25" s="736" t="str">
        <f t="shared" si="3"/>
        <v>290808</v>
      </c>
      <c r="M25" s="748" t="str">
        <f t="shared" ca="1" si="11"/>
        <v>OK</v>
      </c>
      <c r="N25" s="765"/>
      <c r="Q25" s="765"/>
      <c r="AD25" s="1244"/>
      <c r="AE25" s="1245"/>
      <c r="AF25" s="753"/>
      <c r="AG25" s="754"/>
      <c r="AH25" s="740">
        <f t="shared" si="5"/>
        <v>1426395</v>
      </c>
      <c r="AI25" s="740" t="str">
        <f t="shared" si="6"/>
        <v>Isabel</v>
      </c>
      <c r="AJ25" s="740" t="str">
        <f t="shared" si="7"/>
        <v>Mullings</v>
      </c>
      <c r="AK25" s="740"/>
      <c r="AL25" s="740"/>
      <c r="AM25" s="740"/>
      <c r="AN25" s="740"/>
      <c r="AO25" s="740"/>
      <c r="AQ25" s="741">
        <f t="shared" ca="1" si="8"/>
        <v>39689</v>
      </c>
    </row>
    <row r="26" spans="1:43" ht="20.25" customHeight="1" x14ac:dyDescent="0.25">
      <c r="A26" s="1256">
        <v>8</v>
      </c>
      <c r="B26" s="1249" t="s">
        <v>4676</v>
      </c>
      <c r="C26" s="761"/>
      <c r="D26" s="762"/>
      <c r="E26" s="730">
        <v>1402277</v>
      </c>
      <c r="F26" s="731" t="s">
        <v>4797</v>
      </c>
      <c r="G26" s="731" t="s">
        <v>4798</v>
      </c>
      <c r="H26" s="732">
        <v>39503</v>
      </c>
      <c r="I26" s="733" t="str">
        <f t="shared" si="0"/>
        <v>Alfie Bullock</v>
      </c>
      <c r="J26" s="734" t="str">
        <f t="shared" si="1"/>
        <v>Bullock,Alfie</v>
      </c>
      <c r="K26" s="735">
        <f t="shared" ca="1" si="2"/>
        <v>15</v>
      </c>
      <c r="L26" s="736" t="str">
        <f t="shared" si="3"/>
        <v>250208</v>
      </c>
      <c r="M26" s="766" t="str">
        <f t="shared" ca="1" si="11"/>
        <v>OK</v>
      </c>
      <c r="N26" s="767"/>
      <c r="AD26" s="1244">
        <f>A26</f>
        <v>8</v>
      </c>
      <c r="AE26" s="1245" t="str">
        <f>B26</f>
        <v>OPEN/MALE 15/U 4 X 50M
FREESTYLE RELAY</v>
      </c>
      <c r="AF26" s="749"/>
      <c r="AG26" s="750"/>
      <c r="AH26" s="740">
        <f t="shared" si="5"/>
        <v>1402277</v>
      </c>
      <c r="AI26" s="740" t="str">
        <f t="shared" si="6"/>
        <v>Alfie</v>
      </c>
      <c r="AJ26" s="740" t="str">
        <f t="shared" si="7"/>
        <v>Bullock</v>
      </c>
      <c r="AK26" s="740"/>
      <c r="AL26" s="740"/>
      <c r="AM26" s="740"/>
      <c r="AN26" s="740"/>
      <c r="AO26" s="740"/>
      <c r="AQ26" s="741">
        <f t="shared" ca="1" si="8"/>
        <v>39503</v>
      </c>
    </row>
    <row r="27" spans="1:43" ht="20.25" customHeight="1" x14ac:dyDescent="0.25">
      <c r="A27" s="1256"/>
      <c r="B27" s="1249"/>
      <c r="C27" s="763"/>
      <c r="D27" s="764"/>
      <c r="E27" s="730">
        <v>1482094</v>
      </c>
      <c r="F27" s="731" t="s">
        <v>4787</v>
      </c>
      <c r="G27" s="731" t="s">
        <v>4776</v>
      </c>
      <c r="H27" s="732">
        <v>40272</v>
      </c>
      <c r="I27" s="733" t="str">
        <f t="shared" si="0"/>
        <v>Ryan Wimpenny</v>
      </c>
      <c r="J27" s="734" t="str">
        <f t="shared" si="1"/>
        <v>Wimpenny,Ryan</v>
      </c>
      <c r="K27" s="735">
        <f t="shared" ca="1" si="2"/>
        <v>13</v>
      </c>
      <c r="L27" s="736" t="str">
        <f t="shared" si="3"/>
        <v>040410</v>
      </c>
      <c r="M27" s="766" t="str">
        <f t="shared" ca="1" si="11"/>
        <v>OK</v>
      </c>
      <c r="N27" s="767"/>
      <c r="AD27" s="1244"/>
      <c r="AE27" s="1245"/>
      <c r="AF27" s="753"/>
      <c r="AG27" s="754"/>
      <c r="AH27" s="740">
        <f t="shared" si="5"/>
        <v>1482094</v>
      </c>
      <c r="AI27" s="740" t="str">
        <f t="shared" si="6"/>
        <v>Ryan</v>
      </c>
      <c r="AJ27" s="740" t="str">
        <f t="shared" si="7"/>
        <v>Wimpenny</v>
      </c>
      <c r="AK27" s="740"/>
      <c r="AL27" s="740"/>
      <c r="AM27" s="740"/>
      <c r="AN27" s="740"/>
      <c r="AO27" s="740"/>
      <c r="AQ27" s="741">
        <f t="shared" ca="1" si="8"/>
        <v>40272</v>
      </c>
    </row>
    <row r="28" spans="1:43" ht="20.25" customHeight="1" x14ac:dyDescent="0.25">
      <c r="A28" s="1256"/>
      <c r="B28" s="1249"/>
      <c r="C28" s="763"/>
      <c r="D28" s="764"/>
      <c r="E28" s="730">
        <v>1503489</v>
      </c>
      <c r="F28" s="731" t="s">
        <v>4799</v>
      </c>
      <c r="G28" s="731" t="s">
        <v>4800</v>
      </c>
      <c r="H28" s="732">
        <v>39834</v>
      </c>
      <c r="I28" s="733" t="str">
        <f t="shared" si="0"/>
        <v>Theo Smith</v>
      </c>
      <c r="J28" s="734" t="str">
        <f t="shared" si="1"/>
        <v>Smith,Theo</v>
      </c>
      <c r="K28" s="735">
        <f t="shared" ca="1" si="2"/>
        <v>14</v>
      </c>
      <c r="L28" s="736" t="str">
        <f t="shared" si="3"/>
        <v>210109</v>
      </c>
      <c r="M28" s="766" t="str">
        <f t="shared" ca="1" si="11"/>
        <v>OK</v>
      </c>
      <c r="N28" s="767"/>
      <c r="AD28" s="1244"/>
      <c r="AE28" s="1245"/>
      <c r="AF28" s="753"/>
      <c r="AG28" s="754"/>
      <c r="AH28" s="740">
        <f t="shared" si="5"/>
        <v>1503489</v>
      </c>
      <c r="AI28" s="740" t="str">
        <f t="shared" si="6"/>
        <v>Theo</v>
      </c>
      <c r="AJ28" s="740" t="str">
        <f t="shared" si="7"/>
        <v>Smith</v>
      </c>
      <c r="AK28" s="740"/>
      <c r="AL28" s="740"/>
      <c r="AM28" s="740"/>
      <c r="AN28" s="740"/>
      <c r="AO28" s="740"/>
      <c r="AQ28" s="741">
        <f t="shared" ca="1" si="8"/>
        <v>39834</v>
      </c>
    </row>
    <row r="29" spans="1:43" ht="20.25" customHeight="1" x14ac:dyDescent="0.25">
      <c r="A29" s="1256"/>
      <c r="B29" s="1249"/>
      <c r="C29" s="763"/>
      <c r="D29" s="764"/>
      <c r="E29" s="730">
        <v>1491530</v>
      </c>
      <c r="F29" s="731" t="s">
        <v>4788</v>
      </c>
      <c r="G29" s="731" t="s">
        <v>4782</v>
      </c>
      <c r="H29" s="732">
        <v>40445</v>
      </c>
      <c r="I29" s="733" t="str">
        <f t="shared" si="0"/>
        <v>Luigi Giambrone</v>
      </c>
      <c r="J29" s="734" t="str">
        <f t="shared" si="1"/>
        <v>Giambrone,Luigi</v>
      </c>
      <c r="K29" s="735">
        <f t="shared" ca="1" si="2"/>
        <v>13</v>
      </c>
      <c r="L29" s="736" t="str">
        <f t="shared" si="3"/>
        <v>240910</v>
      </c>
      <c r="M29" s="766" t="str">
        <f t="shared" ca="1" si="11"/>
        <v>OK</v>
      </c>
      <c r="N29" s="767"/>
      <c r="AD29" s="1244"/>
      <c r="AE29" s="1245"/>
      <c r="AF29" s="753"/>
      <c r="AG29" s="754"/>
      <c r="AH29" s="740">
        <f t="shared" si="5"/>
        <v>1491530</v>
      </c>
      <c r="AI29" s="740" t="str">
        <f t="shared" si="6"/>
        <v>Luigi</v>
      </c>
      <c r="AJ29" s="740" t="str">
        <f t="shared" si="7"/>
        <v>Giambrone</v>
      </c>
      <c r="AK29" s="740"/>
      <c r="AL29" s="740"/>
      <c r="AM29" s="740"/>
      <c r="AN29" s="740"/>
      <c r="AO29" s="740"/>
      <c r="AQ29" s="741">
        <f t="shared" ca="1" si="8"/>
        <v>40445</v>
      </c>
    </row>
    <row r="30" spans="1:43" ht="20.25" customHeight="1" x14ac:dyDescent="0.25">
      <c r="A30" s="1250">
        <v>9</v>
      </c>
      <c r="B30" s="1251" t="s">
        <v>4681</v>
      </c>
      <c r="C30" s="768"/>
      <c r="D30" s="769"/>
      <c r="E30" s="730">
        <v>1145677</v>
      </c>
      <c r="F30" s="731" t="s">
        <v>4801</v>
      </c>
      <c r="G30" s="731" t="s">
        <v>4802</v>
      </c>
      <c r="H30" s="732">
        <v>39264</v>
      </c>
      <c r="I30" s="733" t="str">
        <f t="shared" si="0"/>
        <v>Grace Sofokleous-Ames</v>
      </c>
      <c r="J30" s="734" t="str">
        <f t="shared" si="1"/>
        <v>Sofokleous-Ames,Grace</v>
      </c>
      <c r="K30" s="735">
        <f t="shared" ca="1" si="2"/>
        <v>16</v>
      </c>
      <c r="L30" s="736" t="str">
        <f t="shared" si="3"/>
        <v>010707</v>
      </c>
      <c r="M30" s="770" t="str">
        <f t="shared" ref="M30:M37" ca="1" si="12">IF(K30=0,0,IF(K30&lt;9,"TOO YOUNG",IF(K30&lt;60,"OK","BIT OLD MAYBE")))</f>
        <v>OK</v>
      </c>
      <c r="N30" s="767"/>
      <c r="AD30" s="1244">
        <f>A30</f>
        <v>9</v>
      </c>
      <c r="AE30" s="1245" t="str">
        <f>B30</f>
        <v>FEMALE 16+ 4 X 50M
MEDLEY RELAY</v>
      </c>
      <c r="AF30" s="749"/>
      <c r="AG30" s="750"/>
      <c r="AH30" s="740">
        <f t="shared" si="5"/>
        <v>1145677</v>
      </c>
      <c r="AI30" s="740" t="str">
        <f t="shared" si="6"/>
        <v>Grace</v>
      </c>
      <c r="AJ30" s="740" t="str">
        <f t="shared" si="7"/>
        <v>Sofokleous-Ames</v>
      </c>
      <c r="AK30" s="740"/>
      <c r="AL30" s="740"/>
      <c r="AM30" s="740"/>
      <c r="AN30" s="740"/>
      <c r="AO30" s="740"/>
      <c r="AQ30" s="741">
        <f t="shared" ca="1" si="8"/>
        <v>39264</v>
      </c>
    </row>
    <row r="31" spans="1:43" ht="20.25" customHeight="1" x14ac:dyDescent="0.25">
      <c r="A31" s="1250"/>
      <c r="B31" s="1251"/>
      <c r="C31" s="771"/>
      <c r="D31" s="772"/>
      <c r="E31" s="730">
        <v>1426396</v>
      </c>
      <c r="F31" s="731" t="s">
        <v>4794</v>
      </c>
      <c r="G31" s="731" t="s">
        <v>4795</v>
      </c>
      <c r="H31" s="732">
        <v>39574</v>
      </c>
      <c r="I31" s="733" t="str">
        <f t="shared" si="0"/>
        <v>Molly Bartup</v>
      </c>
      <c r="J31" s="734" t="str">
        <f t="shared" si="1"/>
        <v>Bartup,Molly</v>
      </c>
      <c r="K31" s="735">
        <f t="shared" ca="1" si="2"/>
        <v>15</v>
      </c>
      <c r="L31" s="736" t="str">
        <f t="shared" si="3"/>
        <v>060508</v>
      </c>
      <c r="M31" s="770" t="str">
        <f t="shared" ca="1" si="12"/>
        <v>OK</v>
      </c>
      <c r="N31" s="767"/>
      <c r="AD31" s="1244"/>
      <c r="AE31" s="1245"/>
      <c r="AF31" s="753"/>
      <c r="AG31" s="754"/>
      <c r="AH31" s="740">
        <f t="shared" si="5"/>
        <v>1426396</v>
      </c>
      <c r="AI31" s="740" t="str">
        <f t="shared" si="6"/>
        <v>Molly</v>
      </c>
      <c r="AJ31" s="740" t="str">
        <f t="shared" si="7"/>
        <v>Bartup</v>
      </c>
      <c r="AK31" s="740"/>
      <c r="AL31" s="740"/>
      <c r="AM31" s="740"/>
      <c r="AN31" s="740"/>
      <c r="AO31" s="740"/>
      <c r="AQ31" s="741">
        <f t="shared" ca="1" si="8"/>
        <v>39574</v>
      </c>
    </row>
    <row r="32" spans="1:43" ht="20.25" customHeight="1" x14ac:dyDescent="0.25">
      <c r="A32" s="1250"/>
      <c r="B32" s="1251"/>
      <c r="C32" s="771"/>
      <c r="D32" s="772"/>
      <c r="E32" s="730">
        <v>1354767</v>
      </c>
      <c r="F32" s="731" t="s">
        <v>4711</v>
      </c>
      <c r="G32" s="731" t="s">
        <v>4803</v>
      </c>
      <c r="H32" s="732">
        <v>38332</v>
      </c>
      <c r="I32" s="733" t="str">
        <f t="shared" si="0"/>
        <v>Sophie Clark</v>
      </c>
      <c r="J32" s="734" t="str">
        <f t="shared" si="1"/>
        <v>Clark,Sophie</v>
      </c>
      <c r="K32" s="735">
        <f t="shared" ca="1" si="2"/>
        <v>19</v>
      </c>
      <c r="L32" s="736" t="str">
        <f t="shared" si="3"/>
        <v>111204</v>
      </c>
      <c r="M32" s="770" t="str">
        <f t="shared" ca="1" si="12"/>
        <v>OK</v>
      </c>
      <c r="N32" s="767"/>
      <c r="AD32" s="1244"/>
      <c r="AE32" s="1245"/>
      <c r="AF32" s="753"/>
      <c r="AG32" s="754"/>
      <c r="AH32" s="740">
        <f t="shared" si="5"/>
        <v>1354767</v>
      </c>
      <c r="AI32" s="740" t="str">
        <f t="shared" si="6"/>
        <v>Sophie</v>
      </c>
      <c r="AJ32" s="740" t="str">
        <f t="shared" si="7"/>
        <v>Clark</v>
      </c>
      <c r="AK32" s="740"/>
      <c r="AL32" s="740"/>
      <c r="AM32" s="740"/>
      <c r="AN32" s="740"/>
      <c r="AO32" s="740"/>
      <c r="AQ32" s="741">
        <f t="shared" ca="1" si="8"/>
        <v>38332</v>
      </c>
    </row>
    <row r="33" spans="1:43" ht="20.25" customHeight="1" x14ac:dyDescent="0.25">
      <c r="A33" s="1250"/>
      <c r="B33" s="1251"/>
      <c r="C33" s="771"/>
      <c r="D33" s="772"/>
      <c r="E33" s="730">
        <v>1618230</v>
      </c>
      <c r="F33" s="731" t="s">
        <v>4792</v>
      </c>
      <c r="G33" s="731" t="s">
        <v>4793</v>
      </c>
      <c r="H33" s="732">
        <v>40090</v>
      </c>
      <c r="I33" s="733" t="str">
        <f t="shared" si="0"/>
        <v>Jessica MacKenzie</v>
      </c>
      <c r="J33" s="734" t="str">
        <f t="shared" si="1"/>
        <v>MacKenzie,Jessica</v>
      </c>
      <c r="K33" s="735">
        <f t="shared" ca="1" si="2"/>
        <v>14</v>
      </c>
      <c r="L33" s="736" t="str">
        <f t="shared" si="3"/>
        <v>041009</v>
      </c>
      <c r="M33" s="770" t="str">
        <f t="shared" ca="1" si="12"/>
        <v>OK</v>
      </c>
      <c r="N33" s="767"/>
      <c r="AD33" s="1244"/>
      <c r="AE33" s="1245"/>
      <c r="AF33" s="753"/>
      <c r="AG33" s="754"/>
      <c r="AH33" s="740">
        <f t="shared" si="5"/>
        <v>1618230</v>
      </c>
      <c r="AI33" s="740" t="str">
        <f t="shared" si="6"/>
        <v>Jessica</v>
      </c>
      <c r="AJ33" s="740" t="str">
        <f t="shared" si="7"/>
        <v>MacKenzie</v>
      </c>
      <c r="AK33" s="740"/>
      <c r="AL33" s="740"/>
      <c r="AM33" s="740"/>
      <c r="AN33" s="740"/>
      <c r="AO33" s="740"/>
      <c r="AQ33" s="741">
        <f t="shared" ca="1" si="8"/>
        <v>40090</v>
      </c>
    </row>
    <row r="34" spans="1:43" ht="20.25" customHeight="1" x14ac:dyDescent="0.25">
      <c r="A34" s="1250">
        <v>10</v>
      </c>
      <c r="B34" s="1251" t="s">
        <v>4687</v>
      </c>
      <c r="C34" s="768"/>
      <c r="D34" s="769"/>
      <c r="E34" s="730">
        <v>1359418</v>
      </c>
      <c r="F34" s="731" t="s">
        <v>4728</v>
      </c>
      <c r="G34" s="731" t="s">
        <v>4804</v>
      </c>
      <c r="H34" s="732">
        <v>39055</v>
      </c>
      <c r="I34" s="733" t="str">
        <f t="shared" si="0"/>
        <v>Charlie Cropley</v>
      </c>
      <c r="J34" s="734" t="str">
        <f t="shared" si="1"/>
        <v>Cropley,Charlie</v>
      </c>
      <c r="K34" s="735">
        <f t="shared" ca="1" si="2"/>
        <v>17</v>
      </c>
      <c r="L34" s="736" t="str">
        <f t="shared" si="3"/>
        <v>041206</v>
      </c>
      <c r="M34" s="770" t="str">
        <f t="shared" ca="1" si="12"/>
        <v>OK</v>
      </c>
      <c r="N34" s="767"/>
      <c r="AD34" s="1244">
        <f>A34</f>
        <v>10</v>
      </c>
      <c r="AE34" s="1245" t="str">
        <f>B34</f>
        <v>OPEN/MALE 16+ 4 X 50M
MEDLEY RELAY</v>
      </c>
      <c r="AF34" s="749"/>
      <c r="AG34" s="750"/>
      <c r="AH34" s="740">
        <f t="shared" si="5"/>
        <v>1359418</v>
      </c>
      <c r="AI34" s="740" t="str">
        <f t="shared" si="6"/>
        <v>Charlie</v>
      </c>
      <c r="AJ34" s="740" t="str">
        <f t="shared" si="7"/>
        <v>Cropley</v>
      </c>
      <c r="AK34" s="740"/>
      <c r="AL34" s="740"/>
      <c r="AM34" s="740"/>
      <c r="AN34" s="740"/>
      <c r="AO34" s="740"/>
      <c r="AQ34" s="741">
        <f t="shared" ca="1" si="8"/>
        <v>39055</v>
      </c>
    </row>
    <row r="35" spans="1:43" ht="20.25" customHeight="1" x14ac:dyDescent="0.25">
      <c r="A35" s="1250"/>
      <c r="B35" s="1251"/>
      <c r="C35" s="771"/>
      <c r="D35" s="772"/>
      <c r="E35" s="730">
        <v>1289074</v>
      </c>
      <c r="F35" s="731" t="s">
        <v>4769</v>
      </c>
      <c r="G35" s="731" t="s">
        <v>4768</v>
      </c>
      <c r="H35" s="732">
        <v>38654</v>
      </c>
      <c r="I35" s="733" t="str">
        <f t="shared" si="0"/>
        <v>George Lovelock</v>
      </c>
      <c r="J35" s="734" t="str">
        <f t="shared" si="1"/>
        <v>Lovelock,George</v>
      </c>
      <c r="K35" s="735">
        <f t="shared" ca="1" si="2"/>
        <v>18</v>
      </c>
      <c r="L35" s="736" t="str">
        <f t="shared" si="3"/>
        <v>291005</v>
      </c>
      <c r="M35" s="770" t="str">
        <f t="shared" ca="1" si="12"/>
        <v>OK</v>
      </c>
      <c r="AD35" s="1244"/>
      <c r="AE35" s="1245"/>
      <c r="AF35" s="753"/>
      <c r="AG35" s="754"/>
      <c r="AH35" s="740">
        <f t="shared" si="5"/>
        <v>1289074</v>
      </c>
      <c r="AI35" s="740" t="str">
        <f t="shared" si="6"/>
        <v>George</v>
      </c>
      <c r="AJ35" s="740" t="str">
        <f t="shared" si="7"/>
        <v>Lovelock</v>
      </c>
      <c r="AK35" s="740"/>
      <c r="AL35" s="740"/>
      <c r="AM35" s="740"/>
      <c r="AN35" s="740"/>
      <c r="AO35" s="740"/>
      <c r="AQ35" s="741">
        <f t="shared" ca="1" si="8"/>
        <v>38654</v>
      </c>
    </row>
    <row r="36" spans="1:43" ht="20.25" customHeight="1" x14ac:dyDescent="0.25">
      <c r="A36" s="1250"/>
      <c r="B36" s="1251"/>
      <c r="C36" s="771"/>
      <c r="D36" s="772"/>
      <c r="E36" s="730">
        <v>1363497</v>
      </c>
      <c r="F36" s="731" t="s">
        <v>4805</v>
      </c>
      <c r="G36" s="731" t="s">
        <v>2604</v>
      </c>
      <c r="H36" s="732">
        <v>39248</v>
      </c>
      <c r="I36" s="733" t="str">
        <f t="shared" ref="I36:I67" si="13">CONCATENATE(F36," ",G36)</f>
        <v>Luke Morley</v>
      </c>
      <c r="J36" s="734" t="str">
        <f t="shared" ref="J36:J67" si="14">CONCATENATE(G36,",",F36)</f>
        <v>Morley,Luke</v>
      </c>
      <c r="K36" s="735">
        <f t="shared" ref="K36:K67" ca="1" si="15">IF(K$2=0,0,IF(AQ36=0,0,IF(COUNTBLANK(AQ36)=1,"",YEAR(K$2)-YEAR(AQ36)-IF(DATE(YEAR(K$2),MONTH(AQ36),DAY(4638))&gt;K$2,1,0))))</f>
        <v>16</v>
      </c>
      <c r="L36" s="736" t="str">
        <f t="shared" ref="L36:L67" si="16">(TEXT(H36,"DDMMYY"))</f>
        <v>150607</v>
      </c>
      <c r="M36" s="770" t="str">
        <f t="shared" ca="1" si="12"/>
        <v>OK</v>
      </c>
      <c r="AD36" s="1244"/>
      <c r="AE36" s="1245"/>
      <c r="AF36" s="753"/>
      <c r="AG36" s="754"/>
      <c r="AH36" s="740">
        <f t="shared" ref="AH36:AH67" si="17">E36</f>
        <v>1363497</v>
      </c>
      <c r="AI36" s="740" t="str">
        <f t="shared" ref="AI36:AI67" si="18">F36</f>
        <v>Luke</v>
      </c>
      <c r="AJ36" s="740" t="str">
        <f t="shared" ref="AJ36:AJ67" si="19">G36</f>
        <v>Morley</v>
      </c>
      <c r="AK36" s="740"/>
      <c r="AL36" s="740"/>
      <c r="AM36" s="740"/>
      <c r="AN36" s="740"/>
      <c r="AO36" s="740"/>
      <c r="AQ36" s="741">
        <f t="shared" ref="AQ36:AQ67" ca="1" si="20">INDIRECT(ADDRESS(ROW(),AQ$3))</f>
        <v>39248</v>
      </c>
    </row>
    <row r="37" spans="1:43" ht="20.25" customHeight="1" x14ac:dyDescent="0.25">
      <c r="A37" s="1250"/>
      <c r="B37" s="1251"/>
      <c r="C37" s="771"/>
      <c r="D37" s="772"/>
      <c r="E37" s="730">
        <v>1311990</v>
      </c>
      <c r="F37" s="731" t="s">
        <v>4806</v>
      </c>
      <c r="G37" s="731" t="s">
        <v>4807</v>
      </c>
      <c r="H37" s="732">
        <v>38705</v>
      </c>
      <c r="I37" s="733" t="str">
        <f t="shared" si="13"/>
        <v>Ethan Saldanha</v>
      </c>
      <c r="J37" s="734" t="str">
        <f t="shared" si="14"/>
        <v>Saldanha,Ethan</v>
      </c>
      <c r="K37" s="735">
        <f t="shared" ca="1" si="15"/>
        <v>18</v>
      </c>
      <c r="L37" s="736" t="str">
        <f t="shared" si="16"/>
        <v>191205</v>
      </c>
      <c r="M37" s="770" t="str">
        <f t="shared" ca="1" si="12"/>
        <v>OK</v>
      </c>
      <c r="AD37" s="1244"/>
      <c r="AE37" s="1245"/>
      <c r="AF37" s="753"/>
      <c r="AG37" s="754"/>
      <c r="AH37" s="740">
        <f t="shared" si="17"/>
        <v>1311990</v>
      </c>
      <c r="AI37" s="740" t="str">
        <f t="shared" si="18"/>
        <v>Ethan</v>
      </c>
      <c r="AJ37" s="740" t="str">
        <f t="shared" si="19"/>
        <v>Saldanha</v>
      </c>
      <c r="AK37" s="740"/>
      <c r="AL37" s="740"/>
      <c r="AM37" s="740"/>
      <c r="AN37" s="740"/>
      <c r="AO37" s="740"/>
      <c r="AQ37" s="741">
        <f t="shared" ca="1" si="20"/>
        <v>38705</v>
      </c>
    </row>
    <row r="38" spans="1:43" ht="20.25" customHeight="1" x14ac:dyDescent="0.25">
      <c r="A38" s="745">
        <v>11</v>
      </c>
      <c r="B38" s="773" t="s">
        <v>4339</v>
      </c>
      <c r="C38" s="774" t="s">
        <v>4635</v>
      </c>
      <c r="D38" s="775">
        <v>13</v>
      </c>
      <c r="E38" s="730">
        <v>1670745</v>
      </c>
      <c r="F38" s="731" t="s">
        <v>4767</v>
      </c>
      <c r="G38" s="731" t="s">
        <v>4770</v>
      </c>
      <c r="H38" s="732">
        <v>41054</v>
      </c>
      <c r="I38" s="733" t="str">
        <f t="shared" si="13"/>
        <v>Hannah Jounor</v>
      </c>
      <c r="J38" s="734" t="str">
        <f t="shared" si="14"/>
        <v>Jounor,Hannah</v>
      </c>
      <c r="K38" s="735">
        <f t="shared" ca="1" si="15"/>
        <v>11</v>
      </c>
      <c r="L38" s="736" t="str">
        <f t="shared" si="16"/>
        <v>250512</v>
      </c>
      <c r="M38" s="766" t="str">
        <f ca="1">IF(K38=0,0,IF(K38&lt;10,"TOO YOUNG",IF(K38&lt;12,"OK","NOT ELIGIBLE")))</f>
        <v>OK</v>
      </c>
      <c r="AD38" s="722">
        <f t="shared" ref="AD38:AD70" si="21">A38</f>
        <v>11</v>
      </c>
      <c r="AE38" s="443" t="str">
        <f t="shared" ref="AE38:AE70" si="22">B38</f>
        <v>Female 10/11 50m Backstroke</v>
      </c>
      <c r="AF38" s="440" t="s">
        <v>4635</v>
      </c>
      <c r="AG38" s="739">
        <v>13</v>
      </c>
      <c r="AH38" s="740">
        <f t="shared" si="17"/>
        <v>1670745</v>
      </c>
      <c r="AI38" s="740" t="str">
        <f t="shared" si="18"/>
        <v>Hannah</v>
      </c>
      <c r="AJ38" s="740" t="str">
        <f t="shared" si="19"/>
        <v>Jounor</v>
      </c>
      <c r="AK38" s="740"/>
      <c r="AL38" s="740"/>
      <c r="AM38" s="740"/>
      <c r="AN38" s="740"/>
      <c r="AO38" s="740"/>
      <c r="AQ38" s="741">
        <f t="shared" ca="1" si="20"/>
        <v>41054</v>
      </c>
    </row>
    <row r="39" spans="1:43" ht="20.25" customHeight="1" x14ac:dyDescent="0.25">
      <c r="A39" s="745">
        <v>12</v>
      </c>
      <c r="B39" s="773" t="s">
        <v>4340</v>
      </c>
      <c r="C39" s="774" t="s">
        <v>328</v>
      </c>
      <c r="D39" s="775">
        <v>13</v>
      </c>
      <c r="E39" s="730">
        <v>1657594</v>
      </c>
      <c r="F39" s="731" t="s">
        <v>4777</v>
      </c>
      <c r="G39" s="731" t="s">
        <v>4778</v>
      </c>
      <c r="H39" s="732">
        <v>41589</v>
      </c>
      <c r="I39" s="733" t="str">
        <f t="shared" si="13"/>
        <v>Liam  Thompson</v>
      </c>
      <c r="J39" s="734" t="str">
        <f t="shared" si="14"/>
        <v xml:space="preserve">Thompson,Liam </v>
      </c>
      <c r="K39" s="735">
        <f t="shared" ca="1" si="15"/>
        <v>10</v>
      </c>
      <c r="L39" s="736" t="str">
        <f t="shared" si="16"/>
        <v>111113</v>
      </c>
      <c r="M39" s="766" t="str">
        <f ca="1">IF(K39=0,0,IF(K39&lt;10,"TOO YOUNG",IF(K39&lt;12,"OK","NOT ELIGIBLE")))</f>
        <v>OK</v>
      </c>
      <c r="AD39" s="722">
        <f t="shared" si="21"/>
        <v>12</v>
      </c>
      <c r="AE39" s="443" t="str">
        <f t="shared" si="22"/>
        <v>Open/Male 10/11 50m Backstroke</v>
      </c>
      <c r="AF39" s="440" t="s">
        <v>328</v>
      </c>
      <c r="AG39" s="739">
        <v>13</v>
      </c>
      <c r="AH39" s="740">
        <f t="shared" si="17"/>
        <v>1657594</v>
      </c>
      <c r="AI39" s="740" t="str">
        <f t="shared" si="18"/>
        <v xml:space="preserve">Liam </v>
      </c>
      <c r="AJ39" s="740" t="str">
        <f t="shared" si="19"/>
        <v>Thompson</v>
      </c>
      <c r="AK39" s="740"/>
      <c r="AL39" s="740"/>
      <c r="AM39" s="740"/>
      <c r="AN39" s="740"/>
      <c r="AO39" s="740"/>
      <c r="AQ39" s="741">
        <f t="shared" ca="1" si="20"/>
        <v>41589</v>
      </c>
    </row>
    <row r="40" spans="1:43" ht="20.25" customHeight="1" x14ac:dyDescent="0.25">
      <c r="A40" s="755">
        <v>13</v>
      </c>
      <c r="B40" s="776" t="s">
        <v>4341</v>
      </c>
      <c r="C40" s="777" t="s">
        <v>4635</v>
      </c>
      <c r="D40" s="778">
        <v>8</v>
      </c>
      <c r="E40" s="730">
        <v>1387243</v>
      </c>
      <c r="F40" s="731" t="s">
        <v>4784</v>
      </c>
      <c r="G40" s="731" t="s">
        <v>4785</v>
      </c>
      <c r="H40" s="732">
        <v>40630</v>
      </c>
      <c r="I40" s="733" t="str">
        <f t="shared" si="13"/>
        <v>Mia Nelson</v>
      </c>
      <c r="J40" s="734" t="str">
        <f t="shared" si="14"/>
        <v>Nelson,Mia</v>
      </c>
      <c r="K40" s="735">
        <f t="shared" ca="1" si="15"/>
        <v>12</v>
      </c>
      <c r="L40" s="736" t="str">
        <f t="shared" si="16"/>
        <v>280311</v>
      </c>
      <c r="M40" s="766" t="str">
        <f ca="1">IF(K40=0,0,IF(K40&lt;9,"TOO YOUNG",IF(K40&lt;14,"OK","NOT ELIGIBLE")))</f>
        <v>OK</v>
      </c>
      <c r="AD40" s="722">
        <f t="shared" si="21"/>
        <v>13</v>
      </c>
      <c r="AE40" s="443" t="str">
        <f t="shared" si="22"/>
        <v>Female 13/U 100m Breaststroke</v>
      </c>
      <c r="AF40" s="440" t="s">
        <v>4635</v>
      </c>
      <c r="AG40" s="739">
        <v>8</v>
      </c>
      <c r="AH40" s="740">
        <f t="shared" si="17"/>
        <v>1387243</v>
      </c>
      <c r="AI40" s="740" t="str">
        <f t="shared" si="18"/>
        <v>Mia</v>
      </c>
      <c r="AJ40" s="740" t="str">
        <f t="shared" si="19"/>
        <v>Nelson</v>
      </c>
      <c r="AK40" s="740"/>
      <c r="AL40" s="740"/>
      <c r="AM40" s="740"/>
      <c r="AN40" s="740"/>
      <c r="AO40" s="740"/>
      <c r="AQ40" s="741">
        <f t="shared" ca="1" si="20"/>
        <v>40630</v>
      </c>
    </row>
    <row r="41" spans="1:43" ht="20.25" customHeight="1" x14ac:dyDescent="0.25">
      <c r="A41" s="755">
        <v>14</v>
      </c>
      <c r="B41" s="776" t="s">
        <v>4342</v>
      </c>
      <c r="C41" s="777" t="s">
        <v>328</v>
      </c>
      <c r="D41" s="778">
        <v>8</v>
      </c>
      <c r="E41" s="730">
        <v>1482094</v>
      </c>
      <c r="F41" s="731" t="s">
        <v>4787</v>
      </c>
      <c r="G41" s="731" t="s">
        <v>4776</v>
      </c>
      <c r="H41" s="732">
        <v>40272</v>
      </c>
      <c r="I41" s="733" t="str">
        <f t="shared" si="13"/>
        <v>Ryan Wimpenny</v>
      </c>
      <c r="J41" s="734" t="str">
        <f t="shared" si="14"/>
        <v>Wimpenny,Ryan</v>
      </c>
      <c r="K41" s="735">
        <f t="shared" ca="1" si="15"/>
        <v>13</v>
      </c>
      <c r="L41" s="736" t="str">
        <f t="shared" si="16"/>
        <v>040410</v>
      </c>
      <c r="M41" s="766" t="str">
        <f ca="1">IF(K41=0,0,IF(K41&lt;9,"TOO YOUNG",IF(K41&lt;14,"OK","NOT ELIGIBLE")))</f>
        <v>OK</v>
      </c>
      <c r="AD41" s="722">
        <f t="shared" si="21"/>
        <v>14</v>
      </c>
      <c r="AE41" s="443" t="str">
        <f t="shared" si="22"/>
        <v>Open/Male 13/U 100m Breaststroke</v>
      </c>
      <c r="AF41" s="440" t="s">
        <v>328</v>
      </c>
      <c r="AG41" s="739">
        <v>8</v>
      </c>
      <c r="AH41" s="740">
        <f t="shared" si="17"/>
        <v>1482094</v>
      </c>
      <c r="AI41" s="740" t="str">
        <f t="shared" si="18"/>
        <v>Ryan</v>
      </c>
      <c r="AJ41" s="740" t="str">
        <f t="shared" si="19"/>
        <v>Wimpenny</v>
      </c>
      <c r="AK41" s="740"/>
      <c r="AL41" s="740"/>
      <c r="AM41" s="740"/>
      <c r="AN41" s="740"/>
      <c r="AO41" s="740"/>
      <c r="AQ41" s="741">
        <f t="shared" ca="1" si="20"/>
        <v>40272</v>
      </c>
    </row>
    <row r="42" spans="1:43" ht="20.25" customHeight="1" x14ac:dyDescent="0.25">
      <c r="A42" s="779">
        <v>15</v>
      </c>
      <c r="B42" s="780" t="s">
        <v>4343</v>
      </c>
      <c r="C42" s="781" t="s">
        <v>4635</v>
      </c>
      <c r="D42" s="782">
        <v>14</v>
      </c>
      <c r="E42" s="730">
        <v>1312590</v>
      </c>
      <c r="F42" s="731" t="s">
        <v>4767</v>
      </c>
      <c r="G42" s="731" t="s">
        <v>4768</v>
      </c>
      <c r="H42" s="732">
        <v>39496</v>
      </c>
      <c r="I42" s="733" t="str">
        <f t="shared" si="13"/>
        <v>Hannah Lovelock</v>
      </c>
      <c r="J42" s="734" t="str">
        <f t="shared" si="14"/>
        <v>Lovelock,Hannah</v>
      </c>
      <c r="K42" s="735">
        <f t="shared" ca="1" si="15"/>
        <v>15</v>
      </c>
      <c r="L42" s="736" t="str">
        <f t="shared" si="16"/>
        <v>180208</v>
      </c>
      <c r="M42" s="766" t="str">
        <f ca="1">IF(K42=0,0,IF(K42&lt;9,"TOO YOUNG",IF(K42&lt;16,"OK","NOT ELIGIBLE")))</f>
        <v>OK</v>
      </c>
      <c r="AD42" s="722">
        <f t="shared" si="21"/>
        <v>15</v>
      </c>
      <c r="AE42" s="443" t="str">
        <f t="shared" si="22"/>
        <v>Female 15/U 100m Backstroke</v>
      </c>
      <c r="AF42" s="440" t="s">
        <v>4635</v>
      </c>
      <c r="AG42" s="739">
        <v>14</v>
      </c>
      <c r="AH42" s="740">
        <f t="shared" si="17"/>
        <v>1312590</v>
      </c>
      <c r="AI42" s="740" t="str">
        <f t="shared" si="18"/>
        <v>Hannah</v>
      </c>
      <c r="AJ42" s="740" t="str">
        <f t="shared" si="19"/>
        <v>Lovelock</v>
      </c>
      <c r="AK42" s="740"/>
      <c r="AL42" s="740"/>
      <c r="AM42" s="740"/>
      <c r="AN42" s="740"/>
      <c r="AO42" s="740"/>
      <c r="AQ42" s="741">
        <f t="shared" ca="1" si="20"/>
        <v>39496</v>
      </c>
    </row>
    <row r="43" spans="1:43" ht="20.25" customHeight="1" x14ac:dyDescent="0.25">
      <c r="A43" s="779">
        <v>16</v>
      </c>
      <c r="B43" s="780" t="s">
        <v>4694</v>
      </c>
      <c r="C43" s="781" t="s">
        <v>328</v>
      </c>
      <c r="D43" s="782">
        <v>14</v>
      </c>
      <c r="E43" s="730">
        <v>1402277</v>
      </c>
      <c r="F43" s="731" t="s">
        <v>4797</v>
      </c>
      <c r="G43" s="731" t="s">
        <v>4798</v>
      </c>
      <c r="H43" s="732">
        <v>39503</v>
      </c>
      <c r="I43" s="733" t="str">
        <f t="shared" si="13"/>
        <v>Alfie Bullock</v>
      </c>
      <c r="J43" s="734" t="str">
        <f t="shared" si="14"/>
        <v>Bullock,Alfie</v>
      </c>
      <c r="K43" s="735">
        <f t="shared" ca="1" si="15"/>
        <v>15</v>
      </c>
      <c r="L43" s="736" t="str">
        <f t="shared" si="16"/>
        <v>250208</v>
      </c>
      <c r="M43" s="766" t="str">
        <f ca="1">IF(K43=0,0,IF(K43&lt;9,"TOO YOUNG",IF(K43&lt;16,"OK","NOT ELIGIBLE")))</f>
        <v>OK</v>
      </c>
      <c r="AD43" s="722">
        <f t="shared" si="21"/>
        <v>16</v>
      </c>
      <c r="AE43" s="443" t="str">
        <f t="shared" si="22"/>
        <v>Open/Male 15/U 100m Backstroke</v>
      </c>
      <c r="AF43" s="440" t="s">
        <v>328</v>
      </c>
      <c r="AG43" s="739">
        <v>14</v>
      </c>
      <c r="AH43" s="740">
        <f t="shared" si="17"/>
        <v>1402277</v>
      </c>
      <c r="AI43" s="740" t="str">
        <f t="shared" si="18"/>
        <v>Alfie</v>
      </c>
      <c r="AJ43" s="740" t="str">
        <f t="shared" si="19"/>
        <v>Bullock</v>
      </c>
      <c r="AK43" s="740"/>
      <c r="AL43" s="740"/>
      <c r="AM43" s="740"/>
      <c r="AN43" s="740"/>
      <c r="AO43" s="740"/>
      <c r="AQ43" s="741">
        <f t="shared" ca="1" si="20"/>
        <v>39503</v>
      </c>
    </row>
    <row r="44" spans="1:43" ht="20.25" customHeight="1" x14ac:dyDescent="0.25">
      <c r="A44" s="727">
        <v>17</v>
      </c>
      <c r="B44" s="742" t="s">
        <v>4345</v>
      </c>
      <c r="C44" s="728" t="s">
        <v>4635</v>
      </c>
      <c r="D44" s="729">
        <v>11</v>
      </c>
      <c r="E44" s="730">
        <v>1354767</v>
      </c>
      <c r="F44" s="731" t="s">
        <v>4711</v>
      </c>
      <c r="G44" s="731" t="s">
        <v>4803</v>
      </c>
      <c r="H44" s="732">
        <v>38332</v>
      </c>
      <c r="I44" s="733" t="str">
        <f t="shared" si="13"/>
        <v>Sophie Clark</v>
      </c>
      <c r="J44" s="734" t="str">
        <f t="shared" si="14"/>
        <v>Clark,Sophie</v>
      </c>
      <c r="K44" s="735">
        <f t="shared" ca="1" si="15"/>
        <v>19</v>
      </c>
      <c r="L44" s="736" t="str">
        <f t="shared" si="16"/>
        <v>111204</v>
      </c>
      <c r="M44" s="770" t="str">
        <f ca="1">IF(K44=0,0,IF(K44&lt;9,"TOO YOUNG",IF(K44&lt;60,"OK","BIT OLD MAYBE")))</f>
        <v>OK</v>
      </c>
      <c r="AD44" s="722">
        <f t="shared" si="21"/>
        <v>17</v>
      </c>
      <c r="AE44" s="443" t="str">
        <f t="shared" si="22"/>
        <v>Female 16+ 100m Butterfly</v>
      </c>
      <c r="AF44" s="440" t="s">
        <v>4635</v>
      </c>
      <c r="AG44" s="739">
        <v>11</v>
      </c>
      <c r="AH44" s="740">
        <f t="shared" si="17"/>
        <v>1354767</v>
      </c>
      <c r="AI44" s="740" t="str">
        <f t="shared" si="18"/>
        <v>Sophie</v>
      </c>
      <c r="AJ44" s="740" t="str">
        <f t="shared" si="19"/>
        <v>Clark</v>
      </c>
      <c r="AK44" s="740"/>
      <c r="AL44" s="740"/>
      <c r="AM44" s="740"/>
      <c r="AN44" s="740"/>
      <c r="AO44" s="740"/>
      <c r="AQ44" s="741">
        <f t="shared" ca="1" si="20"/>
        <v>38332</v>
      </c>
    </row>
    <row r="45" spans="1:43" ht="20.25" customHeight="1" x14ac:dyDescent="0.25">
      <c r="A45" s="727">
        <v>18</v>
      </c>
      <c r="B45" s="742" t="s">
        <v>4346</v>
      </c>
      <c r="C45" s="728" t="s">
        <v>328</v>
      </c>
      <c r="D45" s="729">
        <v>11</v>
      </c>
      <c r="E45" s="730">
        <v>1363497</v>
      </c>
      <c r="F45" s="731" t="s">
        <v>4805</v>
      </c>
      <c r="G45" s="731" t="s">
        <v>2604</v>
      </c>
      <c r="H45" s="732">
        <v>39248</v>
      </c>
      <c r="I45" s="733" t="str">
        <f t="shared" si="13"/>
        <v>Luke Morley</v>
      </c>
      <c r="J45" s="734" t="str">
        <f t="shared" si="14"/>
        <v>Morley,Luke</v>
      </c>
      <c r="K45" s="735">
        <f t="shared" ca="1" si="15"/>
        <v>16</v>
      </c>
      <c r="L45" s="736" t="str">
        <f t="shared" si="16"/>
        <v>150607</v>
      </c>
      <c r="M45" s="770" t="str">
        <f ca="1">IF(K45=0,0,IF(K45&lt;9,"TOO YOUNG",IF(K45&lt;60,"OK","BIT OLD MAYBE")))</f>
        <v>OK</v>
      </c>
      <c r="AD45" s="722">
        <f t="shared" si="21"/>
        <v>18</v>
      </c>
      <c r="AE45" s="443" t="str">
        <f t="shared" si="22"/>
        <v>Open/Male 16+ 100m Butterfly</v>
      </c>
      <c r="AF45" s="440" t="s">
        <v>328</v>
      </c>
      <c r="AG45" s="739">
        <v>11</v>
      </c>
      <c r="AH45" s="740">
        <f t="shared" si="17"/>
        <v>1363497</v>
      </c>
      <c r="AI45" s="740" t="str">
        <f t="shared" si="18"/>
        <v>Luke</v>
      </c>
      <c r="AJ45" s="740" t="str">
        <f t="shared" si="19"/>
        <v>Morley</v>
      </c>
      <c r="AK45" s="740"/>
      <c r="AL45" s="740"/>
      <c r="AM45" s="740"/>
      <c r="AN45" s="740"/>
      <c r="AO45" s="740"/>
      <c r="AQ45" s="741">
        <f t="shared" ca="1" si="20"/>
        <v>39248</v>
      </c>
    </row>
    <row r="46" spans="1:43" ht="20.25" customHeight="1" x14ac:dyDescent="0.25">
      <c r="A46" s="745">
        <v>19</v>
      </c>
      <c r="B46" s="773" t="s">
        <v>4347</v>
      </c>
      <c r="C46" s="774" t="s">
        <v>4635</v>
      </c>
      <c r="D46" s="775">
        <v>10</v>
      </c>
      <c r="E46" s="730">
        <v>1597016</v>
      </c>
      <c r="F46" s="731" t="s">
        <v>4773</v>
      </c>
      <c r="G46" s="731" t="s">
        <v>4774</v>
      </c>
      <c r="H46" s="732">
        <v>41526</v>
      </c>
      <c r="I46" s="733" t="str">
        <f t="shared" si="13"/>
        <v>Scarlett Omand</v>
      </c>
      <c r="J46" s="734" t="str">
        <f t="shared" si="14"/>
        <v>Omand,Scarlett</v>
      </c>
      <c r="K46" s="735">
        <f t="shared" ca="1" si="15"/>
        <v>10</v>
      </c>
      <c r="L46" s="736" t="str">
        <f t="shared" si="16"/>
        <v>090913</v>
      </c>
      <c r="M46" s="766" t="str">
        <f ca="1">IF(K46=0,0,IF(K46&lt;10,"TOO YOUNG",IF(K46&lt;12,"OK","NOT ELIGIBLE")))</f>
        <v>OK</v>
      </c>
      <c r="AD46" s="722">
        <f t="shared" si="21"/>
        <v>19</v>
      </c>
      <c r="AE46" s="443" t="str">
        <f t="shared" si="22"/>
        <v>Female 10/11 50m Butterfly</v>
      </c>
      <c r="AF46" s="440" t="s">
        <v>4635</v>
      </c>
      <c r="AG46" s="739">
        <v>10</v>
      </c>
      <c r="AH46" s="740">
        <f t="shared" si="17"/>
        <v>1597016</v>
      </c>
      <c r="AI46" s="740" t="str">
        <f t="shared" si="18"/>
        <v>Scarlett</v>
      </c>
      <c r="AJ46" s="740" t="str">
        <f t="shared" si="19"/>
        <v>Omand</v>
      </c>
      <c r="AK46" s="740"/>
      <c r="AL46" s="740"/>
      <c r="AM46" s="740"/>
      <c r="AN46" s="740"/>
      <c r="AO46" s="740"/>
      <c r="AQ46" s="741">
        <f t="shared" ca="1" si="20"/>
        <v>41526</v>
      </c>
    </row>
    <row r="47" spans="1:43" ht="20.25" customHeight="1" x14ac:dyDescent="0.25">
      <c r="A47" s="745">
        <v>20</v>
      </c>
      <c r="B47" s="773" t="s">
        <v>4348</v>
      </c>
      <c r="C47" s="774" t="s">
        <v>328</v>
      </c>
      <c r="D47" s="775">
        <v>10</v>
      </c>
      <c r="E47" s="730">
        <v>1597049</v>
      </c>
      <c r="F47" s="731" t="s">
        <v>2504</v>
      </c>
      <c r="G47" s="731" t="s">
        <v>4779</v>
      </c>
      <c r="H47" s="732">
        <v>41340</v>
      </c>
      <c r="I47" s="733" t="str">
        <f t="shared" si="13"/>
        <v>Maxwell Croft</v>
      </c>
      <c r="J47" s="734" t="str">
        <f t="shared" si="14"/>
        <v>Croft,Maxwell</v>
      </c>
      <c r="K47" s="735">
        <f t="shared" ca="1" si="15"/>
        <v>10</v>
      </c>
      <c r="L47" s="736" t="str">
        <f t="shared" si="16"/>
        <v>070313</v>
      </c>
      <c r="M47" s="766" t="str">
        <f ca="1">IF(K47=0,0,IF(K47&lt;10,"TOO YOUNG",IF(K47&lt;12,"OK","NOT ELIGIBLE")))</f>
        <v>OK</v>
      </c>
      <c r="AD47" s="722">
        <f t="shared" si="21"/>
        <v>20</v>
      </c>
      <c r="AE47" s="443" t="str">
        <f t="shared" si="22"/>
        <v>Open/Male 10/11 50m Butterfly</v>
      </c>
      <c r="AF47" s="440" t="s">
        <v>328</v>
      </c>
      <c r="AG47" s="739">
        <v>10</v>
      </c>
      <c r="AH47" s="740">
        <f t="shared" si="17"/>
        <v>1597049</v>
      </c>
      <c r="AI47" s="740" t="str">
        <f t="shared" si="18"/>
        <v>Maxwell</v>
      </c>
      <c r="AJ47" s="740" t="str">
        <f t="shared" si="19"/>
        <v>Croft</v>
      </c>
      <c r="AK47" s="740"/>
      <c r="AL47" s="740"/>
      <c r="AM47" s="740"/>
      <c r="AN47" s="740"/>
      <c r="AO47" s="740"/>
      <c r="AQ47" s="741">
        <f t="shared" ca="1" si="20"/>
        <v>41340</v>
      </c>
    </row>
    <row r="48" spans="1:43" ht="20.25" customHeight="1" x14ac:dyDescent="0.25">
      <c r="A48" s="755">
        <v>21</v>
      </c>
      <c r="B48" s="776" t="s">
        <v>4349</v>
      </c>
      <c r="C48" s="777" t="s">
        <v>4635</v>
      </c>
      <c r="D48" s="778">
        <v>14</v>
      </c>
      <c r="E48" s="730">
        <v>1484565</v>
      </c>
      <c r="F48" s="731" t="s">
        <v>4721</v>
      </c>
      <c r="G48" s="731" t="s">
        <v>4783</v>
      </c>
      <c r="H48" s="732">
        <v>40601</v>
      </c>
      <c r="I48" s="733" t="str">
        <f t="shared" si="13"/>
        <v>Maya Robu</v>
      </c>
      <c r="J48" s="734" t="str">
        <f t="shared" si="14"/>
        <v>Robu,Maya</v>
      </c>
      <c r="K48" s="735">
        <f t="shared" ca="1" si="15"/>
        <v>12</v>
      </c>
      <c r="L48" s="736" t="str">
        <f t="shared" si="16"/>
        <v>270211</v>
      </c>
      <c r="M48" s="766" t="str">
        <f ca="1">IF(K48=0,0,IF(K48&lt;9,"TOO YOUNG",IF(K48&lt;14,"OK","NOT ELIGIBLE")))</f>
        <v>OK</v>
      </c>
      <c r="AD48" s="722">
        <f t="shared" si="21"/>
        <v>21</v>
      </c>
      <c r="AE48" s="443" t="str">
        <f t="shared" si="22"/>
        <v>Female 13/U 100m Backstroke</v>
      </c>
      <c r="AF48" s="440" t="s">
        <v>4635</v>
      </c>
      <c r="AG48" s="739">
        <v>14</v>
      </c>
      <c r="AH48" s="740">
        <f t="shared" si="17"/>
        <v>1484565</v>
      </c>
      <c r="AI48" s="740" t="str">
        <f t="shared" si="18"/>
        <v>Maya</v>
      </c>
      <c r="AJ48" s="740" t="str">
        <f t="shared" si="19"/>
        <v>Robu</v>
      </c>
      <c r="AK48" s="740"/>
      <c r="AL48" s="740"/>
      <c r="AM48" s="740"/>
      <c r="AN48" s="740"/>
      <c r="AO48" s="740"/>
      <c r="AQ48" s="741">
        <f t="shared" ca="1" si="20"/>
        <v>40601</v>
      </c>
    </row>
    <row r="49" spans="1:43" ht="20.25" customHeight="1" x14ac:dyDescent="0.25">
      <c r="A49" s="755">
        <v>22</v>
      </c>
      <c r="B49" s="776" t="s">
        <v>4350</v>
      </c>
      <c r="C49" s="777" t="s">
        <v>328</v>
      </c>
      <c r="D49" s="778">
        <v>14</v>
      </c>
      <c r="E49" s="730">
        <v>1482094</v>
      </c>
      <c r="F49" s="731" t="s">
        <v>4787</v>
      </c>
      <c r="G49" s="731" t="s">
        <v>4776</v>
      </c>
      <c r="H49" s="732">
        <v>40272</v>
      </c>
      <c r="I49" s="733" t="str">
        <f t="shared" si="13"/>
        <v>Ryan Wimpenny</v>
      </c>
      <c r="J49" s="734" t="str">
        <f t="shared" si="14"/>
        <v>Wimpenny,Ryan</v>
      </c>
      <c r="K49" s="735">
        <f t="shared" ca="1" si="15"/>
        <v>13</v>
      </c>
      <c r="L49" s="736" t="str">
        <f t="shared" si="16"/>
        <v>040410</v>
      </c>
      <c r="M49" s="766" t="str">
        <f ca="1">IF(K49=0,0,IF(K49&lt;9,"TOO YOUNG",IF(K49&lt;14,"OK","NOT ELIGIBLE")))</f>
        <v>OK</v>
      </c>
      <c r="AD49" s="722">
        <f t="shared" si="21"/>
        <v>22</v>
      </c>
      <c r="AE49" s="443" t="str">
        <f t="shared" si="22"/>
        <v>Open/Male 13/U 100m Backstroke</v>
      </c>
      <c r="AF49" s="440" t="s">
        <v>328</v>
      </c>
      <c r="AG49" s="739">
        <v>14</v>
      </c>
      <c r="AH49" s="740">
        <f t="shared" si="17"/>
        <v>1482094</v>
      </c>
      <c r="AI49" s="740" t="str">
        <f t="shared" si="18"/>
        <v>Ryan</v>
      </c>
      <c r="AJ49" s="740" t="str">
        <f t="shared" si="19"/>
        <v>Wimpenny</v>
      </c>
      <c r="AK49" s="740"/>
      <c r="AL49" s="740"/>
      <c r="AM49" s="740"/>
      <c r="AN49" s="740"/>
      <c r="AO49" s="740"/>
      <c r="AQ49" s="741">
        <f t="shared" ca="1" si="20"/>
        <v>40272</v>
      </c>
    </row>
    <row r="50" spans="1:43" ht="20.25" customHeight="1" x14ac:dyDescent="0.25">
      <c r="A50" s="779">
        <v>23</v>
      </c>
      <c r="B50" s="780" t="s">
        <v>4351</v>
      </c>
      <c r="C50" s="781" t="s">
        <v>4635</v>
      </c>
      <c r="D50" s="782">
        <v>11</v>
      </c>
      <c r="E50" s="730">
        <v>1312590</v>
      </c>
      <c r="F50" s="731" t="s">
        <v>4767</v>
      </c>
      <c r="G50" s="731" t="s">
        <v>4768</v>
      </c>
      <c r="H50" s="732">
        <v>39496</v>
      </c>
      <c r="I50" s="733" t="str">
        <f t="shared" si="13"/>
        <v>Hannah Lovelock</v>
      </c>
      <c r="J50" s="734" t="str">
        <f t="shared" si="14"/>
        <v>Lovelock,Hannah</v>
      </c>
      <c r="K50" s="735">
        <f t="shared" ca="1" si="15"/>
        <v>15</v>
      </c>
      <c r="L50" s="736" t="str">
        <f t="shared" si="16"/>
        <v>180208</v>
      </c>
      <c r="M50" s="766" t="str">
        <f ca="1">IF(K50=0,0,IF(K50&lt;9,"TOO YOUNG",IF(K50&lt;16,"OK","NOT ELIGIBLE")))</f>
        <v>OK</v>
      </c>
      <c r="AD50" s="722">
        <f t="shared" si="21"/>
        <v>23</v>
      </c>
      <c r="AE50" s="443" t="str">
        <f t="shared" si="22"/>
        <v>Female 15/U 100m Butterfly</v>
      </c>
      <c r="AF50" s="440" t="s">
        <v>4635</v>
      </c>
      <c r="AG50" s="739">
        <v>11</v>
      </c>
      <c r="AH50" s="740">
        <f t="shared" si="17"/>
        <v>1312590</v>
      </c>
      <c r="AI50" s="740" t="str">
        <f t="shared" si="18"/>
        <v>Hannah</v>
      </c>
      <c r="AJ50" s="740" t="str">
        <f t="shared" si="19"/>
        <v>Lovelock</v>
      </c>
      <c r="AK50" s="740"/>
      <c r="AL50" s="740"/>
      <c r="AM50" s="740"/>
      <c r="AN50" s="740"/>
      <c r="AO50" s="740"/>
      <c r="AQ50" s="741">
        <f t="shared" ca="1" si="20"/>
        <v>39496</v>
      </c>
    </row>
    <row r="51" spans="1:43" ht="20.25" customHeight="1" x14ac:dyDescent="0.25">
      <c r="A51" s="779">
        <v>24</v>
      </c>
      <c r="B51" s="780" t="s">
        <v>4697</v>
      </c>
      <c r="C51" s="781" t="s">
        <v>328</v>
      </c>
      <c r="D51" s="782">
        <v>11</v>
      </c>
      <c r="E51" s="730">
        <v>1402277</v>
      </c>
      <c r="F51" s="731" t="s">
        <v>4797</v>
      </c>
      <c r="G51" s="731" t="s">
        <v>4798</v>
      </c>
      <c r="H51" s="732">
        <v>39503</v>
      </c>
      <c r="I51" s="733" t="str">
        <f t="shared" si="13"/>
        <v>Alfie Bullock</v>
      </c>
      <c r="J51" s="734" t="str">
        <f t="shared" si="14"/>
        <v>Bullock,Alfie</v>
      </c>
      <c r="K51" s="735">
        <f t="shared" ca="1" si="15"/>
        <v>15</v>
      </c>
      <c r="L51" s="736" t="str">
        <f t="shared" si="16"/>
        <v>250208</v>
      </c>
      <c r="M51" s="766" t="str">
        <f ca="1">IF(K51=0,0,IF(K51&lt;9,"TOO YOUNG",IF(K51&lt;16,"OK","NOT ELIGIBLE")))</f>
        <v>OK</v>
      </c>
      <c r="AD51" s="722">
        <f t="shared" si="21"/>
        <v>24</v>
      </c>
      <c r="AE51" s="443" t="str">
        <f t="shared" si="22"/>
        <v>Open/Male 15/U 100m Butterfly</v>
      </c>
      <c r="AF51" s="440" t="s">
        <v>328</v>
      </c>
      <c r="AG51" s="739">
        <v>11</v>
      </c>
      <c r="AH51" s="740">
        <f t="shared" si="17"/>
        <v>1402277</v>
      </c>
      <c r="AI51" s="740" t="str">
        <f t="shared" si="18"/>
        <v>Alfie</v>
      </c>
      <c r="AJ51" s="740" t="str">
        <f t="shared" si="19"/>
        <v>Bullock</v>
      </c>
      <c r="AK51" s="740"/>
      <c r="AL51" s="740"/>
      <c r="AM51" s="740"/>
      <c r="AN51" s="740"/>
      <c r="AO51" s="740"/>
      <c r="AQ51" s="741">
        <f t="shared" ca="1" si="20"/>
        <v>39503</v>
      </c>
    </row>
    <row r="52" spans="1:43" ht="20.25" customHeight="1" x14ac:dyDescent="0.25">
      <c r="A52" s="727">
        <v>25</v>
      </c>
      <c r="B52" s="742" t="s">
        <v>4353</v>
      </c>
      <c r="C52" s="728" t="s">
        <v>4635</v>
      </c>
      <c r="D52" s="729">
        <v>14</v>
      </c>
      <c r="E52" s="730">
        <v>1145677</v>
      </c>
      <c r="F52" s="731" t="s">
        <v>4801</v>
      </c>
      <c r="G52" s="731" t="s">
        <v>4802</v>
      </c>
      <c r="H52" s="732">
        <v>39264</v>
      </c>
      <c r="I52" s="733" t="str">
        <f t="shared" si="13"/>
        <v>Grace Sofokleous-Ames</v>
      </c>
      <c r="J52" s="734" t="str">
        <f t="shared" si="14"/>
        <v>Sofokleous-Ames,Grace</v>
      </c>
      <c r="K52" s="735">
        <f t="shared" ca="1" si="15"/>
        <v>16</v>
      </c>
      <c r="L52" s="736" t="str">
        <f t="shared" si="16"/>
        <v>010707</v>
      </c>
      <c r="M52" s="770" t="str">
        <f ca="1">IF(K52=0,0,IF(K52&lt;9,"TOO YOUNG",IF(K52&lt;60,"OK","BIT OLD MAYBE")))</f>
        <v>OK</v>
      </c>
      <c r="AD52" s="722">
        <f t="shared" si="21"/>
        <v>25</v>
      </c>
      <c r="AE52" s="443" t="str">
        <f t="shared" si="22"/>
        <v>Female 16+ 100m Backstroke</v>
      </c>
      <c r="AF52" s="440" t="s">
        <v>4635</v>
      </c>
      <c r="AG52" s="739">
        <v>14</v>
      </c>
      <c r="AH52" s="740">
        <f t="shared" si="17"/>
        <v>1145677</v>
      </c>
      <c r="AI52" s="740" t="str">
        <f t="shared" si="18"/>
        <v>Grace</v>
      </c>
      <c r="AJ52" s="740" t="str">
        <f t="shared" si="19"/>
        <v>Sofokleous-Ames</v>
      </c>
      <c r="AK52" s="740"/>
      <c r="AL52" s="740"/>
      <c r="AM52" s="740"/>
      <c r="AN52" s="740"/>
      <c r="AO52" s="740"/>
      <c r="AQ52" s="741">
        <f t="shared" ca="1" si="20"/>
        <v>39264</v>
      </c>
    </row>
    <row r="53" spans="1:43" ht="20.25" customHeight="1" x14ac:dyDescent="0.25">
      <c r="A53" s="727">
        <v>26</v>
      </c>
      <c r="B53" s="742" t="s">
        <v>4698</v>
      </c>
      <c r="C53" s="728" t="s">
        <v>328</v>
      </c>
      <c r="D53" s="729">
        <v>14</v>
      </c>
      <c r="E53" s="730">
        <v>1359418</v>
      </c>
      <c r="F53" s="731" t="s">
        <v>4728</v>
      </c>
      <c r="G53" s="731" t="s">
        <v>4804</v>
      </c>
      <c r="H53" s="732">
        <v>39055</v>
      </c>
      <c r="I53" s="733" t="str">
        <f t="shared" si="13"/>
        <v>Charlie Cropley</v>
      </c>
      <c r="J53" s="734" t="str">
        <f t="shared" si="14"/>
        <v>Cropley,Charlie</v>
      </c>
      <c r="K53" s="735">
        <f t="shared" ca="1" si="15"/>
        <v>17</v>
      </c>
      <c r="L53" s="736" t="str">
        <f t="shared" si="16"/>
        <v>041206</v>
      </c>
      <c r="M53" s="770" t="str">
        <f ca="1">IF(K53=0,0,IF(K53&lt;9,"TOO YOUNG",IF(K53&lt;60,"OK","BIT OLD MAYBE")))</f>
        <v>OK</v>
      </c>
      <c r="AD53" s="722">
        <f t="shared" si="21"/>
        <v>26</v>
      </c>
      <c r="AE53" s="443" t="str">
        <f t="shared" si="22"/>
        <v>Open/Male 16+100m Backstroke</v>
      </c>
      <c r="AF53" s="440" t="s">
        <v>328</v>
      </c>
      <c r="AG53" s="739">
        <v>14</v>
      </c>
      <c r="AH53" s="740">
        <f t="shared" si="17"/>
        <v>1359418</v>
      </c>
      <c r="AI53" s="740" t="str">
        <f t="shared" si="18"/>
        <v>Charlie</v>
      </c>
      <c r="AJ53" s="740" t="str">
        <f t="shared" si="19"/>
        <v>Cropley</v>
      </c>
      <c r="AK53" s="740"/>
      <c r="AL53" s="740"/>
      <c r="AM53" s="740"/>
      <c r="AN53" s="740"/>
      <c r="AO53" s="740"/>
      <c r="AQ53" s="741">
        <f t="shared" ca="1" si="20"/>
        <v>39055</v>
      </c>
    </row>
    <row r="54" spans="1:43" ht="20.25" customHeight="1" x14ac:dyDescent="0.25">
      <c r="A54" s="745">
        <v>27</v>
      </c>
      <c r="B54" s="773" t="s">
        <v>4355</v>
      </c>
      <c r="C54" s="774" t="s">
        <v>4635</v>
      </c>
      <c r="D54" s="775">
        <v>7</v>
      </c>
      <c r="E54" s="730">
        <v>1670745</v>
      </c>
      <c r="F54" s="731" t="s">
        <v>4767</v>
      </c>
      <c r="G54" s="731" t="s">
        <v>4770</v>
      </c>
      <c r="H54" s="732">
        <v>41054</v>
      </c>
      <c r="I54" s="733" t="str">
        <f t="shared" si="13"/>
        <v>Hannah Jounor</v>
      </c>
      <c r="J54" s="734" t="str">
        <f t="shared" si="14"/>
        <v>Jounor,Hannah</v>
      </c>
      <c r="K54" s="735">
        <f t="shared" ca="1" si="15"/>
        <v>11</v>
      </c>
      <c r="L54" s="736" t="str">
        <f t="shared" si="16"/>
        <v>250512</v>
      </c>
      <c r="M54" s="766" t="str">
        <f ca="1">IF(K54=0,0,IF(K54&lt;10,"TOO YOUNG",IF(K54&lt;12,"OK","NOT ELIGIBLE")))</f>
        <v>OK</v>
      </c>
      <c r="AD54" s="722">
        <f t="shared" si="21"/>
        <v>27</v>
      </c>
      <c r="AE54" s="443" t="str">
        <f t="shared" si="22"/>
        <v>Female 10/11 50m Breaststroke</v>
      </c>
      <c r="AF54" s="440" t="s">
        <v>4635</v>
      </c>
      <c r="AG54" s="739">
        <v>7</v>
      </c>
      <c r="AH54" s="740">
        <f t="shared" si="17"/>
        <v>1670745</v>
      </c>
      <c r="AI54" s="740" t="str">
        <f t="shared" si="18"/>
        <v>Hannah</v>
      </c>
      <c r="AJ54" s="740" t="str">
        <f t="shared" si="19"/>
        <v>Jounor</v>
      </c>
      <c r="AK54" s="740"/>
      <c r="AL54" s="740"/>
      <c r="AM54" s="740"/>
      <c r="AN54" s="740"/>
      <c r="AO54" s="740"/>
      <c r="AQ54" s="741">
        <f t="shared" ca="1" si="20"/>
        <v>41054</v>
      </c>
    </row>
    <row r="55" spans="1:43" ht="20.25" customHeight="1" x14ac:dyDescent="0.25">
      <c r="A55" s="745">
        <v>28</v>
      </c>
      <c r="B55" s="773" t="s">
        <v>4356</v>
      </c>
      <c r="C55" s="774" t="s">
        <v>328</v>
      </c>
      <c r="D55" s="775">
        <v>7</v>
      </c>
      <c r="E55" s="730">
        <v>1319576</v>
      </c>
      <c r="F55" s="731" t="s">
        <v>4713</v>
      </c>
      <c r="G55" s="731" t="s">
        <v>4780</v>
      </c>
      <c r="H55" s="732">
        <v>41086</v>
      </c>
      <c r="I55" s="733" t="str">
        <f t="shared" si="13"/>
        <v>Harry Lythgoe</v>
      </c>
      <c r="J55" s="734" t="str">
        <f t="shared" si="14"/>
        <v>Lythgoe,Harry</v>
      </c>
      <c r="K55" s="735">
        <f t="shared" ca="1" si="15"/>
        <v>11</v>
      </c>
      <c r="L55" s="736" t="str">
        <f t="shared" si="16"/>
        <v>260612</v>
      </c>
      <c r="M55" s="766" t="str">
        <f ca="1">IF(K55=0,0,IF(K55&lt;10,"TOO YOUNG",IF(K55&lt;12,"OK","NOT ELIGIBLE")))</f>
        <v>OK</v>
      </c>
      <c r="AD55" s="722">
        <f t="shared" si="21"/>
        <v>28</v>
      </c>
      <c r="AE55" s="443" t="str">
        <f t="shared" si="22"/>
        <v>Open/Male 10/11 50m Breaststroke</v>
      </c>
      <c r="AF55" s="440" t="s">
        <v>328</v>
      </c>
      <c r="AG55" s="739">
        <v>7</v>
      </c>
      <c r="AH55" s="740">
        <f t="shared" si="17"/>
        <v>1319576</v>
      </c>
      <c r="AI55" s="740" t="str">
        <f t="shared" si="18"/>
        <v>Harry</v>
      </c>
      <c r="AJ55" s="740" t="str">
        <f t="shared" si="19"/>
        <v>Lythgoe</v>
      </c>
      <c r="AK55" s="740"/>
      <c r="AL55" s="740"/>
      <c r="AM55" s="740"/>
      <c r="AN55" s="740"/>
      <c r="AO55" s="740"/>
      <c r="AQ55" s="741">
        <f t="shared" ca="1" si="20"/>
        <v>41086</v>
      </c>
    </row>
    <row r="56" spans="1:43" ht="20.25" customHeight="1" x14ac:dyDescent="0.25">
      <c r="A56" s="755">
        <v>29</v>
      </c>
      <c r="B56" s="776" t="s">
        <v>4357</v>
      </c>
      <c r="C56" s="777" t="s">
        <v>4635</v>
      </c>
      <c r="D56" s="778">
        <v>11</v>
      </c>
      <c r="E56" s="730">
        <v>1518515</v>
      </c>
      <c r="F56" s="731" t="s">
        <v>4771</v>
      </c>
      <c r="G56" s="731" t="s">
        <v>4772</v>
      </c>
      <c r="H56" s="732">
        <v>40571</v>
      </c>
      <c r="I56" s="733" t="str">
        <f t="shared" si="13"/>
        <v>Niamh Holland</v>
      </c>
      <c r="J56" s="734" t="str">
        <f t="shared" si="14"/>
        <v>Holland,Niamh</v>
      </c>
      <c r="K56" s="735">
        <f t="shared" ca="1" si="15"/>
        <v>12</v>
      </c>
      <c r="L56" s="736" t="str">
        <f t="shared" si="16"/>
        <v>280111</v>
      </c>
      <c r="M56" s="766" t="str">
        <f ca="1">IF(K56=0,0,IF(K56&lt;9,"TOO YOUNG",IF(K56&lt;14,"OK","NOT ELIGIBLE")))</f>
        <v>OK</v>
      </c>
      <c r="AD56" s="722">
        <f t="shared" si="21"/>
        <v>29</v>
      </c>
      <c r="AE56" s="443" t="str">
        <f t="shared" si="22"/>
        <v>Female 13/U 100m Butterfly</v>
      </c>
      <c r="AF56" s="440" t="s">
        <v>4635</v>
      </c>
      <c r="AG56" s="739">
        <v>11</v>
      </c>
      <c r="AH56" s="740">
        <f t="shared" si="17"/>
        <v>1518515</v>
      </c>
      <c r="AI56" s="740" t="str">
        <f t="shared" si="18"/>
        <v>Niamh</v>
      </c>
      <c r="AJ56" s="740" t="str">
        <f t="shared" si="19"/>
        <v>Holland</v>
      </c>
      <c r="AK56" s="740"/>
      <c r="AL56" s="740"/>
      <c r="AM56" s="740"/>
      <c r="AN56" s="740"/>
      <c r="AO56" s="740"/>
      <c r="AQ56" s="741">
        <f t="shared" ca="1" si="20"/>
        <v>40571</v>
      </c>
    </row>
    <row r="57" spans="1:43" ht="20.25" customHeight="1" x14ac:dyDescent="0.25">
      <c r="A57" s="755">
        <v>30</v>
      </c>
      <c r="B57" s="776" t="s">
        <v>4358</v>
      </c>
      <c r="C57" s="777" t="s">
        <v>328</v>
      </c>
      <c r="D57" s="778">
        <v>11</v>
      </c>
      <c r="E57" s="730">
        <v>1494727</v>
      </c>
      <c r="F57" s="731" t="s">
        <v>4789</v>
      </c>
      <c r="G57" s="731" t="s">
        <v>4790</v>
      </c>
      <c r="H57" s="732">
        <v>40206</v>
      </c>
      <c r="I57" s="733" t="str">
        <f t="shared" si="13"/>
        <v>Mikhail Zharinov</v>
      </c>
      <c r="J57" s="734" t="str">
        <f t="shared" si="14"/>
        <v>Zharinov,Mikhail</v>
      </c>
      <c r="K57" s="735">
        <f t="shared" ca="1" si="15"/>
        <v>13</v>
      </c>
      <c r="L57" s="736" t="str">
        <f t="shared" si="16"/>
        <v>280110</v>
      </c>
      <c r="M57" s="766" t="str">
        <f ca="1">IF(K57=0,0,IF(K57&lt;9,"TOO YOUNG",IF(K57&lt;14,"OK","NOT ELIGIBLE")))</f>
        <v>OK</v>
      </c>
      <c r="AD57" s="722">
        <f t="shared" si="21"/>
        <v>30</v>
      </c>
      <c r="AE57" s="443" t="str">
        <f t="shared" si="22"/>
        <v>Open/Male 13/U 100m Butterfly</v>
      </c>
      <c r="AF57" s="440" t="s">
        <v>328</v>
      </c>
      <c r="AG57" s="739">
        <v>11</v>
      </c>
      <c r="AH57" s="740">
        <f t="shared" si="17"/>
        <v>1494727</v>
      </c>
      <c r="AI57" s="740" t="str">
        <f t="shared" si="18"/>
        <v>Mikhail</v>
      </c>
      <c r="AJ57" s="740" t="str">
        <f t="shared" si="19"/>
        <v>Zharinov</v>
      </c>
      <c r="AK57" s="740"/>
      <c r="AL57" s="740"/>
      <c r="AM57" s="740"/>
      <c r="AN57" s="740"/>
      <c r="AO57" s="740"/>
      <c r="AQ57" s="741">
        <f t="shared" ca="1" si="20"/>
        <v>40206</v>
      </c>
    </row>
    <row r="58" spans="1:43" ht="20.25" customHeight="1" x14ac:dyDescent="0.25">
      <c r="A58" s="779">
        <v>31</v>
      </c>
      <c r="B58" s="780" t="s">
        <v>4359</v>
      </c>
      <c r="C58" s="781" t="s">
        <v>4635</v>
      </c>
      <c r="D58" s="782">
        <v>2</v>
      </c>
      <c r="E58" s="730">
        <v>1426395</v>
      </c>
      <c r="F58" s="731" t="s">
        <v>4682</v>
      </c>
      <c r="G58" s="731" t="s">
        <v>4796</v>
      </c>
      <c r="H58" s="732">
        <v>39689</v>
      </c>
      <c r="I58" s="733" t="str">
        <f t="shared" si="13"/>
        <v>Isabel Mullings</v>
      </c>
      <c r="J58" s="734" t="str">
        <f t="shared" si="14"/>
        <v>Mullings,Isabel</v>
      </c>
      <c r="K58" s="735">
        <f t="shared" ca="1" si="15"/>
        <v>15</v>
      </c>
      <c r="L58" s="736" t="str">
        <f t="shared" si="16"/>
        <v>290808</v>
      </c>
      <c r="M58" s="766" t="str">
        <f ca="1">IF(K58=0,0,IF(K58&lt;9,"TOO YOUNG",IF(K58&lt;16,"OK","NOT ELIGIBLE")))</f>
        <v>OK</v>
      </c>
      <c r="AD58" s="722">
        <f t="shared" si="21"/>
        <v>31</v>
      </c>
      <c r="AE58" s="443" t="str">
        <f t="shared" si="22"/>
        <v>Female 15/U 100m Freestyle</v>
      </c>
      <c r="AF58" s="440" t="s">
        <v>4635</v>
      </c>
      <c r="AG58" s="739">
        <v>2</v>
      </c>
      <c r="AH58" s="740">
        <f t="shared" si="17"/>
        <v>1426395</v>
      </c>
      <c r="AI58" s="740" t="str">
        <f t="shared" si="18"/>
        <v>Isabel</v>
      </c>
      <c r="AJ58" s="740" t="str">
        <f t="shared" si="19"/>
        <v>Mullings</v>
      </c>
      <c r="AK58" s="740"/>
      <c r="AL58" s="740"/>
      <c r="AM58" s="740"/>
      <c r="AN58" s="740"/>
      <c r="AO58" s="740"/>
      <c r="AQ58" s="741">
        <f t="shared" ca="1" si="20"/>
        <v>39689</v>
      </c>
    </row>
    <row r="59" spans="1:43" ht="20.25" customHeight="1" x14ac:dyDescent="0.25">
      <c r="A59" s="779">
        <v>32</v>
      </c>
      <c r="B59" s="780" t="s">
        <v>4360</v>
      </c>
      <c r="C59" s="781" t="s">
        <v>328</v>
      </c>
      <c r="D59" s="782">
        <v>2</v>
      </c>
      <c r="E59" s="730">
        <v>1589549</v>
      </c>
      <c r="F59" s="731" t="s">
        <v>4791</v>
      </c>
      <c r="G59" s="731" t="s">
        <v>4778</v>
      </c>
      <c r="H59" s="732">
        <v>40567</v>
      </c>
      <c r="I59" s="733" t="str">
        <f t="shared" si="13"/>
        <v>Ewan Thompson</v>
      </c>
      <c r="J59" s="734" t="str">
        <f t="shared" si="14"/>
        <v>Thompson,Ewan</v>
      </c>
      <c r="K59" s="735">
        <f t="shared" ca="1" si="15"/>
        <v>12</v>
      </c>
      <c r="L59" s="736" t="str">
        <f t="shared" si="16"/>
        <v>240111</v>
      </c>
      <c r="M59" s="766" t="str">
        <f ca="1">IF(K59=0,0,IF(K59&lt;9,"TOO YOUNG",IF(K59&lt;16,"OK","NOT ELIGIBLE")))</f>
        <v>OK</v>
      </c>
      <c r="AD59" s="722">
        <f t="shared" si="21"/>
        <v>32</v>
      </c>
      <c r="AE59" s="443" t="str">
        <f t="shared" si="22"/>
        <v>Open/Male 15/U 100m Freestyle</v>
      </c>
      <c r="AF59" s="440" t="s">
        <v>328</v>
      </c>
      <c r="AG59" s="739">
        <v>2</v>
      </c>
      <c r="AH59" s="740">
        <f t="shared" si="17"/>
        <v>1589549</v>
      </c>
      <c r="AI59" s="740" t="str">
        <f t="shared" si="18"/>
        <v>Ewan</v>
      </c>
      <c r="AJ59" s="740" t="str">
        <f t="shared" si="19"/>
        <v>Thompson</v>
      </c>
      <c r="AK59" s="740"/>
      <c r="AL59" s="740"/>
      <c r="AM59" s="740"/>
      <c r="AN59" s="740"/>
      <c r="AO59" s="740"/>
      <c r="AQ59" s="741">
        <f t="shared" ca="1" si="20"/>
        <v>40567</v>
      </c>
    </row>
    <row r="60" spans="1:43" ht="20.25" customHeight="1" x14ac:dyDescent="0.25">
      <c r="A60" s="727">
        <v>33</v>
      </c>
      <c r="B60" s="742" t="s">
        <v>4361</v>
      </c>
      <c r="C60" s="742" t="s">
        <v>4635</v>
      </c>
      <c r="D60" s="783">
        <v>8</v>
      </c>
      <c r="E60" s="730">
        <v>1387243</v>
      </c>
      <c r="F60" s="731" t="s">
        <v>4784</v>
      </c>
      <c r="G60" s="731" t="s">
        <v>4785</v>
      </c>
      <c r="H60" s="732">
        <v>40630</v>
      </c>
      <c r="I60" s="733" t="str">
        <f t="shared" si="13"/>
        <v>Mia Nelson</v>
      </c>
      <c r="J60" s="734" t="str">
        <f t="shared" si="14"/>
        <v>Nelson,Mia</v>
      </c>
      <c r="K60" s="735">
        <f t="shared" ca="1" si="15"/>
        <v>12</v>
      </c>
      <c r="L60" s="736" t="str">
        <f t="shared" si="16"/>
        <v>280311</v>
      </c>
      <c r="M60" s="770" t="str">
        <f ca="1">IF(K60=0,0,IF(K60&lt;9,"TOO YOUNG",IF(K60&lt;60,"OK","BIT OLD MAYBE")))</f>
        <v>OK</v>
      </c>
      <c r="AD60" s="722">
        <f t="shared" si="21"/>
        <v>33</v>
      </c>
      <c r="AE60" s="443" t="str">
        <f t="shared" si="22"/>
        <v>Female 16+ 100m Breaststroke</v>
      </c>
      <c r="AF60" s="443" t="s">
        <v>4635</v>
      </c>
      <c r="AG60" s="744">
        <v>9</v>
      </c>
      <c r="AH60" s="740">
        <f t="shared" si="17"/>
        <v>1387243</v>
      </c>
      <c r="AI60" s="740" t="str">
        <f t="shared" si="18"/>
        <v>Mia</v>
      </c>
      <c r="AJ60" s="740" t="str">
        <f t="shared" si="19"/>
        <v>Nelson</v>
      </c>
      <c r="AK60" s="740"/>
      <c r="AL60" s="740"/>
      <c r="AM60" s="740"/>
      <c r="AN60" s="740"/>
      <c r="AO60" s="740"/>
      <c r="AQ60" s="741">
        <f t="shared" ca="1" si="20"/>
        <v>40630</v>
      </c>
    </row>
    <row r="61" spans="1:43" ht="20.25" customHeight="1" x14ac:dyDescent="0.25">
      <c r="A61" s="727">
        <v>34</v>
      </c>
      <c r="B61" s="742" t="s">
        <v>4362</v>
      </c>
      <c r="C61" s="742" t="s">
        <v>328</v>
      </c>
      <c r="D61" s="783">
        <v>8</v>
      </c>
      <c r="E61" s="730">
        <v>1289074</v>
      </c>
      <c r="F61" s="731" t="s">
        <v>4769</v>
      </c>
      <c r="G61" s="731" t="s">
        <v>4768</v>
      </c>
      <c r="H61" s="732">
        <v>38654</v>
      </c>
      <c r="I61" s="733" t="str">
        <f t="shared" si="13"/>
        <v>George Lovelock</v>
      </c>
      <c r="J61" s="734" t="str">
        <f t="shared" si="14"/>
        <v>Lovelock,George</v>
      </c>
      <c r="K61" s="735">
        <f t="shared" ca="1" si="15"/>
        <v>18</v>
      </c>
      <c r="L61" s="736" t="str">
        <f t="shared" si="16"/>
        <v>291005</v>
      </c>
      <c r="M61" s="770" t="str">
        <f ca="1">IF(K61=0,0,IF(K61&lt;9,"TOO YOUNG",IF(K61&lt;60,"OK","BIT OLD MAYBE")))</f>
        <v>OK</v>
      </c>
      <c r="AD61" s="722">
        <f t="shared" si="21"/>
        <v>34</v>
      </c>
      <c r="AE61" s="443" t="str">
        <f t="shared" si="22"/>
        <v>Open/Male 16+ 100m Breaststroke</v>
      </c>
      <c r="AF61" s="443" t="s">
        <v>328</v>
      </c>
      <c r="AG61" s="744">
        <v>9</v>
      </c>
      <c r="AH61" s="740">
        <f t="shared" si="17"/>
        <v>1289074</v>
      </c>
      <c r="AI61" s="740" t="str">
        <f t="shared" si="18"/>
        <v>George</v>
      </c>
      <c r="AJ61" s="740" t="str">
        <f t="shared" si="19"/>
        <v>Lovelock</v>
      </c>
      <c r="AK61" s="740"/>
      <c r="AL61" s="740"/>
      <c r="AM61" s="740"/>
      <c r="AN61" s="740"/>
      <c r="AO61" s="740"/>
      <c r="AQ61" s="741">
        <f t="shared" ca="1" si="20"/>
        <v>38654</v>
      </c>
    </row>
    <row r="62" spans="1:43" ht="20.25" customHeight="1" x14ac:dyDescent="0.25">
      <c r="A62" s="745">
        <v>35</v>
      </c>
      <c r="B62" s="773" t="s">
        <v>4363</v>
      </c>
      <c r="C62" s="774" t="s">
        <v>4635</v>
      </c>
      <c r="D62" s="775">
        <v>1</v>
      </c>
      <c r="E62" s="730">
        <v>1597016</v>
      </c>
      <c r="F62" s="731" t="s">
        <v>4773</v>
      </c>
      <c r="G62" s="731" t="s">
        <v>4774</v>
      </c>
      <c r="H62" s="732">
        <v>41526</v>
      </c>
      <c r="I62" s="733" t="str">
        <f t="shared" si="13"/>
        <v>Scarlett Omand</v>
      </c>
      <c r="J62" s="734" t="str">
        <f t="shared" si="14"/>
        <v>Omand,Scarlett</v>
      </c>
      <c r="K62" s="735">
        <f t="shared" ca="1" si="15"/>
        <v>10</v>
      </c>
      <c r="L62" s="736" t="str">
        <f t="shared" si="16"/>
        <v>090913</v>
      </c>
      <c r="M62" s="766" t="str">
        <f ca="1">IF(K62=0,0,IF(K62&lt;10,"TOO YOUNG",IF(K62&lt;12,"OK","NOT ELIGIBLE")))</f>
        <v>OK</v>
      </c>
      <c r="AD62" s="722">
        <f t="shared" si="21"/>
        <v>35</v>
      </c>
      <c r="AE62" s="443" t="str">
        <f t="shared" si="22"/>
        <v>Female 10/11 50m Freestyle</v>
      </c>
      <c r="AF62" s="440" t="s">
        <v>4635</v>
      </c>
      <c r="AG62" s="739">
        <v>1</v>
      </c>
      <c r="AH62" s="740">
        <f t="shared" si="17"/>
        <v>1597016</v>
      </c>
      <c r="AI62" s="740" t="str">
        <f t="shared" si="18"/>
        <v>Scarlett</v>
      </c>
      <c r="AJ62" s="740" t="str">
        <f t="shared" si="19"/>
        <v>Omand</v>
      </c>
      <c r="AK62" s="740"/>
      <c r="AL62" s="740"/>
      <c r="AM62" s="740"/>
      <c r="AN62" s="740"/>
      <c r="AO62" s="740"/>
      <c r="AQ62" s="741">
        <f t="shared" ca="1" si="20"/>
        <v>41526</v>
      </c>
    </row>
    <row r="63" spans="1:43" ht="20.25" customHeight="1" x14ac:dyDescent="0.25">
      <c r="A63" s="745">
        <v>36</v>
      </c>
      <c r="B63" s="773" t="s">
        <v>4699</v>
      </c>
      <c r="C63" s="774" t="s">
        <v>328</v>
      </c>
      <c r="D63" s="775">
        <v>1</v>
      </c>
      <c r="E63" s="730">
        <v>1501896</v>
      </c>
      <c r="F63" s="731" t="s">
        <v>4781</v>
      </c>
      <c r="G63" s="731" t="s">
        <v>4782</v>
      </c>
      <c r="H63" s="732">
        <v>41177</v>
      </c>
      <c r="I63" s="733" t="str">
        <f t="shared" si="13"/>
        <v>Fabio Giambrone</v>
      </c>
      <c r="J63" s="734" t="str">
        <f t="shared" si="14"/>
        <v>Giambrone,Fabio</v>
      </c>
      <c r="K63" s="735">
        <f t="shared" ca="1" si="15"/>
        <v>11</v>
      </c>
      <c r="L63" s="736" t="str">
        <f t="shared" si="16"/>
        <v>250912</v>
      </c>
      <c r="M63" s="766" t="str">
        <f ca="1">IF(K63=0,0,IF(K63&lt;10,"TOO YOUNG",IF(K63&lt;12,"OK","NOT ELIGIBLE")))</f>
        <v>OK</v>
      </c>
      <c r="AD63" s="722">
        <f t="shared" si="21"/>
        <v>36</v>
      </c>
      <c r="AE63" s="443" t="str">
        <f t="shared" si="22"/>
        <v>Open/Male 10/11 50m Freestyle</v>
      </c>
      <c r="AF63" s="440" t="s">
        <v>328</v>
      </c>
      <c r="AG63" s="739">
        <v>1</v>
      </c>
      <c r="AH63" s="740">
        <f t="shared" si="17"/>
        <v>1501896</v>
      </c>
      <c r="AI63" s="740" t="str">
        <f t="shared" si="18"/>
        <v>Fabio</v>
      </c>
      <c r="AJ63" s="740" t="str">
        <f t="shared" si="19"/>
        <v>Giambrone</v>
      </c>
      <c r="AK63" s="740"/>
      <c r="AL63" s="740"/>
      <c r="AM63" s="740"/>
      <c r="AN63" s="740"/>
      <c r="AO63" s="740"/>
      <c r="AQ63" s="741">
        <f t="shared" ca="1" si="20"/>
        <v>41177</v>
      </c>
    </row>
    <row r="64" spans="1:43" ht="20.25" customHeight="1" x14ac:dyDescent="0.25">
      <c r="A64" s="755">
        <v>37</v>
      </c>
      <c r="B64" s="776" t="s">
        <v>4365</v>
      </c>
      <c r="C64" s="777" t="s">
        <v>4635</v>
      </c>
      <c r="D64" s="778">
        <v>2</v>
      </c>
      <c r="E64" s="730">
        <v>1387243</v>
      </c>
      <c r="F64" s="731" t="s">
        <v>4784</v>
      </c>
      <c r="G64" s="731" t="s">
        <v>4785</v>
      </c>
      <c r="H64" s="732">
        <v>40630</v>
      </c>
      <c r="I64" s="733" t="str">
        <f t="shared" si="13"/>
        <v>Mia Nelson</v>
      </c>
      <c r="J64" s="734" t="str">
        <f t="shared" si="14"/>
        <v>Nelson,Mia</v>
      </c>
      <c r="K64" s="735">
        <f t="shared" ca="1" si="15"/>
        <v>12</v>
      </c>
      <c r="L64" s="736" t="str">
        <f t="shared" si="16"/>
        <v>280311</v>
      </c>
      <c r="M64" s="766" t="str">
        <f ca="1">IF(K64=0,0,IF(K64&lt;9,"TOO YOUNG",IF(K64&lt;14,"OK","NOT ELIGIBLE")))</f>
        <v>OK</v>
      </c>
      <c r="AD64" s="722">
        <f t="shared" si="21"/>
        <v>37</v>
      </c>
      <c r="AE64" s="443" t="str">
        <f t="shared" si="22"/>
        <v>Female 13/U 100m Freestyle</v>
      </c>
      <c r="AF64" s="440" t="s">
        <v>4635</v>
      </c>
      <c r="AG64" s="739">
        <v>2</v>
      </c>
      <c r="AH64" s="740">
        <f t="shared" si="17"/>
        <v>1387243</v>
      </c>
      <c r="AI64" s="740" t="str">
        <f t="shared" si="18"/>
        <v>Mia</v>
      </c>
      <c r="AJ64" s="740" t="str">
        <f t="shared" si="19"/>
        <v>Nelson</v>
      </c>
      <c r="AK64" s="740"/>
      <c r="AL64" s="740"/>
      <c r="AM64" s="740"/>
      <c r="AN64" s="740"/>
      <c r="AO64" s="740"/>
      <c r="AQ64" s="741">
        <f t="shared" ca="1" si="20"/>
        <v>40630</v>
      </c>
    </row>
    <row r="65" spans="1:43" ht="20.25" customHeight="1" x14ac:dyDescent="0.25">
      <c r="A65" s="755">
        <v>38</v>
      </c>
      <c r="B65" s="776" t="s">
        <v>4366</v>
      </c>
      <c r="C65" s="777" t="s">
        <v>328</v>
      </c>
      <c r="D65" s="778">
        <v>2</v>
      </c>
      <c r="E65" s="730">
        <v>1494727</v>
      </c>
      <c r="F65" s="731" t="s">
        <v>4789</v>
      </c>
      <c r="G65" s="731" t="s">
        <v>4790</v>
      </c>
      <c r="H65" s="732">
        <v>40206</v>
      </c>
      <c r="I65" s="733" t="str">
        <f t="shared" si="13"/>
        <v>Mikhail Zharinov</v>
      </c>
      <c r="J65" s="734" t="str">
        <f t="shared" si="14"/>
        <v>Zharinov,Mikhail</v>
      </c>
      <c r="K65" s="735">
        <f t="shared" ca="1" si="15"/>
        <v>13</v>
      </c>
      <c r="L65" s="736" t="str">
        <f t="shared" si="16"/>
        <v>280110</v>
      </c>
      <c r="M65" s="766" t="str">
        <f ca="1">IF(K65=0,0,IF(K65&lt;9,"TOO YOUNG",IF(K65&lt;14,"OK","NOT ELIGIBLE")))</f>
        <v>OK</v>
      </c>
      <c r="AD65" s="722">
        <f t="shared" si="21"/>
        <v>38</v>
      </c>
      <c r="AE65" s="443" t="str">
        <f t="shared" si="22"/>
        <v>Open/Male 13/U 100m Freestyle</v>
      </c>
      <c r="AF65" s="440" t="s">
        <v>328</v>
      </c>
      <c r="AG65" s="739">
        <v>2</v>
      </c>
      <c r="AH65" s="740">
        <f t="shared" si="17"/>
        <v>1494727</v>
      </c>
      <c r="AI65" s="740" t="str">
        <f t="shared" si="18"/>
        <v>Mikhail</v>
      </c>
      <c r="AJ65" s="740" t="str">
        <f t="shared" si="19"/>
        <v>Zharinov</v>
      </c>
      <c r="AK65" s="740"/>
      <c r="AL65" s="740"/>
      <c r="AM65" s="740"/>
      <c r="AN65" s="740"/>
      <c r="AO65" s="740"/>
      <c r="AQ65" s="741">
        <f t="shared" ca="1" si="20"/>
        <v>40206</v>
      </c>
    </row>
    <row r="66" spans="1:43" ht="20.25" customHeight="1" x14ac:dyDescent="0.25">
      <c r="A66" s="779">
        <v>39</v>
      </c>
      <c r="B66" s="780" t="s">
        <v>4367</v>
      </c>
      <c r="C66" s="781" t="s">
        <v>4635</v>
      </c>
      <c r="D66" s="782">
        <v>8</v>
      </c>
      <c r="E66" s="730">
        <v>1426396</v>
      </c>
      <c r="F66" s="731" t="s">
        <v>4794</v>
      </c>
      <c r="G66" s="731" t="s">
        <v>4795</v>
      </c>
      <c r="H66" s="732">
        <v>39574</v>
      </c>
      <c r="I66" s="733" t="str">
        <f t="shared" si="13"/>
        <v>Molly Bartup</v>
      </c>
      <c r="J66" s="734" t="str">
        <f t="shared" si="14"/>
        <v>Bartup,Molly</v>
      </c>
      <c r="K66" s="735">
        <f t="shared" ca="1" si="15"/>
        <v>15</v>
      </c>
      <c r="L66" s="736" t="str">
        <f t="shared" si="16"/>
        <v>060508</v>
      </c>
      <c r="M66" s="766" t="str">
        <f ca="1">IF(K66=0,0,IF(K66&lt;9,"TOO YOUNG",IF(K66&lt;16,"OK","NOT ELIGIBLE")))</f>
        <v>OK</v>
      </c>
      <c r="AD66" s="722">
        <f t="shared" si="21"/>
        <v>39</v>
      </c>
      <c r="AE66" s="443" t="str">
        <f t="shared" si="22"/>
        <v>Female 15/U 100m Breaststroke</v>
      </c>
      <c r="AF66" s="440" t="s">
        <v>4635</v>
      </c>
      <c r="AG66" s="739">
        <v>9</v>
      </c>
      <c r="AH66" s="740">
        <f t="shared" si="17"/>
        <v>1426396</v>
      </c>
      <c r="AI66" s="740" t="str">
        <f t="shared" si="18"/>
        <v>Molly</v>
      </c>
      <c r="AJ66" s="740" t="str">
        <f t="shared" si="19"/>
        <v>Bartup</v>
      </c>
      <c r="AK66" s="740"/>
      <c r="AL66" s="740"/>
      <c r="AM66" s="740"/>
      <c r="AN66" s="740"/>
      <c r="AO66" s="740"/>
      <c r="AQ66" s="741">
        <f t="shared" ca="1" si="20"/>
        <v>39574</v>
      </c>
    </row>
    <row r="67" spans="1:43" ht="20.25" customHeight="1" x14ac:dyDescent="0.25">
      <c r="A67" s="779">
        <v>40</v>
      </c>
      <c r="B67" s="780" t="s">
        <v>4368</v>
      </c>
      <c r="C67" s="781" t="s">
        <v>328</v>
      </c>
      <c r="D67" s="782">
        <v>8</v>
      </c>
      <c r="E67" s="730">
        <v>1503489</v>
      </c>
      <c r="F67" s="731" t="s">
        <v>4799</v>
      </c>
      <c r="G67" s="731" t="s">
        <v>4800</v>
      </c>
      <c r="H67" s="732">
        <v>39834</v>
      </c>
      <c r="I67" s="733" t="str">
        <f t="shared" si="13"/>
        <v>Theo Smith</v>
      </c>
      <c r="J67" s="734" t="str">
        <f t="shared" si="14"/>
        <v>Smith,Theo</v>
      </c>
      <c r="K67" s="735">
        <f t="shared" ca="1" si="15"/>
        <v>14</v>
      </c>
      <c r="L67" s="736" t="str">
        <f t="shared" si="16"/>
        <v>210109</v>
      </c>
      <c r="M67" s="766" t="str">
        <f ca="1">IF(K67=0,0,IF(K67&lt;9,"TOO YOUNG",IF(K67&lt;16,"OK","NOT ELIGIBLE")))</f>
        <v>OK</v>
      </c>
      <c r="AD67" s="722">
        <f t="shared" si="21"/>
        <v>40</v>
      </c>
      <c r="AE67" s="443" t="str">
        <f t="shared" si="22"/>
        <v>Open/Male 15/U 100m Breaststroke</v>
      </c>
      <c r="AF67" s="440" t="s">
        <v>328</v>
      </c>
      <c r="AG67" s="739">
        <v>9</v>
      </c>
      <c r="AH67" s="740">
        <f t="shared" si="17"/>
        <v>1503489</v>
      </c>
      <c r="AI67" s="740" t="str">
        <f t="shared" si="18"/>
        <v>Theo</v>
      </c>
      <c r="AJ67" s="740" t="str">
        <f t="shared" si="19"/>
        <v>Smith</v>
      </c>
      <c r="AK67" s="740"/>
      <c r="AL67" s="740"/>
      <c r="AM67" s="740"/>
      <c r="AN67" s="740"/>
      <c r="AO67" s="740"/>
      <c r="AQ67" s="741">
        <f t="shared" ca="1" si="20"/>
        <v>39834</v>
      </c>
    </row>
    <row r="68" spans="1:43" ht="20.25" customHeight="1" x14ac:dyDescent="0.25">
      <c r="A68" s="727">
        <v>41</v>
      </c>
      <c r="B68" s="742" t="s">
        <v>4369</v>
      </c>
      <c r="C68" s="728" t="s">
        <v>4635</v>
      </c>
      <c r="D68" s="729">
        <v>2</v>
      </c>
      <c r="E68" s="730">
        <v>1253476</v>
      </c>
      <c r="F68" s="731" t="s">
        <v>4684</v>
      </c>
      <c r="G68" s="731" t="s">
        <v>4808</v>
      </c>
      <c r="H68" s="732">
        <v>39394</v>
      </c>
      <c r="I68" s="733" t="str">
        <f t="shared" ref="I68:I101" si="23">CONCATENATE(F68," ",G68)</f>
        <v>Charlotte Brakenbury</v>
      </c>
      <c r="J68" s="734" t="str">
        <f t="shared" ref="J68:J101" si="24">CONCATENATE(G68,",",F68)</f>
        <v>Brakenbury,Charlotte</v>
      </c>
      <c r="K68" s="735">
        <f t="shared" ref="K68:K99" ca="1" si="25">IF(K$2=0,0,IF(AQ68=0,0,IF(COUNTBLANK(AQ68)=1,"",YEAR(K$2)-YEAR(AQ68)-IF(DATE(YEAR(K$2),MONTH(AQ68),DAY(4638))&gt;K$2,1,0))))</f>
        <v>16</v>
      </c>
      <c r="L68" s="736" t="str">
        <f t="shared" ref="L68:L99" si="26">(TEXT(H68,"DDMMYY"))</f>
        <v>081107</v>
      </c>
      <c r="M68" s="770" t="str">
        <f ca="1">IF(K68=0,0,IF(K68&lt;9,"TOO YOUNG",IF(K68&lt;60,"OK","BIT OLD MAYBE")))</f>
        <v>OK</v>
      </c>
      <c r="AD68" s="722">
        <f t="shared" si="21"/>
        <v>41</v>
      </c>
      <c r="AE68" s="443" t="str">
        <f t="shared" si="22"/>
        <v>Female 16+ 100m Freestyle</v>
      </c>
      <c r="AF68" s="440" t="s">
        <v>4635</v>
      </c>
      <c r="AG68" s="739">
        <v>2</v>
      </c>
      <c r="AH68" s="740">
        <f t="shared" ref="AH68:AH99" si="27">E68</f>
        <v>1253476</v>
      </c>
      <c r="AI68" s="740" t="str">
        <f t="shared" ref="AI68:AI99" si="28">F68</f>
        <v>Charlotte</v>
      </c>
      <c r="AJ68" s="740" t="str">
        <f t="shared" ref="AJ68:AJ99" si="29">G68</f>
        <v>Brakenbury</v>
      </c>
      <c r="AK68" s="740"/>
      <c r="AL68" s="740"/>
      <c r="AM68" s="740"/>
      <c r="AN68" s="740"/>
      <c r="AO68" s="740"/>
      <c r="AQ68" s="741">
        <f t="shared" ref="AQ68:AQ99" ca="1" si="30">INDIRECT(ADDRESS(ROW(),AQ$3))</f>
        <v>39394</v>
      </c>
    </row>
    <row r="69" spans="1:43" ht="20.25" customHeight="1" x14ac:dyDescent="0.25">
      <c r="A69" s="727">
        <v>42</v>
      </c>
      <c r="B69" s="742" t="s">
        <v>4370</v>
      </c>
      <c r="C69" s="728" t="s">
        <v>328</v>
      </c>
      <c r="D69" s="729">
        <v>2</v>
      </c>
      <c r="E69" s="730">
        <v>1363497</v>
      </c>
      <c r="F69" s="731" t="s">
        <v>4805</v>
      </c>
      <c r="G69" s="731" t="s">
        <v>2604</v>
      </c>
      <c r="H69" s="732">
        <v>39248</v>
      </c>
      <c r="I69" s="733" t="str">
        <f t="shared" si="23"/>
        <v>Luke Morley</v>
      </c>
      <c r="J69" s="734" t="str">
        <f t="shared" si="24"/>
        <v>Morley,Luke</v>
      </c>
      <c r="K69" s="735">
        <f t="shared" ca="1" si="25"/>
        <v>16</v>
      </c>
      <c r="L69" s="736" t="str">
        <f t="shared" si="26"/>
        <v>150607</v>
      </c>
      <c r="M69" s="770" t="str">
        <f ca="1">IF(K69=0,0,IF(K69&lt;9,"TOO YOUNG",IF(K69&lt;60,"OK","BIT OLD MAYBE")))</f>
        <v>OK</v>
      </c>
      <c r="AD69" s="722">
        <f t="shared" si="21"/>
        <v>42</v>
      </c>
      <c r="AE69" s="443" t="str">
        <f t="shared" si="22"/>
        <v>Open/Male 16+ 100m Freestyle</v>
      </c>
      <c r="AF69" s="440" t="s">
        <v>328</v>
      </c>
      <c r="AG69" s="739">
        <v>2</v>
      </c>
      <c r="AH69" s="740">
        <f t="shared" si="27"/>
        <v>1363497</v>
      </c>
      <c r="AI69" s="740" t="str">
        <f t="shared" si="28"/>
        <v>Luke</v>
      </c>
      <c r="AJ69" s="740" t="str">
        <f t="shared" si="29"/>
        <v>Morley</v>
      </c>
      <c r="AK69" s="740"/>
      <c r="AL69" s="740"/>
      <c r="AM69" s="740"/>
      <c r="AN69" s="740"/>
      <c r="AO69" s="740"/>
      <c r="AQ69" s="741">
        <f t="shared" ca="1" si="30"/>
        <v>39248</v>
      </c>
    </row>
    <row r="70" spans="1:43" ht="20.25" customHeight="1" x14ac:dyDescent="0.25">
      <c r="A70" s="1254">
        <v>43</v>
      </c>
      <c r="B70" s="1255" t="s">
        <v>4700</v>
      </c>
      <c r="C70" s="746"/>
      <c r="D70" s="747"/>
      <c r="E70" s="730">
        <v>1670745</v>
      </c>
      <c r="F70" s="731" t="s">
        <v>4767</v>
      </c>
      <c r="G70" s="731" t="s">
        <v>4770</v>
      </c>
      <c r="H70" s="732">
        <v>41054</v>
      </c>
      <c r="I70" s="733" t="str">
        <f t="shared" si="23"/>
        <v>Hannah Jounor</v>
      </c>
      <c r="J70" s="734" t="str">
        <f t="shared" si="24"/>
        <v>Jounor,Hannah</v>
      </c>
      <c r="K70" s="735">
        <f t="shared" ca="1" si="25"/>
        <v>11</v>
      </c>
      <c r="L70" s="736" t="str">
        <f t="shared" si="26"/>
        <v>250512</v>
      </c>
      <c r="M70" s="766" t="str">
        <f t="shared" ref="M70:M77" ca="1" si="31">IF(K70=0,0,IF(K70&lt;9,"TOO YOUNG",IF(K70&lt;12,"OK","NOT ELIGIBLE")))</f>
        <v>OK</v>
      </c>
      <c r="AD70" s="1244">
        <f t="shared" si="21"/>
        <v>43</v>
      </c>
      <c r="AE70" s="1245" t="str">
        <f t="shared" si="22"/>
        <v>FEMALE 9/11 4 X 50M
MEDLEY RELAY</v>
      </c>
      <c r="AF70" s="749"/>
      <c r="AG70" s="750"/>
      <c r="AH70" s="740">
        <f t="shared" si="27"/>
        <v>1670745</v>
      </c>
      <c r="AI70" s="740" t="str">
        <f t="shared" si="28"/>
        <v>Hannah</v>
      </c>
      <c r="AJ70" s="740" t="str">
        <f t="shared" si="29"/>
        <v>Jounor</v>
      </c>
      <c r="AK70" s="740"/>
      <c r="AL70" s="740"/>
      <c r="AM70" s="740"/>
      <c r="AN70" s="740"/>
      <c r="AO70" s="740"/>
      <c r="AQ70" s="741">
        <f t="shared" ca="1" si="30"/>
        <v>41054</v>
      </c>
    </row>
    <row r="71" spans="1:43" ht="20.25" customHeight="1" x14ac:dyDescent="0.25">
      <c r="A71" s="1254"/>
      <c r="B71" s="1255"/>
      <c r="C71" s="751"/>
      <c r="D71" s="752"/>
      <c r="E71" s="730">
        <v>1597012</v>
      </c>
      <c r="F71" s="731" t="s">
        <v>4775</v>
      </c>
      <c r="G71" s="731" t="s">
        <v>4776</v>
      </c>
      <c r="H71" s="732"/>
      <c r="I71" s="733" t="str">
        <f t="shared" si="23"/>
        <v>Chloe Wimpenny</v>
      </c>
      <c r="J71" s="734" t="str">
        <f t="shared" si="24"/>
        <v>Wimpenny,Chloe</v>
      </c>
      <c r="K71" s="735">
        <f t="shared" ca="1" si="25"/>
        <v>0</v>
      </c>
      <c r="L71" s="736" t="str">
        <f t="shared" si="26"/>
        <v>000100</v>
      </c>
      <c r="M71" s="766">
        <f t="shared" ca="1" si="31"/>
        <v>0</v>
      </c>
      <c r="AD71" s="1244"/>
      <c r="AE71" s="1245"/>
      <c r="AF71" s="753"/>
      <c r="AG71" s="754"/>
      <c r="AH71" s="740">
        <f t="shared" si="27"/>
        <v>1597012</v>
      </c>
      <c r="AI71" s="740" t="str">
        <f t="shared" si="28"/>
        <v>Chloe</v>
      </c>
      <c r="AJ71" s="740" t="str">
        <f t="shared" si="29"/>
        <v>Wimpenny</v>
      </c>
      <c r="AK71" s="740"/>
      <c r="AL71" s="740"/>
      <c r="AM71" s="740"/>
      <c r="AN71" s="740"/>
      <c r="AO71" s="740"/>
      <c r="AQ71" s="741">
        <f t="shared" ca="1" si="30"/>
        <v>0</v>
      </c>
    </row>
    <row r="72" spans="1:43" ht="20.25" customHeight="1" x14ac:dyDescent="0.25">
      <c r="A72" s="1254"/>
      <c r="B72" s="1255"/>
      <c r="C72" s="751"/>
      <c r="D72" s="752"/>
      <c r="E72" s="730">
        <v>1597016</v>
      </c>
      <c r="F72" s="731" t="s">
        <v>4773</v>
      </c>
      <c r="G72" s="731" t="s">
        <v>4774</v>
      </c>
      <c r="H72" s="732">
        <v>41526</v>
      </c>
      <c r="I72" s="733" t="str">
        <f t="shared" si="23"/>
        <v>Scarlett Omand</v>
      </c>
      <c r="J72" s="734" t="str">
        <f t="shared" si="24"/>
        <v>Omand,Scarlett</v>
      </c>
      <c r="K72" s="735">
        <f t="shared" ca="1" si="25"/>
        <v>10</v>
      </c>
      <c r="L72" s="736" t="str">
        <f t="shared" si="26"/>
        <v>090913</v>
      </c>
      <c r="M72" s="766" t="str">
        <f t="shared" ca="1" si="31"/>
        <v>OK</v>
      </c>
      <c r="AD72" s="1244"/>
      <c r="AE72" s="1245"/>
      <c r="AF72" s="753"/>
      <c r="AG72" s="754"/>
      <c r="AH72" s="740">
        <f t="shared" si="27"/>
        <v>1597016</v>
      </c>
      <c r="AI72" s="740" t="str">
        <f t="shared" si="28"/>
        <v>Scarlett</v>
      </c>
      <c r="AJ72" s="740" t="str">
        <f t="shared" si="29"/>
        <v>Omand</v>
      </c>
      <c r="AK72" s="740"/>
      <c r="AL72" s="740"/>
      <c r="AM72" s="740"/>
      <c r="AN72" s="740"/>
      <c r="AO72" s="740"/>
      <c r="AQ72" s="741">
        <f t="shared" ca="1" si="30"/>
        <v>41526</v>
      </c>
    </row>
    <row r="73" spans="1:43" ht="20.25" customHeight="1" x14ac:dyDescent="0.25">
      <c r="A73" s="1254"/>
      <c r="B73" s="1255"/>
      <c r="C73" s="751"/>
      <c r="D73" s="752"/>
      <c r="E73" s="730">
        <v>1518515</v>
      </c>
      <c r="F73" s="731" t="s">
        <v>4771</v>
      </c>
      <c r="G73" s="731" t="s">
        <v>4772</v>
      </c>
      <c r="H73" s="732">
        <v>40571</v>
      </c>
      <c r="I73" s="733" t="str">
        <f t="shared" si="23"/>
        <v>Niamh Holland</v>
      </c>
      <c r="J73" s="734" t="str">
        <f t="shared" si="24"/>
        <v>Holland,Niamh</v>
      </c>
      <c r="K73" s="735">
        <f t="shared" ca="1" si="25"/>
        <v>12</v>
      </c>
      <c r="L73" s="736" t="str">
        <f t="shared" si="26"/>
        <v>280111</v>
      </c>
      <c r="M73" s="766" t="str">
        <f t="shared" ca="1" si="31"/>
        <v>NOT ELIGIBLE</v>
      </c>
      <c r="AD73" s="1244"/>
      <c r="AE73" s="1245"/>
      <c r="AF73" s="753"/>
      <c r="AG73" s="754"/>
      <c r="AH73" s="740">
        <f t="shared" si="27"/>
        <v>1518515</v>
      </c>
      <c r="AI73" s="740" t="str">
        <f t="shared" si="28"/>
        <v>Niamh</v>
      </c>
      <c r="AJ73" s="740" t="str">
        <f t="shared" si="29"/>
        <v>Holland</v>
      </c>
      <c r="AK73" s="740"/>
      <c r="AL73" s="740"/>
      <c r="AM73" s="740"/>
      <c r="AN73" s="740"/>
      <c r="AO73" s="740"/>
      <c r="AQ73" s="741">
        <f t="shared" ca="1" si="30"/>
        <v>40571</v>
      </c>
    </row>
    <row r="74" spans="1:43" ht="20.25" customHeight="1" x14ac:dyDescent="0.25">
      <c r="A74" s="1254">
        <v>44</v>
      </c>
      <c r="B74" s="1255" t="s">
        <v>4701</v>
      </c>
      <c r="C74" s="746"/>
      <c r="D74" s="747"/>
      <c r="E74" s="730">
        <v>1657594</v>
      </c>
      <c r="F74" s="731" t="s">
        <v>4777</v>
      </c>
      <c r="G74" s="731" t="s">
        <v>4778</v>
      </c>
      <c r="H74" s="732">
        <v>41589</v>
      </c>
      <c r="I74" s="733" t="str">
        <f t="shared" si="23"/>
        <v>Liam  Thompson</v>
      </c>
      <c r="J74" s="734" t="str">
        <f t="shared" si="24"/>
        <v xml:space="preserve">Thompson,Liam </v>
      </c>
      <c r="K74" s="735">
        <f t="shared" ca="1" si="25"/>
        <v>10</v>
      </c>
      <c r="L74" s="736" t="str">
        <f t="shared" si="26"/>
        <v>111113</v>
      </c>
      <c r="M74" s="766" t="str">
        <f t="shared" ca="1" si="31"/>
        <v>OK</v>
      </c>
      <c r="AD74" s="1244">
        <f>A74</f>
        <v>44</v>
      </c>
      <c r="AE74" s="1245" t="str">
        <f>B74</f>
        <v>OPEN/MALE 9/11 4 X 50M
MEDLEY RELAY</v>
      </c>
      <c r="AF74" s="749"/>
      <c r="AG74" s="750"/>
      <c r="AH74" s="740">
        <f t="shared" si="27"/>
        <v>1657594</v>
      </c>
      <c r="AI74" s="740" t="str">
        <f t="shared" si="28"/>
        <v xml:space="preserve">Liam </v>
      </c>
      <c r="AJ74" s="740" t="str">
        <f t="shared" si="29"/>
        <v>Thompson</v>
      </c>
      <c r="AK74" s="740"/>
      <c r="AL74" s="740"/>
      <c r="AM74" s="740"/>
      <c r="AN74" s="740"/>
      <c r="AO74" s="740"/>
      <c r="AQ74" s="741">
        <f t="shared" ca="1" si="30"/>
        <v>41589</v>
      </c>
    </row>
    <row r="75" spans="1:43" ht="20.25" customHeight="1" x14ac:dyDescent="0.25">
      <c r="A75" s="1254"/>
      <c r="B75" s="1255"/>
      <c r="C75" s="751"/>
      <c r="D75" s="752"/>
      <c r="E75" s="730">
        <v>1319576</v>
      </c>
      <c r="F75" s="731" t="s">
        <v>4713</v>
      </c>
      <c r="G75" s="731" t="s">
        <v>4780</v>
      </c>
      <c r="H75" s="732">
        <v>41086</v>
      </c>
      <c r="I75" s="733" t="str">
        <f t="shared" si="23"/>
        <v>Harry Lythgoe</v>
      </c>
      <c r="J75" s="734" t="str">
        <f t="shared" si="24"/>
        <v>Lythgoe,Harry</v>
      </c>
      <c r="K75" s="735">
        <f t="shared" ca="1" si="25"/>
        <v>11</v>
      </c>
      <c r="L75" s="736" t="str">
        <f t="shared" si="26"/>
        <v>260612</v>
      </c>
      <c r="M75" s="766" t="str">
        <f t="shared" ca="1" si="31"/>
        <v>OK</v>
      </c>
      <c r="AD75" s="1244"/>
      <c r="AE75" s="1245"/>
      <c r="AF75" s="753"/>
      <c r="AG75" s="754"/>
      <c r="AH75" s="740">
        <f t="shared" si="27"/>
        <v>1319576</v>
      </c>
      <c r="AI75" s="740" t="str">
        <f t="shared" si="28"/>
        <v>Harry</v>
      </c>
      <c r="AJ75" s="740" t="str">
        <f t="shared" si="29"/>
        <v>Lythgoe</v>
      </c>
      <c r="AK75" s="740"/>
      <c r="AL75" s="740"/>
      <c r="AM75" s="740"/>
      <c r="AN75" s="740"/>
      <c r="AO75" s="740"/>
      <c r="AQ75" s="741">
        <f t="shared" ca="1" si="30"/>
        <v>41086</v>
      </c>
    </row>
    <row r="76" spans="1:43" ht="20.25" customHeight="1" x14ac:dyDescent="0.25">
      <c r="A76" s="1254"/>
      <c r="B76" s="1255"/>
      <c r="C76" s="751"/>
      <c r="D76" s="752"/>
      <c r="E76" s="730">
        <v>1597049</v>
      </c>
      <c r="F76" s="731" t="s">
        <v>2504</v>
      </c>
      <c r="G76" s="731" t="s">
        <v>4779</v>
      </c>
      <c r="H76" s="732">
        <v>41340</v>
      </c>
      <c r="I76" s="733" t="str">
        <f t="shared" si="23"/>
        <v>Maxwell Croft</v>
      </c>
      <c r="J76" s="734" t="str">
        <f t="shared" si="24"/>
        <v>Croft,Maxwell</v>
      </c>
      <c r="K76" s="735">
        <f t="shared" ca="1" si="25"/>
        <v>10</v>
      </c>
      <c r="L76" s="736" t="str">
        <f t="shared" si="26"/>
        <v>070313</v>
      </c>
      <c r="M76" s="766" t="str">
        <f t="shared" ca="1" si="31"/>
        <v>OK</v>
      </c>
      <c r="AD76" s="1244"/>
      <c r="AE76" s="1245"/>
      <c r="AF76" s="753"/>
      <c r="AG76" s="754"/>
      <c r="AH76" s="740">
        <f t="shared" si="27"/>
        <v>1597049</v>
      </c>
      <c r="AI76" s="740" t="str">
        <f t="shared" si="28"/>
        <v>Maxwell</v>
      </c>
      <c r="AJ76" s="740" t="str">
        <f t="shared" si="29"/>
        <v>Croft</v>
      </c>
      <c r="AK76" s="740"/>
      <c r="AL76" s="740"/>
      <c r="AM76" s="740"/>
      <c r="AN76" s="740"/>
      <c r="AO76" s="740"/>
      <c r="AQ76" s="741">
        <f t="shared" ca="1" si="30"/>
        <v>41340</v>
      </c>
    </row>
    <row r="77" spans="1:43" ht="20.25" customHeight="1" x14ac:dyDescent="0.25">
      <c r="A77" s="1254"/>
      <c r="B77" s="1255"/>
      <c r="C77" s="751"/>
      <c r="D77" s="752"/>
      <c r="E77" s="730">
        <v>1501896</v>
      </c>
      <c r="F77" s="731" t="s">
        <v>4781</v>
      </c>
      <c r="G77" s="731" t="s">
        <v>4782</v>
      </c>
      <c r="H77" s="732">
        <v>41177</v>
      </c>
      <c r="I77" s="733" t="str">
        <f t="shared" si="23"/>
        <v>Fabio Giambrone</v>
      </c>
      <c r="J77" s="734" t="str">
        <f t="shared" si="24"/>
        <v>Giambrone,Fabio</v>
      </c>
      <c r="K77" s="735">
        <f t="shared" ca="1" si="25"/>
        <v>11</v>
      </c>
      <c r="L77" s="736" t="str">
        <f t="shared" si="26"/>
        <v>250912</v>
      </c>
      <c r="M77" s="766" t="str">
        <f t="shared" ca="1" si="31"/>
        <v>OK</v>
      </c>
      <c r="AD77" s="1244"/>
      <c r="AE77" s="1245"/>
      <c r="AF77" s="753"/>
      <c r="AG77" s="754"/>
      <c r="AH77" s="740">
        <f t="shared" si="27"/>
        <v>1501896</v>
      </c>
      <c r="AI77" s="740" t="str">
        <f t="shared" si="28"/>
        <v>Fabio</v>
      </c>
      <c r="AJ77" s="740" t="str">
        <f t="shared" si="29"/>
        <v>Giambrone</v>
      </c>
      <c r="AK77" s="740"/>
      <c r="AL77" s="740"/>
      <c r="AM77" s="740"/>
      <c r="AN77" s="740"/>
      <c r="AO77" s="740"/>
      <c r="AQ77" s="741">
        <f t="shared" ca="1" si="30"/>
        <v>41177</v>
      </c>
    </row>
    <row r="78" spans="1:43" ht="20.25" customHeight="1" x14ac:dyDescent="0.25">
      <c r="A78" s="1252">
        <v>45</v>
      </c>
      <c r="B78" s="1253" t="s">
        <v>4702</v>
      </c>
      <c r="C78" s="756"/>
      <c r="D78" s="757"/>
      <c r="E78" s="730">
        <v>1506658</v>
      </c>
      <c r="F78" s="731" t="s">
        <v>4786</v>
      </c>
      <c r="G78" s="731" t="s">
        <v>4779</v>
      </c>
      <c r="H78" s="732">
        <v>40688</v>
      </c>
      <c r="I78" s="733" t="str">
        <f t="shared" si="23"/>
        <v>Olivia Croft</v>
      </c>
      <c r="J78" s="734" t="str">
        <f t="shared" si="24"/>
        <v>Croft,Olivia</v>
      </c>
      <c r="K78" s="735">
        <f t="shared" ca="1" si="25"/>
        <v>12</v>
      </c>
      <c r="L78" s="736" t="str">
        <f t="shared" si="26"/>
        <v>250511</v>
      </c>
      <c r="M78" s="766" t="str">
        <f t="shared" ref="M78:M85" ca="1" si="32">IF(K78=0,0,IF(K78&lt;9,"TOO YOUNG",IF(K78&lt;14,"OK","NOT ELIGIBLE")))</f>
        <v>OK</v>
      </c>
      <c r="AD78" s="1244">
        <f>A78</f>
        <v>45</v>
      </c>
      <c r="AE78" s="1245" t="str">
        <f>B78</f>
        <v>FEMALE 13/U 4 X 50M
FREESTYLE RELAY</v>
      </c>
      <c r="AF78" s="749"/>
      <c r="AG78" s="750"/>
      <c r="AH78" s="740">
        <f t="shared" si="27"/>
        <v>1506658</v>
      </c>
      <c r="AI78" s="740" t="str">
        <f t="shared" si="28"/>
        <v>Olivia</v>
      </c>
      <c r="AJ78" s="740" t="str">
        <f t="shared" si="29"/>
        <v>Croft</v>
      </c>
      <c r="AK78" s="740"/>
      <c r="AL78" s="740"/>
      <c r="AM78" s="740"/>
      <c r="AN78" s="740"/>
      <c r="AO78" s="740"/>
      <c r="AQ78" s="741">
        <f t="shared" ca="1" si="30"/>
        <v>40688</v>
      </c>
    </row>
    <row r="79" spans="1:43" ht="20.25" customHeight="1" x14ac:dyDescent="0.25">
      <c r="A79" s="1252"/>
      <c r="B79" s="1253"/>
      <c r="C79" s="758"/>
      <c r="D79" s="759"/>
      <c r="E79" s="730">
        <v>1518515</v>
      </c>
      <c r="F79" s="731" t="s">
        <v>4771</v>
      </c>
      <c r="G79" s="731" t="s">
        <v>4772</v>
      </c>
      <c r="H79" s="732">
        <v>40571</v>
      </c>
      <c r="I79" s="733" t="str">
        <f t="shared" si="23"/>
        <v>Niamh Holland</v>
      </c>
      <c r="J79" s="734" t="str">
        <f t="shared" si="24"/>
        <v>Holland,Niamh</v>
      </c>
      <c r="K79" s="735">
        <f t="shared" ca="1" si="25"/>
        <v>12</v>
      </c>
      <c r="L79" s="736" t="str">
        <f t="shared" si="26"/>
        <v>280111</v>
      </c>
      <c r="M79" s="766" t="str">
        <f t="shared" ca="1" si="32"/>
        <v>OK</v>
      </c>
      <c r="AD79" s="1244"/>
      <c r="AE79" s="1245"/>
      <c r="AF79" s="753"/>
      <c r="AG79" s="754"/>
      <c r="AH79" s="740">
        <f t="shared" si="27"/>
        <v>1518515</v>
      </c>
      <c r="AI79" s="740" t="str">
        <f t="shared" si="28"/>
        <v>Niamh</v>
      </c>
      <c r="AJ79" s="740" t="str">
        <f t="shared" si="29"/>
        <v>Holland</v>
      </c>
      <c r="AK79" s="740"/>
      <c r="AL79" s="740"/>
      <c r="AM79" s="740"/>
      <c r="AN79" s="740"/>
      <c r="AO79" s="740"/>
      <c r="AQ79" s="741">
        <f t="shared" ca="1" si="30"/>
        <v>40571</v>
      </c>
    </row>
    <row r="80" spans="1:43" ht="20.25" customHeight="1" x14ac:dyDescent="0.25">
      <c r="A80" s="1252"/>
      <c r="B80" s="1253"/>
      <c r="C80" s="758"/>
      <c r="D80" s="759"/>
      <c r="E80" s="730">
        <v>1387243</v>
      </c>
      <c r="F80" s="731" t="s">
        <v>4784</v>
      </c>
      <c r="G80" s="731" t="s">
        <v>4785</v>
      </c>
      <c r="H80" s="732">
        <v>40630</v>
      </c>
      <c r="I80" s="733" t="str">
        <f t="shared" si="23"/>
        <v>Mia Nelson</v>
      </c>
      <c r="J80" s="734" t="str">
        <f t="shared" si="24"/>
        <v>Nelson,Mia</v>
      </c>
      <c r="K80" s="735">
        <f t="shared" ca="1" si="25"/>
        <v>12</v>
      </c>
      <c r="L80" s="736" t="str">
        <f t="shared" si="26"/>
        <v>280311</v>
      </c>
      <c r="M80" s="766" t="str">
        <f t="shared" ca="1" si="32"/>
        <v>OK</v>
      </c>
      <c r="AD80" s="1244"/>
      <c r="AE80" s="1245"/>
      <c r="AF80" s="753"/>
      <c r="AG80" s="754"/>
      <c r="AH80" s="740">
        <f t="shared" si="27"/>
        <v>1387243</v>
      </c>
      <c r="AI80" s="740" t="str">
        <f t="shared" si="28"/>
        <v>Mia</v>
      </c>
      <c r="AJ80" s="740" t="str">
        <f t="shared" si="29"/>
        <v>Nelson</v>
      </c>
      <c r="AK80" s="740"/>
      <c r="AL80" s="740"/>
      <c r="AM80" s="740"/>
      <c r="AN80" s="740"/>
      <c r="AO80" s="740"/>
      <c r="AQ80" s="741">
        <f t="shared" ca="1" si="30"/>
        <v>40630</v>
      </c>
    </row>
    <row r="81" spans="1:43" ht="20.25" customHeight="1" x14ac:dyDescent="0.25">
      <c r="A81" s="1252"/>
      <c r="B81" s="1253"/>
      <c r="C81" s="758"/>
      <c r="D81" s="759"/>
      <c r="E81" s="730">
        <v>1484565</v>
      </c>
      <c r="F81" s="731" t="s">
        <v>4721</v>
      </c>
      <c r="G81" s="731" t="s">
        <v>4783</v>
      </c>
      <c r="H81" s="732">
        <v>40236</v>
      </c>
      <c r="I81" s="733" t="str">
        <f t="shared" si="23"/>
        <v>Maya Robu</v>
      </c>
      <c r="J81" s="734" t="str">
        <f t="shared" si="24"/>
        <v>Robu,Maya</v>
      </c>
      <c r="K81" s="735">
        <f t="shared" ca="1" si="25"/>
        <v>13</v>
      </c>
      <c r="L81" s="736" t="str">
        <f t="shared" si="26"/>
        <v>270210</v>
      </c>
      <c r="M81" s="766" t="str">
        <f t="shared" ca="1" si="32"/>
        <v>OK</v>
      </c>
      <c r="AD81" s="1244"/>
      <c r="AE81" s="1245"/>
      <c r="AF81" s="753"/>
      <c r="AG81" s="754"/>
      <c r="AH81" s="740">
        <f t="shared" si="27"/>
        <v>1484565</v>
      </c>
      <c r="AI81" s="740" t="str">
        <f t="shared" si="28"/>
        <v>Maya</v>
      </c>
      <c r="AJ81" s="740" t="str">
        <f t="shared" si="29"/>
        <v>Robu</v>
      </c>
      <c r="AK81" s="740"/>
      <c r="AL81" s="740"/>
      <c r="AM81" s="740"/>
      <c r="AN81" s="740"/>
      <c r="AO81" s="740"/>
      <c r="AQ81" s="741">
        <f t="shared" ca="1" si="30"/>
        <v>40236</v>
      </c>
    </row>
    <row r="82" spans="1:43" ht="20.25" customHeight="1" x14ac:dyDescent="0.25">
      <c r="A82" s="1252">
        <v>46</v>
      </c>
      <c r="B82" s="1253" t="s">
        <v>4703</v>
      </c>
      <c r="C82" s="756"/>
      <c r="D82" s="757"/>
      <c r="E82" s="730">
        <v>1494727</v>
      </c>
      <c r="F82" s="731" t="s">
        <v>4789</v>
      </c>
      <c r="G82" s="731" t="s">
        <v>4790</v>
      </c>
      <c r="H82" s="732">
        <v>40206</v>
      </c>
      <c r="I82" s="733" t="str">
        <f t="shared" si="23"/>
        <v>Mikhail Zharinov</v>
      </c>
      <c r="J82" s="734" t="str">
        <f t="shared" si="24"/>
        <v>Zharinov,Mikhail</v>
      </c>
      <c r="K82" s="735">
        <f t="shared" ca="1" si="25"/>
        <v>13</v>
      </c>
      <c r="L82" s="736" t="str">
        <f t="shared" si="26"/>
        <v>280110</v>
      </c>
      <c r="M82" s="766" t="str">
        <f t="shared" ca="1" si="32"/>
        <v>OK</v>
      </c>
      <c r="AD82" s="1244">
        <f>A82</f>
        <v>46</v>
      </c>
      <c r="AE82" s="1245" t="str">
        <f>B82</f>
        <v>OPEN/MALE 13/U 4 X 50M
FREESTYLE RELAY</v>
      </c>
      <c r="AF82" s="749"/>
      <c r="AG82" s="750"/>
      <c r="AH82" s="740">
        <f t="shared" si="27"/>
        <v>1494727</v>
      </c>
      <c r="AI82" s="740" t="str">
        <f t="shared" si="28"/>
        <v>Mikhail</v>
      </c>
      <c r="AJ82" s="740" t="str">
        <f t="shared" si="29"/>
        <v>Zharinov</v>
      </c>
      <c r="AK82" s="740"/>
      <c r="AL82" s="740"/>
      <c r="AM82" s="740"/>
      <c r="AN82" s="740"/>
      <c r="AO82" s="740"/>
      <c r="AQ82" s="741">
        <f t="shared" ca="1" si="30"/>
        <v>40206</v>
      </c>
    </row>
    <row r="83" spans="1:43" ht="20.25" customHeight="1" x14ac:dyDescent="0.25">
      <c r="A83" s="1252"/>
      <c r="B83" s="1253"/>
      <c r="C83" s="758"/>
      <c r="D83" s="759"/>
      <c r="E83" s="730">
        <v>1589549</v>
      </c>
      <c r="F83" s="731" t="s">
        <v>4791</v>
      </c>
      <c r="G83" s="731" t="s">
        <v>4778</v>
      </c>
      <c r="H83" s="732">
        <v>40567</v>
      </c>
      <c r="I83" s="733" t="str">
        <f t="shared" si="23"/>
        <v>Ewan Thompson</v>
      </c>
      <c r="J83" s="734" t="str">
        <f t="shared" si="24"/>
        <v>Thompson,Ewan</v>
      </c>
      <c r="K83" s="735">
        <f t="shared" ca="1" si="25"/>
        <v>12</v>
      </c>
      <c r="L83" s="736" t="str">
        <f t="shared" si="26"/>
        <v>240111</v>
      </c>
      <c r="M83" s="766" t="str">
        <f t="shared" ca="1" si="32"/>
        <v>OK</v>
      </c>
      <c r="AD83" s="1244"/>
      <c r="AE83" s="1245"/>
      <c r="AF83" s="753"/>
      <c r="AG83" s="754"/>
      <c r="AH83" s="740">
        <f t="shared" si="27"/>
        <v>1589549</v>
      </c>
      <c r="AI83" s="740" t="str">
        <f t="shared" si="28"/>
        <v>Ewan</v>
      </c>
      <c r="AJ83" s="740" t="str">
        <f t="shared" si="29"/>
        <v>Thompson</v>
      </c>
      <c r="AK83" s="740"/>
      <c r="AL83" s="740"/>
      <c r="AM83" s="740"/>
      <c r="AN83" s="740"/>
      <c r="AO83" s="740"/>
      <c r="AQ83" s="741">
        <f t="shared" ca="1" si="30"/>
        <v>40567</v>
      </c>
    </row>
    <row r="84" spans="1:43" ht="20.25" customHeight="1" x14ac:dyDescent="0.25">
      <c r="A84" s="1252"/>
      <c r="B84" s="1253"/>
      <c r="C84" s="758"/>
      <c r="D84" s="759"/>
      <c r="E84" s="730">
        <v>1491530</v>
      </c>
      <c r="F84" s="731" t="s">
        <v>4788</v>
      </c>
      <c r="G84" s="731" t="s">
        <v>4782</v>
      </c>
      <c r="H84" s="732">
        <v>40445</v>
      </c>
      <c r="I84" s="733" t="str">
        <f t="shared" si="23"/>
        <v>Luigi Giambrone</v>
      </c>
      <c r="J84" s="734" t="str">
        <f t="shared" si="24"/>
        <v>Giambrone,Luigi</v>
      </c>
      <c r="K84" s="735">
        <f t="shared" ca="1" si="25"/>
        <v>13</v>
      </c>
      <c r="L84" s="736" t="str">
        <f t="shared" si="26"/>
        <v>240910</v>
      </c>
      <c r="M84" s="766" t="str">
        <f t="shared" ca="1" si="32"/>
        <v>OK</v>
      </c>
      <c r="AD84" s="1244"/>
      <c r="AE84" s="1245"/>
      <c r="AF84" s="753"/>
      <c r="AG84" s="754"/>
      <c r="AH84" s="740">
        <f t="shared" si="27"/>
        <v>1491530</v>
      </c>
      <c r="AI84" s="740" t="str">
        <f t="shared" si="28"/>
        <v>Luigi</v>
      </c>
      <c r="AJ84" s="740" t="str">
        <f t="shared" si="29"/>
        <v>Giambrone</v>
      </c>
      <c r="AK84" s="740"/>
      <c r="AL84" s="740"/>
      <c r="AM84" s="740"/>
      <c r="AN84" s="740"/>
      <c r="AO84" s="740"/>
      <c r="AQ84" s="741">
        <f t="shared" ca="1" si="30"/>
        <v>40445</v>
      </c>
    </row>
    <row r="85" spans="1:43" ht="20.25" customHeight="1" x14ac:dyDescent="0.25">
      <c r="A85" s="1252"/>
      <c r="B85" s="1253"/>
      <c r="C85" s="758"/>
      <c r="D85" s="759"/>
      <c r="E85" s="730">
        <v>1482094</v>
      </c>
      <c r="F85" s="731" t="s">
        <v>4787</v>
      </c>
      <c r="G85" s="731" t="s">
        <v>4776</v>
      </c>
      <c r="H85" s="732">
        <v>40272</v>
      </c>
      <c r="I85" s="733" t="str">
        <f t="shared" si="23"/>
        <v>Ryan Wimpenny</v>
      </c>
      <c r="J85" s="734" t="str">
        <f t="shared" si="24"/>
        <v>Wimpenny,Ryan</v>
      </c>
      <c r="K85" s="735">
        <f t="shared" ca="1" si="25"/>
        <v>13</v>
      </c>
      <c r="L85" s="736" t="str">
        <f t="shared" si="26"/>
        <v>040410</v>
      </c>
      <c r="M85" s="766" t="str">
        <f t="shared" ca="1" si="32"/>
        <v>OK</v>
      </c>
      <c r="AD85" s="1244"/>
      <c r="AE85" s="1245"/>
      <c r="AF85" s="753"/>
      <c r="AG85" s="754"/>
      <c r="AH85" s="740">
        <f t="shared" si="27"/>
        <v>1482094</v>
      </c>
      <c r="AI85" s="740" t="str">
        <f t="shared" si="28"/>
        <v>Ryan</v>
      </c>
      <c r="AJ85" s="740" t="str">
        <f t="shared" si="29"/>
        <v>Wimpenny</v>
      </c>
      <c r="AK85" s="740"/>
      <c r="AL85" s="740"/>
      <c r="AM85" s="740"/>
      <c r="AN85" s="740"/>
      <c r="AO85" s="740"/>
      <c r="AQ85" s="741">
        <f t="shared" ca="1" si="30"/>
        <v>40272</v>
      </c>
    </row>
    <row r="86" spans="1:43" ht="20.25" customHeight="1" x14ac:dyDescent="0.25">
      <c r="A86" s="1248">
        <v>47</v>
      </c>
      <c r="B86" s="1249" t="s">
        <v>4704</v>
      </c>
      <c r="C86" s="761"/>
      <c r="D86" s="762"/>
      <c r="E86" s="730">
        <v>1618230</v>
      </c>
      <c r="F86" s="731" t="s">
        <v>4792</v>
      </c>
      <c r="G86" s="731" t="s">
        <v>4793</v>
      </c>
      <c r="H86" s="732">
        <v>40090</v>
      </c>
      <c r="I86" s="733" t="str">
        <f t="shared" si="23"/>
        <v>Jessica MacKenzie</v>
      </c>
      <c r="J86" s="734" t="str">
        <f t="shared" si="24"/>
        <v>MacKenzie,Jessica</v>
      </c>
      <c r="K86" s="735">
        <f t="shared" ca="1" si="25"/>
        <v>14</v>
      </c>
      <c r="L86" s="736" t="str">
        <f t="shared" si="26"/>
        <v>041009</v>
      </c>
      <c r="M86" s="766" t="str">
        <f t="shared" ref="M86:M93" ca="1" si="33">IF(K86=0,0,IF(K86&lt;9,"TOO YOUNG",IF(K86&lt;16,"OK","NOT ELIGIBLE")))</f>
        <v>OK</v>
      </c>
      <c r="AD86" s="1244">
        <f>A86</f>
        <v>47</v>
      </c>
      <c r="AE86" s="1245" t="str">
        <f>B86</f>
        <v>FEMALE 15/U 4 X 50M
MEDLEY RELAY</v>
      </c>
      <c r="AF86" s="749"/>
      <c r="AG86" s="750"/>
      <c r="AH86" s="740">
        <f t="shared" si="27"/>
        <v>1618230</v>
      </c>
      <c r="AI86" s="740" t="str">
        <f t="shared" si="28"/>
        <v>Jessica</v>
      </c>
      <c r="AJ86" s="740" t="str">
        <f t="shared" si="29"/>
        <v>MacKenzie</v>
      </c>
      <c r="AK86" s="740"/>
      <c r="AL86" s="740"/>
      <c r="AM86" s="740"/>
      <c r="AN86" s="740"/>
      <c r="AO86" s="740"/>
      <c r="AQ86" s="741">
        <f t="shared" ca="1" si="30"/>
        <v>40090</v>
      </c>
    </row>
    <row r="87" spans="1:43" ht="20.25" customHeight="1" x14ac:dyDescent="0.25">
      <c r="A87" s="1248"/>
      <c r="B87" s="1249"/>
      <c r="C87" s="763"/>
      <c r="D87" s="764"/>
      <c r="E87" s="730">
        <v>1426396</v>
      </c>
      <c r="F87" s="731" t="s">
        <v>4794</v>
      </c>
      <c r="G87" s="731" t="s">
        <v>4795</v>
      </c>
      <c r="H87" s="732">
        <v>39574</v>
      </c>
      <c r="I87" s="733" t="str">
        <f t="shared" si="23"/>
        <v>Molly Bartup</v>
      </c>
      <c r="J87" s="734" t="str">
        <f t="shared" si="24"/>
        <v>Bartup,Molly</v>
      </c>
      <c r="K87" s="735">
        <f t="shared" ca="1" si="25"/>
        <v>15</v>
      </c>
      <c r="L87" s="736" t="str">
        <f t="shared" si="26"/>
        <v>060508</v>
      </c>
      <c r="M87" s="766" t="str">
        <f t="shared" ca="1" si="33"/>
        <v>OK</v>
      </c>
      <c r="AD87" s="1244"/>
      <c r="AE87" s="1245"/>
      <c r="AF87" s="753"/>
      <c r="AG87" s="754"/>
      <c r="AH87" s="740">
        <f t="shared" si="27"/>
        <v>1426396</v>
      </c>
      <c r="AI87" s="740" t="str">
        <f t="shared" si="28"/>
        <v>Molly</v>
      </c>
      <c r="AJ87" s="740" t="str">
        <f t="shared" si="29"/>
        <v>Bartup</v>
      </c>
      <c r="AK87" s="740"/>
      <c r="AL87" s="740"/>
      <c r="AM87" s="740"/>
      <c r="AN87" s="740"/>
      <c r="AO87" s="740"/>
      <c r="AQ87" s="741">
        <f t="shared" ca="1" si="30"/>
        <v>39574</v>
      </c>
    </row>
    <row r="88" spans="1:43" ht="20.25" customHeight="1" x14ac:dyDescent="0.25">
      <c r="A88" s="1248"/>
      <c r="B88" s="1249"/>
      <c r="C88" s="763"/>
      <c r="D88" s="764"/>
      <c r="E88" s="730">
        <v>1312490</v>
      </c>
      <c r="F88" s="731" t="s">
        <v>4809</v>
      </c>
      <c r="G88" s="731" t="s">
        <v>4768</v>
      </c>
      <c r="H88" s="732">
        <v>39496</v>
      </c>
      <c r="I88" s="733" t="str">
        <f t="shared" si="23"/>
        <v>Hannah  Lovelock</v>
      </c>
      <c r="J88" s="734" t="str">
        <f t="shared" si="24"/>
        <v xml:space="preserve">Lovelock,Hannah </v>
      </c>
      <c r="K88" s="735">
        <f t="shared" ca="1" si="25"/>
        <v>15</v>
      </c>
      <c r="L88" s="736" t="str">
        <f t="shared" si="26"/>
        <v>180208</v>
      </c>
      <c r="M88" s="766" t="str">
        <f t="shared" ca="1" si="33"/>
        <v>OK</v>
      </c>
      <c r="AD88" s="1244"/>
      <c r="AE88" s="1245"/>
      <c r="AF88" s="753"/>
      <c r="AG88" s="754"/>
      <c r="AH88" s="740">
        <f t="shared" si="27"/>
        <v>1312490</v>
      </c>
      <c r="AI88" s="740" t="str">
        <f t="shared" si="28"/>
        <v xml:space="preserve">Hannah </v>
      </c>
      <c r="AJ88" s="740" t="str">
        <f t="shared" si="29"/>
        <v>Lovelock</v>
      </c>
      <c r="AK88" s="740"/>
      <c r="AL88" s="740"/>
      <c r="AM88" s="740"/>
      <c r="AN88" s="740"/>
      <c r="AO88" s="740"/>
      <c r="AQ88" s="741">
        <f t="shared" ca="1" si="30"/>
        <v>39496</v>
      </c>
    </row>
    <row r="89" spans="1:43" ht="20.25" customHeight="1" x14ac:dyDescent="0.25">
      <c r="A89" s="1248"/>
      <c r="B89" s="1249"/>
      <c r="C89" s="763"/>
      <c r="D89" s="764"/>
      <c r="E89" s="730">
        <v>1426395</v>
      </c>
      <c r="F89" s="731" t="s">
        <v>4682</v>
      </c>
      <c r="G89" s="731" t="s">
        <v>4796</v>
      </c>
      <c r="H89" s="732">
        <v>39689</v>
      </c>
      <c r="I89" s="733" t="str">
        <f t="shared" si="23"/>
        <v>Isabel Mullings</v>
      </c>
      <c r="J89" s="734" t="str">
        <f t="shared" si="24"/>
        <v>Mullings,Isabel</v>
      </c>
      <c r="K89" s="735">
        <f t="shared" ca="1" si="25"/>
        <v>15</v>
      </c>
      <c r="L89" s="736" t="str">
        <f t="shared" si="26"/>
        <v>290808</v>
      </c>
      <c r="M89" s="766" t="str">
        <f t="shared" ca="1" si="33"/>
        <v>OK</v>
      </c>
      <c r="AD89" s="1244"/>
      <c r="AE89" s="1245"/>
      <c r="AF89" s="753"/>
      <c r="AG89" s="754"/>
      <c r="AH89" s="740">
        <f t="shared" si="27"/>
        <v>1426395</v>
      </c>
      <c r="AI89" s="740" t="str">
        <f t="shared" si="28"/>
        <v>Isabel</v>
      </c>
      <c r="AJ89" s="740" t="str">
        <f t="shared" si="29"/>
        <v>Mullings</v>
      </c>
      <c r="AK89" s="740"/>
      <c r="AL89" s="740"/>
      <c r="AM89" s="740"/>
      <c r="AN89" s="740"/>
      <c r="AO89" s="740"/>
      <c r="AQ89" s="741">
        <f t="shared" ca="1" si="30"/>
        <v>39689</v>
      </c>
    </row>
    <row r="90" spans="1:43" ht="20.25" customHeight="1" x14ac:dyDescent="0.25">
      <c r="A90" s="1248">
        <v>48</v>
      </c>
      <c r="B90" s="1249" t="s">
        <v>4705</v>
      </c>
      <c r="C90" s="761"/>
      <c r="D90" s="762"/>
      <c r="E90" s="730">
        <v>1402277</v>
      </c>
      <c r="F90" s="731" t="s">
        <v>4797</v>
      </c>
      <c r="G90" s="731" t="s">
        <v>4798</v>
      </c>
      <c r="H90" s="732">
        <v>39503</v>
      </c>
      <c r="I90" s="733" t="str">
        <f t="shared" si="23"/>
        <v>Alfie Bullock</v>
      </c>
      <c r="J90" s="734" t="str">
        <f t="shared" si="24"/>
        <v>Bullock,Alfie</v>
      </c>
      <c r="K90" s="735">
        <f t="shared" ca="1" si="25"/>
        <v>15</v>
      </c>
      <c r="L90" s="736" t="str">
        <f t="shared" si="26"/>
        <v>250208</v>
      </c>
      <c r="M90" s="766" t="str">
        <f t="shared" ca="1" si="33"/>
        <v>OK</v>
      </c>
      <c r="AD90" s="1244">
        <f>A90</f>
        <v>48</v>
      </c>
      <c r="AE90" s="1245" t="str">
        <f>B90</f>
        <v>OPEN/MALE 15/U 4 X 50M
MEDLEY RELAY</v>
      </c>
      <c r="AF90" s="749"/>
      <c r="AG90" s="750"/>
      <c r="AH90" s="740">
        <f t="shared" si="27"/>
        <v>1402277</v>
      </c>
      <c r="AI90" s="740" t="str">
        <f t="shared" si="28"/>
        <v>Alfie</v>
      </c>
      <c r="AJ90" s="740" t="str">
        <f t="shared" si="29"/>
        <v>Bullock</v>
      </c>
      <c r="AK90" s="740"/>
      <c r="AL90" s="740"/>
      <c r="AM90" s="740"/>
      <c r="AN90" s="740"/>
      <c r="AO90" s="740"/>
      <c r="AQ90" s="741">
        <f t="shared" ca="1" si="30"/>
        <v>39503</v>
      </c>
    </row>
    <row r="91" spans="1:43" ht="20.25" customHeight="1" x14ac:dyDescent="0.25">
      <c r="A91" s="1248"/>
      <c r="B91" s="1249"/>
      <c r="C91" s="763"/>
      <c r="D91" s="764"/>
      <c r="E91" s="730">
        <v>1503489</v>
      </c>
      <c r="F91" s="731" t="s">
        <v>4799</v>
      </c>
      <c r="G91" s="731" t="s">
        <v>4800</v>
      </c>
      <c r="H91" s="732">
        <v>39834</v>
      </c>
      <c r="I91" s="733" t="str">
        <f t="shared" si="23"/>
        <v>Theo Smith</v>
      </c>
      <c r="J91" s="734" t="str">
        <f t="shared" si="24"/>
        <v>Smith,Theo</v>
      </c>
      <c r="K91" s="735">
        <f t="shared" ca="1" si="25"/>
        <v>14</v>
      </c>
      <c r="L91" s="736" t="str">
        <f t="shared" si="26"/>
        <v>210109</v>
      </c>
      <c r="M91" s="766" t="str">
        <f t="shared" ca="1" si="33"/>
        <v>OK</v>
      </c>
      <c r="AD91" s="1244"/>
      <c r="AE91" s="1245"/>
      <c r="AF91" s="753"/>
      <c r="AG91" s="754"/>
      <c r="AH91" s="740">
        <f t="shared" si="27"/>
        <v>1503489</v>
      </c>
      <c r="AI91" s="740" t="str">
        <f t="shared" si="28"/>
        <v>Theo</v>
      </c>
      <c r="AJ91" s="740" t="str">
        <f t="shared" si="29"/>
        <v>Smith</v>
      </c>
      <c r="AK91" s="740"/>
      <c r="AL91" s="740"/>
      <c r="AM91" s="740"/>
      <c r="AN91" s="740"/>
      <c r="AO91" s="740"/>
      <c r="AQ91" s="741">
        <f t="shared" ca="1" si="30"/>
        <v>39834</v>
      </c>
    </row>
    <row r="92" spans="1:43" ht="20.25" customHeight="1" x14ac:dyDescent="0.25">
      <c r="A92" s="1248"/>
      <c r="B92" s="1249"/>
      <c r="C92" s="763"/>
      <c r="D92" s="764"/>
      <c r="E92" s="730">
        <v>1494727</v>
      </c>
      <c r="F92" s="731" t="s">
        <v>4789</v>
      </c>
      <c r="G92" s="731" t="s">
        <v>4790</v>
      </c>
      <c r="H92" s="732">
        <v>40206</v>
      </c>
      <c r="I92" s="733" t="str">
        <f t="shared" si="23"/>
        <v>Mikhail Zharinov</v>
      </c>
      <c r="J92" s="734" t="str">
        <f t="shared" si="24"/>
        <v>Zharinov,Mikhail</v>
      </c>
      <c r="K92" s="735">
        <f t="shared" ca="1" si="25"/>
        <v>13</v>
      </c>
      <c r="L92" s="736" t="str">
        <f t="shared" si="26"/>
        <v>280110</v>
      </c>
      <c r="M92" s="766" t="str">
        <f t="shared" ca="1" si="33"/>
        <v>OK</v>
      </c>
      <c r="AD92" s="1244"/>
      <c r="AE92" s="1245"/>
      <c r="AF92" s="753"/>
      <c r="AG92" s="754"/>
      <c r="AH92" s="740">
        <f t="shared" si="27"/>
        <v>1494727</v>
      </c>
      <c r="AI92" s="740" t="str">
        <f t="shared" si="28"/>
        <v>Mikhail</v>
      </c>
      <c r="AJ92" s="740" t="str">
        <f t="shared" si="29"/>
        <v>Zharinov</v>
      </c>
      <c r="AK92" s="740"/>
      <c r="AL92" s="740"/>
      <c r="AM92" s="740"/>
      <c r="AN92" s="740"/>
      <c r="AO92" s="740"/>
      <c r="AQ92" s="741">
        <f t="shared" ca="1" si="30"/>
        <v>40206</v>
      </c>
    </row>
    <row r="93" spans="1:43" ht="20.25" customHeight="1" x14ac:dyDescent="0.25">
      <c r="A93" s="1248"/>
      <c r="B93" s="1249"/>
      <c r="C93" s="763"/>
      <c r="D93" s="764"/>
      <c r="E93" s="730">
        <v>1589549</v>
      </c>
      <c r="F93" s="731" t="s">
        <v>4791</v>
      </c>
      <c r="G93" s="731" t="s">
        <v>4778</v>
      </c>
      <c r="H93" s="732">
        <v>40567</v>
      </c>
      <c r="I93" s="733" t="str">
        <f t="shared" si="23"/>
        <v>Ewan Thompson</v>
      </c>
      <c r="J93" s="734" t="str">
        <f t="shared" si="24"/>
        <v>Thompson,Ewan</v>
      </c>
      <c r="K93" s="735">
        <f t="shared" ca="1" si="25"/>
        <v>12</v>
      </c>
      <c r="L93" s="736" t="str">
        <f t="shared" si="26"/>
        <v>240111</v>
      </c>
      <c r="M93" s="766" t="str">
        <f t="shared" ca="1" si="33"/>
        <v>OK</v>
      </c>
      <c r="AD93" s="1244"/>
      <c r="AE93" s="1245"/>
      <c r="AF93" s="753"/>
      <c r="AG93" s="754"/>
      <c r="AH93" s="740">
        <f t="shared" si="27"/>
        <v>1589549</v>
      </c>
      <c r="AI93" s="740" t="str">
        <f t="shared" si="28"/>
        <v>Ewan</v>
      </c>
      <c r="AJ93" s="740" t="str">
        <f t="shared" si="29"/>
        <v>Thompson</v>
      </c>
      <c r="AK93" s="740"/>
      <c r="AL93" s="740"/>
      <c r="AM93" s="740"/>
      <c r="AN93" s="740"/>
      <c r="AO93" s="740"/>
      <c r="AQ93" s="741">
        <f t="shared" ca="1" si="30"/>
        <v>40567</v>
      </c>
    </row>
    <row r="94" spans="1:43" ht="20.25" customHeight="1" x14ac:dyDescent="0.25">
      <c r="A94" s="1250">
        <v>49</v>
      </c>
      <c r="B94" s="1251" t="s">
        <v>4706</v>
      </c>
      <c r="C94" s="768"/>
      <c r="D94" s="769"/>
      <c r="E94" s="731">
        <v>1354767</v>
      </c>
      <c r="F94" s="731" t="s">
        <v>4711</v>
      </c>
      <c r="G94" s="731" t="s">
        <v>4803</v>
      </c>
      <c r="H94" s="732">
        <v>38332</v>
      </c>
      <c r="I94" s="733" t="str">
        <f t="shared" si="23"/>
        <v>Sophie Clark</v>
      </c>
      <c r="J94" s="734" t="str">
        <f t="shared" si="24"/>
        <v>Clark,Sophie</v>
      </c>
      <c r="K94" s="735">
        <f t="shared" ca="1" si="25"/>
        <v>19</v>
      </c>
      <c r="L94" s="736" t="str">
        <f t="shared" si="26"/>
        <v>111204</v>
      </c>
      <c r="M94" s="770" t="str">
        <f t="shared" ref="M94:M109" ca="1" si="34">IF(K94=0,0,IF(K94&lt;9,"TOO YOUNG",IF(K94&lt;60,"OK","BIT OLD MAYBE")))</f>
        <v>OK</v>
      </c>
      <c r="AD94" s="1244">
        <f>A94</f>
        <v>49</v>
      </c>
      <c r="AE94" s="1245" t="str">
        <f>B94</f>
        <v>FEMALE 16+4 X 50M
FREESTYLE RELAY</v>
      </c>
      <c r="AF94" s="749"/>
      <c r="AG94" s="750"/>
      <c r="AH94" s="740">
        <f t="shared" si="27"/>
        <v>1354767</v>
      </c>
      <c r="AI94" s="740" t="str">
        <f t="shared" si="28"/>
        <v>Sophie</v>
      </c>
      <c r="AJ94" s="740" t="str">
        <f t="shared" si="29"/>
        <v>Clark</v>
      </c>
      <c r="AK94" s="740"/>
      <c r="AL94" s="740"/>
      <c r="AM94" s="740"/>
      <c r="AN94" s="740"/>
      <c r="AO94" s="740"/>
      <c r="AQ94" s="741">
        <f t="shared" ca="1" si="30"/>
        <v>38332</v>
      </c>
    </row>
    <row r="95" spans="1:43" ht="20.25" customHeight="1" x14ac:dyDescent="0.25">
      <c r="A95" s="1250"/>
      <c r="B95" s="1251"/>
      <c r="C95" s="771"/>
      <c r="D95" s="772"/>
      <c r="E95" s="730">
        <v>1145677</v>
      </c>
      <c r="F95" s="731" t="s">
        <v>4801</v>
      </c>
      <c r="G95" s="731" t="s">
        <v>4802</v>
      </c>
      <c r="H95" s="732">
        <v>39264</v>
      </c>
      <c r="I95" s="733" t="str">
        <f t="shared" si="23"/>
        <v>Grace Sofokleous-Ames</v>
      </c>
      <c r="J95" s="734" t="str">
        <f t="shared" si="24"/>
        <v>Sofokleous-Ames,Grace</v>
      </c>
      <c r="K95" s="735">
        <f t="shared" ca="1" si="25"/>
        <v>16</v>
      </c>
      <c r="L95" s="736" t="str">
        <f t="shared" si="26"/>
        <v>010707</v>
      </c>
      <c r="M95" s="770" t="str">
        <f t="shared" ca="1" si="34"/>
        <v>OK</v>
      </c>
      <c r="AD95" s="1244"/>
      <c r="AE95" s="1245"/>
      <c r="AF95" s="753"/>
      <c r="AG95" s="754"/>
      <c r="AH95" s="740">
        <f t="shared" si="27"/>
        <v>1145677</v>
      </c>
      <c r="AI95" s="740" t="str">
        <f t="shared" si="28"/>
        <v>Grace</v>
      </c>
      <c r="AJ95" s="740" t="str">
        <f t="shared" si="29"/>
        <v>Sofokleous-Ames</v>
      </c>
      <c r="AK95" s="740"/>
      <c r="AL95" s="740"/>
      <c r="AM95" s="740"/>
      <c r="AN95" s="740"/>
      <c r="AO95" s="740"/>
      <c r="AQ95" s="741">
        <f t="shared" ca="1" si="30"/>
        <v>39264</v>
      </c>
    </row>
    <row r="96" spans="1:43" ht="20.25" customHeight="1" x14ac:dyDescent="0.25">
      <c r="A96" s="1250"/>
      <c r="B96" s="1251"/>
      <c r="C96" s="771"/>
      <c r="D96" s="772"/>
      <c r="E96" s="730">
        <v>1253476</v>
      </c>
      <c r="F96" s="731" t="s">
        <v>4684</v>
      </c>
      <c r="G96" s="731" t="s">
        <v>4808</v>
      </c>
      <c r="H96" s="732">
        <v>39394</v>
      </c>
      <c r="I96" s="733" t="str">
        <f t="shared" si="23"/>
        <v>Charlotte Brakenbury</v>
      </c>
      <c r="J96" s="734" t="str">
        <f t="shared" si="24"/>
        <v>Brakenbury,Charlotte</v>
      </c>
      <c r="K96" s="735">
        <f t="shared" ca="1" si="25"/>
        <v>16</v>
      </c>
      <c r="L96" s="736" t="str">
        <f t="shared" si="26"/>
        <v>081107</v>
      </c>
      <c r="M96" s="770" t="str">
        <f t="shared" ca="1" si="34"/>
        <v>OK</v>
      </c>
      <c r="AD96" s="1244"/>
      <c r="AE96" s="1245"/>
      <c r="AF96" s="753"/>
      <c r="AG96" s="754"/>
      <c r="AH96" s="740">
        <f t="shared" si="27"/>
        <v>1253476</v>
      </c>
      <c r="AI96" s="740" t="str">
        <f t="shared" si="28"/>
        <v>Charlotte</v>
      </c>
      <c r="AJ96" s="740" t="str">
        <f t="shared" si="29"/>
        <v>Brakenbury</v>
      </c>
      <c r="AK96" s="740"/>
      <c r="AL96" s="740"/>
      <c r="AM96" s="740"/>
      <c r="AN96" s="740"/>
      <c r="AO96" s="740"/>
      <c r="AQ96" s="741">
        <f t="shared" ca="1" si="30"/>
        <v>39394</v>
      </c>
    </row>
    <row r="97" spans="1:43" ht="20.25" customHeight="1" x14ac:dyDescent="0.25">
      <c r="A97" s="1250"/>
      <c r="B97" s="1251"/>
      <c r="C97" s="771"/>
      <c r="D97" s="772"/>
      <c r="E97" s="730">
        <v>1426395</v>
      </c>
      <c r="F97" s="731" t="s">
        <v>4682</v>
      </c>
      <c r="G97" s="731" t="s">
        <v>4796</v>
      </c>
      <c r="H97" s="732">
        <v>39689</v>
      </c>
      <c r="I97" s="733" t="str">
        <f t="shared" si="23"/>
        <v>Isabel Mullings</v>
      </c>
      <c r="J97" s="734" t="str">
        <f t="shared" si="24"/>
        <v>Mullings,Isabel</v>
      </c>
      <c r="K97" s="735">
        <f t="shared" ca="1" si="25"/>
        <v>15</v>
      </c>
      <c r="L97" s="736" t="str">
        <f t="shared" si="26"/>
        <v>290808</v>
      </c>
      <c r="M97" s="770" t="str">
        <f t="shared" ca="1" si="34"/>
        <v>OK</v>
      </c>
      <c r="AD97" s="1244"/>
      <c r="AE97" s="1245"/>
      <c r="AF97" s="753"/>
      <c r="AG97" s="754"/>
      <c r="AH97" s="740">
        <f t="shared" si="27"/>
        <v>1426395</v>
      </c>
      <c r="AI97" s="740" t="str">
        <f t="shared" si="28"/>
        <v>Isabel</v>
      </c>
      <c r="AJ97" s="740" t="str">
        <f t="shared" si="29"/>
        <v>Mullings</v>
      </c>
      <c r="AK97" s="740"/>
      <c r="AL97" s="740"/>
      <c r="AM97" s="740"/>
      <c r="AN97" s="740"/>
      <c r="AO97" s="740"/>
      <c r="AQ97" s="741">
        <f t="shared" ca="1" si="30"/>
        <v>39689</v>
      </c>
    </row>
    <row r="98" spans="1:43" ht="20.25" customHeight="1" x14ac:dyDescent="0.25">
      <c r="A98" s="1242">
        <v>50</v>
      </c>
      <c r="B98" s="1243" t="s">
        <v>4707</v>
      </c>
      <c r="C98" s="768"/>
      <c r="D98" s="769"/>
      <c r="E98" s="730">
        <v>1363497</v>
      </c>
      <c r="F98" s="731" t="s">
        <v>4805</v>
      </c>
      <c r="G98" s="731" t="s">
        <v>2604</v>
      </c>
      <c r="H98" s="732">
        <v>39248</v>
      </c>
      <c r="I98" s="733" t="str">
        <f t="shared" si="23"/>
        <v>Luke Morley</v>
      </c>
      <c r="J98" s="734" t="str">
        <f t="shared" si="24"/>
        <v>Morley,Luke</v>
      </c>
      <c r="K98" s="735">
        <f t="shared" ca="1" si="25"/>
        <v>16</v>
      </c>
      <c r="L98" s="736" t="str">
        <f t="shared" si="26"/>
        <v>150607</v>
      </c>
      <c r="M98" s="770" t="str">
        <f t="shared" ca="1" si="34"/>
        <v>OK</v>
      </c>
      <c r="AD98" s="1244">
        <f>A98</f>
        <v>50</v>
      </c>
      <c r="AE98" s="1245" t="str">
        <f>B98</f>
        <v>OPEN/MALE 16+4 X 50M
FREESTYLE RELAY</v>
      </c>
      <c r="AF98" s="749"/>
      <c r="AG98" s="750"/>
      <c r="AH98" s="740">
        <f t="shared" si="27"/>
        <v>1363497</v>
      </c>
      <c r="AI98" s="740" t="str">
        <f t="shared" si="28"/>
        <v>Luke</v>
      </c>
      <c r="AJ98" s="740" t="str">
        <f t="shared" si="29"/>
        <v>Morley</v>
      </c>
      <c r="AK98" s="740"/>
      <c r="AL98" s="740"/>
      <c r="AM98" s="740"/>
      <c r="AN98" s="740"/>
      <c r="AO98" s="740"/>
      <c r="AQ98" s="741">
        <f t="shared" ca="1" si="30"/>
        <v>39248</v>
      </c>
    </row>
    <row r="99" spans="1:43" ht="20.25" customHeight="1" x14ac:dyDescent="0.25">
      <c r="A99" s="1242"/>
      <c r="B99" s="1243"/>
      <c r="C99" s="771"/>
      <c r="D99" s="772"/>
      <c r="E99" s="730">
        <v>1311990</v>
      </c>
      <c r="F99" s="731" t="s">
        <v>4806</v>
      </c>
      <c r="G99" s="731" t="s">
        <v>4807</v>
      </c>
      <c r="H99" s="732">
        <v>38705</v>
      </c>
      <c r="I99" s="733" t="str">
        <f t="shared" si="23"/>
        <v>Ethan Saldanha</v>
      </c>
      <c r="J99" s="734" t="str">
        <f t="shared" si="24"/>
        <v>Saldanha,Ethan</v>
      </c>
      <c r="K99" s="735">
        <f t="shared" ca="1" si="25"/>
        <v>18</v>
      </c>
      <c r="L99" s="736" t="str">
        <f t="shared" si="26"/>
        <v>191205</v>
      </c>
      <c r="M99" s="770" t="str">
        <f t="shared" ca="1" si="34"/>
        <v>OK</v>
      </c>
      <c r="AD99" s="1244"/>
      <c r="AE99" s="1245"/>
      <c r="AF99" s="753"/>
      <c r="AG99" s="754"/>
      <c r="AH99" s="740">
        <f t="shared" si="27"/>
        <v>1311990</v>
      </c>
      <c r="AI99" s="740" t="str">
        <f t="shared" si="28"/>
        <v>Ethan</v>
      </c>
      <c r="AJ99" s="740" t="str">
        <f t="shared" si="29"/>
        <v>Saldanha</v>
      </c>
      <c r="AK99" s="740"/>
      <c r="AL99" s="740"/>
      <c r="AM99" s="740"/>
      <c r="AN99" s="740"/>
      <c r="AO99" s="740"/>
      <c r="AQ99" s="741">
        <f t="shared" ca="1" si="30"/>
        <v>38705</v>
      </c>
    </row>
    <row r="100" spans="1:43" ht="20.25" customHeight="1" x14ac:dyDescent="0.25">
      <c r="A100" s="1242"/>
      <c r="B100" s="1243"/>
      <c r="C100" s="771"/>
      <c r="D100" s="772"/>
      <c r="E100" s="730">
        <v>1359418</v>
      </c>
      <c r="F100" s="731" t="s">
        <v>4728</v>
      </c>
      <c r="G100" s="731" t="s">
        <v>4804</v>
      </c>
      <c r="H100" s="732">
        <v>39055</v>
      </c>
      <c r="I100" s="733" t="str">
        <f t="shared" si="23"/>
        <v>Charlie Cropley</v>
      </c>
      <c r="J100" s="734" t="str">
        <f t="shared" si="24"/>
        <v>Cropley,Charlie</v>
      </c>
      <c r="K100" s="735">
        <f t="shared" ref="K100:K109" ca="1" si="35">IF(K$2=0,0,IF(AQ100=0,0,IF(COUNTBLANK(AQ100)=1,"",YEAR(K$2)-YEAR(AQ100)-IF(DATE(YEAR(K$2),MONTH(AQ100),DAY(4638))&gt;K$2,1,0))))</f>
        <v>17</v>
      </c>
      <c r="L100" s="736" t="str">
        <f t="shared" ref="L100:L109" si="36">(TEXT(H100,"DDMMYY"))</f>
        <v>041206</v>
      </c>
      <c r="M100" s="770" t="str">
        <f t="shared" ca="1" si="34"/>
        <v>OK</v>
      </c>
      <c r="AD100" s="1244"/>
      <c r="AE100" s="1245"/>
      <c r="AF100" s="753"/>
      <c r="AG100" s="754"/>
      <c r="AH100" s="740">
        <f t="shared" ref="AH100:AH109" si="37">E100</f>
        <v>1359418</v>
      </c>
      <c r="AI100" s="740" t="str">
        <f t="shared" ref="AI100:AI109" si="38">F100</f>
        <v>Charlie</v>
      </c>
      <c r="AJ100" s="740" t="str">
        <f t="shared" ref="AJ100:AJ109" si="39">G100</f>
        <v>Cropley</v>
      </c>
      <c r="AK100" s="740"/>
      <c r="AL100" s="740"/>
      <c r="AM100" s="740"/>
      <c r="AN100" s="740"/>
      <c r="AO100" s="740"/>
      <c r="AQ100" s="741">
        <f t="shared" ref="AQ100:AQ109" ca="1" si="40">INDIRECT(ADDRESS(ROW(),AQ$3))</f>
        <v>39055</v>
      </c>
    </row>
    <row r="101" spans="1:43" ht="20.25" customHeight="1" x14ac:dyDescent="0.25">
      <c r="A101" s="1242"/>
      <c r="B101" s="1243"/>
      <c r="C101" s="771"/>
      <c r="D101" s="772"/>
      <c r="E101" s="730">
        <v>1289074</v>
      </c>
      <c r="F101" s="731" t="s">
        <v>4769</v>
      </c>
      <c r="G101" s="731" t="s">
        <v>4768</v>
      </c>
      <c r="H101" s="732">
        <v>38654</v>
      </c>
      <c r="I101" s="733" t="str">
        <f t="shared" si="23"/>
        <v>George Lovelock</v>
      </c>
      <c r="J101" s="734" t="str">
        <f t="shared" si="24"/>
        <v>Lovelock,George</v>
      </c>
      <c r="K101" s="735">
        <f t="shared" ca="1" si="35"/>
        <v>18</v>
      </c>
      <c r="L101" s="736" t="str">
        <f t="shared" si="36"/>
        <v>291005</v>
      </c>
      <c r="M101" s="770" t="str">
        <f t="shared" ca="1" si="34"/>
        <v>OK</v>
      </c>
      <c r="AD101" s="1244"/>
      <c r="AE101" s="1245"/>
      <c r="AF101" s="753"/>
      <c r="AG101" s="754"/>
      <c r="AH101" s="740">
        <f t="shared" si="37"/>
        <v>1289074</v>
      </c>
      <c r="AI101" s="740" t="str">
        <f t="shared" si="38"/>
        <v>George</v>
      </c>
      <c r="AJ101" s="740" t="str">
        <f t="shared" si="39"/>
        <v>Lovelock</v>
      </c>
      <c r="AK101" s="740"/>
      <c r="AL101" s="740"/>
      <c r="AM101" s="740"/>
      <c r="AN101" s="740"/>
      <c r="AO101" s="740"/>
      <c r="AQ101" s="741">
        <f t="shared" ca="1" si="40"/>
        <v>38654</v>
      </c>
    </row>
    <row r="102" spans="1:43" ht="20.25" customHeight="1" x14ac:dyDescent="0.25">
      <c r="A102" s="1246">
        <v>51</v>
      </c>
      <c r="B102" s="1247" t="s">
        <v>4708</v>
      </c>
      <c r="C102" s="20"/>
      <c r="D102" s="784"/>
      <c r="E102" s="730">
        <v>1363497</v>
      </c>
      <c r="F102" s="731" t="s">
        <v>4805</v>
      </c>
      <c r="G102" s="731" t="s">
        <v>2604</v>
      </c>
      <c r="H102" s="732">
        <v>39248</v>
      </c>
      <c r="I102" s="785"/>
      <c r="J102" s="785"/>
      <c r="K102" s="735">
        <f t="shared" ca="1" si="35"/>
        <v>16</v>
      </c>
      <c r="L102" s="736" t="str">
        <f t="shared" si="36"/>
        <v>150607</v>
      </c>
      <c r="M102" s="770" t="str">
        <f t="shared" ca="1" si="34"/>
        <v>OK</v>
      </c>
      <c r="AD102" s="1244">
        <f>A102</f>
        <v>51</v>
      </c>
      <c r="AE102" s="1245" t="str">
        <f>B102</f>
        <v>SQUADRON RELAY 8 X 50M
1 MALE &amp; 1 FEMALE FROM EACH AGE GROUP
SWIM IN ANY ORDER</v>
      </c>
      <c r="AF102" s="786"/>
      <c r="AG102" s="787"/>
      <c r="AH102" s="740">
        <f t="shared" si="37"/>
        <v>1363497</v>
      </c>
      <c r="AI102" s="740" t="str">
        <f t="shared" si="38"/>
        <v>Luke</v>
      </c>
      <c r="AJ102" s="740" t="str">
        <f t="shared" si="39"/>
        <v>Morley</v>
      </c>
      <c r="AK102" s="740"/>
      <c r="AL102" s="740"/>
      <c r="AM102" s="740"/>
      <c r="AN102" s="740"/>
      <c r="AO102" s="740"/>
      <c r="AQ102" s="741">
        <f t="shared" ca="1" si="40"/>
        <v>39248</v>
      </c>
    </row>
    <row r="103" spans="1:43" ht="20.25" customHeight="1" x14ac:dyDescent="0.25">
      <c r="A103" s="1246"/>
      <c r="B103" s="1247"/>
      <c r="C103" s="20"/>
      <c r="D103" s="784"/>
      <c r="E103" s="730">
        <v>1354767</v>
      </c>
      <c r="F103" s="731" t="s">
        <v>4711</v>
      </c>
      <c r="G103" s="731" t="s">
        <v>4803</v>
      </c>
      <c r="H103" s="732">
        <v>38332</v>
      </c>
      <c r="I103" s="785"/>
      <c r="J103" s="785"/>
      <c r="K103" s="735">
        <f t="shared" ca="1" si="35"/>
        <v>19</v>
      </c>
      <c r="L103" s="736" t="str">
        <f t="shared" si="36"/>
        <v>111204</v>
      </c>
      <c r="M103" s="770" t="str">
        <f t="shared" ca="1" si="34"/>
        <v>OK</v>
      </c>
      <c r="AD103" s="1244"/>
      <c r="AE103" s="1245"/>
      <c r="AF103" s="786"/>
      <c r="AG103" s="787"/>
      <c r="AH103" s="740">
        <f t="shared" si="37"/>
        <v>1354767</v>
      </c>
      <c r="AI103" s="740" t="str">
        <f t="shared" si="38"/>
        <v>Sophie</v>
      </c>
      <c r="AJ103" s="740" t="str">
        <f t="shared" si="39"/>
        <v>Clark</v>
      </c>
      <c r="AK103" s="740"/>
      <c r="AL103" s="740"/>
      <c r="AM103" s="740"/>
      <c r="AN103" s="740"/>
      <c r="AO103" s="740"/>
      <c r="AQ103" s="741">
        <f t="shared" ca="1" si="40"/>
        <v>38332</v>
      </c>
    </row>
    <row r="104" spans="1:43" ht="20.25" customHeight="1" x14ac:dyDescent="0.25">
      <c r="A104" s="1246"/>
      <c r="B104" s="1247"/>
      <c r="C104" s="20"/>
      <c r="D104" s="784"/>
      <c r="E104" s="730">
        <v>1657594</v>
      </c>
      <c r="F104" s="731" t="s">
        <v>4777</v>
      </c>
      <c r="G104" s="731" t="s">
        <v>4778</v>
      </c>
      <c r="H104" s="732">
        <v>41589</v>
      </c>
      <c r="I104" s="785"/>
      <c r="J104" s="785"/>
      <c r="K104" s="735">
        <f t="shared" ca="1" si="35"/>
        <v>10</v>
      </c>
      <c r="L104" s="736" t="str">
        <f t="shared" si="36"/>
        <v>111113</v>
      </c>
      <c r="M104" s="770" t="str">
        <f t="shared" ca="1" si="34"/>
        <v>OK</v>
      </c>
      <c r="AD104" s="1244"/>
      <c r="AE104" s="1245"/>
      <c r="AF104" s="786"/>
      <c r="AG104" s="787"/>
      <c r="AH104" s="740">
        <f t="shared" si="37"/>
        <v>1657594</v>
      </c>
      <c r="AI104" s="740" t="str">
        <f t="shared" si="38"/>
        <v xml:space="preserve">Liam </v>
      </c>
      <c r="AJ104" s="740" t="str">
        <f t="shared" si="39"/>
        <v>Thompson</v>
      </c>
      <c r="AK104" s="740"/>
      <c r="AL104" s="740"/>
      <c r="AM104" s="740"/>
      <c r="AN104" s="740"/>
      <c r="AO104" s="740"/>
      <c r="AQ104" s="741">
        <f t="shared" ca="1" si="40"/>
        <v>41589</v>
      </c>
    </row>
    <row r="105" spans="1:43" ht="20.25" customHeight="1" x14ac:dyDescent="0.25">
      <c r="A105" s="1246"/>
      <c r="B105" s="1247"/>
      <c r="C105" s="20"/>
      <c r="D105" s="784"/>
      <c r="E105" s="730">
        <v>1597016</v>
      </c>
      <c r="F105" s="731" t="s">
        <v>4773</v>
      </c>
      <c r="G105" s="731" t="s">
        <v>4774</v>
      </c>
      <c r="H105" s="732">
        <v>41526</v>
      </c>
      <c r="I105" s="785"/>
      <c r="J105" s="785"/>
      <c r="K105" s="735">
        <f t="shared" ca="1" si="35"/>
        <v>10</v>
      </c>
      <c r="L105" s="736" t="str">
        <f t="shared" si="36"/>
        <v>090913</v>
      </c>
      <c r="M105" s="770" t="str">
        <f t="shared" ca="1" si="34"/>
        <v>OK</v>
      </c>
      <c r="AD105" s="1244"/>
      <c r="AE105" s="1245"/>
      <c r="AF105" s="786"/>
      <c r="AG105" s="787"/>
      <c r="AH105" s="740">
        <f t="shared" si="37"/>
        <v>1597016</v>
      </c>
      <c r="AI105" s="740" t="str">
        <f t="shared" si="38"/>
        <v>Scarlett</v>
      </c>
      <c r="AJ105" s="740" t="str">
        <f t="shared" si="39"/>
        <v>Omand</v>
      </c>
      <c r="AK105" s="740"/>
      <c r="AL105" s="740"/>
      <c r="AM105" s="740"/>
      <c r="AN105" s="740"/>
      <c r="AO105" s="740"/>
      <c r="AQ105" s="741">
        <f t="shared" ca="1" si="40"/>
        <v>41526</v>
      </c>
    </row>
    <row r="106" spans="1:43" ht="20.25" customHeight="1" x14ac:dyDescent="0.25">
      <c r="A106" s="1246"/>
      <c r="B106" s="1247"/>
      <c r="E106" s="730">
        <v>1491530</v>
      </c>
      <c r="F106" s="731" t="s">
        <v>4788</v>
      </c>
      <c r="G106" s="731" t="s">
        <v>4782</v>
      </c>
      <c r="H106" s="732">
        <v>40445</v>
      </c>
      <c r="I106" s="785"/>
      <c r="J106" s="785"/>
      <c r="K106" s="735">
        <f t="shared" ca="1" si="35"/>
        <v>13</v>
      </c>
      <c r="L106" s="736" t="str">
        <f t="shared" si="36"/>
        <v>240910</v>
      </c>
      <c r="M106" s="770" t="str">
        <f t="shared" ca="1" si="34"/>
        <v>OK</v>
      </c>
      <c r="AD106" s="1244"/>
      <c r="AE106" s="1245"/>
      <c r="AH106" s="740">
        <f t="shared" si="37"/>
        <v>1491530</v>
      </c>
      <c r="AI106" s="740" t="str">
        <f t="shared" si="38"/>
        <v>Luigi</v>
      </c>
      <c r="AJ106" s="740" t="str">
        <f t="shared" si="39"/>
        <v>Giambrone</v>
      </c>
      <c r="AK106" s="211"/>
      <c r="AL106" s="211"/>
      <c r="AM106" s="211"/>
      <c r="AN106" s="211"/>
      <c r="AO106" s="211"/>
      <c r="AQ106" s="741">
        <f t="shared" ca="1" si="40"/>
        <v>40445</v>
      </c>
    </row>
    <row r="107" spans="1:43" ht="20.25" customHeight="1" x14ac:dyDescent="0.25">
      <c r="A107" s="1246"/>
      <c r="B107" s="1247"/>
      <c r="E107" s="730">
        <v>1506658</v>
      </c>
      <c r="F107" s="731" t="s">
        <v>4786</v>
      </c>
      <c r="G107" s="731" t="s">
        <v>4779</v>
      </c>
      <c r="H107" s="732">
        <v>40688</v>
      </c>
      <c r="I107" s="785"/>
      <c r="J107" s="785"/>
      <c r="K107" s="735">
        <f t="shared" ca="1" si="35"/>
        <v>12</v>
      </c>
      <c r="L107" s="736" t="str">
        <f t="shared" si="36"/>
        <v>250511</v>
      </c>
      <c r="M107" s="770" t="str">
        <f t="shared" ca="1" si="34"/>
        <v>OK</v>
      </c>
      <c r="AD107" s="1244"/>
      <c r="AE107" s="1245"/>
      <c r="AH107" s="740">
        <f t="shared" si="37"/>
        <v>1506658</v>
      </c>
      <c r="AI107" s="740" t="str">
        <f t="shared" si="38"/>
        <v>Olivia</v>
      </c>
      <c r="AJ107" s="740" t="str">
        <f t="shared" si="39"/>
        <v>Croft</v>
      </c>
      <c r="AK107" s="211"/>
      <c r="AL107" s="211"/>
      <c r="AM107" s="211"/>
      <c r="AN107" s="211"/>
      <c r="AO107" s="211"/>
      <c r="AQ107" s="741">
        <f t="shared" ca="1" si="40"/>
        <v>40688</v>
      </c>
    </row>
    <row r="108" spans="1:43" ht="20.25" customHeight="1" x14ac:dyDescent="0.25">
      <c r="A108" s="1246"/>
      <c r="B108" s="1247"/>
      <c r="E108" s="730">
        <v>1402277</v>
      </c>
      <c r="F108" s="731" t="s">
        <v>4797</v>
      </c>
      <c r="G108" s="731" t="s">
        <v>4798</v>
      </c>
      <c r="H108" s="732">
        <v>39503</v>
      </c>
      <c r="I108" s="785"/>
      <c r="J108" s="785"/>
      <c r="K108" s="735">
        <f t="shared" ca="1" si="35"/>
        <v>15</v>
      </c>
      <c r="L108" s="736" t="str">
        <f t="shared" si="36"/>
        <v>250208</v>
      </c>
      <c r="M108" s="770" t="str">
        <f t="shared" ca="1" si="34"/>
        <v>OK</v>
      </c>
      <c r="AD108" s="1244"/>
      <c r="AE108" s="1245"/>
      <c r="AH108" s="740">
        <f t="shared" si="37"/>
        <v>1402277</v>
      </c>
      <c r="AI108" s="740" t="str">
        <f t="shared" si="38"/>
        <v>Alfie</v>
      </c>
      <c r="AJ108" s="740" t="str">
        <f t="shared" si="39"/>
        <v>Bullock</v>
      </c>
      <c r="AK108" s="211"/>
      <c r="AL108" s="211"/>
      <c r="AM108" s="211"/>
      <c r="AN108" s="211"/>
      <c r="AO108" s="211"/>
      <c r="AQ108" s="741">
        <f t="shared" ca="1" si="40"/>
        <v>39503</v>
      </c>
    </row>
    <row r="109" spans="1:43" ht="20.25" customHeight="1" x14ac:dyDescent="0.25">
      <c r="A109" s="1246"/>
      <c r="B109" s="1247"/>
      <c r="E109" s="730">
        <v>1618230</v>
      </c>
      <c r="F109" s="731" t="s">
        <v>4792</v>
      </c>
      <c r="G109" s="731" t="s">
        <v>4793</v>
      </c>
      <c r="H109" s="732">
        <v>40090</v>
      </c>
      <c r="I109" s="785"/>
      <c r="J109" s="785"/>
      <c r="K109" s="735">
        <f t="shared" ca="1" si="35"/>
        <v>14</v>
      </c>
      <c r="L109" s="736" t="str">
        <f t="shared" si="36"/>
        <v>041009</v>
      </c>
      <c r="M109" s="770" t="str">
        <f t="shared" ca="1" si="34"/>
        <v>OK</v>
      </c>
      <c r="AD109" s="1244"/>
      <c r="AE109" s="1245"/>
      <c r="AH109" s="740">
        <f t="shared" si="37"/>
        <v>1618230</v>
      </c>
      <c r="AI109" s="740" t="str">
        <f t="shared" si="38"/>
        <v>Jessica</v>
      </c>
      <c r="AJ109" s="740" t="str">
        <f t="shared" si="39"/>
        <v>MacKenzie</v>
      </c>
      <c r="AK109" s="211"/>
      <c r="AL109" s="211"/>
      <c r="AM109" s="211"/>
      <c r="AN109" s="211"/>
      <c r="AO109" s="211"/>
      <c r="AQ109" s="741">
        <f t="shared" ca="1" si="40"/>
        <v>40090</v>
      </c>
    </row>
    <row r="110" spans="1:43" s="134" customFormat="1" ht="9" customHeight="1" x14ac:dyDescent="0.25">
      <c r="E110" s="788"/>
      <c r="F110" s="789"/>
      <c r="G110" s="789"/>
      <c r="H110" s="790"/>
      <c r="AD110" s="791"/>
      <c r="AE110" s="792"/>
    </row>
    <row r="111" spans="1:43" s="134" customFormat="1" ht="9" customHeight="1" x14ac:dyDescent="0.25">
      <c r="E111" s="788"/>
      <c r="F111" s="789"/>
      <c r="G111" s="789"/>
      <c r="H111" s="790"/>
      <c r="AD111" s="791"/>
      <c r="AE111" s="792"/>
    </row>
    <row r="112" spans="1:43" s="134" customFormat="1" ht="9" customHeight="1" x14ac:dyDescent="0.25">
      <c r="E112" s="788"/>
      <c r="F112" s="789"/>
      <c r="G112" s="789"/>
      <c r="H112" s="790"/>
      <c r="AD112" s="791"/>
      <c r="AE112" s="792"/>
    </row>
    <row r="113" spans="5:31" s="134" customFormat="1" ht="9" customHeight="1" x14ac:dyDescent="0.25">
      <c r="E113" s="788"/>
      <c r="F113" s="789"/>
      <c r="G113" s="789"/>
      <c r="H113" s="790"/>
      <c r="AD113" s="791"/>
      <c r="AE113" s="792"/>
    </row>
    <row r="114" spans="5:31" s="134" customFormat="1" ht="9" customHeight="1" x14ac:dyDescent="0.25">
      <c r="E114" s="788"/>
      <c r="F114" s="789"/>
      <c r="G114" s="789"/>
      <c r="H114" s="790"/>
      <c r="AD114" s="791"/>
      <c r="AE114" s="792"/>
    </row>
    <row r="115" spans="5:31" s="134" customFormat="1" ht="9" customHeight="1" x14ac:dyDescent="0.25">
      <c r="E115" s="788"/>
      <c r="F115" s="789"/>
      <c r="G115" s="789"/>
      <c r="H115" s="790"/>
      <c r="AD115" s="791"/>
      <c r="AE115" s="792"/>
    </row>
    <row r="116" spans="5:31" s="134" customFormat="1" ht="9" customHeight="1" x14ac:dyDescent="0.25">
      <c r="E116" s="788"/>
      <c r="F116" s="789"/>
      <c r="G116" s="789"/>
      <c r="H116" s="790"/>
      <c r="AD116" s="791"/>
      <c r="AE116" s="792"/>
    </row>
    <row r="117" spans="5:31" s="134" customFormat="1" ht="9" customHeight="1" x14ac:dyDescent="0.25">
      <c r="E117" s="788"/>
      <c r="F117" s="789"/>
      <c r="G117" s="789"/>
      <c r="H117" s="790"/>
      <c r="AD117" s="791"/>
      <c r="AE117" s="792"/>
    </row>
    <row r="118" spans="5:31" s="134" customFormat="1" ht="9" customHeight="1" x14ac:dyDescent="0.25">
      <c r="E118" s="788"/>
      <c r="F118" s="789"/>
      <c r="G118" s="789"/>
      <c r="H118" s="790"/>
      <c r="AD118" s="791"/>
      <c r="AE118" s="792"/>
    </row>
    <row r="119" spans="5:31" s="134" customFormat="1" ht="9" customHeight="1" x14ac:dyDescent="0.25">
      <c r="E119" s="788"/>
      <c r="F119" s="789"/>
      <c r="G119" s="789"/>
      <c r="H119" s="790"/>
      <c r="AD119" s="791"/>
      <c r="AE119" s="792"/>
    </row>
    <row r="120" spans="5:31" s="134" customFormat="1" ht="9" customHeight="1" x14ac:dyDescent="0.25">
      <c r="E120" s="788"/>
      <c r="F120" s="789"/>
      <c r="G120" s="789"/>
      <c r="H120" s="790"/>
      <c r="AD120" s="791"/>
      <c r="AE120" s="792"/>
    </row>
    <row r="121" spans="5:31" s="134" customFormat="1" ht="9" customHeight="1" x14ac:dyDescent="0.25">
      <c r="E121" s="788"/>
      <c r="F121" s="789"/>
      <c r="G121" s="789"/>
      <c r="H121" s="790"/>
      <c r="AD121" s="791"/>
      <c r="AE121" s="792"/>
    </row>
    <row r="122" spans="5:31" s="134" customFormat="1" ht="9" customHeight="1" x14ac:dyDescent="0.25">
      <c r="E122" s="788"/>
      <c r="F122" s="789"/>
      <c r="G122" s="789"/>
      <c r="H122" s="790"/>
      <c r="AD122" s="791"/>
      <c r="AE122" s="792"/>
    </row>
    <row r="123" spans="5:31" s="134" customFormat="1" ht="9" customHeight="1" x14ac:dyDescent="0.25">
      <c r="E123" s="788"/>
      <c r="F123" s="789"/>
      <c r="G123" s="789"/>
      <c r="H123" s="790"/>
      <c r="AD123" s="791"/>
      <c r="AE123" s="792"/>
    </row>
    <row r="124" spans="5:31" s="134" customFormat="1" ht="9" customHeight="1" x14ac:dyDescent="0.25">
      <c r="E124" s="788"/>
      <c r="F124" s="789"/>
      <c r="G124" s="789"/>
      <c r="H124" s="790"/>
      <c r="AD124" s="791"/>
      <c r="AE124" s="792"/>
    </row>
    <row r="125" spans="5:31" s="134" customFormat="1" ht="9" customHeight="1" x14ac:dyDescent="0.25">
      <c r="E125" s="788"/>
      <c r="F125" s="789"/>
      <c r="G125" s="789"/>
      <c r="H125" s="790"/>
      <c r="AD125" s="791"/>
      <c r="AE125" s="792"/>
    </row>
    <row r="126" spans="5:31" s="134" customFormat="1" ht="9" customHeight="1" x14ac:dyDescent="0.25">
      <c r="E126" s="788"/>
      <c r="F126" s="789"/>
      <c r="G126" s="789"/>
      <c r="H126" s="790"/>
      <c r="AD126" s="791"/>
      <c r="AE126" s="792"/>
    </row>
    <row r="127" spans="5:31" s="134" customFormat="1" ht="9" customHeight="1" x14ac:dyDescent="0.25">
      <c r="E127" s="788"/>
      <c r="F127" s="789"/>
      <c r="G127" s="789"/>
      <c r="H127" s="790"/>
      <c r="AD127" s="791"/>
      <c r="AE127" s="792"/>
    </row>
    <row r="128" spans="5:31" s="134" customFormat="1" ht="9" customHeight="1" x14ac:dyDescent="0.25">
      <c r="E128" s="788"/>
      <c r="F128" s="789"/>
      <c r="G128" s="789"/>
      <c r="H128" s="790"/>
      <c r="AD128" s="791"/>
      <c r="AE128" s="792"/>
    </row>
    <row r="129" spans="5:31" s="134" customFormat="1" ht="9" customHeight="1" x14ac:dyDescent="0.25">
      <c r="E129" s="788"/>
      <c r="F129" s="789"/>
      <c r="G129" s="789"/>
      <c r="H129" s="790"/>
      <c r="AD129" s="791"/>
      <c r="AE129" s="792"/>
    </row>
    <row r="130" spans="5:31" s="134" customFormat="1" ht="9" customHeight="1" x14ac:dyDescent="0.25">
      <c r="E130" s="788"/>
      <c r="F130" s="789"/>
      <c r="G130" s="789"/>
      <c r="H130" s="790"/>
      <c r="AD130" s="791"/>
      <c r="AE130" s="792"/>
    </row>
    <row r="131" spans="5:31" s="134" customFormat="1" ht="9" customHeight="1" x14ac:dyDescent="0.25">
      <c r="E131" s="788"/>
      <c r="F131" s="789"/>
      <c r="G131" s="789"/>
      <c r="H131" s="790"/>
      <c r="AD131" s="791"/>
      <c r="AE131" s="792"/>
    </row>
    <row r="132" spans="5:31" s="134" customFormat="1" ht="9" customHeight="1" x14ac:dyDescent="0.25">
      <c r="E132" s="788"/>
      <c r="F132" s="789"/>
      <c r="G132" s="789"/>
      <c r="H132" s="790"/>
      <c r="AD132" s="791"/>
      <c r="AE132" s="792"/>
    </row>
    <row r="133" spans="5:31" s="134" customFormat="1" ht="9" customHeight="1" x14ac:dyDescent="0.25">
      <c r="E133" s="788"/>
      <c r="F133" s="789"/>
      <c r="G133" s="789"/>
      <c r="H133" s="790"/>
      <c r="AD133" s="791"/>
      <c r="AE133" s="792"/>
    </row>
    <row r="134" spans="5:31" s="134" customFormat="1" ht="9" customHeight="1" x14ac:dyDescent="0.25">
      <c r="E134" s="788"/>
      <c r="F134" s="789"/>
      <c r="G134" s="789"/>
      <c r="H134" s="790"/>
      <c r="AD134" s="791"/>
      <c r="AE134" s="792"/>
    </row>
    <row r="135" spans="5:31" s="134" customFormat="1" ht="9" customHeight="1" x14ac:dyDescent="0.25">
      <c r="E135" s="788"/>
      <c r="F135" s="789"/>
      <c r="G135" s="789"/>
      <c r="H135" s="790"/>
      <c r="AD135" s="791"/>
      <c r="AE135" s="792"/>
    </row>
    <row r="136" spans="5:31" s="134" customFormat="1" ht="9" customHeight="1" x14ac:dyDescent="0.25">
      <c r="E136" s="788"/>
      <c r="F136" s="789"/>
      <c r="G136" s="789"/>
      <c r="H136" s="790"/>
      <c r="AD136" s="791"/>
      <c r="AE136" s="792"/>
    </row>
    <row r="137" spans="5:31" s="134" customFormat="1" ht="9" customHeight="1" x14ac:dyDescent="0.25">
      <c r="E137" s="788"/>
      <c r="F137" s="789"/>
      <c r="G137" s="789"/>
      <c r="H137" s="790"/>
      <c r="AD137" s="791"/>
      <c r="AE137" s="792"/>
    </row>
    <row r="138" spans="5:31" s="134" customFormat="1" ht="9" customHeight="1" x14ac:dyDescent="0.25">
      <c r="E138" s="788"/>
      <c r="F138" s="789"/>
      <c r="G138" s="789"/>
      <c r="H138" s="790"/>
      <c r="AD138" s="791"/>
      <c r="AE138" s="792"/>
    </row>
    <row r="139" spans="5:31" s="134" customFormat="1" ht="9" customHeight="1" x14ac:dyDescent="0.25">
      <c r="E139" s="788"/>
      <c r="F139" s="789"/>
      <c r="G139" s="789"/>
      <c r="H139" s="790"/>
      <c r="AD139" s="791"/>
      <c r="AE139" s="792"/>
    </row>
    <row r="140" spans="5:31" s="134" customFormat="1" ht="9" customHeight="1" x14ac:dyDescent="0.25">
      <c r="E140" s="788"/>
      <c r="F140" s="789"/>
      <c r="G140" s="789"/>
      <c r="H140" s="790"/>
      <c r="AD140" s="791"/>
      <c r="AE140" s="792"/>
    </row>
    <row r="141" spans="5:31" s="134" customFormat="1" ht="9" customHeight="1" x14ac:dyDescent="0.25">
      <c r="E141" s="789"/>
      <c r="F141" s="789"/>
      <c r="G141" s="789"/>
      <c r="H141" s="790"/>
      <c r="AD141" s="791"/>
      <c r="AE141" s="792"/>
    </row>
    <row r="142" spans="5:31" s="134" customFormat="1" ht="9" customHeight="1" x14ac:dyDescent="0.25">
      <c r="E142" s="789"/>
      <c r="F142" s="789"/>
      <c r="G142" s="789"/>
      <c r="H142" s="790"/>
      <c r="AD142" s="791"/>
      <c r="AE142" s="792"/>
    </row>
    <row r="143" spans="5:31" s="134" customFormat="1" ht="9" customHeight="1" x14ac:dyDescent="0.25">
      <c r="E143" s="789"/>
      <c r="F143" s="789"/>
      <c r="G143" s="789"/>
      <c r="H143" s="790"/>
      <c r="AD143" s="791"/>
      <c r="AE143" s="792"/>
    </row>
    <row r="144" spans="5:31" s="134" customFormat="1" ht="9" customHeight="1" x14ac:dyDescent="0.25">
      <c r="E144" s="789"/>
      <c r="F144" s="789"/>
      <c r="G144" s="789"/>
      <c r="H144" s="790"/>
      <c r="AD144" s="791"/>
      <c r="AE144" s="792"/>
    </row>
    <row r="145" spans="5:31" s="134" customFormat="1" ht="9" customHeight="1" x14ac:dyDescent="0.25">
      <c r="E145" s="789"/>
      <c r="F145" s="789"/>
      <c r="G145" s="789"/>
      <c r="H145" s="790"/>
      <c r="AD145" s="791"/>
      <c r="AE145" s="792"/>
    </row>
    <row r="146" spans="5:31" s="134" customFormat="1" ht="9" customHeight="1" x14ac:dyDescent="0.25">
      <c r="E146" s="789"/>
      <c r="F146" s="789"/>
      <c r="G146" s="789"/>
      <c r="H146" s="790"/>
      <c r="AD146" s="791"/>
      <c r="AE146" s="792"/>
    </row>
    <row r="147" spans="5:31" s="134" customFormat="1" ht="9" customHeight="1" x14ac:dyDescent="0.25">
      <c r="E147" s="789"/>
      <c r="F147" s="789"/>
      <c r="G147" s="789"/>
      <c r="H147" s="790"/>
      <c r="AD147" s="791"/>
      <c r="AE147" s="792"/>
    </row>
    <row r="148" spans="5:31" s="134" customFormat="1" ht="9" customHeight="1" x14ac:dyDescent="0.25">
      <c r="E148" s="789"/>
      <c r="F148" s="789"/>
      <c r="G148" s="789"/>
      <c r="H148" s="790"/>
      <c r="AD148" s="791"/>
      <c r="AE148" s="792"/>
    </row>
    <row r="149" spans="5:31" s="134" customFormat="1" ht="9" customHeight="1" x14ac:dyDescent="0.25">
      <c r="E149" s="789"/>
      <c r="F149" s="789"/>
      <c r="G149" s="789"/>
      <c r="H149" s="790"/>
      <c r="AD149" s="791"/>
      <c r="AE149" s="792"/>
    </row>
    <row r="150" spans="5:31" s="134" customFormat="1" ht="9" customHeight="1" x14ac:dyDescent="0.25">
      <c r="E150" s="789"/>
      <c r="F150" s="789"/>
      <c r="G150" s="789"/>
      <c r="H150" s="790"/>
      <c r="AD150" s="791"/>
      <c r="AE150" s="792"/>
    </row>
    <row r="151" spans="5:31" s="134" customFormat="1" ht="9" customHeight="1" x14ac:dyDescent="0.25">
      <c r="E151" s="789"/>
      <c r="F151" s="789"/>
      <c r="G151" s="789"/>
      <c r="H151" s="790"/>
      <c r="AD151" s="791"/>
      <c r="AE151" s="792"/>
    </row>
    <row r="152" spans="5:31" s="134" customFormat="1" ht="9" customHeight="1" x14ac:dyDescent="0.25">
      <c r="E152" s="789"/>
      <c r="F152" s="789"/>
      <c r="G152" s="789"/>
      <c r="H152" s="790"/>
      <c r="AD152" s="791"/>
      <c r="AE152" s="792"/>
    </row>
    <row r="153" spans="5:31" s="134" customFormat="1" ht="9" customHeight="1" x14ac:dyDescent="0.25">
      <c r="E153" s="789"/>
      <c r="F153" s="789"/>
      <c r="G153" s="789"/>
      <c r="H153" s="790"/>
      <c r="AD153" s="791"/>
      <c r="AE153" s="792"/>
    </row>
    <row r="154" spans="5:31" s="134" customFormat="1" ht="9" customHeight="1" x14ac:dyDescent="0.25">
      <c r="E154" s="789"/>
      <c r="F154" s="789"/>
      <c r="G154" s="789"/>
      <c r="H154" s="790"/>
      <c r="AD154" s="791"/>
      <c r="AE154" s="792"/>
    </row>
    <row r="155" spans="5:31" s="134" customFormat="1" ht="9" customHeight="1" x14ac:dyDescent="0.25">
      <c r="E155" s="789"/>
      <c r="F155" s="789"/>
      <c r="G155" s="789"/>
      <c r="H155" s="790"/>
      <c r="AD155" s="791"/>
      <c r="AE155" s="792"/>
    </row>
    <row r="156" spans="5:31" s="134" customFormat="1" ht="9" customHeight="1" x14ac:dyDescent="0.25">
      <c r="E156" s="789"/>
      <c r="F156" s="789"/>
      <c r="G156" s="789"/>
      <c r="H156" s="790"/>
      <c r="AD156" s="791"/>
      <c r="AE156" s="792"/>
    </row>
    <row r="157" spans="5:31" s="134" customFormat="1" ht="9" customHeight="1" x14ac:dyDescent="0.25">
      <c r="E157" s="789"/>
      <c r="F157" s="789"/>
      <c r="G157" s="789"/>
      <c r="H157" s="790"/>
      <c r="AD157" s="791"/>
      <c r="AE157" s="792"/>
    </row>
    <row r="158" spans="5:31" s="134" customFormat="1" ht="9" customHeight="1" x14ac:dyDescent="0.25">
      <c r="E158" s="789"/>
      <c r="F158" s="789"/>
      <c r="G158" s="789"/>
      <c r="H158" s="790"/>
      <c r="AD158" s="791"/>
      <c r="AE158" s="792"/>
    </row>
    <row r="159" spans="5:31" s="134" customFormat="1" ht="9" customHeight="1" x14ac:dyDescent="0.25">
      <c r="E159" s="789"/>
      <c r="F159" s="789"/>
      <c r="G159" s="789"/>
      <c r="H159" s="790"/>
      <c r="AD159" s="791"/>
      <c r="AE159" s="792"/>
    </row>
    <row r="160" spans="5:31" s="134" customFormat="1" ht="9" customHeight="1" x14ac:dyDescent="0.25">
      <c r="E160" s="789"/>
      <c r="F160" s="789"/>
      <c r="G160" s="789"/>
      <c r="H160" s="790"/>
      <c r="AD160" s="791"/>
      <c r="AE160" s="792"/>
    </row>
    <row r="161" spans="5:31" s="134" customFormat="1" ht="9" customHeight="1" x14ac:dyDescent="0.25">
      <c r="E161" s="789"/>
      <c r="F161" s="789"/>
      <c r="G161" s="789"/>
      <c r="H161" s="790"/>
      <c r="AD161" s="791"/>
      <c r="AE161" s="792"/>
    </row>
    <row r="162" spans="5:31" s="134" customFormat="1" ht="9" customHeight="1" x14ac:dyDescent="0.25">
      <c r="E162" s="789"/>
      <c r="F162" s="789"/>
      <c r="G162" s="789"/>
      <c r="H162" s="790"/>
      <c r="AD162" s="791"/>
      <c r="AE162" s="792"/>
    </row>
    <row r="163" spans="5:31" s="134" customFormat="1" ht="9" customHeight="1" x14ac:dyDescent="0.25">
      <c r="E163" s="789"/>
      <c r="F163" s="789"/>
      <c r="G163" s="789"/>
      <c r="H163" s="790"/>
      <c r="AD163" s="791"/>
      <c r="AE163" s="792"/>
    </row>
    <row r="164" spans="5:31" s="134" customFormat="1" ht="9" customHeight="1" x14ac:dyDescent="0.25">
      <c r="E164" s="789"/>
      <c r="F164" s="789"/>
      <c r="G164" s="789"/>
      <c r="H164" s="790"/>
      <c r="AD164" s="791"/>
      <c r="AE164" s="792"/>
    </row>
    <row r="165" spans="5:31" s="134" customFormat="1" ht="9" customHeight="1" x14ac:dyDescent="0.25">
      <c r="E165" s="789"/>
      <c r="F165" s="789"/>
      <c r="G165" s="789"/>
      <c r="H165" s="790"/>
      <c r="AD165" s="791"/>
      <c r="AE165" s="792"/>
    </row>
    <row r="166" spans="5:31" s="134" customFormat="1" ht="9" customHeight="1" x14ac:dyDescent="0.25">
      <c r="E166" s="789"/>
      <c r="F166" s="789"/>
      <c r="G166" s="789"/>
      <c r="H166" s="790"/>
      <c r="AD166" s="791"/>
      <c r="AE166" s="792"/>
    </row>
    <row r="167" spans="5:31" s="134" customFormat="1" ht="9" customHeight="1" x14ac:dyDescent="0.25">
      <c r="E167" s="789"/>
      <c r="F167" s="789"/>
      <c r="G167" s="789"/>
      <c r="H167" s="790"/>
      <c r="AD167" s="791"/>
      <c r="AE167" s="792"/>
    </row>
    <row r="168" spans="5:31" s="134" customFormat="1" ht="9" customHeight="1" x14ac:dyDescent="0.25">
      <c r="E168" s="789"/>
      <c r="F168" s="789"/>
      <c r="G168" s="789"/>
      <c r="H168" s="790"/>
      <c r="AD168" s="791"/>
      <c r="AE168" s="792"/>
    </row>
    <row r="169" spans="5:31" s="134" customFormat="1" ht="9" customHeight="1" x14ac:dyDescent="0.25">
      <c r="E169" s="789"/>
      <c r="F169" s="789"/>
      <c r="G169" s="789"/>
      <c r="H169" s="790"/>
      <c r="AD169" s="791"/>
      <c r="AE169" s="792"/>
    </row>
    <row r="170" spans="5:31" s="134" customFormat="1" ht="9" customHeight="1" x14ac:dyDescent="0.25">
      <c r="E170" s="789"/>
      <c r="F170" s="789"/>
      <c r="G170" s="789"/>
      <c r="H170" s="790"/>
      <c r="AD170" s="791"/>
      <c r="AE170" s="792"/>
    </row>
    <row r="171" spans="5:31" s="134" customFormat="1" ht="9" customHeight="1" x14ac:dyDescent="0.25">
      <c r="E171" s="789"/>
      <c r="F171" s="789"/>
      <c r="G171" s="789"/>
      <c r="H171" s="790"/>
      <c r="AD171" s="791"/>
      <c r="AE171" s="792"/>
    </row>
    <row r="172" spans="5:31" s="134" customFormat="1" ht="9" customHeight="1" x14ac:dyDescent="0.25">
      <c r="E172" s="789"/>
      <c r="F172" s="789"/>
      <c r="G172" s="789"/>
      <c r="H172" s="790"/>
      <c r="AD172" s="791"/>
      <c r="AE172" s="792"/>
    </row>
    <row r="173" spans="5:31" s="134" customFormat="1" ht="9" customHeight="1" x14ac:dyDescent="0.25">
      <c r="E173" s="789"/>
      <c r="F173" s="789"/>
      <c r="G173" s="789"/>
      <c r="H173" s="790"/>
      <c r="AD173" s="791"/>
      <c r="AE173" s="792"/>
    </row>
    <row r="174" spans="5:31" s="134" customFormat="1" ht="9" customHeight="1" x14ac:dyDescent="0.25">
      <c r="E174" s="789"/>
      <c r="F174" s="789"/>
      <c r="G174" s="789"/>
      <c r="H174" s="790"/>
      <c r="AD174" s="791"/>
      <c r="AE174" s="792"/>
    </row>
    <row r="175" spans="5:31" s="134" customFormat="1" ht="9" customHeight="1" x14ac:dyDescent="0.25">
      <c r="E175" s="789"/>
      <c r="F175" s="789"/>
      <c r="G175" s="789"/>
      <c r="H175" s="790"/>
      <c r="AD175" s="791"/>
      <c r="AE175" s="792"/>
    </row>
    <row r="176" spans="5:31" s="134" customFormat="1" ht="9" customHeight="1" x14ac:dyDescent="0.25">
      <c r="E176" s="789"/>
      <c r="F176" s="789"/>
      <c r="G176" s="789"/>
      <c r="H176" s="790"/>
      <c r="AD176" s="791"/>
      <c r="AE176" s="792"/>
    </row>
    <row r="177" spans="5:31" s="134" customFormat="1" ht="9" customHeight="1" x14ac:dyDescent="0.25">
      <c r="E177" s="789"/>
      <c r="F177" s="789"/>
      <c r="G177" s="789"/>
      <c r="H177" s="790"/>
      <c r="AD177" s="791"/>
      <c r="AE177" s="792"/>
    </row>
    <row r="178" spans="5:31" s="134" customFormat="1" ht="9" customHeight="1" x14ac:dyDescent="0.25">
      <c r="E178" s="789"/>
      <c r="F178" s="789"/>
      <c r="G178" s="789"/>
      <c r="H178" s="790"/>
      <c r="AD178" s="791"/>
      <c r="AE178" s="792"/>
    </row>
    <row r="179" spans="5:31" s="134" customFormat="1" ht="9" customHeight="1" x14ac:dyDescent="0.25">
      <c r="E179" s="789"/>
      <c r="F179" s="789"/>
      <c r="G179" s="789"/>
      <c r="H179" s="790"/>
      <c r="AD179" s="791"/>
      <c r="AE179" s="792"/>
    </row>
    <row r="180" spans="5:31" s="134" customFormat="1" ht="9" customHeight="1" x14ac:dyDescent="0.25">
      <c r="E180" s="789"/>
      <c r="F180" s="789"/>
      <c r="G180" s="789"/>
      <c r="H180" s="790"/>
      <c r="AD180" s="791"/>
      <c r="AE180" s="792"/>
    </row>
    <row r="181" spans="5:31" s="134" customFormat="1" ht="9" customHeight="1" x14ac:dyDescent="0.25">
      <c r="E181" s="789"/>
      <c r="F181" s="789"/>
      <c r="G181" s="789"/>
      <c r="H181" s="790"/>
      <c r="AD181" s="791"/>
      <c r="AE181" s="792"/>
    </row>
    <row r="182" spans="5:31" s="134" customFormat="1" ht="9" customHeight="1" x14ac:dyDescent="0.25">
      <c r="E182" s="789"/>
      <c r="F182" s="789"/>
      <c r="G182" s="789"/>
      <c r="H182" s="790"/>
      <c r="AD182" s="791"/>
      <c r="AE182" s="792"/>
    </row>
    <row r="183" spans="5:31" s="134" customFormat="1" ht="9" customHeight="1" x14ac:dyDescent="0.25">
      <c r="E183" s="789"/>
      <c r="F183" s="789"/>
      <c r="G183" s="789"/>
      <c r="H183" s="790"/>
      <c r="AD183" s="791"/>
      <c r="AE183" s="792"/>
    </row>
    <row r="184" spans="5:31" s="134" customFormat="1" ht="9" customHeight="1" x14ac:dyDescent="0.25">
      <c r="E184" s="789"/>
      <c r="F184" s="789"/>
      <c r="G184" s="789"/>
      <c r="H184" s="790"/>
      <c r="AD184" s="791"/>
      <c r="AE184" s="792"/>
    </row>
    <row r="185" spans="5:31" s="134" customFormat="1" ht="9" customHeight="1" x14ac:dyDescent="0.25">
      <c r="E185" s="789"/>
      <c r="F185" s="789"/>
      <c r="G185" s="789"/>
      <c r="H185" s="790"/>
      <c r="AD185" s="791"/>
      <c r="AE185" s="792"/>
    </row>
    <row r="186" spans="5:31" s="134" customFormat="1" ht="9" customHeight="1" x14ac:dyDescent="0.25">
      <c r="E186" s="789"/>
      <c r="F186" s="789"/>
      <c r="G186" s="789"/>
      <c r="H186" s="790"/>
      <c r="AD186" s="791"/>
      <c r="AE186" s="792"/>
    </row>
    <row r="187" spans="5:31" s="134" customFormat="1" ht="9" customHeight="1" x14ac:dyDescent="0.25">
      <c r="E187" s="789"/>
      <c r="F187" s="789"/>
      <c r="G187" s="789"/>
      <c r="H187" s="790"/>
      <c r="AD187" s="791"/>
      <c r="AE187" s="792"/>
    </row>
    <row r="188" spans="5:31" s="134" customFormat="1" ht="9" customHeight="1" x14ac:dyDescent="0.25">
      <c r="E188" s="789"/>
      <c r="F188" s="789"/>
      <c r="G188" s="789"/>
      <c r="H188" s="790"/>
      <c r="AD188" s="791"/>
      <c r="AE188" s="792"/>
    </row>
    <row r="189" spans="5:31" s="134" customFormat="1" ht="9" customHeight="1" x14ac:dyDescent="0.25">
      <c r="E189" s="789"/>
      <c r="F189" s="789"/>
      <c r="G189" s="789"/>
      <c r="H189" s="790"/>
      <c r="AD189" s="791"/>
      <c r="AE189" s="792"/>
    </row>
    <row r="190" spans="5:31" s="134" customFormat="1" ht="9" customHeight="1" x14ac:dyDescent="0.25">
      <c r="E190" s="789"/>
      <c r="F190" s="789"/>
      <c r="G190" s="789"/>
      <c r="H190" s="790"/>
      <c r="AD190" s="791"/>
      <c r="AE190" s="792"/>
    </row>
    <row r="191" spans="5:31" s="134" customFormat="1" ht="9" customHeight="1" x14ac:dyDescent="0.25">
      <c r="E191" s="789"/>
      <c r="F191" s="789"/>
      <c r="G191" s="789"/>
      <c r="H191" s="790"/>
      <c r="AD191" s="791"/>
      <c r="AE191" s="792"/>
    </row>
    <row r="192" spans="5:31" s="134" customFormat="1" ht="9" customHeight="1" x14ac:dyDescent="0.25">
      <c r="E192" s="789"/>
      <c r="F192" s="789"/>
      <c r="G192" s="789"/>
      <c r="H192" s="790"/>
      <c r="AD192" s="791"/>
      <c r="AE192" s="792"/>
    </row>
    <row r="193" spans="5:31" s="134" customFormat="1" ht="9" customHeight="1" x14ac:dyDescent="0.25">
      <c r="E193" s="789"/>
      <c r="F193" s="789"/>
      <c r="G193" s="789"/>
      <c r="H193" s="790"/>
      <c r="AD193" s="791"/>
      <c r="AE193" s="792"/>
    </row>
    <row r="194" spans="5:31" s="134" customFormat="1" ht="9" customHeight="1" x14ac:dyDescent="0.25">
      <c r="E194" s="789"/>
      <c r="F194" s="789"/>
      <c r="G194" s="789"/>
      <c r="H194" s="790"/>
      <c r="AD194" s="791"/>
      <c r="AE194" s="792"/>
    </row>
    <row r="195" spans="5:31" s="134" customFormat="1" ht="9" customHeight="1" x14ac:dyDescent="0.25">
      <c r="E195" s="789"/>
      <c r="F195" s="789"/>
      <c r="G195" s="789"/>
      <c r="H195" s="790"/>
      <c r="AD195" s="791"/>
      <c r="AE195" s="792"/>
    </row>
    <row r="196" spans="5:31" s="134" customFormat="1" ht="9" customHeight="1" x14ac:dyDescent="0.25">
      <c r="E196" s="789"/>
      <c r="F196" s="789"/>
      <c r="G196" s="789"/>
      <c r="H196" s="790"/>
      <c r="AD196" s="791"/>
      <c r="AE196" s="792"/>
    </row>
    <row r="197" spans="5:31" s="134" customFormat="1" ht="9" customHeight="1" x14ac:dyDescent="0.25">
      <c r="E197" s="789"/>
      <c r="F197" s="789"/>
      <c r="G197" s="789"/>
      <c r="H197" s="790"/>
      <c r="AD197" s="791"/>
      <c r="AE197" s="792"/>
    </row>
    <row r="198" spans="5:31" s="134" customFormat="1" ht="9" customHeight="1" x14ac:dyDescent="0.25">
      <c r="E198" s="789"/>
      <c r="F198" s="789"/>
      <c r="G198" s="789"/>
      <c r="H198" s="790"/>
      <c r="AD198" s="791"/>
      <c r="AE198" s="792"/>
    </row>
    <row r="199" spans="5:31" s="134" customFormat="1" ht="9" customHeight="1" x14ac:dyDescent="0.25">
      <c r="E199" s="789"/>
      <c r="F199" s="789"/>
      <c r="G199" s="789"/>
      <c r="H199" s="790"/>
      <c r="AD199" s="791"/>
      <c r="AE199" s="792"/>
    </row>
    <row r="200" spans="5:31" s="134" customFormat="1" ht="3" customHeight="1" x14ac:dyDescent="0.25">
      <c r="E200" s="789"/>
      <c r="F200" s="789"/>
      <c r="G200" s="789"/>
      <c r="H200" s="790"/>
      <c r="AD200" s="791"/>
      <c r="AE200" s="792"/>
    </row>
    <row r="201" spans="5:31" s="134" customFormat="1" ht="3" customHeight="1" x14ac:dyDescent="0.25">
      <c r="E201" s="789"/>
      <c r="F201" s="789"/>
      <c r="G201" s="789"/>
      <c r="H201" s="790"/>
      <c r="AD201" s="791"/>
      <c r="AE201" s="792"/>
    </row>
    <row r="202" spans="5:31" s="134" customFormat="1" ht="3" customHeight="1" x14ac:dyDescent="0.25">
      <c r="E202" s="789"/>
      <c r="F202" s="789"/>
      <c r="G202" s="789"/>
      <c r="H202" s="790"/>
      <c r="AD202" s="791"/>
      <c r="AE202" s="792"/>
    </row>
    <row r="203" spans="5:31" s="134" customFormat="1" ht="3" customHeight="1" x14ac:dyDescent="0.25">
      <c r="E203" s="789"/>
      <c r="F203" s="789"/>
      <c r="G203" s="789"/>
      <c r="H203" s="790"/>
      <c r="AD203" s="791"/>
      <c r="AE203" s="792"/>
    </row>
    <row r="204" spans="5:31" s="134" customFormat="1" ht="3" customHeight="1" x14ac:dyDescent="0.25">
      <c r="E204" s="789"/>
      <c r="F204" s="789"/>
      <c r="G204" s="789"/>
      <c r="H204" s="790"/>
      <c r="AD204" s="791"/>
      <c r="AE204" s="792"/>
    </row>
    <row r="205" spans="5:31" s="134" customFormat="1" ht="3" customHeight="1" x14ac:dyDescent="0.25">
      <c r="E205" s="789"/>
      <c r="F205" s="789"/>
      <c r="G205" s="789"/>
      <c r="H205" s="790"/>
      <c r="AD205" s="791"/>
      <c r="AE205" s="792"/>
    </row>
    <row r="206" spans="5:31" s="134" customFormat="1" ht="3" customHeight="1" x14ac:dyDescent="0.25">
      <c r="E206" s="789"/>
      <c r="F206" s="789"/>
      <c r="G206" s="789"/>
      <c r="H206" s="790"/>
      <c r="AD206" s="791"/>
      <c r="AE206" s="792"/>
    </row>
    <row r="207" spans="5:31" s="134" customFormat="1" ht="3" customHeight="1" x14ac:dyDescent="0.25">
      <c r="E207" s="789"/>
      <c r="F207" s="789"/>
      <c r="G207" s="789"/>
      <c r="H207" s="790"/>
      <c r="AD207" s="791"/>
      <c r="AE207" s="792"/>
    </row>
    <row r="208" spans="5:31" s="134" customFormat="1" ht="3" customHeight="1" x14ac:dyDescent="0.25">
      <c r="E208" s="789"/>
      <c r="F208" s="789"/>
      <c r="G208" s="789"/>
      <c r="H208" s="790"/>
      <c r="AD208" s="791"/>
      <c r="AE208" s="792"/>
    </row>
    <row r="209" spans="5:31" s="134" customFormat="1" ht="3" customHeight="1" x14ac:dyDescent="0.25">
      <c r="E209" s="789"/>
      <c r="F209" s="789"/>
      <c r="G209" s="789"/>
      <c r="H209" s="790"/>
      <c r="AD209" s="791"/>
      <c r="AE209" s="792"/>
    </row>
    <row r="210" spans="5:31" s="134" customFormat="1" ht="3" customHeight="1" x14ac:dyDescent="0.25">
      <c r="E210" s="789"/>
      <c r="F210" s="789"/>
      <c r="G210" s="789"/>
      <c r="H210" s="790"/>
      <c r="AD210" s="791"/>
      <c r="AE210" s="792"/>
    </row>
    <row r="211" spans="5:31" s="134" customFormat="1" ht="3" customHeight="1" x14ac:dyDescent="0.25">
      <c r="E211" s="789"/>
      <c r="F211" s="789"/>
      <c r="G211" s="789"/>
      <c r="H211" s="790"/>
      <c r="AD211" s="791"/>
      <c r="AE211" s="792"/>
    </row>
    <row r="212" spans="5:31" s="134" customFormat="1" ht="3" customHeight="1" x14ac:dyDescent="0.25">
      <c r="E212" s="789"/>
      <c r="F212" s="789"/>
      <c r="G212" s="789"/>
      <c r="H212" s="790"/>
      <c r="AD212" s="791"/>
      <c r="AE212" s="792"/>
    </row>
    <row r="213" spans="5:31" s="134" customFormat="1" ht="3" customHeight="1" x14ac:dyDescent="0.25">
      <c r="E213" s="789"/>
      <c r="F213" s="789"/>
      <c r="G213" s="789"/>
      <c r="H213" s="790"/>
      <c r="AD213" s="791"/>
      <c r="AE213" s="792"/>
    </row>
    <row r="214" spans="5:31" s="134" customFormat="1" ht="3" customHeight="1" x14ac:dyDescent="0.25">
      <c r="E214" s="789"/>
      <c r="F214" s="789"/>
      <c r="G214" s="789"/>
      <c r="H214" s="790"/>
      <c r="AD214" s="791"/>
      <c r="AE214" s="792"/>
    </row>
    <row r="215" spans="5:31" s="134" customFormat="1" ht="3" customHeight="1" x14ac:dyDescent="0.25">
      <c r="E215" s="789"/>
      <c r="F215" s="789"/>
      <c r="G215" s="789"/>
      <c r="H215" s="790"/>
      <c r="AD215" s="791"/>
      <c r="AE215" s="792"/>
    </row>
    <row r="216" spans="5:31" s="134" customFormat="1" ht="3" customHeight="1" x14ac:dyDescent="0.25">
      <c r="E216" s="789"/>
      <c r="F216" s="789"/>
      <c r="G216" s="789"/>
      <c r="H216" s="790"/>
      <c r="AD216" s="791"/>
      <c r="AE216" s="792"/>
    </row>
    <row r="217" spans="5:31" s="134" customFormat="1" ht="3" customHeight="1" x14ac:dyDescent="0.25">
      <c r="E217" s="789"/>
      <c r="F217" s="789"/>
      <c r="G217" s="789"/>
      <c r="H217" s="790"/>
      <c r="AD217" s="791"/>
      <c r="AE217" s="792"/>
    </row>
    <row r="218" spans="5:31" s="134" customFormat="1" ht="3" customHeight="1" x14ac:dyDescent="0.25">
      <c r="E218" s="789"/>
      <c r="F218" s="789"/>
      <c r="G218" s="789"/>
      <c r="H218" s="790"/>
      <c r="AD218" s="791"/>
      <c r="AE218" s="792"/>
    </row>
    <row r="219" spans="5:31" s="134" customFormat="1" ht="3" customHeight="1" x14ac:dyDescent="0.25">
      <c r="E219" s="789"/>
      <c r="F219" s="789"/>
      <c r="G219" s="789"/>
      <c r="H219" s="790"/>
      <c r="AD219" s="791"/>
      <c r="AE219" s="792"/>
    </row>
    <row r="220" spans="5:31" s="134" customFormat="1" ht="3" customHeight="1" x14ac:dyDescent="0.25">
      <c r="E220" s="789"/>
      <c r="F220" s="789"/>
      <c r="G220" s="789"/>
      <c r="H220" s="790"/>
      <c r="AD220" s="791"/>
      <c r="AE220" s="792"/>
    </row>
    <row r="221" spans="5:31" s="134" customFormat="1" ht="3" customHeight="1" x14ac:dyDescent="0.25">
      <c r="E221" s="789"/>
      <c r="F221" s="789"/>
      <c r="G221" s="789"/>
      <c r="H221" s="790"/>
      <c r="AD221" s="791"/>
      <c r="AE221" s="792"/>
    </row>
    <row r="222" spans="5:31" s="134" customFormat="1" ht="3" customHeight="1" x14ac:dyDescent="0.25">
      <c r="E222" s="789"/>
      <c r="F222" s="789"/>
      <c r="G222" s="789"/>
      <c r="H222" s="790"/>
      <c r="AD222" s="791"/>
      <c r="AE222" s="792"/>
    </row>
    <row r="223" spans="5:31" s="134" customFormat="1" ht="3" customHeight="1" x14ac:dyDescent="0.25">
      <c r="E223" s="789"/>
      <c r="F223" s="789"/>
      <c r="G223" s="789"/>
      <c r="H223" s="790"/>
      <c r="AD223" s="791"/>
      <c r="AE223" s="792"/>
    </row>
    <row r="224" spans="5:31" s="134" customFormat="1" ht="3" customHeight="1" x14ac:dyDescent="0.25">
      <c r="E224" s="789"/>
      <c r="F224" s="789"/>
      <c r="G224" s="789"/>
      <c r="H224" s="790"/>
      <c r="AD224" s="791"/>
      <c r="AE224" s="792"/>
    </row>
    <row r="225" spans="5:31" s="134" customFormat="1" ht="3" customHeight="1" x14ac:dyDescent="0.25">
      <c r="E225" s="789"/>
      <c r="F225" s="789"/>
      <c r="G225" s="789"/>
      <c r="H225" s="790"/>
      <c r="AD225" s="791"/>
      <c r="AE225" s="792"/>
    </row>
    <row r="226" spans="5:31" s="134" customFormat="1" ht="3" customHeight="1" x14ac:dyDescent="0.25">
      <c r="E226" s="789"/>
      <c r="F226" s="789"/>
      <c r="G226" s="789"/>
      <c r="H226" s="790"/>
      <c r="AD226" s="791"/>
      <c r="AE226" s="792"/>
    </row>
    <row r="227" spans="5:31" s="134" customFormat="1" ht="3" customHeight="1" x14ac:dyDescent="0.25">
      <c r="E227" s="789"/>
      <c r="F227" s="789"/>
      <c r="G227" s="789"/>
      <c r="H227" s="790"/>
      <c r="AD227" s="791"/>
      <c r="AE227" s="792"/>
    </row>
    <row r="228" spans="5:31" s="134" customFormat="1" ht="3" customHeight="1" x14ac:dyDescent="0.25">
      <c r="E228" s="789"/>
      <c r="F228" s="789"/>
      <c r="G228" s="789"/>
      <c r="H228" s="790"/>
      <c r="AD228" s="791"/>
      <c r="AE228" s="792"/>
    </row>
    <row r="229" spans="5:31" s="134" customFormat="1" ht="3" customHeight="1" x14ac:dyDescent="0.25">
      <c r="E229" s="789"/>
      <c r="F229" s="789"/>
      <c r="G229" s="789"/>
      <c r="H229" s="790"/>
      <c r="AD229" s="791"/>
      <c r="AE229" s="792"/>
    </row>
    <row r="230" spans="5:31" s="134" customFormat="1" ht="3" customHeight="1" x14ac:dyDescent="0.25">
      <c r="E230" s="789"/>
      <c r="F230" s="789"/>
      <c r="G230" s="789"/>
      <c r="H230" s="790"/>
      <c r="AD230" s="791"/>
      <c r="AE230" s="792"/>
    </row>
    <row r="231" spans="5:31" s="134" customFormat="1" ht="3" customHeight="1" x14ac:dyDescent="0.25">
      <c r="E231" s="789"/>
      <c r="F231" s="789"/>
      <c r="G231" s="789"/>
      <c r="H231" s="790"/>
      <c r="AD231" s="791"/>
      <c r="AE231" s="792"/>
    </row>
    <row r="232" spans="5:31" s="134" customFormat="1" ht="3" customHeight="1" x14ac:dyDescent="0.25">
      <c r="E232" s="789"/>
      <c r="F232" s="789"/>
      <c r="G232" s="789"/>
      <c r="H232" s="790"/>
      <c r="AD232" s="791"/>
      <c r="AE232" s="792"/>
    </row>
    <row r="233" spans="5:31" s="134" customFormat="1" ht="3" customHeight="1" x14ac:dyDescent="0.25">
      <c r="E233" s="789"/>
      <c r="F233" s="789"/>
      <c r="G233" s="789"/>
      <c r="H233" s="790"/>
      <c r="AD233" s="791"/>
      <c r="AE233" s="792"/>
    </row>
    <row r="234" spans="5:31" s="134" customFormat="1" ht="3" customHeight="1" x14ac:dyDescent="0.25">
      <c r="E234" s="789"/>
      <c r="F234" s="789"/>
      <c r="G234" s="789"/>
      <c r="H234" s="790"/>
      <c r="AD234" s="791"/>
      <c r="AE234" s="792"/>
    </row>
    <row r="235" spans="5:31" s="134" customFormat="1" ht="3" customHeight="1" x14ac:dyDescent="0.25">
      <c r="E235" s="789"/>
      <c r="F235" s="789"/>
      <c r="G235" s="789"/>
      <c r="H235" s="790"/>
      <c r="AD235" s="791"/>
      <c r="AE235" s="792"/>
    </row>
    <row r="236" spans="5:31" s="134" customFormat="1" ht="3" customHeight="1" x14ac:dyDescent="0.25">
      <c r="E236" s="789"/>
      <c r="F236" s="789"/>
      <c r="G236" s="789"/>
      <c r="H236" s="790"/>
      <c r="AD236" s="791"/>
      <c r="AE236" s="792"/>
    </row>
    <row r="237" spans="5:31" s="134" customFormat="1" ht="3" customHeight="1" x14ac:dyDescent="0.25">
      <c r="E237" s="789"/>
      <c r="F237" s="789"/>
      <c r="G237" s="789"/>
      <c r="H237" s="790"/>
      <c r="AD237" s="791"/>
      <c r="AE237" s="792"/>
    </row>
    <row r="238" spans="5:31" s="134" customFormat="1" ht="3" customHeight="1" x14ac:dyDescent="0.25">
      <c r="E238" s="789"/>
      <c r="F238" s="789"/>
      <c r="G238" s="789"/>
      <c r="H238" s="790"/>
      <c r="AD238" s="791"/>
      <c r="AE238" s="792"/>
    </row>
    <row r="239" spans="5:31" s="134" customFormat="1" ht="3" customHeight="1" x14ac:dyDescent="0.25">
      <c r="E239" s="789"/>
      <c r="F239" s="789"/>
      <c r="G239" s="789"/>
      <c r="H239" s="790"/>
      <c r="AD239" s="791"/>
      <c r="AE239" s="792"/>
    </row>
    <row r="240" spans="5:31" s="134" customFormat="1" ht="3" customHeight="1" x14ac:dyDescent="0.25">
      <c r="E240" s="789"/>
      <c r="F240" s="789"/>
      <c r="G240" s="789"/>
      <c r="H240" s="790"/>
      <c r="AD240" s="791"/>
      <c r="AE240" s="792"/>
    </row>
    <row r="241" spans="5:31" s="134" customFormat="1" ht="3" customHeight="1" x14ac:dyDescent="0.25">
      <c r="E241" s="789"/>
      <c r="F241" s="789"/>
      <c r="G241" s="789"/>
      <c r="H241" s="790"/>
      <c r="AD241" s="791"/>
      <c r="AE241" s="792"/>
    </row>
    <row r="242" spans="5:31" s="134" customFormat="1" ht="3" customHeight="1" x14ac:dyDescent="0.25">
      <c r="E242" s="789"/>
      <c r="F242" s="789"/>
      <c r="G242" s="789"/>
      <c r="H242" s="790"/>
      <c r="AD242" s="791"/>
      <c r="AE242" s="792"/>
    </row>
    <row r="243" spans="5:31" s="134" customFormat="1" ht="3" customHeight="1" x14ac:dyDescent="0.25">
      <c r="E243" s="789"/>
      <c r="F243" s="789"/>
      <c r="G243" s="789"/>
      <c r="H243" s="790"/>
      <c r="AD243" s="791"/>
      <c r="AE243" s="792"/>
    </row>
    <row r="244" spans="5:31" s="134" customFormat="1" ht="3" customHeight="1" x14ac:dyDescent="0.25">
      <c r="E244" s="789"/>
      <c r="F244" s="789"/>
      <c r="G244" s="789"/>
      <c r="H244" s="790"/>
      <c r="AD244" s="791"/>
      <c r="AE244" s="792"/>
    </row>
    <row r="245" spans="5:31" s="134" customFormat="1" ht="3" customHeight="1" x14ac:dyDescent="0.25">
      <c r="E245" s="789"/>
      <c r="F245" s="789"/>
      <c r="G245" s="789"/>
      <c r="H245" s="790"/>
      <c r="AD245" s="791"/>
      <c r="AE245" s="792"/>
    </row>
    <row r="246" spans="5:31" s="134" customFormat="1" ht="3" customHeight="1" x14ac:dyDescent="0.25">
      <c r="E246" s="789"/>
      <c r="F246" s="789"/>
      <c r="G246" s="789"/>
      <c r="H246" s="790"/>
      <c r="AD246" s="791"/>
      <c r="AE246" s="792"/>
    </row>
    <row r="247" spans="5:31" s="134" customFormat="1" ht="3" customHeight="1" x14ac:dyDescent="0.25">
      <c r="E247" s="789"/>
      <c r="F247" s="789"/>
      <c r="G247" s="789"/>
      <c r="H247" s="790"/>
      <c r="AD247" s="791"/>
      <c r="AE247" s="792"/>
    </row>
    <row r="248" spans="5:31" s="134" customFormat="1" ht="3" customHeight="1" x14ac:dyDescent="0.25">
      <c r="E248" s="789"/>
      <c r="F248" s="789"/>
      <c r="G248" s="789"/>
      <c r="H248" s="790"/>
      <c r="AD248" s="791"/>
      <c r="AE248" s="792"/>
    </row>
    <row r="249" spans="5:31" s="134" customFormat="1" ht="3" customHeight="1" x14ac:dyDescent="0.25">
      <c r="E249" s="789"/>
      <c r="F249" s="789"/>
      <c r="G249" s="789"/>
      <c r="H249" s="790"/>
      <c r="AD249" s="791"/>
      <c r="AE249" s="792"/>
    </row>
    <row r="250" spans="5:31" s="134" customFormat="1" ht="3" customHeight="1" x14ac:dyDescent="0.25">
      <c r="E250" s="789"/>
      <c r="F250" s="789"/>
      <c r="G250" s="789"/>
      <c r="H250" s="790"/>
      <c r="AD250" s="791"/>
      <c r="AE250" s="792"/>
    </row>
    <row r="251" spans="5:31" s="134" customFormat="1" ht="3" customHeight="1" x14ac:dyDescent="0.25">
      <c r="E251" s="789"/>
      <c r="F251" s="789"/>
      <c r="G251" s="789"/>
      <c r="H251" s="790"/>
      <c r="AD251" s="791"/>
      <c r="AE251" s="792"/>
    </row>
    <row r="252" spans="5:31" s="134" customFormat="1" ht="3" customHeight="1" x14ac:dyDescent="0.25">
      <c r="E252" s="789"/>
      <c r="F252" s="789"/>
      <c r="G252" s="789"/>
      <c r="H252" s="790"/>
      <c r="AD252" s="791"/>
      <c r="AE252" s="792"/>
    </row>
    <row r="253" spans="5:31" s="134" customFormat="1" ht="3" customHeight="1" x14ac:dyDescent="0.25">
      <c r="E253" s="789"/>
      <c r="F253" s="789"/>
      <c r="G253" s="789"/>
      <c r="H253" s="790"/>
      <c r="AD253" s="791"/>
      <c r="AE253" s="792"/>
    </row>
    <row r="254" spans="5:31" s="134" customFormat="1" ht="3" customHeight="1" x14ac:dyDescent="0.25">
      <c r="E254" s="789"/>
      <c r="F254" s="789"/>
      <c r="G254" s="789"/>
      <c r="H254" s="790"/>
      <c r="AD254" s="791"/>
      <c r="AE254" s="792"/>
    </row>
    <row r="255" spans="5:31" s="134" customFormat="1" ht="3" customHeight="1" x14ac:dyDescent="0.25">
      <c r="E255" s="789"/>
      <c r="F255" s="789"/>
      <c r="G255" s="789"/>
      <c r="H255" s="790"/>
      <c r="AD255" s="791"/>
      <c r="AE255" s="792"/>
    </row>
    <row r="256" spans="5:31" s="134" customFormat="1" ht="3" customHeight="1" x14ac:dyDescent="0.25">
      <c r="E256" s="789"/>
      <c r="F256" s="789"/>
      <c r="G256" s="789"/>
      <c r="H256" s="790"/>
      <c r="AD256" s="791"/>
      <c r="AE256" s="792"/>
    </row>
    <row r="257" spans="5:31" s="134" customFormat="1" ht="3" customHeight="1" x14ac:dyDescent="0.25">
      <c r="E257" s="789"/>
      <c r="F257" s="789"/>
      <c r="G257" s="789"/>
      <c r="H257" s="790"/>
      <c r="AD257" s="791"/>
      <c r="AE257" s="792"/>
    </row>
    <row r="258" spans="5:31" s="134" customFormat="1" ht="3" customHeight="1" x14ac:dyDescent="0.25">
      <c r="E258" s="789"/>
      <c r="F258" s="789"/>
      <c r="G258" s="789"/>
      <c r="H258" s="790"/>
      <c r="AD258" s="791"/>
      <c r="AE258" s="792"/>
    </row>
    <row r="259" spans="5:31" s="134" customFormat="1" ht="3" customHeight="1" x14ac:dyDescent="0.25">
      <c r="E259" s="789"/>
      <c r="F259" s="789"/>
      <c r="G259" s="789"/>
      <c r="H259" s="790"/>
      <c r="AD259" s="791"/>
      <c r="AE259" s="792"/>
    </row>
    <row r="260" spans="5:31" s="134" customFormat="1" ht="3" customHeight="1" x14ac:dyDescent="0.25">
      <c r="E260" s="789"/>
      <c r="F260" s="789"/>
      <c r="G260" s="789"/>
      <c r="H260" s="790"/>
      <c r="AD260" s="791"/>
      <c r="AE260" s="792"/>
    </row>
    <row r="261" spans="5:31" s="134" customFormat="1" ht="3" customHeight="1" x14ac:dyDescent="0.25">
      <c r="E261" s="789"/>
      <c r="F261" s="789"/>
      <c r="G261" s="789"/>
      <c r="H261" s="790"/>
      <c r="AD261" s="791"/>
      <c r="AE261" s="792"/>
    </row>
    <row r="262" spans="5:31" s="134" customFormat="1" ht="3" customHeight="1" x14ac:dyDescent="0.25">
      <c r="E262" s="789"/>
      <c r="F262" s="789"/>
      <c r="G262" s="789"/>
      <c r="H262" s="790"/>
      <c r="AD262" s="791"/>
      <c r="AE262" s="792"/>
    </row>
    <row r="263" spans="5:31" s="134" customFormat="1" ht="3" customHeight="1" x14ac:dyDescent="0.25">
      <c r="E263" s="789"/>
      <c r="F263" s="789"/>
      <c r="G263" s="789"/>
      <c r="H263" s="790"/>
      <c r="AD263" s="791"/>
      <c r="AE263" s="792"/>
    </row>
    <row r="264" spans="5:31" s="134" customFormat="1" ht="3" customHeight="1" x14ac:dyDescent="0.25">
      <c r="E264" s="789"/>
      <c r="F264" s="789"/>
      <c r="G264" s="789"/>
      <c r="H264" s="790"/>
      <c r="AD264" s="791"/>
      <c r="AE264" s="792"/>
    </row>
    <row r="265" spans="5:31" s="134" customFormat="1" ht="3" customHeight="1" x14ac:dyDescent="0.25">
      <c r="E265" s="789"/>
      <c r="F265" s="789"/>
      <c r="G265" s="789"/>
      <c r="H265" s="790"/>
      <c r="AD265" s="791"/>
      <c r="AE265" s="792"/>
    </row>
    <row r="266" spans="5:31" s="134" customFormat="1" ht="3" customHeight="1" x14ac:dyDescent="0.25">
      <c r="E266" s="789"/>
      <c r="F266" s="789"/>
      <c r="G266" s="789"/>
      <c r="H266" s="790"/>
      <c r="AD266" s="791"/>
      <c r="AE266" s="792"/>
    </row>
    <row r="267" spans="5:31" s="134" customFormat="1" ht="3" customHeight="1" x14ac:dyDescent="0.25">
      <c r="E267" s="789"/>
      <c r="F267" s="789"/>
      <c r="G267" s="789"/>
      <c r="H267" s="790"/>
      <c r="AD267" s="791"/>
      <c r="AE267" s="792"/>
    </row>
    <row r="268" spans="5:31" s="134" customFormat="1" ht="3" customHeight="1" x14ac:dyDescent="0.25">
      <c r="E268" s="789"/>
      <c r="F268" s="789"/>
      <c r="G268" s="789"/>
      <c r="H268" s="790"/>
      <c r="AD268" s="791"/>
      <c r="AE268" s="792"/>
    </row>
    <row r="269" spans="5:31" s="134" customFormat="1" ht="3" customHeight="1" x14ac:dyDescent="0.25">
      <c r="E269" s="789"/>
      <c r="F269" s="789"/>
      <c r="G269" s="789"/>
      <c r="H269" s="790"/>
      <c r="AD269" s="791"/>
      <c r="AE269" s="792"/>
    </row>
    <row r="270" spans="5:31" s="134" customFormat="1" ht="3" customHeight="1" x14ac:dyDescent="0.25">
      <c r="E270" s="789"/>
      <c r="F270" s="789"/>
      <c r="G270" s="789"/>
      <c r="H270" s="790"/>
      <c r="AD270" s="791"/>
      <c r="AE270" s="792"/>
    </row>
    <row r="271" spans="5:31" s="134" customFormat="1" ht="3" customHeight="1" x14ac:dyDescent="0.25">
      <c r="E271" s="789"/>
      <c r="F271" s="789"/>
      <c r="G271" s="789"/>
      <c r="H271" s="790"/>
      <c r="AD271" s="791"/>
      <c r="AE271" s="792"/>
    </row>
    <row r="272" spans="5:31" s="134" customFormat="1" ht="3" customHeight="1" x14ac:dyDescent="0.25">
      <c r="E272" s="789"/>
      <c r="F272" s="789"/>
      <c r="G272" s="789"/>
      <c r="H272" s="790"/>
      <c r="AD272" s="791"/>
      <c r="AE272" s="792"/>
    </row>
    <row r="273" spans="5:31" s="134" customFormat="1" ht="3" customHeight="1" x14ac:dyDescent="0.25">
      <c r="E273" s="789"/>
      <c r="F273" s="789"/>
      <c r="G273" s="789"/>
      <c r="H273" s="790"/>
      <c r="AD273" s="791"/>
      <c r="AE273" s="792"/>
    </row>
    <row r="274" spans="5:31" s="134" customFormat="1" ht="3" customHeight="1" x14ac:dyDescent="0.25">
      <c r="E274" s="789"/>
      <c r="F274" s="789"/>
      <c r="G274" s="789"/>
      <c r="H274" s="790"/>
      <c r="AD274" s="791"/>
      <c r="AE274" s="792"/>
    </row>
    <row r="275" spans="5:31" s="134" customFormat="1" ht="3" customHeight="1" x14ac:dyDescent="0.25">
      <c r="E275" s="789"/>
      <c r="F275" s="789"/>
      <c r="G275" s="789"/>
      <c r="H275" s="790"/>
      <c r="AD275" s="791"/>
      <c r="AE275" s="792"/>
    </row>
    <row r="276" spans="5:31" s="134" customFormat="1" ht="3" customHeight="1" x14ac:dyDescent="0.25">
      <c r="E276" s="789"/>
      <c r="F276" s="789"/>
      <c r="G276" s="789"/>
      <c r="H276" s="790"/>
      <c r="AD276" s="791"/>
      <c r="AE276" s="792"/>
    </row>
    <row r="277" spans="5:31" s="134" customFormat="1" ht="3" customHeight="1" x14ac:dyDescent="0.25">
      <c r="E277" s="789"/>
      <c r="F277" s="789"/>
      <c r="G277" s="789"/>
      <c r="H277" s="790"/>
      <c r="AD277" s="791"/>
      <c r="AE277" s="792"/>
    </row>
    <row r="278" spans="5:31" s="134" customFormat="1" ht="3" customHeight="1" x14ac:dyDescent="0.25">
      <c r="E278" s="789"/>
      <c r="F278" s="789"/>
      <c r="G278" s="789"/>
      <c r="H278" s="790"/>
      <c r="AD278" s="791"/>
      <c r="AE278" s="792"/>
    </row>
    <row r="279" spans="5:31" s="134" customFormat="1" ht="3" customHeight="1" x14ac:dyDescent="0.25">
      <c r="E279" s="789"/>
      <c r="F279" s="789"/>
      <c r="G279" s="789"/>
      <c r="H279" s="790"/>
      <c r="AD279" s="791"/>
      <c r="AE279" s="792"/>
    </row>
    <row r="280" spans="5:31" s="134" customFormat="1" ht="3" customHeight="1" x14ac:dyDescent="0.25">
      <c r="E280" s="789"/>
      <c r="F280" s="789"/>
      <c r="G280" s="789"/>
      <c r="H280" s="790"/>
      <c r="AD280" s="791"/>
      <c r="AE280" s="792"/>
    </row>
    <row r="281" spans="5:31" s="134" customFormat="1" ht="3" customHeight="1" x14ac:dyDescent="0.25">
      <c r="E281" s="789"/>
      <c r="F281" s="789"/>
      <c r="G281" s="789"/>
      <c r="H281" s="790"/>
      <c r="AD281" s="791"/>
      <c r="AE281" s="792"/>
    </row>
    <row r="282" spans="5:31" s="134" customFormat="1" ht="3" customHeight="1" x14ac:dyDescent="0.25">
      <c r="E282" s="789"/>
      <c r="F282" s="789"/>
      <c r="G282" s="789"/>
      <c r="H282" s="790"/>
      <c r="AD282" s="791"/>
      <c r="AE282" s="792"/>
    </row>
    <row r="283" spans="5:31" s="134" customFormat="1" ht="3" customHeight="1" x14ac:dyDescent="0.25">
      <c r="E283" s="789"/>
      <c r="F283" s="789"/>
      <c r="G283" s="789"/>
      <c r="H283" s="790"/>
      <c r="AD283" s="791"/>
      <c r="AE283" s="792"/>
    </row>
    <row r="284" spans="5:31" s="134" customFormat="1" ht="3" customHeight="1" x14ac:dyDescent="0.25">
      <c r="E284" s="789"/>
      <c r="F284" s="789"/>
      <c r="G284" s="789"/>
      <c r="H284" s="790"/>
      <c r="AD284" s="791"/>
      <c r="AE284" s="792"/>
    </row>
    <row r="285" spans="5:31" s="134" customFormat="1" ht="3" customHeight="1" x14ac:dyDescent="0.25">
      <c r="E285" s="789"/>
      <c r="F285" s="789"/>
      <c r="G285" s="789"/>
      <c r="H285" s="790"/>
      <c r="AD285" s="791"/>
      <c r="AE285" s="792"/>
    </row>
    <row r="286" spans="5:31" s="134" customFormat="1" ht="3" customHeight="1" x14ac:dyDescent="0.25">
      <c r="E286" s="789"/>
      <c r="F286" s="789"/>
      <c r="G286" s="789"/>
      <c r="H286" s="790"/>
      <c r="AD286" s="791"/>
      <c r="AE286" s="792"/>
    </row>
    <row r="287" spans="5:31" s="134" customFormat="1" ht="3" customHeight="1" x14ac:dyDescent="0.25">
      <c r="E287" s="789"/>
      <c r="F287" s="789"/>
      <c r="G287" s="789"/>
      <c r="H287" s="790"/>
      <c r="AD287" s="791"/>
      <c r="AE287" s="792"/>
    </row>
    <row r="288" spans="5:31" s="134" customFormat="1" ht="3" customHeight="1" x14ac:dyDescent="0.25">
      <c r="E288" s="789"/>
      <c r="F288" s="789"/>
      <c r="G288" s="789"/>
      <c r="H288" s="790"/>
      <c r="AD288" s="791"/>
      <c r="AE288" s="792"/>
    </row>
    <row r="289" spans="5:31" s="134" customFormat="1" ht="3" customHeight="1" x14ac:dyDescent="0.25">
      <c r="E289" s="789"/>
      <c r="F289" s="789"/>
      <c r="G289" s="789"/>
      <c r="H289" s="790"/>
      <c r="AD289" s="791"/>
      <c r="AE289" s="792"/>
    </row>
    <row r="290" spans="5:31" s="134" customFormat="1" ht="3" customHeight="1" x14ac:dyDescent="0.25">
      <c r="E290" s="789"/>
      <c r="F290" s="789"/>
      <c r="G290" s="789"/>
      <c r="H290" s="790"/>
      <c r="AD290" s="791"/>
      <c r="AE290" s="792"/>
    </row>
    <row r="291" spans="5:31" s="134" customFormat="1" ht="3" customHeight="1" x14ac:dyDescent="0.25">
      <c r="E291" s="789"/>
      <c r="F291" s="789"/>
      <c r="G291" s="789"/>
      <c r="H291" s="790"/>
      <c r="AD291" s="791"/>
      <c r="AE291" s="792"/>
    </row>
    <row r="292" spans="5:31" s="134" customFormat="1" ht="3" customHeight="1" x14ac:dyDescent="0.25">
      <c r="E292" s="789"/>
      <c r="F292" s="789"/>
      <c r="G292" s="789"/>
      <c r="H292" s="790"/>
      <c r="AD292" s="791"/>
      <c r="AE292" s="792"/>
    </row>
    <row r="293" spans="5:31" s="134" customFormat="1" ht="3" customHeight="1" x14ac:dyDescent="0.25">
      <c r="E293" s="789"/>
      <c r="F293" s="789"/>
      <c r="G293" s="789"/>
      <c r="H293" s="790"/>
      <c r="AD293" s="791"/>
      <c r="AE293" s="792"/>
    </row>
    <row r="294" spans="5:31" s="134" customFormat="1" ht="3" customHeight="1" x14ac:dyDescent="0.25">
      <c r="E294" s="789"/>
      <c r="F294" s="789"/>
      <c r="G294" s="789"/>
      <c r="H294" s="790"/>
      <c r="AD294" s="791"/>
      <c r="AE294" s="792"/>
    </row>
    <row r="295" spans="5:31" s="134" customFormat="1" ht="3" customHeight="1" x14ac:dyDescent="0.25">
      <c r="E295" s="789"/>
      <c r="F295" s="789"/>
      <c r="G295" s="789"/>
      <c r="H295" s="790"/>
      <c r="AD295" s="791"/>
      <c r="AE295" s="792"/>
    </row>
    <row r="296" spans="5:31" s="134" customFormat="1" ht="3" customHeight="1" x14ac:dyDescent="0.25">
      <c r="E296" s="789"/>
      <c r="F296" s="789"/>
      <c r="G296" s="789"/>
      <c r="H296" s="790"/>
      <c r="AD296" s="791"/>
      <c r="AE296" s="792"/>
    </row>
    <row r="297" spans="5:31" s="134" customFormat="1" ht="3" customHeight="1" x14ac:dyDescent="0.25">
      <c r="E297" s="789"/>
      <c r="F297" s="789"/>
      <c r="G297" s="789"/>
      <c r="H297" s="790"/>
      <c r="AD297" s="791"/>
      <c r="AE297" s="792"/>
    </row>
    <row r="298" spans="5:31" s="134" customFormat="1" ht="3" customHeight="1" x14ac:dyDescent="0.25">
      <c r="E298" s="789"/>
      <c r="F298" s="789"/>
      <c r="G298" s="789"/>
      <c r="H298" s="790"/>
      <c r="AD298" s="791"/>
      <c r="AE298" s="792"/>
    </row>
    <row r="299" spans="5:31" s="134" customFormat="1" ht="3" customHeight="1" x14ac:dyDescent="0.25">
      <c r="E299" s="789"/>
      <c r="F299" s="789"/>
      <c r="G299" s="789"/>
      <c r="H299" s="790"/>
      <c r="AD299" s="791"/>
      <c r="AE299" s="792"/>
    </row>
    <row r="300" spans="5:31" s="134" customFormat="1" ht="3" customHeight="1" x14ac:dyDescent="0.25">
      <c r="E300" s="789"/>
      <c r="F300" s="789"/>
      <c r="G300" s="789"/>
      <c r="H300" s="790"/>
      <c r="AD300" s="791"/>
      <c r="AE300" s="792"/>
    </row>
    <row r="301" spans="5:31" s="134" customFormat="1" ht="3" customHeight="1" x14ac:dyDescent="0.25">
      <c r="E301" s="789"/>
      <c r="F301" s="789"/>
      <c r="G301" s="789"/>
      <c r="H301" s="790"/>
      <c r="AD301" s="791"/>
      <c r="AE301" s="792"/>
    </row>
    <row r="302" spans="5:31" s="134" customFormat="1" ht="3" customHeight="1" x14ac:dyDescent="0.25">
      <c r="E302" s="789"/>
      <c r="F302" s="789"/>
      <c r="G302" s="789"/>
      <c r="H302" s="790"/>
      <c r="AD302" s="791"/>
      <c r="AE302" s="792"/>
    </row>
    <row r="303" spans="5:31" s="134" customFormat="1" ht="3" customHeight="1" x14ac:dyDescent="0.25">
      <c r="E303" s="789"/>
      <c r="F303" s="789"/>
      <c r="G303" s="789"/>
      <c r="H303" s="790"/>
      <c r="AD303" s="791"/>
      <c r="AE303" s="792"/>
    </row>
    <row r="304" spans="5:31" s="134" customFormat="1" ht="3" customHeight="1" x14ac:dyDescent="0.25">
      <c r="E304" s="789"/>
      <c r="F304" s="789"/>
      <c r="G304" s="789"/>
      <c r="H304" s="790"/>
      <c r="AD304" s="791"/>
      <c r="AE304" s="792"/>
    </row>
    <row r="305" spans="5:31" s="134" customFormat="1" ht="3" customHeight="1" x14ac:dyDescent="0.25">
      <c r="E305" s="789"/>
      <c r="F305" s="789"/>
      <c r="G305" s="789"/>
      <c r="H305" s="790"/>
      <c r="AD305" s="791"/>
      <c r="AE305" s="792"/>
    </row>
    <row r="306" spans="5:31" s="134" customFormat="1" ht="3" customHeight="1" x14ac:dyDescent="0.25">
      <c r="E306" s="789"/>
      <c r="F306" s="789"/>
      <c r="G306" s="789"/>
      <c r="H306" s="790"/>
      <c r="AD306" s="791"/>
      <c r="AE306" s="792"/>
    </row>
    <row r="307" spans="5:31" s="134" customFormat="1" ht="3" customHeight="1" x14ac:dyDescent="0.25">
      <c r="E307" s="789"/>
      <c r="F307" s="789"/>
      <c r="G307" s="789"/>
      <c r="H307" s="790"/>
      <c r="AD307" s="791"/>
      <c r="AE307" s="792"/>
    </row>
    <row r="308" spans="5:31" s="134" customFormat="1" ht="3" customHeight="1" x14ac:dyDescent="0.25">
      <c r="E308" s="789"/>
      <c r="F308" s="789"/>
      <c r="G308" s="789"/>
      <c r="H308" s="790"/>
      <c r="AD308" s="791"/>
      <c r="AE308" s="792"/>
    </row>
    <row r="309" spans="5:31" s="134" customFormat="1" ht="12.75" customHeight="1" x14ac:dyDescent="0.25">
      <c r="E309" s="789"/>
      <c r="F309" s="789"/>
      <c r="G309" s="789"/>
      <c r="H309" s="790"/>
      <c r="AD309" s="791"/>
      <c r="AE309" s="792"/>
    </row>
    <row r="310" spans="5:31" s="134" customFormat="1" ht="12.75" customHeight="1" x14ac:dyDescent="0.25">
      <c r="E310" s="789"/>
      <c r="F310" s="789"/>
      <c r="G310" s="789"/>
      <c r="H310" s="790"/>
      <c r="AD310" s="791"/>
      <c r="AE310" s="792"/>
    </row>
    <row r="311" spans="5:31" s="134" customFormat="1" ht="12.75" customHeight="1" x14ac:dyDescent="0.25">
      <c r="E311" s="789"/>
      <c r="F311" s="789"/>
      <c r="G311" s="789"/>
      <c r="H311" s="790"/>
      <c r="AD311" s="791"/>
      <c r="AE311" s="792"/>
    </row>
    <row r="312" spans="5:31" s="134" customFormat="1" ht="12.75" customHeight="1" x14ac:dyDescent="0.25">
      <c r="E312" s="789"/>
      <c r="F312" s="789"/>
      <c r="G312" s="789"/>
      <c r="H312" s="790"/>
      <c r="AD312" s="791"/>
      <c r="AE312" s="792"/>
    </row>
    <row r="313" spans="5:31" s="134" customFormat="1" ht="12.75" customHeight="1" x14ac:dyDescent="0.25">
      <c r="E313" s="789"/>
      <c r="F313" s="789"/>
      <c r="G313" s="789"/>
      <c r="H313" s="790"/>
      <c r="AD313" s="791"/>
      <c r="AE313" s="792"/>
    </row>
    <row r="314" spans="5:31" s="134" customFormat="1" ht="12.75" customHeight="1" x14ac:dyDescent="0.25">
      <c r="E314" s="789"/>
      <c r="F314" s="789"/>
      <c r="G314" s="789"/>
      <c r="H314" s="790"/>
      <c r="AD314" s="791"/>
      <c r="AE314" s="792"/>
    </row>
    <row r="315" spans="5:31" s="134" customFormat="1" ht="12.75" customHeight="1" x14ac:dyDescent="0.25">
      <c r="E315" s="789"/>
      <c r="F315" s="789"/>
      <c r="G315" s="789"/>
      <c r="H315" s="790"/>
      <c r="AD315" s="791"/>
      <c r="AE315" s="792"/>
    </row>
    <row r="316" spans="5:31" s="134" customFormat="1" ht="12.75" customHeight="1" x14ac:dyDescent="0.25">
      <c r="E316" s="789"/>
      <c r="F316" s="789"/>
      <c r="G316" s="789"/>
      <c r="H316" s="790"/>
      <c r="AD316" s="791"/>
      <c r="AE316" s="792"/>
    </row>
    <row r="317" spans="5:31" s="134" customFormat="1" ht="12.75" customHeight="1" x14ac:dyDescent="0.25">
      <c r="E317" s="789"/>
      <c r="F317" s="789"/>
      <c r="G317" s="789"/>
      <c r="H317" s="790"/>
      <c r="AD317" s="791"/>
      <c r="AE317" s="792"/>
    </row>
    <row r="318" spans="5:31" s="134" customFormat="1" ht="12.75" customHeight="1" x14ac:dyDescent="0.25">
      <c r="E318" s="789"/>
      <c r="F318" s="789"/>
      <c r="G318" s="789"/>
      <c r="H318" s="790"/>
      <c r="AD318" s="791"/>
      <c r="AE318" s="792"/>
    </row>
    <row r="319" spans="5:31" s="134" customFormat="1" ht="12.75" customHeight="1" x14ac:dyDescent="0.25">
      <c r="E319" s="789"/>
      <c r="F319" s="789"/>
      <c r="G319" s="789"/>
      <c r="H319" s="790"/>
      <c r="AD319" s="791"/>
      <c r="AE319" s="792"/>
    </row>
    <row r="320" spans="5:31" s="134" customFormat="1" ht="12.75" customHeight="1" x14ac:dyDescent="0.25">
      <c r="E320" s="789"/>
      <c r="F320" s="789"/>
      <c r="G320" s="789"/>
      <c r="H320" s="790"/>
      <c r="AD320" s="791"/>
      <c r="AE320" s="792"/>
    </row>
    <row r="321" spans="5:31" s="134" customFormat="1" ht="12.75" customHeight="1" x14ac:dyDescent="0.25">
      <c r="E321" s="789"/>
      <c r="F321" s="789"/>
      <c r="G321" s="789"/>
      <c r="H321" s="790"/>
      <c r="AD321" s="791"/>
      <c r="AE321" s="792"/>
    </row>
    <row r="322" spans="5:31" s="134" customFormat="1" ht="12.75" customHeight="1" x14ac:dyDescent="0.25">
      <c r="E322" s="789"/>
      <c r="F322" s="789"/>
      <c r="G322" s="789"/>
      <c r="H322" s="790"/>
      <c r="AD322" s="791"/>
      <c r="AE322" s="792"/>
    </row>
    <row r="323" spans="5:31" s="134" customFormat="1" ht="12.75" customHeight="1" x14ac:dyDescent="0.25">
      <c r="E323" s="789"/>
      <c r="F323" s="789"/>
      <c r="G323" s="789"/>
      <c r="H323" s="790"/>
      <c r="AD323" s="791"/>
      <c r="AE323" s="792"/>
    </row>
    <row r="324" spans="5:31" s="134" customFormat="1" ht="12.75" customHeight="1" x14ac:dyDescent="0.25">
      <c r="E324" s="789"/>
      <c r="F324" s="789"/>
      <c r="G324" s="789"/>
      <c r="H324" s="790"/>
      <c r="AD324" s="791"/>
      <c r="AE324" s="792"/>
    </row>
    <row r="325" spans="5:31" s="134" customFormat="1" ht="12.75" customHeight="1" x14ac:dyDescent="0.25">
      <c r="E325" s="789"/>
      <c r="F325" s="789"/>
      <c r="G325" s="789"/>
      <c r="H325" s="790"/>
      <c r="AD325" s="791"/>
      <c r="AE325" s="792"/>
    </row>
    <row r="326" spans="5:31" s="134" customFormat="1" ht="12.75" customHeight="1" x14ac:dyDescent="0.25">
      <c r="E326" s="789"/>
      <c r="F326" s="789"/>
      <c r="G326" s="789"/>
      <c r="H326" s="790"/>
      <c r="AD326" s="791"/>
      <c r="AE326" s="792"/>
    </row>
    <row r="327" spans="5:31" s="134" customFormat="1" ht="12.75" customHeight="1" x14ac:dyDescent="0.25">
      <c r="E327" s="789"/>
      <c r="F327" s="789"/>
      <c r="G327" s="789"/>
      <c r="H327" s="790"/>
      <c r="AD327" s="791"/>
      <c r="AE327" s="792"/>
    </row>
    <row r="328" spans="5:31" s="134" customFormat="1" ht="12.75" customHeight="1" x14ac:dyDescent="0.25">
      <c r="E328" s="789"/>
      <c r="F328" s="789"/>
      <c r="G328" s="789"/>
      <c r="H328" s="790"/>
      <c r="AD328" s="791"/>
      <c r="AE328" s="792"/>
    </row>
    <row r="329" spans="5:31" s="134" customFormat="1" ht="12.75" customHeight="1" x14ac:dyDescent="0.25">
      <c r="E329" s="789"/>
      <c r="F329" s="789"/>
      <c r="G329" s="789"/>
      <c r="H329" s="790"/>
      <c r="AD329" s="791"/>
      <c r="AE329" s="792"/>
    </row>
    <row r="330" spans="5:31" s="134" customFormat="1" ht="12.75" customHeight="1" x14ac:dyDescent="0.25">
      <c r="E330" s="789"/>
      <c r="F330" s="789"/>
      <c r="G330" s="789"/>
      <c r="H330" s="790"/>
      <c r="AD330" s="791"/>
      <c r="AE330" s="792"/>
    </row>
    <row r="331" spans="5:31" s="134" customFormat="1" ht="12.75" customHeight="1" x14ac:dyDescent="0.25">
      <c r="E331" s="789"/>
      <c r="F331" s="789"/>
      <c r="G331" s="789"/>
      <c r="H331" s="790"/>
      <c r="AD331" s="791"/>
      <c r="AE331" s="792"/>
    </row>
    <row r="332" spans="5:31" s="134" customFormat="1" ht="12.75" customHeight="1" x14ac:dyDescent="0.25">
      <c r="E332" s="789"/>
      <c r="F332" s="789"/>
      <c r="G332" s="789"/>
      <c r="H332" s="790"/>
      <c r="AD332" s="791"/>
      <c r="AE332" s="792"/>
    </row>
    <row r="333" spans="5:31" s="134" customFormat="1" ht="12.75" customHeight="1" x14ac:dyDescent="0.25">
      <c r="E333" s="789"/>
      <c r="F333" s="789"/>
      <c r="G333" s="789"/>
      <c r="H333" s="790"/>
      <c r="AD333" s="791"/>
      <c r="AE333" s="792"/>
    </row>
    <row r="334" spans="5:31" s="134" customFormat="1" ht="12.75" customHeight="1" x14ac:dyDescent="0.25">
      <c r="E334" s="789"/>
      <c r="F334" s="789"/>
      <c r="G334" s="789"/>
      <c r="H334" s="790"/>
      <c r="AD334" s="791"/>
      <c r="AE334" s="792"/>
    </row>
    <row r="335" spans="5:31" s="134" customFormat="1" ht="12.75" customHeight="1" x14ac:dyDescent="0.25">
      <c r="E335" s="789"/>
      <c r="F335" s="789"/>
      <c r="G335" s="789"/>
      <c r="H335" s="790"/>
      <c r="AD335" s="791"/>
      <c r="AE335" s="792"/>
    </row>
    <row r="336" spans="5:31" s="134" customFormat="1" ht="12.75" customHeight="1" x14ac:dyDescent="0.25">
      <c r="E336" s="789"/>
      <c r="F336" s="789"/>
      <c r="G336" s="789"/>
      <c r="H336" s="790"/>
      <c r="AD336" s="791"/>
      <c r="AE336" s="792"/>
    </row>
    <row r="337" spans="5:31" s="134" customFormat="1" ht="12.75" customHeight="1" x14ac:dyDescent="0.25">
      <c r="E337" s="789"/>
      <c r="F337" s="789"/>
      <c r="G337" s="789"/>
      <c r="H337" s="790"/>
      <c r="AD337" s="791"/>
      <c r="AE337" s="792"/>
    </row>
    <row r="338" spans="5:31" s="134" customFormat="1" ht="12.75" customHeight="1" x14ac:dyDescent="0.25">
      <c r="E338" s="789"/>
      <c r="F338" s="789"/>
      <c r="G338" s="789"/>
      <c r="H338" s="790"/>
      <c r="AD338" s="791"/>
      <c r="AE338" s="792"/>
    </row>
    <row r="339" spans="5:31" s="134" customFormat="1" ht="12.75" customHeight="1" x14ac:dyDescent="0.25">
      <c r="E339" s="789"/>
      <c r="F339" s="789"/>
      <c r="G339" s="789"/>
      <c r="H339" s="790"/>
      <c r="AD339" s="791"/>
      <c r="AE339" s="792"/>
    </row>
    <row r="340" spans="5:31" s="134" customFormat="1" ht="12.75" customHeight="1" x14ac:dyDescent="0.25">
      <c r="E340" s="789"/>
      <c r="F340" s="789"/>
      <c r="G340" s="789"/>
      <c r="H340" s="790"/>
      <c r="AD340" s="791"/>
      <c r="AE340" s="792"/>
    </row>
    <row r="341" spans="5:31" s="134" customFormat="1" ht="12.75" customHeight="1" x14ac:dyDescent="0.25">
      <c r="E341" s="789"/>
      <c r="F341" s="789"/>
      <c r="G341" s="789"/>
      <c r="H341" s="790"/>
      <c r="AD341" s="791"/>
      <c r="AE341" s="792"/>
    </row>
    <row r="342" spans="5:31" s="134" customFormat="1" ht="12.75" customHeight="1" x14ac:dyDescent="0.25">
      <c r="E342" s="789"/>
      <c r="F342" s="789"/>
      <c r="G342" s="789"/>
      <c r="H342" s="790"/>
      <c r="AD342" s="791"/>
      <c r="AE342" s="792"/>
    </row>
    <row r="343" spans="5:31" s="134" customFormat="1" ht="12.75" customHeight="1" x14ac:dyDescent="0.25">
      <c r="E343" s="789"/>
      <c r="F343" s="789"/>
      <c r="G343" s="789"/>
      <c r="H343" s="790"/>
      <c r="AD343" s="791"/>
      <c r="AE343" s="792"/>
    </row>
    <row r="344" spans="5:31" s="134" customFormat="1" ht="12.75" customHeight="1" x14ac:dyDescent="0.25">
      <c r="E344" s="789"/>
      <c r="F344" s="789"/>
      <c r="G344" s="789"/>
      <c r="H344" s="790"/>
      <c r="AD344" s="791"/>
      <c r="AE344" s="792"/>
    </row>
    <row r="345" spans="5:31" s="134" customFormat="1" ht="12.75" customHeight="1" x14ac:dyDescent="0.25">
      <c r="E345" s="789"/>
      <c r="F345" s="789"/>
      <c r="G345" s="789"/>
      <c r="H345" s="790"/>
      <c r="AD345" s="791"/>
      <c r="AE345" s="792"/>
    </row>
    <row r="346" spans="5:31" s="134" customFormat="1" ht="12.75" customHeight="1" x14ac:dyDescent="0.25">
      <c r="E346" s="789"/>
      <c r="F346" s="789"/>
      <c r="G346" s="789"/>
      <c r="H346" s="790"/>
      <c r="AD346" s="791"/>
      <c r="AE346" s="792"/>
    </row>
    <row r="347" spans="5:31" s="134" customFormat="1" ht="12.75" customHeight="1" x14ac:dyDescent="0.25">
      <c r="E347" s="789"/>
      <c r="F347" s="789"/>
      <c r="G347" s="789"/>
      <c r="H347" s="790"/>
      <c r="AD347" s="791"/>
      <c r="AE347" s="792"/>
    </row>
    <row r="348" spans="5:31" s="134" customFormat="1" ht="12.75" customHeight="1" x14ac:dyDescent="0.25">
      <c r="E348" s="789"/>
      <c r="F348" s="789"/>
      <c r="G348" s="789"/>
      <c r="H348" s="790"/>
      <c r="AD348" s="791"/>
      <c r="AE348" s="792"/>
    </row>
    <row r="349" spans="5:31" s="134" customFormat="1" ht="12.75" customHeight="1" x14ac:dyDescent="0.25">
      <c r="E349" s="789"/>
      <c r="F349" s="789"/>
      <c r="G349" s="789"/>
      <c r="H349" s="790"/>
      <c r="AD349" s="791"/>
      <c r="AE349" s="792"/>
    </row>
    <row r="350" spans="5:31" s="134" customFormat="1" ht="12.75" customHeight="1" x14ac:dyDescent="0.25">
      <c r="E350" s="789"/>
      <c r="F350" s="789"/>
      <c r="G350" s="789"/>
      <c r="H350" s="790"/>
      <c r="AD350" s="791"/>
      <c r="AE350" s="792"/>
    </row>
    <row r="351" spans="5:31" s="134" customFormat="1" ht="12.75" customHeight="1" x14ac:dyDescent="0.25">
      <c r="E351" s="789"/>
      <c r="F351" s="789"/>
      <c r="G351" s="789"/>
      <c r="H351" s="790"/>
      <c r="AD351" s="791"/>
      <c r="AE351" s="792"/>
    </row>
    <row r="352" spans="5:31" s="134" customFormat="1" ht="12.75" customHeight="1" x14ac:dyDescent="0.25">
      <c r="E352" s="789"/>
      <c r="F352" s="789"/>
      <c r="G352" s="789"/>
      <c r="H352" s="790"/>
      <c r="AD352" s="791"/>
      <c r="AE352" s="792"/>
    </row>
    <row r="353" spans="5:31" s="134" customFormat="1" ht="12.75" customHeight="1" x14ac:dyDescent="0.25">
      <c r="E353" s="789"/>
      <c r="F353" s="789"/>
      <c r="G353" s="789"/>
      <c r="H353" s="790"/>
      <c r="AD353" s="791"/>
      <c r="AE353" s="792"/>
    </row>
    <row r="354" spans="5:31" s="134" customFormat="1" ht="12.75" customHeight="1" x14ac:dyDescent="0.25">
      <c r="E354" s="789"/>
      <c r="F354" s="789"/>
      <c r="G354" s="789"/>
      <c r="H354" s="790"/>
      <c r="AD354" s="791"/>
      <c r="AE354" s="792"/>
    </row>
    <row r="355" spans="5:31" s="134" customFormat="1" ht="12.75" customHeight="1" x14ac:dyDescent="0.25">
      <c r="E355" s="789"/>
      <c r="F355" s="789"/>
      <c r="G355" s="789"/>
      <c r="H355" s="790"/>
      <c r="AD355" s="791"/>
      <c r="AE355" s="792"/>
    </row>
    <row r="356" spans="5:31" s="134" customFormat="1" ht="12.75" customHeight="1" x14ac:dyDescent="0.25">
      <c r="E356" s="789"/>
      <c r="F356" s="789"/>
      <c r="G356" s="789"/>
      <c r="H356" s="790"/>
      <c r="AD356" s="791"/>
      <c r="AE356" s="792"/>
    </row>
    <row r="357" spans="5:31" s="134" customFormat="1" ht="12.75" customHeight="1" x14ac:dyDescent="0.25">
      <c r="E357" s="789"/>
      <c r="F357" s="789"/>
      <c r="G357" s="789"/>
      <c r="H357" s="790"/>
      <c r="AD357" s="791"/>
      <c r="AE357" s="792"/>
    </row>
    <row r="358" spans="5:31" s="134" customFormat="1" ht="12.75" customHeight="1" x14ac:dyDescent="0.25">
      <c r="E358" s="789"/>
      <c r="F358" s="789"/>
      <c r="G358" s="789"/>
      <c r="H358" s="790"/>
      <c r="AD358" s="791"/>
      <c r="AE358" s="792"/>
    </row>
    <row r="359" spans="5:31" s="134" customFormat="1" ht="12.75" customHeight="1" x14ac:dyDescent="0.25">
      <c r="E359" s="789"/>
      <c r="F359" s="789"/>
      <c r="G359" s="789"/>
      <c r="H359" s="790"/>
      <c r="AD359" s="791"/>
      <c r="AE359" s="792"/>
    </row>
    <row r="360" spans="5:31" s="134" customFormat="1" ht="12.75" customHeight="1" x14ac:dyDescent="0.25">
      <c r="E360" s="789"/>
      <c r="F360" s="789"/>
      <c r="G360" s="789"/>
      <c r="H360" s="790"/>
      <c r="AD360" s="791"/>
      <c r="AE360" s="792"/>
    </row>
    <row r="361" spans="5:31" s="134" customFormat="1" ht="12.75" customHeight="1" x14ac:dyDescent="0.25">
      <c r="E361" s="789"/>
      <c r="F361" s="789"/>
      <c r="G361" s="789"/>
      <c r="H361" s="790"/>
      <c r="AD361" s="791"/>
      <c r="AE361" s="792"/>
    </row>
    <row r="362" spans="5:31" s="134" customFormat="1" ht="12.75" customHeight="1" x14ac:dyDescent="0.25">
      <c r="E362" s="789"/>
      <c r="F362" s="789"/>
      <c r="G362" s="789"/>
      <c r="H362" s="790"/>
      <c r="AD362" s="791"/>
      <c r="AE362" s="792"/>
    </row>
    <row r="363" spans="5:31" s="134" customFormat="1" ht="12.75" customHeight="1" x14ac:dyDescent="0.25">
      <c r="E363" s="789"/>
      <c r="F363" s="789"/>
      <c r="G363" s="789"/>
      <c r="H363" s="790"/>
      <c r="AD363" s="791"/>
      <c r="AE363" s="792"/>
    </row>
    <row r="364" spans="5:31" s="134" customFormat="1" ht="12.75" customHeight="1" x14ac:dyDescent="0.25">
      <c r="E364" s="789"/>
      <c r="F364" s="789"/>
      <c r="G364" s="789"/>
      <c r="H364" s="790"/>
      <c r="AD364" s="791"/>
      <c r="AE364" s="792"/>
    </row>
    <row r="365" spans="5:31" ht="12.75" customHeight="1" x14ac:dyDescent="0.25">
      <c r="E365" s="793"/>
      <c r="F365" s="793"/>
      <c r="G365" s="793"/>
      <c r="H365" s="794"/>
    </row>
    <row r="366" spans="5:31" ht="12.75" customHeight="1" x14ac:dyDescent="0.25">
      <c r="E366" s="793"/>
      <c r="F366" s="793"/>
      <c r="G366" s="793"/>
      <c r="H366" s="794"/>
    </row>
    <row r="367" spans="5:31" ht="12.75" customHeight="1" x14ac:dyDescent="0.25">
      <c r="E367" s="793"/>
      <c r="F367" s="793"/>
      <c r="G367" s="793"/>
      <c r="H367" s="794"/>
    </row>
    <row r="368" spans="5:31" ht="12.75" customHeight="1" x14ac:dyDescent="0.25">
      <c r="E368" s="793"/>
      <c r="F368" s="793"/>
      <c r="G368" s="793"/>
      <c r="H368" s="794"/>
    </row>
    <row r="369" spans="5:8" ht="12.75" customHeight="1" x14ac:dyDescent="0.25">
      <c r="E369" s="793"/>
      <c r="F369" s="793"/>
      <c r="G369" s="793"/>
      <c r="H369" s="794"/>
    </row>
    <row r="370" spans="5:8" ht="12.75" customHeight="1" x14ac:dyDescent="0.25">
      <c r="E370" s="793"/>
      <c r="F370" s="793"/>
      <c r="G370" s="793"/>
      <c r="H370" s="794"/>
    </row>
    <row r="371" spans="5:8" ht="12.75" customHeight="1" x14ac:dyDescent="0.25">
      <c r="E371" s="793"/>
      <c r="F371" s="793"/>
      <c r="G371" s="793"/>
      <c r="H371" s="794"/>
    </row>
    <row r="372" spans="5:8" ht="12.75" customHeight="1" x14ac:dyDescent="0.25">
      <c r="E372" s="793"/>
      <c r="F372" s="793"/>
      <c r="G372" s="793"/>
      <c r="H372" s="794"/>
    </row>
    <row r="373" spans="5:8" ht="12.75" customHeight="1" x14ac:dyDescent="0.25">
      <c r="E373" s="793"/>
      <c r="F373" s="793"/>
      <c r="G373" s="793"/>
      <c r="H373" s="794"/>
    </row>
    <row r="374" spans="5:8" ht="12.75" customHeight="1" x14ac:dyDescent="0.25">
      <c r="E374" s="793"/>
      <c r="F374" s="793"/>
      <c r="G374" s="793"/>
      <c r="H374" s="794"/>
    </row>
    <row r="375" spans="5:8" ht="12.75" customHeight="1" x14ac:dyDescent="0.25">
      <c r="E375" s="793"/>
      <c r="F375" s="793"/>
      <c r="G375" s="793"/>
      <c r="H375" s="794"/>
    </row>
    <row r="376" spans="5:8" ht="12.75" customHeight="1" x14ac:dyDescent="0.25">
      <c r="E376" s="793"/>
      <c r="F376" s="793"/>
      <c r="G376" s="793"/>
      <c r="H376" s="794"/>
    </row>
    <row r="377" spans="5:8" ht="12.75" customHeight="1" x14ac:dyDescent="0.25">
      <c r="E377" s="793"/>
      <c r="F377" s="793"/>
      <c r="G377" s="793"/>
      <c r="H377" s="794"/>
    </row>
    <row r="378" spans="5:8" ht="12.75" customHeight="1" x14ac:dyDescent="0.25">
      <c r="E378" s="793"/>
      <c r="F378" s="793"/>
      <c r="G378" s="793"/>
      <c r="H378" s="794"/>
    </row>
    <row r="379" spans="5:8" ht="12.75" customHeight="1" x14ac:dyDescent="0.25">
      <c r="E379" s="793"/>
      <c r="F379" s="793"/>
      <c r="G379" s="793"/>
      <c r="H379" s="794"/>
    </row>
    <row r="380" spans="5:8" ht="12.75" customHeight="1" x14ac:dyDescent="0.25">
      <c r="E380" s="793"/>
      <c r="F380" s="793"/>
      <c r="G380" s="793"/>
      <c r="H380" s="794"/>
    </row>
    <row r="381" spans="5:8" ht="12.75" customHeight="1" x14ac:dyDescent="0.25">
      <c r="E381" s="793"/>
      <c r="F381" s="793"/>
      <c r="G381" s="793"/>
      <c r="H381" s="794"/>
    </row>
    <row r="382" spans="5:8" ht="12.75" customHeight="1" x14ac:dyDescent="0.25">
      <c r="E382" s="793"/>
      <c r="F382" s="793"/>
      <c r="G382" s="793"/>
      <c r="H382" s="794"/>
    </row>
    <row r="383" spans="5:8" ht="12.75" customHeight="1" x14ac:dyDescent="0.25">
      <c r="E383" s="793"/>
      <c r="F383" s="793"/>
      <c r="G383" s="793"/>
      <c r="H383" s="794"/>
    </row>
    <row r="384" spans="5:8" ht="12.75" customHeight="1" x14ac:dyDescent="0.25">
      <c r="E384" s="793"/>
      <c r="F384" s="793"/>
      <c r="G384" s="793"/>
      <c r="H384" s="794"/>
    </row>
    <row r="385" spans="5:8" ht="12.75" customHeight="1" x14ac:dyDescent="0.25">
      <c r="E385" s="793"/>
      <c r="F385" s="793"/>
      <c r="G385" s="793"/>
      <c r="H385" s="794"/>
    </row>
    <row r="386" spans="5:8" ht="12.75" customHeight="1" x14ac:dyDescent="0.25">
      <c r="E386" s="793"/>
      <c r="F386" s="793"/>
      <c r="G386" s="793"/>
      <c r="H386" s="794"/>
    </row>
    <row r="387" spans="5:8" ht="12.75" customHeight="1" x14ac:dyDescent="0.25">
      <c r="E387" s="793"/>
      <c r="F387" s="793"/>
      <c r="G387" s="793"/>
      <c r="H387" s="794"/>
    </row>
    <row r="388" spans="5:8" ht="12.75" customHeight="1" x14ac:dyDescent="0.25">
      <c r="E388" s="793"/>
      <c r="F388" s="793"/>
      <c r="G388" s="793"/>
      <c r="H388" s="794"/>
    </row>
    <row r="389" spans="5:8" ht="12.75" customHeight="1" x14ac:dyDescent="0.25">
      <c r="E389" s="793"/>
      <c r="F389" s="793"/>
      <c r="G389" s="793"/>
      <c r="H389" s="794"/>
    </row>
    <row r="390" spans="5:8" ht="12.75" customHeight="1" x14ac:dyDescent="0.25">
      <c r="E390" s="793"/>
      <c r="F390" s="793"/>
      <c r="G390" s="793"/>
      <c r="H390" s="794"/>
    </row>
    <row r="391" spans="5:8" ht="12.75" customHeight="1" x14ac:dyDescent="0.25">
      <c r="E391" s="793"/>
      <c r="F391" s="793"/>
      <c r="G391" s="793"/>
      <c r="H391" s="794"/>
    </row>
    <row r="392" spans="5:8" ht="12.75" customHeight="1" x14ac:dyDescent="0.25">
      <c r="E392" s="793"/>
      <c r="F392" s="793"/>
      <c r="G392" s="793"/>
      <c r="H392" s="794"/>
    </row>
    <row r="393" spans="5:8" ht="12.75" customHeight="1" x14ac:dyDescent="0.25">
      <c r="E393" s="793"/>
      <c r="F393" s="793"/>
      <c r="G393" s="793"/>
      <c r="H393" s="794"/>
    </row>
    <row r="394" spans="5:8" ht="12.75" customHeight="1" x14ac:dyDescent="0.25">
      <c r="E394" s="793"/>
      <c r="F394" s="793"/>
      <c r="G394" s="793"/>
      <c r="H394" s="794"/>
    </row>
    <row r="395" spans="5:8" ht="12.75" customHeight="1" x14ac:dyDescent="0.25">
      <c r="E395" s="793"/>
      <c r="F395" s="793"/>
      <c r="G395" s="793"/>
      <c r="H395" s="794"/>
    </row>
    <row r="396" spans="5:8" ht="12.75" customHeight="1" x14ac:dyDescent="0.25">
      <c r="E396" s="793"/>
      <c r="F396" s="793"/>
      <c r="G396" s="793"/>
      <c r="H396" s="794"/>
    </row>
    <row r="397" spans="5:8" ht="12.75" customHeight="1" x14ac:dyDescent="0.25">
      <c r="E397" s="793"/>
      <c r="F397" s="793"/>
      <c r="G397" s="793"/>
      <c r="H397" s="794"/>
    </row>
    <row r="398" spans="5:8" ht="12.75" customHeight="1" x14ac:dyDescent="0.25">
      <c r="E398" s="793"/>
      <c r="F398" s="793"/>
      <c r="G398" s="793"/>
      <c r="H398" s="794"/>
    </row>
    <row r="399" spans="5:8" ht="12.75" customHeight="1" x14ac:dyDescent="0.25">
      <c r="E399" s="793"/>
      <c r="F399" s="793"/>
      <c r="G399" s="793"/>
      <c r="H399" s="794"/>
    </row>
    <row r="400" spans="5:8" ht="12.75" customHeight="1" x14ac:dyDescent="0.25">
      <c r="E400" s="793"/>
      <c r="F400" s="793"/>
      <c r="G400" s="793"/>
      <c r="H400" s="794"/>
    </row>
    <row r="401" spans="5:8" ht="12.75" customHeight="1" x14ac:dyDescent="0.25">
      <c r="E401" s="793"/>
      <c r="F401" s="793"/>
      <c r="G401" s="793"/>
      <c r="H401" s="794"/>
    </row>
    <row r="402" spans="5:8" ht="12.75" customHeight="1" x14ac:dyDescent="0.25">
      <c r="E402" s="793"/>
      <c r="F402" s="793"/>
      <c r="G402" s="793"/>
      <c r="H402" s="794"/>
    </row>
    <row r="403" spans="5:8" ht="12.75" customHeight="1" x14ac:dyDescent="0.25">
      <c r="E403" s="793"/>
      <c r="F403" s="793"/>
      <c r="G403" s="793"/>
      <c r="H403" s="794"/>
    </row>
    <row r="404" spans="5:8" ht="12.75" customHeight="1" x14ac:dyDescent="0.25">
      <c r="E404" s="793"/>
      <c r="F404" s="793"/>
      <c r="G404" s="793"/>
      <c r="H404" s="794"/>
    </row>
    <row r="405" spans="5:8" ht="12.75" customHeight="1" x14ac:dyDescent="0.25">
      <c r="E405" s="793"/>
      <c r="F405" s="793"/>
      <c r="G405" s="793"/>
      <c r="H405" s="794"/>
    </row>
    <row r="406" spans="5:8" ht="12.75" customHeight="1" x14ac:dyDescent="0.25">
      <c r="E406" s="793"/>
      <c r="F406" s="793"/>
      <c r="G406" s="793"/>
      <c r="H406" s="794"/>
    </row>
    <row r="407" spans="5:8" ht="12.75" customHeight="1" x14ac:dyDescent="0.25">
      <c r="E407" s="793"/>
      <c r="F407" s="793"/>
      <c r="G407" s="793"/>
      <c r="H407" s="794"/>
    </row>
    <row r="408" spans="5:8" ht="12.75" customHeight="1" x14ac:dyDescent="0.25">
      <c r="E408" s="793"/>
      <c r="F408" s="793"/>
      <c r="G408" s="793"/>
      <c r="H408" s="794"/>
    </row>
    <row r="409" spans="5:8" ht="12.75" customHeight="1" x14ac:dyDescent="0.25">
      <c r="E409" s="793"/>
      <c r="F409" s="793"/>
      <c r="G409" s="793"/>
      <c r="H409" s="794"/>
    </row>
    <row r="410" spans="5:8" ht="12.75" customHeight="1" x14ac:dyDescent="0.25">
      <c r="E410" s="793"/>
      <c r="F410" s="793"/>
      <c r="G410" s="793"/>
      <c r="H410" s="794"/>
    </row>
    <row r="411" spans="5:8" ht="12.75" customHeight="1" x14ac:dyDescent="0.25">
      <c r="E411" s="793"/>
      <c r="F411" s="793"/>
      <c r="G411" s="793"/>
      <c r="H411" s="794"/>
    </row>
    <row r="412" spans="5:8" ht="12.75" customHeight="1" x14ac:dyDescent="0.25">
      <c r="E412" s="793"/>
      <c r="F412" s="793"/>
      <c r="G412" s="793"/>
      <c r="H412" s="794"/>
    </row>
    <row r="413" spans="5:8" ht="12.75" customHeight="1" x14ac:dyDescent="0.25">
      <c r="E413" s="793"/>
      <c r="F413" s="793"/>
      <c r="G413" s="793"/>
      <c r="H413" s="794"/>
    </row>
    <row r="414" spans="5:8" ht="12.75" customHeight="1" x14ac:dyDescent="0.25">
      <c r="E414" s="793"/>
      <c r="F414" s="793"/>
      <c r="G414" s="793"/>
      <c r="H414" s="794"/>
    </row>
    <row r="415" spans="5:8" ht="12.75" customHeight="1" x14ac:dyDescent="0.25">
      <c r="E415" s="793"/>
      <c r="F415" s="793"/>
      <c r="G415" s="793"/>
      <c r="H415" s="794"/>
    </row>
    <row r="416" spans="5:8" ht="12.75" customHeight="1" x14ac:dyDescent="0.25">
      <c r="E416" s="793"/>
      <c r="F416" s="793"/>
      <c r="G416" s="793"/>
      <c r="H416" s="794"/>
    </row>
    <row r="417" spans="5:8" ht="12.75" customHeight="1" x14ac:dyDescent="0.25">
      <c r="E417" s="793"/>
      <c r="F417" s="793"/>
      <c r="G417" s="793"/>
      <c r="H417" s="794"/>
    </row>
    <row r="418" spans="5:8" ht="12.75" customHeight="1" x14ac:dyDescent="0.25">
      <c r="E418" s="793"/>
      <c r="F418" s="793"/>
      <c r="G418" s="793"/>
      <c r="H418" s="794"/>
    </row>
    <row r="419" spans="5:8" ht="12.75" customHeight="1" x14ac:dyDescent="0.25">
      <c r="E419" s="793"/>
      <c r="F419" s="793"/>
      <c r="G419" s="793"/>
      <c r="H419" s="794"/>
    </row>
    <row r="420" spans="5:8" ht="12.75" customHeight="1" x14ac:dyDescent="0.25">
      <c r="E420" s="793"/>
      <c r="F420" s="793"/>
      <c r="G420" s="793"/>
      <c r="H420" s="794"/>
    </row>
    <row r="421" spans="5:8" ht="12.75" customHeight="1" x14ac:dyDescent="0.25">
      <c r="E421" s="793"/>
      <c r="F421" s="793"/>
      <c r="G421" s="793"/>
      <c r="H421" s="794"/>
    </row>
    <row r="422" spans="5:8" ht="12.75" customHeight="1" x14ac:dyDescent="0.25">
      <c r="E422" s="793"/>
      <c r="F422" s="793"/>
      <c r="G422" s="793"/>
      <c r="H422" s="794"/>
    </row>
    <row r="423" spans="5:8" ht="12.75" customHeight="1" x14ac:dyDescent="0.25">
      <c r="E423" s="793"/>
      <c r="F423" s="793"/>
      <c r="G423" s="793"/>
      <c r="H423" s="794"/>
    </row>
    <row r="424" spans="5:8" ht="12.75" customHeight="1" x14ac:dyDescent="0.25">
      <c r="E424" s="793"/>
      <c r="F424" s="793"/>
      <c r="G424" s="793"/>
      <c r="H424" s="794"/>
    </row>
    <row r="425" spans="5:8" ht="12.75" customHeight="1" x14ac:dyDescent="0.25">
      <c r="E425" s="793"/>
      <c r="F425" s="793"/>
      <c r="G425" s="793"/>
      <c r="H425" s="794"/>
    </row>
    <row r="426" spans="5:8" ht="12.75" customHeight="1" x14ac:dyDescent="0.25">
      <c r="E426" s="793"/>
      <c r="F426" s="793"/>
      <c r="G426" s="793"/>
      <c r="H426" s="794"/>
    </row>
    <row r="427" spans="5:8" ht="12.75" customHeight="1" x14ac:dyDescent="0.25">
      <c r="E427" s="793"/>
      <c r="F427" s="793"/>
      <c r="G427" s="793"/>
      <c r="H427" s="794"/>
    </row>
    <row r="428" spans="5:8" ht="12.75" customHeight="1" x14ac:dyDescent="0.25">
      <c r="E428" s="793"/>
      <c r="F428" s="793"/>
      <c r="G428" s="793"/>
      <c r="H428" s="794"/>
    </row>
    <row r="429" spans="5:8" ht="12.75" customHeight="1" x14ac:dyDescent="0.25">
      <c r="E429" s="793"/>
      <c r="F429" s="793"/>
      <c r="G429" s="793"/>
      <c r="H429" s="794"/>
    </row>
    <row r="430" spans="5:8" ht="12.75" customHeight="1" x14ac:dyDescent="0.25">
      <c r="E430" s="793"/>
      <c r="F430" s="793"/>
      <c r="G430" s="793"/>
      <c r="H430" s="794"/>
    </row>
    <row r="431" spans="5:8" ht="12.75" customHeight="1" x14ac:dyDescent="0.25">
      <c r="E431" s="793"/>
      <c r="F431" s="793"/>
      <c r="G431" s="793"/>
      <c r="H431" s="794"/>
    </row>
    <row r="432" spans="5:8" ht="12.75" customHeight="1" x14ac:dyDescent="0.25">
      <c r="E432" s="793"/>
      <c r="F432" s="793"/>
      <c r="G432" s="793"/>
      <c r="H432" s="794"/>
    </row>
    <row r="433" spans="5:8" ht="12.75" customHeight="1" x14ac:dyDescent="0.25">
      <c r="E433" s="793"/>
      <c r="F433" s="793"/>
      <c r="G433" s="793"/>
      <c r="H433" s="794"/>
    </row>
    <row r="434" spans="5:8" ht="12.75" customHeight="1" x14ac:dyDescent="0.25">
      <c r="E434" s="793"/>
      <c r="F434" s="793"/>
      <c r="G434" s="793"/>
      <c r="H434" s="794"/>
    </row>
    <row r="435" spans="5:8" ht="12.75" customHeight="1" x14ac:dyDescent="0.25">
      <c r="E435" s="793"/>
      <c r="F435" s="793"/>
      <c r="G435" s="793"/>
      <c r="H435" s="794"/>
    </row>
    <row r="436" spans="5:8" ht="12.75" customHeight="1" x14ac:dyDescent="0.25">
      <c r="E436" s="793"/>
      <c r="F436" s="793"/>
      <c r="G436" s="793"/>
      <c r="H436" s="794"/>
    </row>
    <row r="437" spans="5:8" ht="12.75" customHeight="1" x14ac:dyDescent="0.25">
      <c r="E437" s="793"/>
      <c r="F437" s="793"/>
      <c r="G437" s="793"/>
      <c r="H437" s="794"/>
    </row>
    <row r="438" spans="5:8" ht="12.75" customHeight="1" x14ac:dyDescent="0.25">
      <c r="E438" s="793"/>
      <c r="F438" s="793"/>
      <c r="G438" s="793"/>
      <c r="H438" s="794"/>
    </row>
    <row r="439" spans="5:8" ht="12.75" customHeight="1" x14ac:dyDescent="0.25">
      <c r="E439" s="793"/>
      <c r="F439" s="793"/>
      <c r="G439" s="793"/>
      <c r="H439" s="794"/>
    </row>
    <row r="440" spans="5:8" ht="12.75" customHeight="1" x14ac:dyDescent="0.25">
      <c r="E440" s="793"/>
      <c r="F440" s="793"/>
      <c r="G440" s="793"/>
      <c r="H440" s="794"/>
    </row>
    <row r="441" spans="5:8" ht="12.75" customHeight="1" x14ac:dyDescent="0.25">
      <c r="E441" s="793"/>
      <c r="F441" s="793"/>
      <c r="G441" s="793"/>
      <c r="H441" s="794"/>
    </row>
    <row r="442" spans="5:8" ht="12.75" customHeight="1" x14ac:dyDescent="0.25">
      <c r="E442" s="793"/>
      <c r="F442" s="793"/>
      <c r="G442" s="793"/>
      <c r="H442" s="794"/>
    </row>
    <row r="443" spans="5:8" ht="12.75" customHeight="1" x14ac:dyDescent="0.25">
      <c r="E443" s="793"/>
      <c r="F443" s="793"/>
      <c r="G443" s="793"/>
      <c r="H443" s="794"/>
    </row>
    <row r="444" spans="5:8" ht="12.75" customHeight="1" x14ac:dyDescent="0.25">
      <c r="E444" s="793"/>
      <c r="F444" s="793"/>
      <c r="G444" s="793"/>
      <c r="H444" s="794"/>
    </row>
    <row r="445" spans="5:8" ht="12.75" customHeight="1" x14ac:dyDescent="0.25">
      <c r="E445" s="793"/>
      <c r="F445" s="793"/>
      <c r="G445" s="793"/>
      <c r="H445" s="794"/>
    </row>
    <row r="446" spans="5:8" ht="12.75" customHeight="1" x14ac:dyDescent="0.25">
      <c r="E446" s="793"/>
      <c r="F446" s="793"/>
      <c r="G446" s="793"/>
      <c r="H446" s="794"/>
    </row>
    <row r="447" spans="5:8" ht="12.75" customHeight="1" x14ac:dyDescent="0.25">
      <c r="E447" s="793"/>
      <c r="F447" s="793"/>
      <c r="G447" s="793"/>
      <c r="H447" s="794"/>
    </row>
    <row r="448" spans="5:8" ht="12.75" customHeight="1" x14ac:dyDescent="0.25">
      <c r="E448" s="793"/>
      <c r="F448" s="793"/>
      <c r="G448" s="793"/>
      <c r="H448" s="794"/>
    </row>
    <row r="449" spans="5:8" ht="12.75" customHeight="1" x14ac:dyDescent="0.25">
      <c r="E449" s="793"/>
      <c r="F449" s="793"/>
      <c r="G449" s="793"/>
      <c r="H449" s="794"/>
    </row>
    <row r="450" spans="5:8" ht="12.75" customHeight="1" x14ac:dyDescent="0.25">
      <c r="E450" s="793"/>
      <c r="F450" s="793"/>
      <c r="G450" s="793"/>
      <c r="H450" s="794"/>
    </row>
    <row r="451" spans="5:8" ht="12.75" customHeight="1" x14ac:dyDescent="0.25">
      <c r="E451" s="793"/>
      <c r="F451" s="793"/>
      <c r="G451" s="793"/>
      <c r="H451" s="794"/>
    </row>
    <row r="452" spans="5:8" ht="12.75" customHeight="1" x14ac:dyDescent="0.25">
      <c r="E452" s="793"/>
      <c r="F452" s="793"/>
      <c r="G452" s="793"/>
      <c r="H452" s="794"/>
    </row>
    <row r="453" spans="5:8" ht="12.75" customHeight="1" x14ac:dyDescent="0.25">
      <c r="E453" s="793"/>
      <c r="F453" s="793"/>
      <c r="G453" s="793"/>
      <c r="H453" s="794"/>
    </row>
    <row r="454" spans="5:8" ht="12.75" customHeight="1" x14ac:dyDescent="0.25">
      <c r="E454" s="793"/>
      <c r="F454" s="793"/>
      <c r="G454" s="793"/>
      <c r="H454" s="794"/>
    </row>
    <row r="455" spans="5:8" ht="12.75" customHeight="1" x14ac:dyDescent="0.25">
      <c r="E455" s="793"/>
      <c r="F455" s="793"/>
      <c r="G455" s="793"/>
      <c r="H455" s="794"/>
    </row>
    <row r="456" spans="5:8" ht="12.75" customHeight="1" x14ac:dyDescent="0.25">
      <c r="E456" s="793"/>
      <c r="F456" s="793"/>
      <c r="G456" s="793"/>
      <c r="H456" s="794"/>
    </row>
    <row r="457" spans="5:8" ht="12.75" customHeight="1" x14ac:dyDescent="0.25">
      <c r="E457" s="793"/>
      <c r="F457" s="793"/>
      <c r="G457" s="793"/>
      <c r="H457" s="794"/>
    </row>
    <row r="458" spans="5:8" ht="12.75" customHeight="1" x14ac:dyDescent="0.25">
      <c r="E458" s="793"/>
      <c r="F458" s="793"/>
      <c r="G458" s="793"/>
      <c r="H458" s="794"/>
    </row>
    <row r="459" spans="5:8" ht="12.75" customHeight="1" x14ac:dyDescent="0.25">
      <c r="E459" s="793"/>
      <c r="F459" s="793"/>
      <c r="G459" s="793"/>
      <c r="H459" s="794"/>
    </row>
    <row r="460" spans="5:8" ht="12.75" customHeight="1" x14ac:dyDescent="0.25">
      <c r="E460" s="793"/>
      <c r="F460" s="793"/>
      <c r="G460" s="793"/>
      <c r="H460" s="794"/>
    </row>
    <row r="461" spans="5:8" ht="12.75" customHeight="1" x14ac:dyDescent="0.25">
      <c r="E461" s="793"/>
      <c r="F461" s="793"/>
      <c r="G461" s="793"/>
      <c r="H461" s="794"/>
    </row>
    <row r="462" spans="5:8" ht="12.75" customHeight="1" x14ac:dyDescent="0.25">
      <c r="E462" s="793"/>
      <c r="F462" s="793"/>
      <c r="G462" s="793"/>
      <c r="H462" s="794"/>
    </row>
    <row r="463" spans="5:8" ht="12.75" customHeight="1" x14ac:dyDescent="0.25">
      <c r="E463" s="793"/>
      <c r="F463" s="793"/>
      <c r="G463" s="793"/>
      <c r="H463" s="794"/>
    </row>
    <row r="464" spans="5:8" ht="12.75" customHeight="1" x14ac:dyDescent="0.25">
      <c r="E464" s="793"/>
      <c r="F464" s="793"/>
      <c r="G464" s="793"/>
      <c r="H464" s="794"/>
    </row>
    <row r="465" spans="5:8" ht="12.75" customHeight="1" x14ac:dyDescent="0.25">
      <c r="E465" s="793"/>
      <c r="F465" s="793"/>
      <c r="G465" s="793"/>
      <c r="H465" s="794"/>
    </row>
    <row r="466" spans="5:8" ht="12.75" customHeight="1" x14ac:dyDescent="0.25">
      <c r="E466" s="793"/>
      <c r="F466" s="793"/>
      <c r="G466" s="793"/>
      <c r="H466" s="794"/>
    </row>
    <row r="467" spans="5:8" ht="12.75" customHeight="1" x14ac:dyDescent="0.25">
      <c r="E467" s="793"/>
      <c r="F467" s="793"/>
      <c r="G467" s="793"/>
      <c r="H467" s="794"/>
    </row>
    <row r="468" spans="5:8" ht="12.75" customHeight="1" x14ac:dyDescent="0.25">
      <c r="E468" s="793"/>
      <c r="F468" s="793"/>
      <c r="G468" s="793"/>
      <c r="H468" s="794"/>
    </row>
    <row r="469" spans="5:8" ht="12.75" customHeight="1" x14ac:dyDescent="0.25">
      <c r="E469" s="793"/>
      <c r="F469" s="793"/>
      <c r="G469" s="793"/>
      <c r="H469" s="794"/>
    </row>
    <row r="470" spans="5:8" ht="12.75" customHeight="1" x14ac:dyDescent="0.25">
      <c r="E470" s="793"/>
      <c r="F470" s="793"/>
      <c r="G470" s="793"/>
      <c r="H470" s="794"/>
    </row>
    <row r="471" spans="5:8" ht="12.75" customHeight="1" x14ac:dyDescent="0.25">
      <c r="E471" s="793"/>
      <c r="F471" s="793"/>
      <c r="G471" s="793"/>
      <c r="H471" s="794"/>
    </row>
    <row r="472" spans="5:8" ht="12.75" customHeight="1" x14ac:dyDescent="0.25">
      <c r="E472" s="793"/>
      <c r="F472" s="793"/>
      <c r="G472" s="793"/>
      <c r="H472" s="794"/>
    </row>
    <row r="473" spans="5:8" ht="12.75" customHeight="1" x14ac:dyDescent="0.25">
      <c r="E473" s="793"/>
      <c r="F473" s="793"/>
      <c r="G473" s="793"/>
      <c r="H473" s="794"/>
    </row>
    <row r="474" spans="5:8" ht="12.75" customHeight="1" x14ac:dyDescent="0.25">
      <c r="E474" s="793"/>
      <c r="F474" s="793"/>
      <c r="G474" s="793"/>
      <c r="H474" s="794"/>
    </row>
    <row r="475" spans="5:8" ht="12.75" customHeight="1" x14ac:dyDescent="0.25">
      <c r="E475" s="793"/>
      <c r="F475" s="793"/>
      <c r="G475" s="793"/>
      <c r="H475" s="794"/>
    </row>
    <row r="476" spans="5:8" ht="12.75" customHeight="1" x14ac:dyDescent="0.25">
      <c r="E476" s="793"/>
      <c r="F476" s="793"/>
      <c r="G476" s="793"/>
      <c r="H476" s="794"/>
    </row>
    <row r="477" spans="5:8" ht="12.75" customHeight="1" x14ac:dyDescent="0.25">
      <c r="E477" s="793"/>
      <c r="F477" s="793"/>
      <c r="G477" s="793"/>
      <c r="H477" s="794"/>
    </row>
    <row r="478" spans="5:8" ht="12.75" customHeight="1" x14ac:dyDescent="0.25">
      <c r="E478" s="793"/>
      <c r="F478" s="793"/>
      <c r="G478" s="793"/>
      <c r="H478" s="794"/>
    </row>
    <row r="479" spans="5:8" ht="12.75" customHeight="1" x14ac:dyDescent="0.25">
      <c r="E479" s="793"/>
      <c r="F479" s="793"/>
      <c r="G479" s="793"/>
      <c r="H479" s="794"/>
    </row>
    <row r="480" spans="5:8" ht="12.75" customHeight="1" x14ac:dyDescent="0.25">
      <c r="E480" s="793"/>
      <c r="F480" s="793"/>
      <c r="G480" s="793"/>
      <c r="H480" s="794"/>
    </row>
    <row r="481" spans="5:8" ht="12.75" customHeight="1" x14ac:dyDescent="0.25">
      <c r="E481" s="793"/>
      <c r="F481" s="793"/>
      <c r="G481" s="793"/>
      <c r="H481" s="794"/>
    </row>
    <row r="482" spans="5:8" ht="12.75" customHeight="1" x14ac:dyDescent="0.25">
      <c r="E482" s="793"/>
      <c r="F482" s="793"/>
      <c r="G482" s="793"/>
      <c r="H482" s="794"/>
    </row>
    <row r="483" spans="5:8" ht="12.75" customHeight="1" x14ac:dyDescent="0.25">
      <c r="E483" s="793"/>
      <c r="F483" s="793"/>
      <c r="G483" s="793"/>
      <c r="H483" s="794"/>
    </row>
    <row r="484" spans="5:8" ht="12.75" customHeight="1" x14ac:dyDescent="0.25">
      <c r="E484" s="793"/>
      <c r="F484" s="793"/>
      <c r="G484" s="793"/>
      <c r="H484" s="794"/>
    </row>
    <row r="485" spans="5:8" ht="12.75" customHeight="1" x14ac:dyDescent="0.25">
      <c r="E485" s="793"/>
      <c r="F485" s="793"/>
      <c r="G485" s="793"/>
      <c r="H485" s="794"/>
    </row>
    <row r="486" spans="5:8" ht="12.75" customHeight="1" x14ac:dyDescent="0.25">
      <c r="E486" s="793"/>
      <c r="F486" s="793"/>
      <c r="G486" s="793"/>
      <c r="H486" s="794"/>
    </row>
    <row r="487" spans="5:8" ht="12.75" customHeight="1" x14ac:dyDescent="0.25">
      <c r="E487" s="793"/>
      <c r="F487" s="793"/>
      <c r="G487" s="793"/>
      <c r="H487" s="794"/>
    </row>
    <row r="488" spans="5:8" ht="12.75" customHeight="1" x14ac:dyDescent="0.25">
      <c r="E488" s="793"/>
      <c r="F488" s="793"/>
      <c r="G488" s="793"/>
      <c r="H488" s="794"/>
    </row>
    <row r="489" spans="5:8" ht="12.75" customHeight="1" x14ac:dyDescent="0.25">
      <c r="E489" s="793"/>
      <c r="F489" s="793"/>
      <c r="G489" s="793"/>
      <c r="H489" s="794"/>
    </row>
    <row r="490" spans="5:8" ht="12.75" customHeight="1" x14ac:dyDescent="0.25">
      <c r="E490" s="793"/>
      <c r="F490" s="793"/>
      <c r="G490" s="793"/>
      <c r="H490" s="794"/>
    </row>
    <row r="491" spans="5:8" ht="12.75" customHeight="1" x14ac:dyDescent="0.25">
      <c r="E491" s="793"/>
      <c r="F491" s="793"/>
      <c r="G491" s="793"/>
      <c r="H491" s="794"/>
    </row>
    <row r="492" spans="5:8" ht="12.75" customHeight="1" x14ac:dyDescent="0.25">
      <c r="E492" s="793"/>
      <c r="F492" s="793"/>
      <c r="G492" s="793"/>
      <c r="H492" s="794"/>
    </row>
    <row r="493" spans="5:8" ht="12.75" customHeight="1" x14ac:dyDescent="0.25">
      <c r="E493" s="793"/>
      <c r="F493" s="793"/>
      <c r="G493" s="793"/>
      <c r="H493" s="794"/>
    </row>
    <row r="494" spans="5:8" ht="12.75" customHeight="1" x14ac:dyDescent="0.25">
      <c r="E494" s="793"/>
      <c r="F494" s="793"/>
      <c r="G494" s="793"/>
      <c r="H494" s="794"/>
    </row>
    <row r="495" spans="5:8" ht="12.75" customHeight="1" x14ac:dyDescent="0.25">
      <c r="E495" s="793"/>
      <c r="F495" s="793"/>
      <c r="G495" s="793"/>
      <c r="H495" s="794"/>
    </row>
    <row r="496" spans="5:8" ht="12.75" customHeight="1" x14ac:dyDescent="0.25">
      <c r="E496" s="793"/>
      <c r="F496" s="793"/>
      <c r="G496" s="793"/>
      <c r="H496" s="794"/>
    </row>
    <row r="497" spans="5:8" ht="12.75" customHeight="1" x14ac:dyDescent="0.25">
      <c r="E497" s="793"/>
      <c r="F497" s="793"/>
      <c r="G497" s="793"/>
      <c r="H497" s="794"/>
    </row>
    <row r="498" spans="5:8" ht="12.75" customHeight="1" x14ac:dyDescent="0.25">
      <c r="E498" s="793"/>
      <c r="F498" s="793"/>
      <c r="G498" s="793"/>
      <c r="H498" s="794"/>
    </row>
    <row r="499" spans="5:8" ht="12.75" customHeight="1" x14ac:dyDescent="0.25">
      <c r="E499" s="793"/>
      <c r="F499" s="793"/>
      <c r="G499" s="793"/>
      <c r="H499" s="794"/>
    </row>
    <row r="500" spans="5:8" ht="12.75" customHeight="1" x14ac:dyDescent="0.25">
      <c r="E500" s="793"/>
      <c r="F500" s="793"/>
      <c r="G500" s="793"/>
      <c r="H500" s="794"/>
    </row>
    <row r="501" spans="5:8" ht="12.75" customHeight="1" x14ac:dyDescent="0.25">
      <c r="E501" s="793"/>
      <c r="F501" s="793"/>
      <c r="G501" s="793"/>
      <c r="H501" s="794"/>
    </row>
    <row r="502" spans="5:8" ht="12.75" customHeight="1" x14ac:dyDescent="0.25">
      <c r="E502" s="793"/>
      <c r="F502" s="793"/>
      <c r="G502" s="793"/>
      <c r="H502" s="794"/>
    </row>
    <row r="503" spans="5:8" ht="12.75" customHeight="1" x14ac:dyDescent="0.25">
      <c r="E503" s="793"/>
      <c r="F503" s="793"/>
      <c r="G503" s="793"/>
      <c r="H503" s="794"/>
    </row>
    <row r="504" spans="5:8" ht="12.75" customHeight="1" x14ac:dyDescent="0.25">
      <c r="E504" s="793"/>
      <c r="F504" s="793"/>
      <c r="G504" s="793"/>
      <c r="H504" s="794"/>
    </row>
    <row r="505" spans="5:8" ht="12.75" customHeight="1" x14ac:dyDescent="0.25">
      <c r="E505" s="793"/>
      <c r="F505" s="793"/>
      <c r="G505" s="793"/>
      <c r="H505" s="794"/>
    </row>
    <row r="506" spans="5:8" ht="12.75" customHeight="1" x14ac:dyDescent="0.25">
      <c r="E506" s="793"/>
      <c r="F506" s="793"/>
      <c r="G506" s="793"/>
      <c r="H506" s="794"/>
    </row>
    <row r="507" spans="5:8" ht="12.75" customHeight="1" x14ac:dyDescent="0.25">
      <c r="E507" s="793"/>
      <c r="F507" s="793"/>
      <c r="G507" s="793"/>
      <c r="H507" s="794"/>
    </row>
    <row r="508" spans="5:8" ht="12.75" customHeight="1" x14ac:dyDescent="0.25">
      <c r="E508" s="793"/>
      <c r="F508" s="793"/>
      <c r="G508" s="793"/>
      <c r="H508" s="794"/>
    </row>
    <row r="509" spans="5:8" ht="12.75" customHeight="1" x14ac:dyDescent="0.25">
      <c r="E509" s="793"/>
      <c r="F509" s="793"/>
      <c r="G509" s="793"/>
      <c r="H509" s="794"/>
    </row>
    <row r="510" spans="5:8" ht="12.75" customHeight="1" x14ac:dyDescent="0.25">
      <c r="E510" s="793"/>
      <c r="F510" s="793"/>
      <c r="G510" s="793"/>
      <c r="H510" s="794"/>
    </row>
    <row r="511" spans="5:8" ht="12.75" customHeight="1" x14ac:dyDescent="0.25">
      <c r="E511" s="793"/>
      <c r="F511" s="793"/>
      <c r="G511" s="793"/>
      <c r="H511" s="794"/>
    </row>
    <row r="512" spans="5:8" ht="12.75" customHeight="1" x14ac:dyDescent="0.25">
      <c r="E512" s="793"/>
      <c r="F512" s="793"/>
      <c r="G512" s="793"/>
      <c r="H512" s="794"/>
    </row>
    <row r="513" spans="5:8" ht="12.75" customHeight="1" x14ac:dyDescent="0.25">
      <c r="E513" s="793"/>
      <c r="F513" s="793"/>
      <c r="G513" s="793"/>
      <c r="H513" s="794"/>
    </row>
    <row r="514" spans="5:8" ht="12.75" customHeight="1" x14ac:dyDescent="0.25">
      <c r="E514" s="793"/>
      <c r="F514" s="793"/>
      <c r="G514" s="793"/>
      <c r="H514" s="794"/>
    </row>
    <row r="515" spans="5:8" ht="12.75" customHeight="1" x14ac:dyDescent="0.25">
      <c r="E515" s="793"/>
      <c r="F515" s="793"/>
      <c r="G515" s="793"/>
      <c r="H515" s="794"/>
    </row>
    <row r="516" spans="5:8" ht="12.75" customHeight="1" x14ac:dyDescent="0.25">
      <c r="E516" s="793"/>
      <c r="F516" s="793"/>
      <c r="G516" s="793"/>
      <c r="H516" s="794"/>
    </row>
    <row r="517" spans="5:8" ht="12.75" customHeight="1" x14ac:dyDescent="0.25">
      <c r="E517" s="793"/>
      <c r="F517" s="793"/>
      <c r="G517" s="793"/>
      <c r="H517" s="794"/>
    </row>
    <row r="518" spans="5:8" ht="12.75" customHeight="1" x14ac:dyDescent="0.25">
      <c r="E518" s="793"/>
      <c r="F518" s="793"/>
      <c r="G518" s="793"/>
      <c r="H518" s="794"/>
    </row>
    <row r="519" spans="5:8" ht="12.75" customHeight="1" x14ac:dyDescent="0.25">
      <c r="E519" s="793"/>
      <c r="F519" s="793"/>
      <c r="G519" s="793"/>
      <c r="H519" s="794"/>
    </row>
    <row r="520" spans="5:8" ht="12.75" customHeight="1" x14ac:dyDescent="0.25">
      <c r="E520" s="793"/>
      <c r="F520" s="793"/>
      <c r="G520" s="793"/>
      <c r="H520" s="794"/>
    </row>
    <row r="521" spans="5:8" ht="12.75" customHeight="1" x14ac:dyDescent="0.25">
      <c r="E521" s="793"/>
      <c r="F521" s="793"/>
      <c r="G521" s="793"/>
      <c r="H521" s="794"/>
    </row>
    <row r="522" spans="5:8" ht="12.75" customHeight="1" x14ac:dyDescent="0.25">
      <c r="E522" s="793"/>
      <c r="F522" s="793"/>
      <c r="G522" s="793"/>
      <c r="H522" s="794"/>
    </row>
    <row r="523" spans="5:8" ht="12.75" customHeight="1" x14ac:dyDescent="0.25">
      <c r="E523" s="793"/>
      <c r="F523" s="793"/>
      <c r="G523" s="793"/>
      <c r="H523" s="794"/>
    </row>
    <row r="524" spans="5:8" ht="12.75" customHeight="1" x14ac:dyDescent="0.25">
      <c r="E524" s="793"/>
      <c r="F524" s="793"/>
      <c r="G524" s="793"/>
      <c r="H524" s="794"/>
    </row>
    <row r="525" spans="5:8" ht="12.75" customHeight="1" x14ac:dyDescent="0.25">
      <c r="E525" s="793"/>
      <c r="F525" s="793"/>
      <c r="G525" s="793"/>
      <c r="H525" s="794"/>
    </row>
    <row r="526" spans="5:8" ht="12.75" customHeight="1" x14ac:dyDescent="0.25">
      <c r="E526" s="793"/>
      <c r="F526" s="793"/>
      <c r="G526" s="793"/>
      <c r="H526" s="794"/>
    </row>
    <row r="527" spans="5:8" ht="12.75" customHeight="1" x14ac:dyDescent="0.25">
      <c r="E527" s="793"/>
      <c r="F527" s="793"/>
      <c r="G527" s="793"/>
      <c r="H527" s="794"/>
    </row>
    <row r="528" spans="5:8" ht="12.75" customHeight="1" x14ac:dyDescent="0.25">
      <c r="E528" s="793"/>
      <c r="F528" s="793"/>
      <c r="G528" s="793"/>
      <c r="H528" s="794"/>
    </row>
    <row r="529" spans="5:8" ht="12.75" customHeight="1" x14ac:dyDescent="0.25">
      <c r="E529" s="793"/>
      <c r="F529" s="793"/>
      <c r="G529" s="793"/>
      <c r="H529" s="794"/>
    </row>
    <row r="530" spans="5:8" ht="12.75" customHeight="1" x14ac:dyDescent="0.25">
      <c r="E530" s="793"/>
      <c r="F530" s="793"/>
      <c r="G530" s="793"/>
      <c r="H530" s="794"/>
    </row>
    <row r="531" spans="5:8" ht="12.75" customHeight="1" x14ac:dyDescent="0.25">
      <c r="E531" s="793"/>
      <c r="F531" s="793"/>
      <c r="G531" s="793"/>
      <c r="H531" s="794"/>
    </row>
    <row r="532" spans="5:8" ht="12.75" customHeight="1" x14ac:dyDescent="0.25">
      <c r="E532" s="793"/>
      <c r="F532" s="793"/>
      <c r="G532" s="793"/>
      <c r="H532" s="794"/>
    </row>
    <row r="533" spans="5:8" ht="12.75" customHeight="1" x14ac:dyDescent="0.25">
      <c r="E533" s="793"/>
      <c r="F533" s="793"/>
      <c r="G533" s="793"/>
      <c r="H533" s="794"/>
    </row>
    <row r="534" spans="5:8" ht="12.75" customHeight="1" x14ac:dyDescent="0.25">
      <c r="E534" s="793"/>
      <c r="F534" s="793"/>
      <c r="G534" s="793"/>
      <c r="H534" s="794"/>
    </row>
    <row r="535" spans="5:8" ht="12.75" customHeight="1" x14ac:dyDescent="0.25">
      <c r="E535" s="793"/>
      <c r="F535" s="793"/>
      <c r="G535" s="793"/>
      <c r="H535" s="794"/>
    </row>
    <row r="536" spans="5:8" ht="12.75" customHeight="1" x14ac:dyDescent="0.25">
      <c r="E536" s="793"/>
      <c r="F536" s="793"/>
      <c r="G536" s="793"/>
      <c r="H536" s="794"/>
    </row>
    <row r="537" spans="5:8" ht="12.75" customHeight="1" x14ac:dyDescent="0.25">
      <c r="E537" s="793"/>
      <c r="F537" s="793"/>
      <c r="G537" s="793"/>
      <c r="H537" s="794"/>
    </row>
    <row r="538" spans="5:8" ht="12.75" customHeight="1" x14ac:dyDescent="0.25">
      <c r="E538" s="793"/>
      <c r="F538" s="793"/>
      <c r="G538" s="793"/>
      <c r="H538" s="794"/>
    </row>
    <row r="539" spans="5:8" ht="12.75" customHeight="1" x14ac:dyDescent="0.25">
      <c r="E539" s="793"/>
      <c r="F539" s="793"/>
      <c r="G539" s="793"/>
      <c r="H539" s="794"/>
    </row>
    <row r="540" spans="5:8" ht="12.75" customHeight="1" x14ac:dyDescent="0.25">
      <c r="E540" s="793"/>
      <c r="F540" s="793"/>
      <c r="G540" s="793"/>
      <c r="H540" s="794"/>
    </row>
    <row r="541" spans="5:8" ht="12.75" customHeight="1" x14ac:dyDescent="0.25">
      <c r="E541" s="793"/>
      <c r="F541" s="793"/>
      <c r="G541" s="793"/>
      <c r="H541" s="794"/>
    </row>
    <row r="542" spans="5:8" ht="12.75" customHeight="1" x14ac:dyDescent="0.25">
      <c r="E542" s="793"/>
      <c r="F542" s="793"/>
      <c r="G542" s="793"/>
      <c r="H542" s="794"/>
    </row>
    <row r="543" spans="5:8" ht="12.75" customHeight="1" x14ac:dyDescent="0.25">
      <c r="E543" s="793"/>
      <c r="F543" s="793"/>
      <c r="G543" s="793"/>
      <c r="H543" s="794"/>
    </row>
    <row r="544" spans="5:8" ht="12.75" customHeight="1" x14ac:dyDescent="0.25">
      <c r="E544" s="793"/>
      <c r="F544" s="793"/>
      <c r="G544" s="793"/>
      <c r="H544" s="794"/>
    </row>
    <row r="545" spans="5:8" ht="12.75" customHeight="1" x14ac:dyDescent="0.25">
      <c r="E545" s="793"/>
      <c r="F545" s="793"/>
      <c r="G545" s="793"/>
      <c r="H545" s="794"/>
    </row>
    <row r="546" spans="5:8" ht="12.75" customHeight="1" x14ac:dyDescent="0.25">
      <c r="E546" s="793"/>
      <c r="F546" s="793"/>
      <c r="G546" s="793"/>
      <c r="H546" s="794"/>
    </row>
    <row r="547" spans="5:8" ht="12.75" customHeight="1" x14ac:dyDescent="0.25">
      <c r="E547" s="793"/>
      <c r="F547" s="793"/>
      <c r="G547" s="793"/>
      <c r="H547" s="794"/>
    </row>
    <row r="548" spans="5:8" ht="12.75" customHeight="1" x14ac:dyDescent="0.25">
      <c r="E548" s="793"/>
      <c r="F548" s="793"/>
      <c r="G548" s="793"/>
      <c r="H548" s="794"/>
    </row>
    <row r="549" spans="5:8" ht="12.75" customHeight="1" x14ac:dyDescent="0.25">
      <c r="E549" s="793"/>
      <c r="F549" s="793"/>
      <c r="G549" s="793"/>
      <c r="H549" s="794"/>
    </row>
    <row r="550" spans="5:8" ht="12.75" customHeight="1" x14ac:dyDescent="0.25">
      <c r="E550" s="793"/>
      <c r="F550" s="793"/>
      <c r="G550" s="793"/>
      <c r="H550" s="794"/>
    </row>
    <row r="551" spans="5:8" ht="12.75" customHeight="1" x14ac:dyDescent="0.25">
      <c r="E551" s="793"/>
      <c r="F551" s="793"/>
      <c r="G551" s="793"/>
      <c r="H551" s="794"/>
    </row>
    <row r="552" spans="5:8" ht="12.75" customHeight="1" x14ac:dyDescent="0.25">
      <c r="E552" s="793"/>
      <c r="F552" s="793"/>
      <c r="G552" s="793"/>
      <c r="H552" s="794"/>
    </row>
    <row r="553" spans="5:8" ht="12.75" customHeight="1" x14ac:dyDescent="0.25">
      <c r="E553" s="793"/>
      <c r="F553" s="793"/>
      <c r="G553" s="793"/>
      <c r="H553" s="794"/>
    </row>
    <row r="554" spans="5:8" ht="12.75" customHeight="1" x14ac:dyDescent="0.25">
      <c r="E554" s="793"/>
      <c r="F554" s="793"/>
      <c r="G554" s="793"/>
      <c r="H554" s="794"/>
    </row>
    <row r="555" spans="5:8" ht="12.75" customHeight="1" x14ac:dyDescent="0.25">
      <c r="E555" s="793"/>
      <c r="F555" s="793"/>
      <c r="G555" s="793"/>
      <c r="H555" s="794"/>
    </row>
    <row r="556" spans="5:8" ht="12.75" customHeight="1" x14ac:dyDescent="0.25">
      <c r="E556" s="793"/>
      <c r="F556" s="793"/>
      <c r="G556" s="793"/>
      <c r="H556" s="794"/>
    </row>
    <row r="557" spans="5:8" ht="12.75" customHeight="1" x14ac:dyDescent="0.25">
      <c r="E557" s="793"/>
      <c r="F557" s="793"/>
      <c r="G557" s="793"/>
      <c r="H557" s="794"/>
    </row>
    <row r="558" spans="5:8" ht="12.75" customHeight="1" x14ac:dyDescent="0.25">
      <c r="E558" s="793"/>
      <c r="F558" s="793"/>
      <c r="G558" s="793"/>
      <c r="H558" s="794"/>
    </row>
    <row r="559" spans="5:8" ht="12.75" customHeight="1" x14ac:dyDescent="0.25">
      <c r="E559" s="793"/>
      <c r="F559" s="793"/>
      <c r="G559" s="793"/>
      <c r="H559" s="794"/>
    </row>
    <row r="560" spans="5:8" ht="12.75" customHeight="1" x14ac:dyDescent="0.25">
      <c r="E560" s="793"/>
      <c r="F560" s="793"/>
      <c r="G560" s="793"/>
      <c r="H560" s="794"/>
    </row>
    <row r="561" spans="5:8" ht="12.75" customHeight="1" x14ac:dyDescent="0.25">
      <c r="E561" s="793"/>
      <c r="F561" s="793"/>
      <c r="G561" s="793"/>
      <c r="H561" s="794"/>
    </row>
    <row r="562" spans="5:8" ht="12.75" customHeight="1" x14ac:dyDescent="0.25">
      <c r="E562" s="793"/>
      <c r="F562" s="793"/>
      <c r="G562" s="793"/>
      <c r="H562" s="794"/>
    </row>
    <row r="563" spans="5:8" ht="12.75" customHeight="1" x14ac:dyDescent="0.25">
      <c r="E563" s="793"/>
      <c r="F563" s="793"/>
      <c r="G563" s="793"/>
      <c r="H563" s="794"/>
    </row>
    <row r="564" spans="5:8" ht="12.75" customHeight="1" x14ac:dyDescent="0.25">
      <c r="E564" s="793"/>
      <c r="F564" s="793"/>
      <c r="G564" s="793"/>
      <c r="H564" s="794"/>
    </row>
    <row r="565" spans="5:8" ht="12.75" customHeight="1" x14ac:dyDescent="0.25">
      <c r="E565" s="793"/>
      <c r="F565" s="793"/>
      <c r="G565" s="793"/>
      <c r="H565" s="794"/>
    </row>
    <row r="566" spans="5:8" ht="12.75" customHeight="1" x14ac:dyDescent="0.25">
      <c r="E566" s="793"/>
      <c r="F566" s="793"/>
      <c r="G566" s="793"/>
      <c r="H566" s="794"/>
    </row>
    <row r="567" spans="5:8" ht="12.75" customHeight="1" x14ac:dyDescent="0.25">
      <c r="E567" s="793"/>
      <c r="F567" s="793"/>
      <c r="G567" s="793"/>
      <c r="H567" s="794"/>
    </row>
    <row r="568" spans="5:8" ht="12.75" customHeight="1" x14ac:dyDescent="0.25">
      <c r="E568" s="793"/>
      <c r="F568" s="793"/>
      <c r="G568" s="793"/>
      <c r="H568" s="794"/>
    </row>
    <row r="569" spans="5:8" ht="12.75" customHeight="1" x14ac:dyDescent="0.25">
      <c r="E569" s="793"/>
      <c r="F569" s="793"/>
      <c r="G569" s="793"/>
      <c r="H569" s="794"/>
    </row>
    <row r="570" spans="5:8" ht="12.75" customHeight="1" x14ac:dyDescent="0.25">
      <c r="E570" s="793"/>
      <c r="F570" s="793"/>
      <c r="G570" s="793"/>
      <c r="H570" s="794"/>
    </row>
    <row r="571" spans="5:8" ht="12.75" customHeight="1" x14ac:dyDescent="0.25">
      <c r="E571" s="793"/>
      <c r="F571" s="793"/>
      <c r="G571" s="793"/>
      <c r="H571" s="794"/>
    </row>
    <row r="572" spans="5:8" ht="12.75" customHeight="1" x14ac:dyDescent="0.25">
      <c r="E572" s="793"/>
      <c r="F572" s="793"/>
      <c r="G572" s="793"/>
      <c r="H572" s="794"/>
    </row>
    <row r="573" spans="5:8" ht="12.75" customHeight="1" x14ac:dyDescent="0.25">
      <c r="E573" s="793"/>
      <c r="F573" s="793"/>
      <c r="G573" s="793"/>
      <c r="H573" s="794"/>
    </row>
    <row r="574" spans="5:8" ht="12.75" customHeight="1" x14ac:dyDescent="0.25">
      <c r="E574" s="793"/>
      <c r="F574" s="793"/>
      <c r="G574" s="793"/>
      <c r="H574" s="794"/>
    </row>
    <row r="575" spans="5:8" ht="12.75" customHeight="1" x14ac:dyDescent="0.25">
      <c r="E575" s="793"/>
      <c r="F575" s="793"/>
      <c r="G575" s="793"/>
      <c r="H575" s="794"/>
    </row>
    <row r="576" spans="5:8" ht="12.75" customHeight="1" x14ac:dyDescent="0.25">
      <c r="E576" s="793"/>
      <c r="F576" s="793"/>
      <c r="G576" s="793"/>
      <c r="H576" s="794"/>
    </row>
    <row r="577" spans="5:8" ht="12.75" customHeight="1" x14ac:dyDescent="0.25">
      <c r="E577" s="793"/>
      <c r="F577" s="793"/>
      <c r="G577" s="793"/>
      <c r="H577" s="794"/>
    </row>
    <row r="578" spans="5:8" ht="12.75" customHeight="1" x14ac:dyDescent="0.25">
      <c r="E578" s="793"/>
      <c r="F578" s="793"/>
      <c r="G578" s="793"/>
      <c r="H578" s="794"/>
    </row>
    <row r="579" spans="5:8" ht="12.75" customHeight="1" x14ac:dyDescent="0.25">
      <c r="E579" s="793"/>
      <c r="F579" s="793"/>
      <c r="G579" s="793"/>
      <c r="H579" s="794"/>
    </row>
    <row r="580" spans="5:8" ht="12.75" customHeight="1" x14ac:dyDescent="0.25">
      <c r="E580" s="793"/>
      <c r="F580" s="793"/>
      <c r="G580" s="793"/>
      <c r="H580" s="794"/>
    </row>
    <row r="581" spans="5:8" ht="12.75" customHeight="1" x14ac:dyDescent="0.25">
      <c r="E581" s="793"/>
      <c r="F581" s="793"/>
      <c r="G581" s="793"/>
      <c r="H581" s="794"/>
    </row>
    <row r="582" spans="5:8" ht="12.75" customHeight="1" x14ac:dyDescent="0.25">
      <c r="E582" s="793"/>
      <c r="F582" s="793"/>
      <c r="G582" s="793"/>
      <c r="H582" s="794"/>
    </row>
    <row r="583" spans="5:8" ht="12.75" customHeight="1" x14ac:dyDescent="0.25">
      <c r="E583" s="793"/>
      <c r="F583" s="793"/>
      <c r="G583" s="793"/>
      <c r="H583" s="794"/>
    </row>
    <row r="584" spans="5:8" ht="12.75" customHeight="1" x14ac:dyDescent="0.25">
      <c r="E584" s="793"/>
      <c r="F584" s="793"/>
      <c r="G584" s="793"/>
      <c r="H584" s="794"/>
    </row>
    <row r="585" spans="5:8" ht="12.75" customHeight="1" x14ac:dyDescent="0.25">
      <c r="E585" s="793"/>
      <c r="F585" s="793"/>
      <c r="G585" s="793"/>
      <c r="H585" s="794"/>
    </row>
    <row r="586" spans="5:8" ht="12.75" customHeight="1" x14ac:dyDescent="0.25">
      <c r="E586" s="793"/>
      <c r="F586" s="793"/>
      <c r="G586" s="793"/>
      <c r="H586" s="794"/>
    </row>
    <row r="587" spans="5:8" ht="12.75" customHeight="1" x14ac:dyDescent="0.25">
      <c r="E587" s="793"/>
      <c r="F587" s="793"/>
      <c r="G587" s="793"/>
      <c r="H587" s="794"/>
    </row>
    <row r="588" spans="5:8" ht="12.75" customHeight="1" x14ac:dyDescent="0.25">
      <c r="E588" s="793"/>
      <c r="F588" s="793"/>
      <c r="G588" s="793"/>
      <c r="H588" s="794"/>
    </row>
    <row r="589" spans="5:8" ht="12.75" customHeight="1" x14ac:dyDescent="0.25">
      <c r="E589" s="793"/>
      <c r="F589" s="793"/>
      <c r="G589" s="793"/>
      <c r="H589" s="794"/>
    </row>
    <row r="590" spans="5:8" ht="12.75" customHeight="1" x14ac:dyDescent="0.25">
      <c r="E590" s="793"/>
      <c r="F590" s="793"/>
      <c r="G590" s="793"/>
      <c r="H590" s="794"/>
    </row>
    <row r="591" spans="5:8" ht="12.75" customHeight="1" x14ac:dyDescent="0.25">
      <c r="E591" s="793"/>
      <c r="F591" s="793"/>
      <c r="G591" s="793"/>
      <c r="H591" s="794"/>
    </row>
    <row r="592" spans="5:8" ht="12.75" customHeight="1" x14ac:dyDescent="0.25">
      <c r="E592" s="793"/>
      <c r="F592" s="793"/>
      <c r="G592" s="793"/>
      <c r="H592" s="794"/>
    </row>
    <row r="593" spans="5:8" ht="12.75" customHeight="1" x14ac:dyDescent="0.25">
      <c r="E593" s="793"/>
      <c r="F593" s="793"/>
      <c r="G593" s="793"/>
      <c r="H593" s="794"/>
    </row>
    <row r="594" spans="5:8" ht="12.75" customHeight="1" x14ac:dyDescent="0.25">
      <c r="E594" s="793"/>
      <c r="F594" s="793"/>
      <c r="G594" s="793"/>
      <c r="H594" s="794"/>
    </row>
    <row r="595" spans="5:8" ht="12.75" customHeight="1" x14ac:dyDescent="0.25">
      <c r="E595" s="793"/>
      <c r="F595" s="793"/>
      <c r="G595" s="793"/>
      <c r="H595" s="794"/>
    </row>
    <row r="596" spans="5:8" ht="12.75" customHeight="1" x14ac:dyDescent="0.25">
      <c r="E596" s="793"/>
      <c r="F596" s="793"/>
      <c r="G596" s="793"/>
      <c r="H596" s="794"/>
    </row>
    <row r="597" spans="5:8" ht="12.75" customHeight="1" x14ac:dyDescent="0.25">
      <c r="E597" s="793"/>
      <c r="F597" s="793"/>
      <c r="G597" s="793"/>
      <c r="H597" s="794"/>
    </row>
    <row r="598" spans="5:8" ht="12.75" customHeight="1" x14ac:dyDescent="0.25">
      <c r="E598" s="793"/>
      <c r="F598" s="793"/>
      <c r="G598" s="793"/>
      <c r="H598" s="794"/>
    </row>
    <row r="599" spans="5:8" ht="12.75" customHeight="1" x14ac:dyDescent="0.25">
      <c r="E599" s="793"/>
      <c r="F599" s="793"/>
      <c r="G599" s="793"/>
      <c r="H599" s="794"/>
    </row>
    <row r="600" spans="5:8" ht="12.75" customHeight="1" x14ac:dyDescent="0.25">
      <c r="E600" s="793"/>
      <c r="F600" s="793"/>
      <c r="G600" s="793"/>
      <c r="H600" s="794"/>
    </row>
    <row r="601" spans="5:8" ht="12.75" customHeight="1" x14ac:dyDescent="0.25">
      <c r="E601" s="793"/>
      <c r="F601" s="793"/>
      <c r="G601" s="793"/>
      <c r="H601" s="794"/>
    </row>
    <row r="602" spans="5:8" ht="12.75" customHeight="1" x14ac:dyDescent="0.25">
      <c r="E602" s="793"/>
      <c r="F602" s="793"/>
      <c r="G602" s="793"/>
      <c r="H602" s="794"/>
    </row>
    <row r="603" spans="5:8" ht="12.75" customHeight="1" x14ac:dyDescent="0.25">
      <c r="E603" s="793"/>
      <c r="F603" s="793"/>
      <c r="G603" s="793"/>
      <c r="H603" s="794"/>
    </row>
    <row r="604" spans="5:8" ht="12.75" customHeight="1" x14ac:dyDescent="0.25">
      <c r="E604" s="793"/>
      <c r="F604" s="793"/>
      <c r="G604" s="793"/>
      <c r="H604" s="794"/>
    </row>
    <row r="605" spans="5:8" ht="12.75" customHeight="1" x14ac:dyDescent="0.25">
      <c r="E605" s="793"/>
      <c r="F605" s="793"/>
      <c r="G605" s="793"/>
      <c r="H605" s="794"/>
    </row>
    <row r="606" spans="5:8" ht="12.75" customHeight="1" x14ac:dyDescent="0.25">
      <c r="E606" s="793"/>
      <c r="F606" s="793"/>
      <c r="G606" s="793"/>
      <c r="H606" s="794"/>
    </row>
    <row r="607" spans="5:8" ht="12.75" customHeight="1" x14ac:dyDescent="0.25">
      <c r="E607" s="793"/>
      <c r="F607" s="793"/>
      <c r="G607" s="793"/>
      <c r="H607" s="794"/>
    </row>
    <row r="608" spans="5:8" ht="12.75" customHeight="1" x14ac:dyDescent="0.25">
      <c r="E608" s="793"/>
      <c r="F608" s="793"/>
      <c r="G608" s="793"/>
      <c r="H608" s="794"/>
    </row>
    <row r="609" spans="5:8" ht="12.75" customHeight="1" x14ac:dyDescent="0.25">
      <c r="E609" s="793"/>
      <c r="F609" s="793"/>
      <c r="G609" s="793"/>
      <c r="H609" s="794"/>
    </row>
    <row r="610" spans="5:8" ht="12.75" customHeight="1" x14ac:dyDescent="0.25">
      <c r="E610" s="793"/>
      <c r="F610" s="793"/>
      <c r="G610" s="793"/>
      <c r="H610" s="794"/>
    </row>
    <row r="611" spans="5:8" ht="12.75" customHeight="1" x14ac:dyDescent="0.25">
      <c r="E611" s="793"/>
      <c r="F611" s="793"/>
      <c r="G611" s="793"/>
      <c r="H611" s="794"/>
    </row>
    <row r="612" spans="5:8" ht="12.75" customHeight="1" x14ac:dyDescent="0.25">
      <c r="E612" s="793"/>
      <c r="F612" s="793"/>
      <c r="G612" s="793"/>
      <c r="H612" s="794"/>
    </row>
    <row r="613" spans="5:8" ht="12.75" customHeight="1" x14ac:dyDescent="0.25">
      <c r="E613" s="793"/>
      <c r="F613" s="793"/>
      <c r="G613" s="793"/>
      <c r="H613" s="794"/>
    </row>
    <row r="614" spans="5:8" ht="12.75" customHeight="1" x14ac:dyDescent="0.25">
      <c r="E614" s="793"/>
      <c r="F614" s="793"/>
      <c r="G614" s="793"/>
      <c r="H614" s="794"/>
    </row>
    <row r="615" spans="5:8" ht="12.75" customHeight="1" x14ac:dyDescent="0.25">
      <c r="E615" s="793"/>
      <c r="F615" s="793"/>
      <c r="G615" s="793"/>
      <c r="H615" s="794"/>
    </row>
    <row r="616" spans="5:8" ht="12.75" customHeight="1" x14ac:dyDescent="0.25">
      <c r="E616" s="793"/>
      <c r="F616" s="793"/>
      <c r="G616" s="793"/>
      <c r="H616" s="794"/>
    </row>
    <row r="617" spans="5:8" ht="12.75" customHeight="1" x14ac:dyDescent="0.25">
      <c r="E617" s="793"/>
      <c r="F617" s="793"/>
      <c r="G617" s="793"/>
      <c r="H617" s="794"/>
    </row>
    <row r="618" spans="5:8" ht="12.75" customHeight="1" x14ac:dyDescent="0.25">
      <c r="E618" s="793"/>
      <c r="F618" s="793"/>
      <c r="G618" s="793"/>
      <c r="H618" s="794"/>
    </row>
    <row r="619" spans="5:8" ht="12.75" customHeight="1" x14ac:dyDescent="0.25">
      <c r="E619" s="793"/>
      <c r="F619" s="793"/>
      <c r="G619" s="793"/>
      <c r="H619" s="794"/>
    </row>
    <row r="620" spans="5:8" ht="12.75" customHeight="1" x14ac:dyDescent="0.25">
      <c r="E620" s="793"/>
      <c r="F620" s="793"/>
      <c r="G620" s="793"/>
      <c r="H620" s="794"/>
    </row>
    <row r="621" spans="5:8" ht="12.75" customHeight="1" x14ac:dyDescent="0.25">
      <c r="E621" s="793"/>
      <c r="F621" s="793"/>
      <c r="G621" s="793"/>
      <c r="H621" s="794"/>
    </row>
    <row r="622" spans="5:8" ht="12.75" customHeight="1" x14ac:dyDescent="0.25">
      <c r="E622" s="793"/>
      <c r="F622" s="793"/>
      <c r="G622" s="793"/>
      <c r="H622" s="794"/>
    </row>
    <row r="623" spans="5:8" ht="12.75" customHeight="1" x14ac:dyDescent="0.25">
      <c r="E623" s="793"/>
      <c r="F623" s="793"/>
      <c r="G623" s="793"/>
      <c r="H623" s="794"/>
    </row>
    <row r="624" spans="5:8" ht="12.75" customHeight="1" x14ac:dyDescent="0.25">
      <c r="E624" s="793"/>
      <c r="F624" s="793"/>
      <c r="G624" s="793"/>
      <c r="H624" s="794"/>
    </row>
    <row r="625" spans="5:8" ht="12.75" customHeight="1" x14ac:dyDescent="0.25">
      <c r="E625" s="793"/>
      <c r="F625" s="793"/>
      <c r="G625" s="793"/>
      <c r="H625" s="794"/>
    </row>
    <row r="626" spans="5:8" ht="12.75" customHeight="1" x14ac:dyDescent="0.25">
      <c r="E626" s="793"/>
      <c r="F626" s="793"/>
      <c r="G626" s="793"/>
      <c r="H626" s="794"/>
    </row>
    <row r="627" spans="5:8" ht="12.75" customHeight="1" x14ac:dyDescent="0.25">
      <c r="E627" s="793"/>
      <c r="F627" s="793"/>
      <c r="G627" s="793"/>
      <c r="H627" s="794"/>
    </row>
    <row r="628" spans="5:8" ht="12.75" customHeight="1" x14ac:dyDescent="0.25">
      <c r="E628" s="793"/>
      <c r="F628" s="793"/>
      <c r="G628" s="793"/>
      <c r="H628" s="794"/>
    </row>
    <row r="629" spans="5:8" ht="12.75" customHeight="1" x14ac:dyDescent="0.25">
      <c r="E629" s="793"/>
      <c r="F629" s="793"/>
      <c r="G629" s="793"/>
      <c r="H629" s="794"/>
    </row>
    <row r="630" spans="5:8" ht="12.75" customHeight="1" x14ac:dyDescent="0.25">
      <c r="E630" s="793"/>
      <c r="F630" s="793"/>
      <c r="G630" s="793"/>
      <c r="H630" s="794"/>
    </row>
    <row r="631" spans="5:8" ht="12.75" customHeight="1" x14ac:dyDescent="0.25">
      <c r="E631" s="793"/>
      <c r="F631" s="793"/>
      <c r="G631" s="793"/>
      <c r="H631" s="794"/>
    </row>
    <row r="632" spans="5:8" ht="12.75" customHeight="1" x14ac:dyDescent="0.25">
      <c r="E632" s="793"/>
      <c r="F632" s="793"/>
      <c r="G632" s="793"/>
      <c r="H632" s="794"/>
    </row>
    <row r="633" spans="5:8" ht="12.75" customHeight="1" x14ac:dyDescent="0.25">
      <c r="E633" s="793"/>
      <c r="F633" s="793"/>
      <c r="G633" s="793"/>
      <c r="H633" s="794"/>
    </row>
    <row r="634" spans="5:8" ht="12.75" customHeight="1" x14ac:dyDescent="0.25">
      <c r="E634" s="793"/>
      <c r="F634" s="793"/>
      <c r="G634" s="793"/>
      <c r="H634" s="794"/>
    </row>
    <row r="635" spans="5:8" ht="12.75" customHeight="1" x14ac:dyDescent="0.25"/>
    <row r="636" spans="5:8" ht="12.75" customHeight="1" x14ac:dyDescent="0.25"/>
    <row r="637" spans="5:8" ht="12.75" customHeight="1" x14ac:dyDescent="0.25"/>
    <row r="638" spans="5:8" ht="12.75" customHeight="1" x14ac:dyDescent="0.25"/>
    <row r="639" spans="5:8" ht="12.75" customHeight="1" x14ac:dyDescent="0.25"/>
    <row r="640" spans="5:8"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row r="1068" ht="12.75" customHeight="1" x14ac:dyDescent="0.25"/>
    <row r="1069" ht="12.75" customHeight="1" x14ac:dyDescent="0.25"/>
    <row r="1070" ht="12.75" customHeight="1" x14ac:dyDescent="0.25"/>
    <row r="1071" ht="12.75" customHeight="1" x14ac:dyDescent="0.25"/>
    <row r="1072" ht="12.75" customHeight="1" x14ac:dyDescent="0.25"/>
    <row r="1073" ht="12.75" customHeight="1" x14ac:dyDescent="0.25"/>
    <row r="1074" ht="12.75" customHeight="1" x14ac:dyDescent="0.25"/>
    <row r="1075" ht="12.75" customHeight="1" x14ac:dyDescent="0.25"/>
    <row r="1076" ht="12.75" customHeight="1" x14ac:dyDescent="0.25"/>
    <row r="1077" ht="12.75" customHeight="1" x14ac:dyDescent="0.25"/>
    <row r="1078" ht="12.75" customHeight="1" x14ac:dyDescent="0.25"/>
    <row r="1079" ht="12.75" customHeight="1" x14ac:dyDescent="0.25"/>
    <row r="1080" ht="12.75" customHeight="1" x14ac:dyDescent="0.25"/>
    <row r="1081" ht="12.75" customHeight="1" x14ac:dyDescent="0.25"/>
    <row r="1082" ht="12.75" customHeight="1" x14ac:dyDescent="0.25"/>
    <row r="1083" ht="12.75" customHeight="1" x14ac:dyDescent="0.25"/>
    <row r="1084" ht="12.75" customHeight="1" x14ac:dyDescent="0.25"/>
    <row r="1085" ht="12.75" customHeight="1" x14ac:dyDescent="0.25"/>
    <row r="1086" ht="12.75" customHeight="1" x14ac:dyDescent="0.25"/>
    <row r="1087" ht="12.75" customHeight="1" x14ac:dyDescent="0.25"/>
    <row r="1088" ht="12.75" customHeight="1" x14ac:dyDescent="0.25"/>
    <row r="1089" ht="12.75" customHeight="1" x14ac:dyDescent="0.25"/>
    <row r="1090" ht="12.75" customHeight="1" x14ac:dyDescent="0.25"/>
    <row r="1091" ht="12.75" customHeight="1" x14ac:dyDescent="0.25"/>
    <row r="1092" ht="12.75" customHeight="1" x14ac:dyDescent="0.25"/>
    <row r="1093" ht="12.75" customHeight="1" x14ac:dyDescent="0.25"/>
    <row r="1094" ht="12.75" customHeight="1" x14ac:dyDescent="0.25"/>
    <row r="1095" ht="12.75" customHeight="1" x14ac:dyDescent="0.25"/>
    <row r="1096" ht="12.75" customHeight="1" x14ac:dyDescent="0.25"/>
    <row r="1097" ht="12.75" customHeight="1" x14ac:dyDescent="0.25"/>
    <row r="1098" ht="12.75" customHeight="1" x14ac:dyDescent="0.25"/>
    <row r="1099" ht="12.75" customHeight="1" x14ac:dyDescent="0.25"/>
    <row r="1100" ht="12.75" customHeight="1" x14ac:dyDescent="0.25"/>
    <row r="1101" ht="12.75" customHeight="1" x14ac:dyDescent="0.25"/>
    <row r="1102" ht="12.75" customHeight="1" x14ac:dyDescent="0.25"/>
    <row r="1103" ht="12.75" customHeight="1" x14ac:dyDescent="0.25"/>
    <row r="1104" ht="12.75" customHeight="1" x14ac:dyDescent="0.25"/>
    <row r="1105" ht="12.75" customHeight="1" x14ac:dyDescent="0.25"/>
    <row r="1106" ht="12.75" customHeight="1" x14ac:dyDescent="0.25"/>
    <row r="1107" ht="12.75" customHeight="1" x14ac:dyDescent="0.25"/>
    <row r="1108" ht="12.75" customHeight="1" x14ac:dyDescent="0.25"/>
    <row r="1109" ht="12.75" customHeight="1" x14ac:dyDescent="0.25"/>
  </sheetData>
  <sheetProtection algorithmName="SHA-512" hashValue="O/I/3qij/Rok24z8EdVi1ptdLzt1ovooAzhlrvaM9HePz3eu62grDt5PYq7yGbPFiCkRlUTh421Gy6iukMr99w==" saltValue="STepio80uUOKM0WZiU1vTw==" spinCount="100000" sheet="1" autoFilter="0"/>
  <mergeCells count="85">
    <mergeCell ref="A1:B2"/>
    <mergeCell ref="E1:H2"/>
    <mergeCell ref="K1:M1"/>
    <mergeCell ref="N1:P1"/>
    <mergeCell ref="AD1:AE2"/>
    <mergeCell ref="AH1:AJ2"/>
    <mergeCell ref="AK1:AN3"/>
    <mergeCell ref="K2:M2"/>
    <mergeCell ref="N2:O17"/>
    <mergeCell ref="P2:P17"/>
    <mergeCell ref="A3:B3"/>
    <mergeCell ref="K3:M3"/>
    <mergeCell ref="AD3:AE3"/>
    <mergeCell ref="A6:A9"/>
    <mergeCell ref="B6:B9"/>
    <mergeCell ref="AD6:AD9"/>
    <mergeCell ref="AE6:AE9"/>
    <mergeCell ref="A10:A13"/>
    <mergeCell ref="B10:B13"/>
    <mergeCell ref="AD10:AD13"/>
    <mergeCell ref="AE10:AE13"/>
    <mergeCell ref="A14:A17"/>
    <mergeCell ref="B14:B17"/>
    <mergeCell ref="AD14:AD17"/>
    <mergeCell ref="AE14:AE17"/>
    <mergeCell ref="AD18:AD21"/>
    <mergeCell ref="AE18:AE21"/>
    <mergeCell ref="A22:A25"/>
    <mergeCell ref="B22:B25"/>
    <mergeCell ref="N22:P23"/>
    <mergeCell ref="AD22:AD25"/>
    <mergeCell ref="AE22:AE25"/>
    <mergeCell ref="A18:A21"/>
    <mergeCell ref="B18:B21"/>
    <mergeCell ref="N18:N21"/>
    <mergeCell ref="O18:O21"/>
    <mergeCell ref="P18:P21"/>
    <mergeCell ref="A26:A29"/>
    <mergeCell ref="B26:B29"/>
    <mergeCell ref="AD26:AD29"/>
    <mergeCell ref="AE26:AE29"/>
    <mergeCell ref="A30:A33"/>
    <mergeCell ref="B30:B33"/>
    <mergeCell ref="AD30:AD33"/>
    <mergeCell ref="AE30:AE33"/>
    <mergeCell ref="A34:A37"/>
    <mergeCell ref="B34:B37"/>
    <mergeCell ref="AD34:AD37"/>
    <mergeCell ref="AE34:AE37"/>
    <mergeCell ref="A70:A73"/>
    <mergeCell ref="B70:B73"/>
    <mergeCell ref="AD70:AD73"/>
    <mergeCell ref="AE70:AE73"/>
    <mergeCell ref="A74:A77"/>
    <mergeCell ref="B74:B77"/>
    <mergeCell ref="AD74:AD77"/>
    <mergeCell ref="AE74:AE77"/>
    <mergeCell ref="A78:A81"/>
    <mergeCell ref="B78:B81"/>
    <mergeCell ref="AD78:AD81"/>
    <mergeCell ref="AE78:AE81"/>
    <mergeCell ref="A82:A85"/>
    <mergeCell ref="B82:B85"/>
    <mergeCell ref="AD82:AD85"/>
    <mergeCell ref="AE82:AE85"/>
    <mergeCell ref="A86:A89"/>
    <mergeCell ref="B86:B89"/>
    <mergeCell ref="AD86:AD89"/>
    <mergeCell ref="AE86:AE89"/>
    <mergeCell ref="A90:A93"/>
    <mergeCell ref="B90:B93"/>
    <mergeCell ref="AD90:AD93"/>
    <mergeCell ref="AE90:AE93"/>
    <mergeCell ref="A94:A97"/>
    <mergeCell ref="B94:B97"/>
    <mergeCell ref="AD94:AD97"/>
    <mergeCell ref="AE94:AE97"/>
    <mergeCell ref="A98:A101"/>
    <mergeCell ref="B98:B101"/>
    <mergeCell ref="AD98:AD101"/>
    <mergeCell ref="AE98:AE101"/>
    <mergeCell ref="A102:A109"/>
    <mergeCell ref="B102:B109"/>
    <mergeCell ref="AD102:AD109"/>
    <mergeCell ref="AE102:AE109"/>
  </mergeCells>
  <conditionalFormatting sqref="E3:G65536">
    <cfRule type="cellIs" dxfId="113" priority="2" operator="equal">
      <formula>0</formula>
    </cfRule>
  </conditionalFormatting>
  <conditionalFormatting sqref="K4:K109">
    <cfRule type="cellIs" dxfId="112" priority="12" operator="between">
      <formula>8</formula>
      <formula>1</formula>
    </cfRule>
  </conditionalFormatting>
  <conditionalFormatting sqref="M4:M5 M30:M37 M44:M45 M52:M53 M60:M61 M68:M69 M94:M109">
    <cfRule type="cellIs" dxfId="111" priority="10" operator="equal">
      <formula>"BIT OLD MAYBE"</formula>
    </cfRule>
    <cfRule type="cellIs" dxfId="110" priority="11" operator="equal">
      <formula>"TOO YOUNG"</formula>
    </cfRule>
  </conditionalFormatting>
  <conditionalFormatting sqref="M4:M109">
    <cfRule type="cellIs" dxfId="109" priority="9" operator="equal">
      <formula>"OK"</formula>
    </cfRule>
  </conditionalFormatting>
  <conditionalFormatting sqref="M6:M29 M38:M43 M46:M51 M54:M59 M62:M67 M70:M93">
    <cfRule type="cellIs" dxfId="108" priority="13" operator="equal">
      <formula>"NOT ELIGIBLE"</formula>
    </cfRule>
    <cfRule type="cellIs" dxfId="107" priority="14" operator="equal">
      <formula>"TOO YOUNG"</formula>
    </cfRule>
  </conditionalFormatting>
  <conditionalFormatting sqref="N2">
    <cfRule type="cellIs" dxfId="106" priority="3" operator="greaterThan">
      <formula>0</formula>
    </cfRule>
  </conditionalFormatting>
  <conditionalFormatting sqref="N18:O21">
    <cfRule type="cellIs" dxfId="105" priority="6" operator="greaterThan">
      <formula>0</formula>
    </cfRule>
  </conditionalFormatting>
  <conditionalFormatting sqref="P2">
    <cfRule type="cellIs" dxfId="104" priority="7" operator="greaterThan">
      <formula>0</formula>
    </cfRule>
  </conditionalFormatting>
  <conditionalFormatting sqref="P18">
    <cfRule type="cellIs" dxfId="103" priority="5" operator="greaterThan">
      <formula>0</formula>
    </cfRule>
  </conditionalFormatting>
  <conditionalFormatting sqref="Q1:Q17 P2 Q22:Q23">
    <cfRule type="cellIs" dxfId="102" priority="4" operator="greaterThan">
      <formula>"A"</formula>
    </cfRule>
  </conditionalFormatting>
  <conditionalFormatting sqref="AH1:AJ1 AH3:AJ3 AH4:AO98 AK99:AO105 AH99:AJ109">
    <cfRule type="cellIs" dxfId="101" priority="8" operator="equal">
      <formula>0</formula>
    </cfRule>
  </conditionalFormatting>
  <dataValidations count="9">
    <dataValidation allowBlank="1" showInputMessage="1" showErrorMessage="1" promptTitle="DRAG &amp; DROP IS NOT PERMITTED" sqref="J4:J101" xr:uid="{00000000-0002-0000-0900-000000000000}">
      <formula1>0</formula1>
      <formula2>0</formula2>
    </dataValidation>
    <dataValidation allowBlank="1" showInputMessage="1" showErrorMessage="1" promptTitle="IF EMPTY" prompt="Please add the row title GIVEN NAME in this box (See Left)" sqref="F3" xr:uid="{00000000-0002-0000-0900-000001000000}">
      <formula1>0</formula1>
      <formula2>0</formula2>
    </dataValidation>
    <dataValidation allowBlank="1" showInputMessage="1" showErrorMessage="1" promptTitle="IF EMPTY" prompt="Please add the row title FAMILY NAME in this box (See Left)" sqref="G3" xr:uid="{00000000-0002-0000-0900-000002000000}">
      <formula1>0</formula1>
      <formula2>0</formula2>
    </dataValidation>
    <dataValidation allowBlank="1" showInputMessage="1" showErrorMessage="1" promptTitle="IF EMPTY" prompt="Please add the row title ASA NO in this box (See Left)" sqref="E3" xr:uid="{00000000-0002-0000-0900-000003000000}">
      <formula1>0</formula1>
      <formula2>0</formula2>
    </dataValidation>
    <dataValidation allowBlank="1" showInputMessage="1" showErrorMessage="1" promptTitle="IF EMPTY" prompt="Please add the row title D.O.B. in this box (See Left)" sqref="H3" xr:uid="{00000000-0002-0000-0900-000004000000}">
      <formula1>0</formula1>
      <formula2>0</formula2>
    </dataValidation>
    <dataValidation allowBlank="1" showInputMessage="1" showErrorMessage="1" prompt="Enter the swimmers Family Name as registered with the ASA" sqref="G4 G30 G82" xr:uid="{00000000-0002-0000-0900-000005000000}">
      <formula1>0</formula1>
      <formula2>0</formula2>
    </dataValidation>
    <dataValidation allowBlank="1" showInputMessage="1" showErrorMessage="1" prompt="Enter the Swimmers Given name (1st Name) as registered with the ASA_x000a_" sqref="F4 F30 F82" xr:uid="{00000000-0002-0000-0900-000006000000}">
      <formula1>0</formula1>
      <formula2>0</formula2>
    </dataValidation>
    <dataValidation allowBlank="1" showInputMessage="1" showErrorMessage="1" prompt="Enter the Swimmers Date of birth.  Day, Month, Year  _x000a_ie 21/11/2011" sqref="H4 H52" xr:uid="{00000000-0002-0000-0900-000007000000}">
      <formula1>0</formula1>
      <formula2>0</formula2>
    </dataValidation>
    <dataValidation allowBlank="1" showInputMessage="1" showErrorMessage="1" error="You must now &quot;undo&quot; drag and drop" sqref="F5:H5 F31:G31 H53 F83:G83" xr:uid="{00000000-0002-0000-0900-000008000000}">
      <formula1>0</formula1>
      <formula2>0</formula2>
    </dataValidation>
  </dataValidations>
  <hyperlinks>
    <hyperlink ref="N18" location="'Gala Setup'!G2" display="Gala Setup" xr:uid="{00000000-0004-0000-0900-000000000000}"/>
    <hyperlink ref="O18" location="Recording!C26" display="Gala Recording" xr:uid="{00000000-0004-0000-0900-000001000000}"/>
    <hyperlink ref="P18" location="'Lane Timer sheets'!D1" display="Lane Timer Sheets" xr:uid="{00000000-0004-0000-0900-000002000000}"/>
  </hyperlinks>
  <pageMargins left="0.75" right="0.75" top="1" bottom="1" header="0.511811023622047" footer="0.511811023622047"/>
  <pageSetup paperSize="9" scale="64"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Q1109"/>
  <sheetViews>
    <sheetView showRowColHeaders="0" topLeftCell="A50" zoomScale="80" zoomScaleNormal="80" workbookViewId="0">
      <selection activeCell="F70" sqref="F70"/>
    </sheetView>
  </sheetViews>
  <sheetFormatPr defaultColWidth="8.6640625" defaultRowHeight="13.2" x14ac:dyDescent="0.25"/>
  <cols>
    <col min="1" max="1" width="4.5546875" customWidth="1"/>
    <col min="2" max="2" width="31.88671875" customWidth="1"/>
    <col min="3" max="3" width="4.5546875" hidden="1" customWidth="1"/>
    <col min="4" max="4" width="9.6640625" hidden="1" customWidth="1"/>
    <col min="5" max="5" width="9.88671875" style="130" customWidth="1"/>
    <col min="6" max="6" width="23.6640625" style="130" customWidth="1"/>
    <col min="7" max="7" width="33.88671875" style="130" customWidth="1"/>
    <col min="8" max="8" width="12.109375" style="698" customWidth="1"/>
    <col min="9" max="10" width="12.109375" hidden="1" customWidth="1"/>
    <col min="11" max="11" width="10.6640625" customWidth="1"/>
    <col min="12" max="12" width="4.5546875" hidden="1" customWidth="1"/>
    <col min="13" max="13" width="17.6640625" customWidth="1"/>
    <col min="14" max="15" width="14.6640625" style="134" customWidth="1"/>
    <col min="16" max="16" width="29.6640625" style="134" customWidth="1"/>
    <col min="17" max="17" width="8.33203125" style="134" customWidth="1"/>
    <col min="18" max="29" width="8.88671875" style="134" customWidth="1"/>
    <col min="30" max="30" width="4.5546875" style="699" customWidth="1"/>
    <col min="31" max="31" width="26" style="700" customWidth="1"/>
    <col min="32" max="32" width="2.33203125" hidden="1" customWidth="1"/>
    <col min="33" max="33" width="3.6640625" hidden="1" customWidth="1"/>
    <col min="34" max="34" width="9.88671875" customWidth="1"/>
    <col min="35" max="35" width="23.6640625" customWidth="1"/>
    <col min="36" max="36" width="34.33203125" customWidth="1"/>
    <col min="41" max="41" width="9.109375" customWidth="1"/>
    <col min="42" max="42" width="23.6640625" customWidth="1"/>
    <col min="43" max="43" width="8.109375" hidden="1" customWidth="1"/>
  </cols>
  <sheetData>
    <row r="1" spans="1:43" ht="42.75" customHeight="1" x14ac:dyDescent="0.25">
      <c r="A1" s="1267" t="s">
        <v>4621</v>
      </c>
      <c r="B1" s="1267"/>
      <c r="C1" s="701"/>
      <c r="D1" s="702"/>
      <c r="E1" s="1268" t="s">
        <v>4810</v>
      </c>
      <c r="F1" s="1268"/>
      <c r="G1" s="1268"/>
      <c r="H1" s="1268"/>
      <c r="I1" s="703"/>
      <c r="J1" s="704"/>
      <c r="K1" s="1269" t="s">
        <v>4623</v>
      </c>
      <c r="L1" s="1269"/>
      <c r="M1" s="1269"/>
      <c r="N1" s="1270" t="s">
        <v>4624</v>
      </c>
      <c r="O1" s="1270"/>
      <c r="P1" s="1270"/>
      <c r="Q1" s="705"/>
      <c r="AD1" s="1271" t="str">
        <f>'Team 1'!AD1</f>
        <v>TEAM NAME</v>
      </c>
      <c r="AE1" s="1271"/>
      <c r="AF1" s="706"/>
      <c r="AG1" s="707"/>
      <c r="AH1" s="1262" t="str">
        <f>E1</f>
        <v>AYLESBURY</v>
      </c>
      <c r="AI1" s="1262"/>
      <c r="AJ1" s="1262"/>
      <c r="AK1" s="1263"/>
      <c r="AL1" s="1263"/>
      <c r="AM1" s="1263"/>
      <c r="AN1" s="1263"/>
      <c r="AO1" s="708"/>
    </row>
    <row r="2" spans="1:43" ht="42.75" customHeight="1" x14ac:dyDescent="0.25">
      <c r="A2" s="1267"/>
      <c r="B2" s="1267"/>
      <c r="C2" s="709"/>
      <c r="D2" s="710"/>
      <c r="E2" s="1268"/>
      <c r="F2" s="1268"/>
      <c r="G2" s="1268"/>
      <c r="H2" s="1268"/>
      <c r="I2" s="711"/>
      <c r="J2" s="712"/>
      <c r="K2" s="1264">
        <f ca="1">DATE(YEAR(NOW()),12,31)</f>
        <v>45291</v>
      </c>
      <c r="L2" s="1264"/>
      <c r="M2" s="1264"/>
      <c r="N2" s="1265" t="s">
        <v>4811</v>
      </c>
      <c r="O2" s="1265"/>
      <c r="P2" s="1266" t="s">
        <v>4627</v>
      </c>
      <c r="Q2" s="705"/>
      <c r="AD2" s="1271"/>
      <c r="AE2" s="1271"/>
      <c r="AF2" s="713"/>
      <c r="AG2" s="714"/>
      <c r="AH2" s="1262"/>
      <c r="AI2" s="1262"/>
      <c r="AJ2" s="1262"/>
      <c r="AK2" s="1263"/>
      <c r="AL2" s="1263"/>
      <c r="AM2" s="1263"/>
      <c r="AN2" s="1263"/>
      <c r="AO2" s="708"/>
      <c r="AP2" s="708"/>
    </row>
    <row r="3" spans="1:43" ht="46.5" customHeight="1" x14ac:dyDescent="0.25">
      <c r="A3" s="1260" t="s">
        <v>39</v>
      </c>
      <c r="B3" s="1260"/>
      <c r="C3" s="715"/>
      <c r="D3" s="716"/>
      <c r="E3" s="717" t="s">
        <v>4628</v>
      </c>
      <c r="F3" s="718" t="s">
        <v>4629</v>
      </c>
      <c r="G3" s="718" t="s">
        <v>4630</v>
      </c>
      <c r="H3" s="795" t="s">
        <v>4631</v>
      </c>
      <c r="I3" s="720"/>
      <c r="J3" s="721"/>
      <c r="K3" s="1261" t="s">
        <v>4632</v>
      </c>
      <c r="L3" s="1261"/>
      <c r="M3" s="1261"/>
      <c r="N3" s="1265"/>
      <c r="O3" s="1265"/>
      <c r="P3" s="1266"/>
      <c r="Q3" s="705"/>
      <c r="AD3" s="1244"/>
      <c r="AE3" s="1244"/>
      <c r="AF3" s="723"/>
      <c r="AG3" s="724"/>
      <c r="AH3" s="725" t="str">
        <f>'Team 1'!AH3</f>
        <v>SE No</v>
      </c>
      <c r="AI3" s="726" t="s">
        <v>4629</v>
      </c>
      <c r="AJ3" s="726" t="s">
        <v>4630</v>
      </c>
      <c r="AK3" s="1263"/>
      <c r="AL3" s="1263"/>
      <c r="AM3" s="1263"/>
      <c r="AN3" s="1263"/>
      <c r="AO3" s="726"/>
      <c r="AQ3">
        <v>8</v>
      </c>
    </row>
    <row r="4" spans="1:43" ht="20.25" customHeight="1" x14ac:dyDescent="0.25">
      <c r="A4" s="727">
        <v>1</v>
      </c>
      <c r="B4" s="728" t="s">
        <v>4634</v>
      </c>
      <c r="C4" s="728" t="s">
        <v>4635</v>
      </c>
      <c r="D4" s="729">
        <f>IF('Gala Setup'!J$9="100M",29,IF('Gala Setup'!J$9="200M",16))</f>
        <v>16</v>
      </c>
      <c r="E4" s="730">
        <v>856295</v>
      </c>
      <c r="F4" s="731" t="s">
        <v>4812</v>
      </c>
      <c r="G4" s="731" t="s">
        <v>4813</v>
      </c>
      <c r="H4" s="732">
        <v>37374</v>
      </c>
      <c r="I4" s="733" t="str">
        <f t="shared" ref="I4:I35" si="0">CONCATENATE(F4," ",G4)</f>
        <v>LIBBY BLISSETT</v>
      </c>
      <c r="J4" s="734" t="str">
        <f t="shared" ref="J4:J35" si="1">CONCATENATE(G4,",",F4)</f>
        <v>BLISSETT,LIBBY</v>
      </c>
      <c r="K4" s="735">
        <f t="shared" ref="K4:K35" ca="1" si="2">IF(K$2=0,0,IF(AQ4=0,0,IF(COUNTBLANK(AQ4)=1,"",YEAR(K$2)-YEAR(AQ4)-IF(DATE(YEAR(K$2),MONTH(AQ4),DAY(4638))&gt;K$2,1,0))))</f>
        <v>21</v>
      </c>
      <c r="L4" s="736" t="str">
        <f t="shared" ref="L4:L35" si="3">(TEXT(H4,"DDMMYY"))</f>
        <v>280402</v>
      </c>
      <c r="M4" s="737" t="str">
        <f ca="1">IF(K4=0,0,IF(K4&lt;9,"TOO YOUNG",IF(K4&lt;60,"OK","BIT OLD MAYBE")))</f>
        <v>OK</v>
      </c>
      <c r="N4" s="1265"/>
      <c r="O4" s="1265"/>
      <c r="P4" s="1266"/>
      <c r="Q4" s="705"/>
      <c r="AD4" s="722">
        <f t="shared" ref="AD4:AE6" si="4">A4</f>
        <v>1</v>
      </c>
      <c r="AE4" s="738" t="str">
        <f t="shared" si="4"/>
        <v>FEMALE 16+  200M  IM</v>
      </c>
      <c r="AF4" s="440" t="s">
        <v>4635</v>
      </c>
      <c r="AG4" s="739">
        <v>16</v>
      </c>
      <c r="AH4" s="740">
        <f t="shared" ref="AH4:AH35" si="5">E4</f>
        <v>856295</v>
      </c>
      <c r="AI4" s="740" t="str">
        <f t="shared" ref="AI4:AI35" si="6">F4</f>
        <v>LIBBY</v>
      </c>
      <c r="AJ4" s="740" t="str">
        <f t="shared" ref="AJ4:AJ35" si="7">G4</f>
        <v>BLISSETT</v>
      </c>
      <c r="AK4" s="740"/>
      <c r="AL4" s="740"/>
      <c r="AM4" s="740"/>
      <c r="AN4" s="740"/>
      <c r="AO4" s="740"/>
      <c r="AQ4" s="741">
        <f t="shared" ref="AQ4:AQ35" ca="1" si="8">INDIRECT(ADDRESS(ROW(),AQ$3))</f>
        <v>37374</v>
      </c>
    </row>
    <row r="5" spans="1:43" ht="20.25" customHeight="1" x14ac:dyDescent="0.25">
      <c r="A5" s="727">
        <v>2</v>
      </c>
      <c r="B5" s="742" t="s">
        <v>4638</v>
      </c>
      <c r="C5" s="742" t="s">
        <v>328</v>
      </c>
      <c r="D5" s="729">
        <f>IF('Gala Setup'!J$9="100M",29,IF('Gala Setup'!J$9="200M",16))</f>
        <v>16</v>
      </c>
      <c r="E5" s="730">
        <v>1388593</v>
      </c>
      <c r="F5" s="731" t="s">
        <v>4814</v>
      </c>
      <c r="G5" s="731" t="s">
        <v>4815</v>
      </c>
      <c r="H5" s="732">
        <v>39385</v>
      </c>
      <c r="I5" s="733" t="str">
        <f t="shared" si="0"/>
        <v>ELLIS BUNCE</v>
      </c>
      <c r="J5" s="734" t="str">
        <f t="shared" si="1"/>
        <v>BUNCE,ELLIS</v>
      </c>
      <c r="K5" s="735">
        <f t="shared" ca="1" si="2"/>
        <v>16</v>
      </c>
      <c r="L5" s="736" t="str">
        <f t="shared" si="3"/>
        <v>301007</v>
      </c>
      <c r="M5" s="743" t="str">
        <f ca="1">IF(K5=0,0,IF(K5&lt;9,"TOO YOUNG",IF(K5&lt;60,"OK","BIT OLD MAYBE")))</f>
        <v>OK</v>
      </c>
      <c r="N5" s="1265"/>
      <c r="O5" s="1265"/>
      <c r="P5" s="1266"/>
      <c r="Q5" s="705"/>
      <c r="AD5" s="722">
        <f t="shared" si="4"/>
        <v>2</v>
      </c>
      <c r="AE5" s="738" t="str">
        <f t="shared" si="4"/>
        <v>OPEN/MALE 16+ 200M  IM</v>
      </c>
      <c r="AF5" s="443" t="s">
        <v>328</v>
      </c>
      <c r="AG5" s="744">
        <v>16</v>
      </c>
      <c r="AH5" s="740">
        <f t="shared" si="5"/>
        <v>1388593</v>
      </c>
      <c r="AI5" s="740" t="str">
        <f t="shared" si="6"/>
        <v>ELLIS</v>
      </c>
      <c r="AJ5" s="740" t="str">
        <f t="shared" si="7"/>
        <v>BUNCE</v>
      </c>
      <c r="AK5" s="740"/>
      <c r="AL5" s="740"/>
      <c r="AM5" s="740"/>
      <c r="AN5" s="740"/>
      <c r="AO5" s="740"/>
      <c r="AQ5" s="741">
        <f t="shared" ca="1" si="8"/>
        <v>39385</v>
      </c>
    </row>
    <row r="6" spans="1:43" ht="20.25" customHeight="1" x14ac:dyDescent="0.25">
      <c r="A6" s="1254">
        <v>3</v>
      </c>
      <c r="B6" s="1255" t="s">
        <v>4641</v>
      </c>
      <c r="C6" s="746"/>
      <c r="D6" s="747"/>
      <c r="E6" s="730">
        <v>1468360</v>
      </c>
      <c r="F6" s="731" t="s">
        <v>4816</v>
      </c>
      <c r="G6" s="731" t="s">
        <v>4817</v>
      </c>
      <c r="H6" s="732">
        <v>41109</v>
      </c>
      <c r="I6" s="733" t="str">
        <f t="shared" si="0"/>
        <v>WILLOW BROWNBRIDGE</v>
      </c>
      <c r="J6" s="734" t="str">
        <f t="shared" si="1"/>
        <v>BROWNBRIDGE,WILLOW</v>
      </c>
      <c r="K6" s="735">
        <f t="shared" ca="1" si="2"/>
        <v>11</v>
      </c>
      <c r="L6" s="736" t="str">
        <f t="shared" si="3"/>
        <v>190712</v>
      </c>
      <c r="M6" s="748" t="str">
        <f t="shared" ref="M6:M13" ca="1" si="9">IF(K6=0,0,IF(K6&lt;9,"TOO YOUNG",IF(K6&lt;12,"OK","NOT ELIGIBLE")))</f>
        <v>OK</v>
      </c>
      <c r="N6" s="1265"/>
      <c r="O6" s="1265"/>
      <c r="P6" s="1266"/>
      <c r="Q6" s="705"/>
      <c r="AD6" s="1244">
        <f t="shared" si="4"/>
        <v>3</v>
      </c>
      <c r="AE6" s="1245" t="str">
        <f t="shared" si="4"/>
        <v>FEMALE 9/11 4 X 50M
FREESTYLE RELAY</v>
      </c>
      <c r="AF6" s="749"/>
      <c r="AG6" s="750"/>
      <c r="AH6" s="740">
        <f t="shared" si="5"/>
        <v>1468360</v>
      </c>
      <c r="AI6" s="740" t="str">
        <f t="shared" si="6"/>
        <v>WILLOW</v>
      </c>
      <c r="AJ6" s="740" t="str">
        <f t="shared" si="7"/>
        <v>BROWNBRIDGE</v>
      </c>
      <c r="AK6" s="740"/>
      <c r="AL6" s="740"/>
      <c r="AM6" s="740"/>
      <c r="AN6" s="740"/>
      <c r="AO6" s="740"/>
      <c r="AQ6" s="741">
        <f t="shared" ca="1" si="8"/>
        <v>41109</v>
      </c>
    </row>
    <row r="7" spans="1:43" ht="20.25" customHeight="1" x14ac:dyDescent="0.25">
      <c r="A7" s="1254"/>
      <c r="B7" s="1255"/>
      <c r="C7" s="751"/>
      <c r="D7" s="752"/>
      <c r="E7" s="730">
        <v>1438744</v>
      </c>
      <c r="F7" s="731" t="s">
        <v>4818</v>
      </c>
      <c r="G7" s="731" t="s">
        <v>1275</v>
      </c>
      <c r="H7" s="732">
        <v>41079</v>
      </c>
      <c r="I7" s="733" t="str">
        <f t="shared" si="0"/>
        <v>CHELSEA DARE</v>
      </c>
      <c r="J7" s="734" t="str">
        <f t="shared" si="1"/>
        <v>DARE,CHELSEA</v>
      </c>
      <c r="K7" s="735">
        <f t="shared" ca="1" si="2"/>
        <v>11</v>
      </c>
      <c r="L7" s="736" t="str">
        <f t="shared" si="3"/>
        <v>190612</v>
      </c>
      <c r="M7" s="748" t="str">
        <f t="shared" ca="1" si="9"/>
        <v>OK</v>
      </c>
      <c r="N7" s="1265"/>
      <c r="O7" s="1265"/>
      <c r="P7" s="1266"/>
      <c r="Q7" s="705"/>
      <c r="AD7" s="1244"/>
      <c r="AE7" s="1245"/>
      <c r="AF7" s="753"/>
      <c r="AG7" s="754"/>
      <c r="AH7" s="740">
        <f t="shared" si="5"/>
        <v>1438744</v>
      </c>
      <c r="AI7" s="740" t="str">
        <f t="shared" si="6"/>
        <v>CHELSEA</v>
      </c>
      <c r="AJ7" s="740" t="str">
        <f t="shared" si="7"/>
        <v>DARE</v>
      </c>
      <c r="AK7" s="740"/>
      <c r="AL7" s="740"/>
      <c r="AM7" s="740"/>
      <c r="AN7" s="740"/>
      <c r="AO7" s="740"/>
      <c r="AQ7" s="741">
        <f t="shared" ca="1" si="8"/>
        <v>41079</v>
      </c>
    </row>
    <row r="8" spans="1:43" ht="20.25" customHeight="1" x14ac:dyDescent="0.25">
      <c r="A8" s="1254"/>
      <c r="B8" s="1255"/>
      <c r="C8" s="751"/>
      <c r="D8" s="752"/>
      <c r="E8" s="730">
        <v>1620288</v>
      </c>
      <c r="F8" s="731" t="s">
        <v>4786</v>
      </c>
      <c r="G8" s="731" t="s">
        <v>4819</v>
      </c>
      <c r="H8" s="732">
        <v>41248</v>
      </c>
      <c r="I8" s="733" t="str">
        <f t="shared" si="0"/>
        <v>Olivia Genge</v>
      </c>
      <c r="J8" s="734" t="str">
        <f t="shared" si="1"/>
        <v>Genge,Olivia</v>
      </c>
      <c r="K8" s="735">
        <f t="shared" ca="1" si="2"/>
        <v>11</v>
      </c>
      <c r="L8" s="736" t="str">
        <f t="shared" si="3"/>
        <v>051212</v>
      </c>
      <c r="M8" s="748" t="str">
        <f t="shared" ca="1" si="9"/>
        <v>OK</v>
      </c>
      <c r="N8" s="1265"/>
      <c r="O8" s="1265"/>
      <c r="P8" s="1266"/>
      <c r="Q8" s="705"/>
      <c r="AD8" s="1244"/>
      <c r="AE8" s="1245"/>
      <c r="AF8" s="753"/>
      <c r="AG8" s="754"/>
      <c r="AH8" s="740">
        <f t="shared" si="5"/>
        <v>1620288</v>
      </c>
      <c r="AI8" s="740" t="str">
        <f t="shared" si="6"/>
        <v>Olivia</v>
      </c>
      <c r="AJ8" s="740" t="str">
        <f t="shared" si="7"/>
        <v>Genge</v>
      </c>
      <c r="AK8" s="740"/>
      <c r="AL8" s="740"/>
      <c r="AM8" s="740"/>
      <c r="AN8" s="740"/>
      <c r="AO8" s="740"/>
      <c r="AQ8" s="741">
        <f t="shared" ca="1" si="8"/>
        <v>41248</v>
      </c>
    </row>
    <row r="9" spans="1:43" ht="20.25" customHeight="1" x14ac:dyDescent="0.25">
      <c r="A9" s="1254"/>
      <c r="B9" s="1255"/>
      <c r="C9" s="751"/>
      <c r="D9" s="752"/>
      <c r="E9" s="730">
        <v>1735254</v>
      </c>
      <c r="F9" s="731" t="s">
        <v>4820</v>
      </c>
      <c r="G9" s="731" t="s">
        <v>4821</v>
      </c>
      <c r="H9" s="732">
        <v>41016</v>
      </c>
      <c r="I9" s="733" t="str">
        <f t="shared" si="0"/>
        <v>MIA ZUBCEVIC</v>
      </c>
      <c r="J9" s="734" t="str">
        <f t="shared" si="1"/>
        <v>ZUBCEVIC,MIA</v>
      </c>
      <c r="K9" s="735">
        <f t="shared" ca="1" si="2"/>
        <v>11</v>
      </c>
      <c r="L9" s="736" t="str">
        <f t="shared" si="3"/>
        <v>170412</v>
      </c>
      <c r="M9" s="748" t="str">
        <f t="shared" ca="1" si="9"/>
        <v>OK</v>
      </c>
      <c r="N9" s="1265"/>
      <c r="O9" s="1265"/>
      <c r="P9" s="1266"/>
      <c r="Q9" s="705"/>
      <c r="AD9" s="1244"/>
      <c r="AE9" s="1245"/>
      <c r="AF9" s="753"/>
      <c r="AG9" s="754"/>
      <c r="AH9" s="740">
        <f t="shared" si="5"/>
        <v>1735254</v>
      </c>
      <c r="AI9" s="740" t="str">
        <f t="shared" si="6"/>
        <v>MIA</v>
      </c>
      <c r="AJ9" s="740" t="str">
        <f t="shared" si="7"/>
        <v>ZUBCEVIC</v>
      </c>
      <c r="AK9" s="740"/>
      <c r="AL9" s="740"/>
      <c r="AM9" s="740"/>
      <c r="AN9" s="740"/>
      <c r="AO9" s="740"/>
      <c r="AQ9" s="741">
        <f t="shared" ca="1" si="8"/>
        <v>41016</v>
      </c>
    </row>
    <row r="10" spans="1:43" ht="20.25" customHeight="1" x14ac:dyDescent="0.25">
      <c r="A10" s="1254">
        <v>4</v>
      </c>
      <c r="B10" s="1255" t="s">
        <v>4650</v>
      </c>
      <c r="C10" s="746"/>
      <c r="D10" s="747"/>
      <c r="E10" s="730">
        <v>1578227</v>
      </c>
      <c r="F10" s="731" t="s">
        <v>4822</v>
      </c>
      <c r="G10" s="731" t="s">
        <v>4823</v>
      </c>
      <c r="H10" s="732">
        <v>41189</v>
      </c>
      <c r="I10" s="733" t="str">
        <f t="shared" si="0"/>
        <v>JAMES MOHAMMED</v>
      </c>
      <c r="J10" s="734" t="str">
        <f t="shared" si="1"/>
        <v>MOHAMMED,JAMES</v>
      </c>
      <c r="K10" s="735">
        <f t="shared" ca="1" si="2"/>
        <v>11</v>
      </c>
      <c r="L10" s="736" t="str">
        <f t="shared" si="3"/>
        <v>071012</v>
      </c>
      <c r="M10" s="748" t="str">
        <f t="shared" ca="1" si="9"/>
        <v>OK</v>
      </c>
      <c r="N10" s="1265"/>
      <c r="O10" s="1265"/>
      <c r="P10" s="1266"/>
      <c r="Q10" s="705"/>
      <c r="AD10" s="1244">
        <f>A10</f>
        <v>4</v>
      </c>
      <c r="AE10" s="1245" t="str">
        <f>B10</f>
        <v>OPEN/MALE 9/11 4 X50M
FREESTYLE RELAY</v>
      </c>
      <c r="AF10" s="749"/>
      <c r="AG10" s="750"/>
      <c r="AH10" s="740">
        <f t="shared" si="5"/>
        <v>1578227</v>
      </c>
      <c r="AI10" s="740" t="str">
        <f t="shared" si="6"/>
        <v>JAMES</v>
      </c>
      <c r="AJ10" s="740" t="str">
        <f t="shared" si="7"/>
        <v>MOHAMMED</v>
      </c>
      <c r="AK10" s="740"/>
      <c r="AL10" s="740"/>
      <c r="AM10" s="740"/>
      <c r="AN10" s="740"/>
      <c r="AO10" s="740"/>
      <c r="AQ10" s="741">
        <f t="shared" ca="1" si="8"/>
        <v>41189</v>
      </c>
    </row>
    <row r="11" spans="1:43" ht="20.25" customHeight="1" x14ac:dyDescent="0.25">
      <c r="A11" s="1254"/>
      <c r="B11" s="1255"/>
      <c r="C11" s="751"/>
      <c r="D11" s="752"/>
      <c r="E11" s="730">
        <v>1468363</v>
      </c>
      <c r="F11" s="731" t="s">
        <v>4824</v>
      </c>
      <c r="G11" s="731" t="s">
        <v>4825</v>
      </c>
      <c r="H11" s="732">
        <v>41231</v>
      </c>
      <c r="I11" s="733" t="str">
        <f t="shared" si="0"/>
        <v>SIMON ROSA</v>
      </c>
      <c r="J11" s="734" t="str">
        <f t="shared" si="1"/>
        <v>ROSA,SIMON</v>
      </c>
      <c r="K11" s="735">
        <f t="shared" ca="1" si="2"/>
        <v>11</v>
      </c>
      <c r="L11" s="736" t="str">
        <f t="shared" si="3"/>
        <v>181112</v>
      </c>
      <c r="M11" s="748" t="str">
        <f t="shared" ca="1" si="9"/>
        <v>OK</v>
      </c>
      <c r="N11" s="1265"/>
      <c r="O11" s="1265"/>
      <c r="P11" s="1266"/>
      <c r="Q11" s="705"/>
      <c r="AD11" s="1244"/>
      <c r="AE11" s="1245"/>
      <c r="AF11" s="753"/>
      <c r="AG11" s="754"/>
      <c r="AH11" s="740">
        <f t="shared" si="5"/>
        <v>1468363</v>
      </c>
      <c r="AI11" s="740" t="str">
        <f t="shared" si="6"/>
        <v>SIMON</v>
      </c>
      <c r="AJ11" s="740" t="str">
        <f t="shared" si="7"/>
        <v>ROSA</v>
      </c>
      <c r="AK11" s="740"/>
      <c r="AL11" s="740"/>
      <c r="AM11" s="740"/>
      <c r="AN11" s="740"/>
      <c r="AO11" s="740"/>
      <c r="AQ11" s="741">
        <f t="shared" ca="1" si="8"/>
        <v>41231</v>
      </c>
    </row>
    <row r="12" spans="1:43" ht="20.25" customHeight="1" x14ac:dyDescent="0.25">
      <c r="A12" s="1254"/>
      <c r="B12" s="1255"/>
      <c r="C12" s="751"/>
      <c r="D12" s="752"/>
      <c r="E12" s="730">
        <v>1689774</v>
      </c>
      <c r="F12" s="731" t="s">
        <v>4826</v>
      </c>
      <c r="G12" s="731" t="s">
        <v>4827</v>
      </c>
      <c r="H12" s="732">
        <v>41166</v>
      </c>
      <c r="I12" s="733" t="str">
        <f t="shared" si="0"/>
        <v>CHARLIE COJEEN</v>
      </c>
      <c r="J12" s="734" t="str">
        <f t="shared" si="1"/>
        <v>COJEEN,CHARLIE</v>
      </c>
      <c r="K12" s="735">
        <f t="shared" ca="1" si="2"/>
        <v>11</v>
      </c>
      <c r="L12" s="736" t="str">
        <f t="shared" si="3"/>
        <v>140912</v>
      </c>
      <c r="M12" s="748" t="str">
        <f t="shared" ca="1" si="9"/>
        <v>OK</v>
      </c>
      <c r="N12" s="1265"/>
      <c r="O12" s="1265"/>
      <c r="P12" s="1266"/>
      <c r="Q12" s="705"/>
      <c r="AD12" s="1244"/>
      <c r="AE12" s="1245"/>
      <c r="AF12" s="753"/>
      <c r="AG12" s="754"/>
      <c r="AH12" s="740">
        <f t="shared" si="5"/>
        <v>1689774</v>
      </c>
      <c r="AI12" s="740" t="str">
        <f t="shared" si="6"/>
        <v>CHARLIE</v>
      </c>
      <c r="AJ12" s="740" t="str">
        <f t="shared" si="7"/>
        <v>COJEEN</v>
      </c>
      <c r="AK12" s="740"/>
      <c r="AL12" s="740"/>
      <c r="AM12" s="740"/>
      <c r="AN12" s="740"/>
      <c r="AO12" s="740"/>
      <c r="AQ12" s="741">
        <f t="shared" ca="1" si="8"/>
        <v>41166</v>
      </c>
    </row>
    <row r="13" spans="1:43" ht="20.25" customHeight="1" x14ac:dyDescent="0.25">
      <c r="A13" s="1254"/>
      <c r="B13" s="1255"/>
      <c r="C13" s="751"/>
      <c r="D13" s="752"/>
      <c r="E13" s="730">
        <v>1733897</v>
      </c>
      <c r="F13" s="731" t="s">
        <v>4828</v>
      </c>
      <c r="G13" s="731" t="s">
        <v>4829</v>
      </c>
      <c r="H13" s="732">
        <v>41816</v>
      </c>
      <c r="I13" s="733" t="str">
        <f t="shared" si="0"/>
        <v>SOLOMON HAWKES</v>
      </c>
      <c r="J13" s="734" t="str">
        <f t="shared" si="1"/>
        <v>HAWKES,SOLOMON</v>
      </c>
      <c r="K13" s="735">
        <f t="shared" ca="1" si="2"/>
        <v>9</v>
      </c>
      <c r="L13" s="736" t="str">
        <f t="shared" si="3"/>
        <v>260614</v>
      </c>
      <c r="M13" s="748" t="str">
        <f t="shared" ca="1" si="9"/>
        <v>OK</v>
      </c>
      <c r="N13" s="1265"/>
      <c r="O13" s="1265"/>
      <c r="P13" s="1266"/>
      <c r="Q13" s="705"/>
      <c r="AD13" s="1244"/>
      <c r="AE13" s="1245"/>
      <c r="AF13" s="753"/>
      <c r="AG13" s="754"/>
      <c r="AH13" s="740">
        <f t="shared" si="5"/>
        <v>1733897</v>
      </c>
      <c r="AI13" s="740" t="str">
        <f t="shared" si="6"/>
        <v>SOLOMON</v>
      </c>
      <c r="AJ13" s="740" t="str">
        <f t="shared" si="7"/>
        <v>HAWKES</v>
      </c>
      <c r="AK13" s="740"/>
      <c r="AL13" s="740"/>
      <c r="AM13" s="740"/>
      <c r="AN13" s="740"/>
      <c r="AO13" s="740"/>
      <c r="AQ13" s="741">
        <f t="shared" ca="1" si="8"/>
        <v>41816</v>
      </c>
    </row>
    <row r="14" spans="1:43" ht="20.25" customHeight="1" x14ac:dyDescent="0.25">
      <c r="A14" s="1252">
        <v>5</v>
      </c>
      <c r="B14" s="1253" t="s">
        <v>4651</v>
      </c>
      <c r="C14" s="756"/>
      <c r="D14" s="757"/>
      <c r="E14" s="730">
        <v>1458055</v>
      </c>
      <c r="F14" s="731" t="s">
        <v>4830</v>
      </c>
      <c r="G14" s="731" t="s">
        <v>4827</v>
      </c>
      <c r="H14" s="732">
        <v>40527</v>
      </c>
      <c r="I14" s="733" t="str">
        <f t="shared" si="0"/>
        <v>ANNABELLA COJEEN</v>
      </c>
      <c r="J14" s="734" t="str">
        <f t="shared" si="1"/>
        <v>COJEEN,ANNABELLA</v>
      </c>
      <c r="K14" s="735">
        <f t="shared" ca="1" si="2"/>
        <v>13</v>
      </c>
      <c r="L14" s="736" t="str">
        <f t="shared" si="3"/>
        <v>151210</v>
      </c>
      <c r="M14" s="748" t="str">
        <f t="shared" ref="M14:M21" ca="1" si="10">IF(K14=0,0,IF(K14&lt;9,"TOO YOUNG",IF(K14&lt;14,"OK","NOT ELIGIBLE")))</f>
        <v>OK</v>
      </c>
      <c r="N14" s="1265"/>
      <c r="O14" s="1265"/>
      <c r="P14" s="1266"/>
      <c r="Q14" s="705"/>
      <c r="AD14" s="1244">
        <f>A14</f>
        <v>5</v>
      </c>
      <c r="AE14" s="1245" t="str">
        <f>B14</f>
        <v>FEMALE 13/U 4 X 50M
MEDLEY RELAY</v>
      </c>
      <c r="AF14" s="749"/>
      <c r="AG14" s="750"/>
      <c r="AH14" s="740">
        <f t="shared" si="5"/>
        <v>1458055</v>
      </c>
      <c r="AI14" s="740" t="str">
        <f t="shared" si="6"/>
        <v>ANNABELLA</v>
      </c>
      <c r="AJ14" s="740" t="str">
        <f t="shared" si="7"/>
        <v>COJEEN</v>
      </c>
      <c r="AK14" s="740"/>
      <c r="AL14" s="740"/>
      <c r="AM14" s="740"/>
      <c r="AN14" s="740"/>
      <c r="AO14" s="740"/>
      <c r="AQ14" s="741">
        <f t="shared" ca="1" si="8"/>
        <v>40527</v>
      </c>
    </row>
    <row r="15" spans="1:43" ht="20.25" customHeight="1" x14ac:dyDescent="0.25">
      <c r="A15" s="1252"/>
      <c r="B15" s="1253"/>
      <c r="C15" s="758"/>
      <c r="D15" s="759"/>
      <c r="E15" s="730">
        <v>1403242</v>
      </c>
      <c r="F15" s="731" t="s">
        <v>4831</v>
      </c>
      <c r="G15" s="731" t="s">
        <v>4832</v>
      </c>
      <c r="H15" s="732">
        <v>40206</v>
      </c>
      <c r="I15" s="733" t="str">
        <f t="shared" si="0"/>
        <v>FRANCES STARSMORE</v>
      </c>
      <c r="J15" s="734" t="str">
        <f t="shared" si="1"/>
        <v>STARSMORE,FRANCES</v>
      </c>
      <c r="K15" s="735">
        <f t="shared" ca="1" si="2"/>
        <v>13</v>
      </c>
      <c r="L15" s="736" t="str">
        <f t="shared" si="3"/>
        <v>280110</v>
      </c>
      <c r="M15" s="748" t="str">
        <f t="shared" ca="1" si="10"/>
        <v>OK</v>
      </c>
      <c r="N15" s="1265"/>
      <c r="O15" s="1265"/>
      <c r="P15" s="1266"/>
      <c r="Q15" s="705"/>
      <c r="AD15" s="1244"/>
      <c r="AE15" s="1245"/>
      <c r="AF15" s="753"/>
      <c r="AG15" s="754"/>
      <c r="AH15" s="740">
        <f t="shared" si="5"/>
        <v>1403242</v>
      </c>
      <c r="AI15" s="740" t="str">
        <f t="shared" si="6"/>
        <v>FRANCES</v>
      </c>
      <c r="AJ15" s="740" t="str">
        <f t="shared" si="7"/>
        <v>STARSMORE</v>
      </c>
      <c r="AK15" s="740"/>
      <c r="AL15" s="740"/>
      <c r="AM15" s="740"/>
      <c r="AN15" s="740"/>
      <c r="AO15" s="740"/>
      <c r="AQ15" s="741">
        <f t="shared" ca="1" si="8"/>
        <v>40206</v>
      </c>
    </row>
    <row r="16" spans="1:43" ht="20.25" customHeight="1" x14ac:dyDescent="0.25">
      <c r="A16" s="1252"/>
      <c r="B16" s="1253"/>
      <c r="C16" s="758"/>
      <c r="D16" s="759"/>
      <c r="E16" s="730">
        <v>1511245</v>
      </c>
      <c r="F16" s="731" t="s">
        <v>4833</v>
      </c>
      <c r="G16" s="731" t="s">
        <v>4823</v>
      </c>
      <c r="H16" s="732">
        <v>40442</v>
      </c>
      <c r="I16" s="733" t="str">
        <f t="shared" si="0"/>
        <v>ISLA MOHAMMED</v>
      </c>
      <c r="J16" s="734" t="str">
        <f t="shared" si="1"/>
        <v>MOHAMMED,ISLA</v>
      </c>
      <c r="K16" s="735">
        <f t="shared" ca="1" si="2"/>
        <v>13</v>
      </c>
      <c r="L16" s="736" t="str">
        <f t="shared" si="3"/>
        <v>210910</v>
      </c>
      <c r="M16" s="748" t="str">
        <f t="shared" ca="1" si="10"/>
        <v>OK</v>
      </c>
      <c r="N16" s="1265"/>
      <c r="O16" s="1265"/>
      <c r="P16" s="1266"/>
      <c r="Q16" s="705"/>
      <c r="AD16" s="1244"/>
      <c r="AE16" s="1245"/>
      <c r="AF16" s="753"/>
      <c r="AG16" s="754"/>
      <c r="AH16" s="740">
        <f t="shared" si="5"/>
        <v>1511245</v>
      </c>
      <c r="AI16" s="740" t="str">
        <f t="shared" si="6"/>
        <v>ISLA</v>
      </c>
      <c r="AJ16" s="740" t="str">
        <f t="shared" si="7"/>
        <v>MOHAMMED</v>
      </c>
      <c r="AK16" s="740"/>
      <c r="AL16" s="740"/>
      <c r="AM16" s="740"/>
      <c r="AN16" s="740"/>
      <c r="AO16" s="740"/>
      <c r="AQ16" s="741">
        <f t="shared" ca="1" si="8"/>
        <v>40442</v>
      </c>
    </row>
    <row r="17" spans="1:43" ht="20.25" customHeight="1" x14ac:dyDescent="0.25">
      <c r="A17" s="1252"/>
      <c r="B17" s="1253"/>
      <c r="C17" s="758"/>
      <c r="D17" s="759"/>
      <c r="E17" s="730">
        <v>1419811</v>
      </c>
      <c r="F17" s="731" t="s">
        <v>4834</v>
      </c>
      <c r="G17" s="731" t="s">
        <v>4835</v>
      </c>
      <c r="H17" s="732">
        <v>40468</v>
      </c>
      <c r="I17" s="733" t="str">
        <f t="shared" si="0"/>
        <v>AVA IANNONE</v>
      </c>
      <c r="J17" s="734" t="str">
        <f t="shared" si="1"/>
        <v>IANNONE,AVA</v>
      </c>
      <c r="K17" s="735">
        <f t="shared" ca="1" si="2"/>
        <v>13</v>
      </c>
      <c r="L17" s="736" t="str">
        <f t="shared" si="3"/>
        <v>171010</v>
      </c>
      <c r="M17" s="748" t="str">
        <f t="shared" ca="1" si="10"/>
        <v>OK</v>
      </c>
      <c r="N17" s="1265"/>
      <c r="O17" s="1265"/>
      <c r="P17" s="1266"/>
      <c r="Q17" s="705"/>
      <c r="AD17" s="1244"/>
      <c r="AE17" s="1245"/>
      <c r="AF17" s="753"/>
      <c r="AG17" s="754"/>
      <c r="AH17" s="740">
        <f t="shared" si="5"/>
        <v>1419811</v>
      </c>
      <c r="AI17" s="740" t="str">
        <f t="shared" si="6"/>
        <v>AVA</v>
      </c>
      <c r="AJ17" s="740" t="str">
        <f t="shared" si="7"/>
        <v>IANNONE</v>
      </c>
      <c r="AK17" s="740"/>
      <c r="AL17" s="740"/>
      <c r="AM17" s="740"/>
      <c r="AN17" s="740"/>
      <c r="AO17" s="740"/>
      <c r="AQ17" s="741">
        <f t="shared" ca="1" si="8"/>
        <v>40468</v>
      </c>
    </row>
    <row r="18" spans="1:43" ht="20.25" customHeight="1" x14ac:dyDescent="0.25">
      <c r="A18" s="1252">
        <v>6</v>
      </c>
      <c r="B18" s="1253" t="s">
        <v>4660</v>
      </c>
      <c r="C18" s="756"/>
      <c r="D18" s="757"/>
      <c r="E18" s="730">
        <v>1492522</v>
      </c>
      <c r="F18" s="731" t="s">
        <v>4836</v>
      </c>
      <c r="G18" s="731" t="s">
        <v>4815</v>
      </c>
      <c r="H18" s="732">
        <v>40417</v>
      </c>
      <c r="I18" s="733" t="str">
        <f t="shared" si="0"/>
        <v>RILEY BUNCE</v>
      </c>
      <c r="J18" s="734" t="str">
        <f t="shared" si="1"/>
        <v>BUNCE,RILEY</v>
      </c>
      <c r="K18" s="735">
        <f t="shared" ca="1" si="2"/>
        <v>13</v>
      </c>
      <c r="L18" s="736" t="str">
        <f t="shared" si="3"/>
        <v>270810</v>
      </c>
      <c r="M18" s="748" t="str">
        <f t="shared" ca="1" si="10"/>
        <v>OK</v>
      </c>
      <c r="N18" s="1258" t="s">
        <v>4319</v>
      </c>
      <c r="O18" s="1258" t="s">
        <v>4320</v>
      </c>
      <c r="P18" s="1259" t="s">
        <v>4663</v>
      </c>
      <c r="R18" s="760"/>
      <c r="S18" s="760"/>
      <c r="AD18" s="1244">
        <f>A18</f>
        <v>6</v>
      </c>
      <c r="AE18" s="1245" t="str">
        <f>B18</f>
        <v>OPEN/MALE 13/U 4 X 50M
MEDLEY RELAY</v>
      </c>
      <c r="AF18" s="749"/>
      <c r="AG18" s="750"/>
      <c r="AH18" s="740">
        <f t="shared" si="5"/>
        <v>1492522</v>
      </c>
      <c r="AI18" s="740" t="str">
        <f t="shared" si="6"/>
        <v>RILEY</v>
      </c>
      <c r="AJ18" s="740" t="str">
        <f t="shared" si="7"/>
        <v>BUNCE</v>
      </c>
      <c r="AK18" s="740"/>
      <c r="AL18" s="740"/>
      <c r="AM18" s="740"/>
      <c r="AN18" s="740"/>
      <c r="AO18" s="740"/>
      <c r="AQ18" s="741">
        <f t="shared" ca="1" si="8"/>
        <v>40417</v>
      </c>
    </row>
    <row r="19" spans="1:43" ht="20.25" customHeight="1" x14ac:dyDescent="0.25">
      <c r="A19" s="1252"/>
      <c r="B19" s="1253"/>
      <c r="C19" s="758"/>
      <c r="D19" s="759"/>
      <c r="E19" s="730">
        <v>1438743</v>
      </c>
      <c r="F19" s="731" t="s">
        <v>4837</v>
      </c>
      <c r="G19" s="731" t="s">
        <v>4825</v>
      </c>
      <c r="H19" s="732">
        <v>40254</v>
      </c>
      <c r="I19" s="733" t="str">
        <f t="shared" si="0"/>
        <v>SAMUEL ROSA</v>
      </c>
      <c r="J19" s="734" t="str">
        <f t="shared" si="1"/>
        <v>ROSA,SAMUEL</v>
      </c>
      <c r="K19" s="735">
        <f t="shared" ca="1" si="2"/>
        <v>13</v>
      </c>
      <c r="L19" s="736" t="str">
        <f t="shared" si="3"/>
        <v>170310</v>
      </c>
      <c r="M19" s="748" t="str">
        <f t="shared" ca="1" si="10"/>
        <v>OK</v>
      </c>
      <c r="N19" s="1258"/>
      <c r="O19" s="1258"/>
      <c r="P19" s="1259"/>
      <c r="R19" s="760"/>
      <c r="S19" s="760"/>
      <c r="AD19" s="1244"/>
      <c r="AE19" s="1245"/>
      <c r="AF19" s="753"/>
      <c r="AG19" s="754"/>
      <c r="AH19" s="740">
        <f t="shared" si="5"/>
        <v>1438743</v>
      </c>
      <c r="AI19" s="740" t="str">
        <f t="shared" si="6"/>
        <v>SAMUEL</v>
      </c>
      <c r="AJ19" s="740" t="str">
        <f t="shared" si="7"/>
        <v>ROSA</v>
      </c>
      <c r="AK19" s="740"/>
      <c r="AL19" s="740"/>
      <c r="AM19" s="740"/>
      <c r="AN19" s="740"/>
      <c r="AO19" s="740"/>
      <c r="AQ19" s="741">
        <f t="shared" ca="1" si="8"/>
        <v>40254</v>
      </c>
    </row>
    <row r="20" spans="1:43" ht="20.25" customHeight="1" x14ac:dyDescent="0.25">
      <c r="A20" s="1252"/>
      <c r="B20" s="1253"/>
      <c r="C20" s="758"/>
      <c r="D20" s="759"/>
      <c r="E20" s="730">
        <v>1647337</v>
      </c>
      <c r="F20" s="731" t="s">
        <v>4838</v>
      </c>
      <c r="G20" s="731" t="s">
        <v>4839</v>
      </c>
      <c r="H20" s="732">
        <v>40623</v>
      </c>
      <c r="I20" s="733" t="str">
        <f t="shared" si="0"/>
        <v>ROWAN FULLER</v>
      </c>
      <c r="J20" s="734" t="str">
        <f t="shared" si="1"/>
        <v>FULLER,ROWAN</v>
      </c>
      <c r="K20" s="735">
        <f t="shared" ca="1" si="2"/>
        <v>12</v>
      </c>
      <c r="L20" s="736" t="str">
        <f t="shared" si="3"/>
        <v>210311</v>
      </c>
      <c r="M20" s="748" t="str">
        <f t="shared" ca="1" si="10"/>
        <v>OK</v>
      </c>
      <c r="N20" s="1258"/>
      <c r="O20" s="1258"/>
      <c r="P20" s="1259"/>
      <c r="R20" s="760"/>
      <c r="S20" s="760"/>
      <c r="AD20" s="1244"/>
      <c r="AE20" s="1245"/>
      <c r="AF20" s="753"/>
      <c r="AG20" s="754"/>
      <c r="AH20" s="740">
        <f t="shared" si="5"/>
        <v>1647337</v>
      </c>
      <c r="AI20" s="740" t="str">
        <f t="shared" si="6"/>
        <v>ROWAN</v>
      </c>
      <c r="AJ20" s="740" t="str">
        <f t="shared" si="7"/>
        <v>FULLER</v>
      </c>
      <c r="AK20" s="740"/>
      <c r="AL20" s="740"/>
      <c r="AM20" s="740"/>
      <c r="AN20" s="740"/>
      <c r="AO20" s="740"/>
      <c r="AQ20" s="741">
        <f t="shared" ca="1" si="8"/>
        <v>40623</v>
      </c>
    </row>
    <row r="21" spans="1:43" ht="20.25" customHeight="1" x14ac:dyDescent="0.25">
      <c r="A21" s="1252"/>
      <c r="B21" s="1253"/>
      <c r="C21" s="758"/>
      <c r="D21" s="759"/>
      <c r="E21" s="730">
        <v>1703210</v>
      </c>
      <c r="F21" s="731" t="s">
        <v>4840</v>
      </c>
      <c r="G21" s="731" t="s">
        <v>4841</v>
      </c>
      <c r="H21" s="732">
        <v>40237</v>
      </c>
      <c r="I21" s="733" t="str">
        <f t="shared" si="0"/>
        <v>RUFUS MARTIN</v>
      </c>
      <c r="J21" s="734" t="str">
        <f t="shared" si="1"/>
        <v>MARTIN,RUFUS</v>
      </c>
      <c r="K21" s="735">
        <f t="shared" ca="1" si="2"/>
        <v>13</v>
      </c>
      <c r="L21" s="736" t="str">
        <f t="shared" si="3"/>
        <v>280210</v>
      </c>
      <c r="M21" s="748" t="str">
        <f t="shared" ca="1" si="10"/>
        <v>OK</v>
      </c>
      <c r="N21" s="1258"/>
      <c r="O21" s="1258"/>
      <c r="P21" s="1259"/>
      <c r="R21" s="760"/>
      <c r="S21" s="760"/>
      <c r="AD21" s="1244"/>
      <c r="AE21" s="1245"/>
      <c r="AF21" s="753"/>
      <c r="AG21" s="754"/>
      <c r="AH21" s="740">
        <f t="shared" si="5"/>
        <v>1703210</v>
      </c>
      <c r="AI21" s="740" t="str">
        <f t="shared" si="6"/>
        <v>RUFUS</v>
      </c>
      <c r="AJ21" s="740" t="str">
        <f t="shared" si="7"/>
        <v>MARTIN</v>
      </c>
      <c r="AK21" s="740"/>
      <c r="AL21" s="740"/>
      <c r="AM21" s="740"/>
      <c r="AN21" s="740"/>
      <c r="AO21" s="740"/>
      <c r="AQ21" s="741">
        <f t="shared" ca="1" si="8"/>
        <v>40237</v>
      </c>
    </row>
    <row r="22" spans="1:43" ht="20.25" customHeight="1" x14ac:dyDescent="0.25">
      <c r="A22" s="1256">
        <v>7</v>
      </c>
      <c r="B22" s="1249" t="s">
        <v>4667</v>
      </c>
      <c r="C22" s="761"/>
      <c r="D22" s="762"/>
      <c r="E22" s="730">
        <v>1443628</v>
      </c>
      <c r="F22" s="731" t="s">
        <v>4842</v>
      </c>
      <c r="G22" s="731" t="s">
        <v>4843</v>
      </c>
      <c r="H22" s="732">
        <v>39755</v>
      </c>
      <c r="I22" s="733" t="str">
        <f t="shared" si="0"/>
        <v>MEGAN JOHNSON</v>
      </c>
      <c r="J22" s="734" t="str">
        <f t="shared" si="1"/>
        <v>JOHNSON,MEGAN</v>
      </c>
      <c r="K22" s="735">
        <f t="shared" ca="1" si="2"/>
        <v>15</v>
      </c>
      <c r="L22" s="736" t="str">
        <f t="shared" si="3"/>
        <v>031108</v>
      </c>
      <c r="M22" s="748" t="str">
        <f t="shared" ref="M22:M29" ca="1" si="11">IF(K22=0,0,IF(K22&lt;9,"TOO YOUNG",IF(K22&lt;16,"OK","NOT ELIGIBLE")))</f>
        <v>OK</v>
      </c>
      <c r="N22" s="1257" t="str">
        <f>'Gala Setup'!S4</f>
        <v>NASL.2023 V6</v>
      </c>
      <c r="O22" s="1257"/>
      <c r="P22" s="1257"/>
      <c r="Q22" s="705"/>
      <c r="AD22" s="1244">
        <f>A22</f>
        <v>7</v>
      </c>
      <c r="AE22" s="1245" t="str">
        <f>B22</f>
        <v>FEMALE 15/U 4 X 50M
FREESTYLE RELAY</v>
      </c>
      <c r="AF22" s="749"/>
      <c r="AG22" s="750"/>
      <c r="AH22" s="740">
        <f t="shared" si="5"/>
        <v>1443628</v>
      </c>
      <c r="AI22" s="740" t="str">
        <f t="shared" si="6"/>
        <v>MEGAN</v>
      </c>
      <c r="AJ22" s="740" t="str">
        <f t="shared" si="7"/>
        <v>JOHNSON</v>
      </c>
      <c r="AK22" s="740"/>
      <c r="AL22" s="740"/>
      <c r="AM22" s="740"/>
      <c r="AN22" s="740"/>
      <c r="AO22" s="740"/>
      <c r="AQ22" s="741">
        <f t="shared" ca="1" si="8"/>
        <v>39755</v>
      </c>
    </row>
    <row r="23" spans="1:43" ht="20.25" customHeight="1" x14ac:dyDescent="0.25">
      <c r="A23" s="1256"/>
      <c r="B23" s="1249"/>
      <c r="C23" s="763"/>
      <c r="D23" s="764"/>
      <c r="E23" s="730">
        <v>1492516</v>
      </c>
      <c r="F23" s="731" t="s">
        <v>4844</v>
      </c>
      <c r="G23" s="731" t="s">
        <v>4843</v>
      </c>
      <c r="H23" s="732">
        <v>39635</v>
      </c>
      <c r="I23" s="733" t="str">
        <f t="shared" si="0"/>
        <v>ABIGAIL JOHNSON</v>
      </c>
      <c r="J23" s="734" t="str">
        <f t="shared" si="1"/>
        <v>JOHNSON,ABIGAIL</v>
      </c>
      <c r="K23" s="735">
        <f t="shared" ca="1" si="2"/>
        <v>15</v>
      </c>
      <c r="L23" s="736" t="str">
        <f t="shared" si="3"/>
        <v>060708</v>
      </c>
      <c r="M23" s="748" t="str">
        <f t="shared" ca="1" si="11"/>
        <v>OK</v>
      </c>
      <c r="N23" s="1257"/>
      <c r="O23" s="1257"/>
      <c r="P23" s="1257"/>
      <c r="Q23" s="705"/>
      <c r="AD23" s="1244"/>
      <c r="AE23" s="1245"/>
      <c r="AF23" s="753"/>
      <c r="AG23" s="754"/>
      <c r="AH23" s="740">
        <f t="shared" si="5"/>
        <v>1492516</v>
      </c>
      <c r="AI23" s="740" t="str">
        <f t="shared" si="6"/>
        <v>ABIGAIL</v>
      </c>
      <c r="AJ23" s="740" t="str">
        <f t="shared" si="7"/>
        <v>JOHNSON</v>
      </c>
      <c r="AK23" s="740"/>
      <c r="AL23" s="740"/>
      <c r="AM23" s="740"/>
      <c r="AN23" s="740"/>
      <c r="AO23" s="740"/>
      <c r="AQ23" s="741">
        <f t="shared" ca="1" si="8"/>
        <v>39635</v>
      </c>
    </row>
    <row r="24" spans="1:43" ht="20.25" customHeight="1" x14ac:dyDescent="0.25">
      <c r="A24" s="1256"/>
      <c r="B24" s="1249"/>
      <c r="C24" s="763"/>
      <c r="D24" s="764"/>
      <c r="E24" s="730">
        <v>1303396</v>
      </c>
      <c r="F24" s="731" t="s">
        <v>4845</v>
      </c>
      <c r="G24" s="731" t="s">
        <v>4846</v>
      </c>
      <c r="H24" s="732">
        <v>39760</v>
      </c>
      <c r="I24" s="733" t="str">
        <f t="shared" si="0"/>
        <v>ZAHRA WALLER</v>
      </c>
      <c r="J24" s="734" t="str">
        <f t="shared" si="1"/>
        <v>WALLER,ZAHRA</v>
      </c>
      <c r="K24" s="735">
        <f t="shared" ca="1" si="2"/>
        <v>15</v>
      </c>
      <c r="L24" s="736" t="str">
        <f t="shared" si="3"/>
        <v>081108</v>
      </c>
      <c r="M24" s="748" t="str">
        <f t="shared" ca="1" si="11"/>
        <v>OK</v>
      </c>
      <c r="N24" s="765"/>
      <c r="Q24" s="765"/>
      <c r="AD24" s="1244"/>
      <c r="AE24" s="1245"/>
      <c r="AF24" s="753"/>
      <c r="AG24" s="754"/>
      <c r="AH24" s="740">
        <f t="shared" si="5"/>
        <v>1303396</v>
      </c>
      <c r="AI24" s="740" t="str">
        <f t="shared" si="6"/>
        <v>ZAHRA</v>
      </c>
      <c r="AJ24" s="740" t="str">
        <f t="shared" si="7"/>
        <v>WALLER</v>
      </c>
      <c r="AK24" s="740"/>
      <c r="AL24" s="740"/>
      <c r="AM24" s="740"/>
      <c r="AN24" s="740"/>
      <c r="AO24" s="740"/>
      <c r="AQ24" s="741">
        <f t="shared" ca="1" si="8"/>
        <v>39760</v>
      </c>
    </row>
    <row r="25" spans="1:43" ht="20.25" customHeight="1" x14ac:dyDescent="0.25">
      <c r="A25" s="1256"/>
      <c r="B25" s="1249"/>
      <c r="C25" s="763"/>
      <c r="D25" s="764"/>
      <c r="E25" s="730">
        <v>1419811</v>
      </c>
      <c r="F25" s="731" t="s">
        <v>4834</v>
      </c>
      <c r="G25" s="731" t="s">
        <v>4835</v>
      </c>
      <c r="H25" s="732">
        <v>40468</v>
      </c>
      <c r="I25" s="733" t="str">
        <f t="shared" si="0"/>
        <v>AVA IANNONE</v>
      </c>
      <c r="J25" s="734" t="str">
        <f t="shared" si="1"/>
        <v>IANNONE,AVA</v>
      </c>
      <c r="K25" s="735">
        <f t="shared" ca="1" si="2"/>
        <v>13</v>
      </c>
      <c r="L25" s="736" t="str">
        <f t="shared" si="3"/>
        <v>171010</v>
      </c>
      <c r="M25" s="748" t="str">
        <f t="shared" ca="1" si="11"/>
        <v>OK</v>
      </c>
      <c r="N25" s="765"/>
      <c r="Q25" s="765"/>
      <c r="AD25" s="1244"/>
      <c r="AE25" s="1245"/>
      <c r="AF25" s="753"/>
      <c r="AG25" s="754"/>
      <c r="AH25" s="740">
        <f t="shared" si="5"/>
        <v>1419811</v>
      </c>
      <c r="AI25" s="740" t="str">
        <f t="shared" si="6"/>
        <v>AVA</v>
      </c>
      <c r="AJ25" s="740" t="str">
        <f t="shared" si="7"/>
        <v>IANNONE</v>
      </c>
      <c r="AK25" s="740"/>
      <c r="AL25" s="740"/>
      <c r="AM25" s="740"/>
      <c r="AN25" s="740"/>
      <c r="AO25" s="740"/>
      <c r="AQ25" s="741">
        <f t="shared" ca="1" si="8"/>
        <v>40468</v>
      </c>
    </row>
    <row r="26" spans="1:43" ht="20.25" customHeight="1" x14ac:dyDescent="0.25">
      <c r="A26" s="1256">
        <v>8</v>
      </c>
      <c r="B26" s="1249" t="s">
        <v>4676</v>
      </c>
      <c r="C26" s="761"/>
      <c r="D26" s="762"/>
      <c r="E26" s="730">
        <v>1313732</v>
      </c>
      <c r="F26" s="731" t="s">
        <v>4847</v>
      </c>
      <c r="G26" s="731" t="s">
        <v>4848</v>
      </c>
      <c r="H26" s="732">
        <v>39491</v>
      </c>
      <c r="I26" s="733" t="str">
        <f t="shared" si="0"/>
        <v>CHARLES RAINES</v>
      </c>
      <c r="J26" s="734" t="str">
        <f t="shared" si="1"/>
        <v>RAINES,CHARLES</v>
      </c>
      <c r="K26" s="735">
        <f t="shared" ca="1" si="2"/>
        <v>15</v>
      </c>
      <c r="L26" s="736" t="str">
        <f t="shared" si="3"/>
        <v>130208</v>
      </c>
      <c r="M26" s="766" t="str">
        <f t="shared" ca="1" si="11"/>
        <v>OK</v>
      </c>
      <c r="N26" s="767"/>
      <c r="AD26" s="1244">
        <f>A26</f>
        <v>8</v>
      </c>
      <c r="AE26" s="1245" t="str">
        <f>B26</f>
        <v>OPEN/MALE 15/U 4 X 50M
FREESTYLE RELAY</v>
      </c>
      <c r="AF26" s="749"/>
      <c r="AG26" s="750"/>
      <c r="AH26" s="740">
        <f t="shared" si="5"/>
        <v>1313732</v>
      </c>
      <c r="AI26" s="740" t="str">
        <f t="shared" si="6"/>
        <v>CHARLES</v>
      </c>
      <c r="AJ26" s="740" t="str">
        <f t="shared" si="7"/>
        <v>RAINES</v>
      </c>
      <c r="AK26" s="740"/>
      <c r="AL26" s="740"/>
      <c r="AM26" s="740"/>
      <c r="AN26" s="740"/>
      <c r="AO26" s="740"/>
      <c r="AQ26" s="741">
        <f t="shared" ca="1" si="8"/>
        <v>39491</v>
      </c>
    </row>
    <row r="27" spans="1:43" ht="20.25" customHeight="1" x14ac:dyDescent="0.25">
      <c r="A27" s="1256"/>
      <c r="B27" s="1249"/>
      <c r="C27" s="763"/>
      <c r="D27" s="764"/>
      <c r="E27" s="730">
        <v>1233535</v>
      </c>
      <c r="F27" s="731" t="s">
        <v>4849</v>
      </c>
      <c r="G27" s="731" t="s">
        <v>4850</v>
      </c>
      <c r="H27" s="732">
        <v>39720</v>
      </c>
      <c r="I27" s="733" t="str">
        <f t="shared" si="0"/>
        <v>RAFI GIBSON</v>
      </c>
      <c r="J27" s="734" t="str">
        <f t="shared" si="1"/>
        <v>GIBSON,RAFI</v>
      </c>
      <c r="K27" s="735">
        <f t="shared" ca="1" si="2"/>
        <v>15</v>
      </c>
      <c r="L27" s="736" t="str">
        <f t="shared" si="3"/>
        <v>290908</v>
      </c>
      <c r="M27" s="766" t="str">
        <f t="shared" ca="1" si="11"/>
        <v>OK</v>
      </c>
      <c r="N27" s="767"/>
      <c r="AD27" s="1244"/>
      <c r="AE27" s="1245"/>
      <c r="AF27" s="753"/>
      <c r="AG27" s="754"/>
      <c r="AH27" s="740">
        <f t="shared" si="5"/>
        <v>1233535</v>
      </c>
      <c r="AI27" s="740" t="str">
        <f t="shared" si="6"/>
        <v>RAFI</v>
      </c>
      <c r="AJ27" s="740" t="str">
        <f t="shared" si="7"/>
        <v>GIBSON</v>
      </c>
      <c r="AK27" s="740"/>
      <c r="AL27" s="740"/>
      <c r="AM27" s="740"/>
      <c r="AN27" s="740"/>
      <c r="AO27" s="740"/>
      <c r="AQ27" s="741">
        <f t="shared" ca="1" si="8"/>
        <v>39720</v>
      </c>
    </row>
    <row r="28" spans="1:43" ht="20.25" customHeight="1" x14ac:dyDescent="0.25">
      <c r="A28" s="1256"/>
      <c r="B28" s="1249"/>
      <c r="C28" s="763"/>
      <c r="D28" s="764"/>
      <c r="E28" s="730">
        <v>1620283</v>
      </c>
      <c r="F28" s="731" t="s">
        <v>4851</v>
      </c>
      <c r="G28" s="731" t="s">
        <v>4852</v>
      </c>
      <c r="H28" s="732">
        <v>40009</v>
      </c>
      <c r="I28" s="733" t="str">
        <f t="shared" si="0"/>
        <v>MAKSYMILIAN WOZNICKI</v>
      </c>
      <c r="J28" s="734" t="str">
        <f t="shared" si="1"/>
        <v>WOZNICKI,MAKSYMILIAN</v>
      </c>
      <c r="K28" s="735">
        <f t="shared" ca="1" si="2"/>
        <v>14</v>
      </c>
      <c r="L28" s="736" t="str">
        <f t="shared" si="3"/>
        <v>150709</v>
      </c>
      <c r="M28" s="766" t="str">
        <f t="shared" ca="1" si="11"/>
        <v>OK</v>
      </c>
      <c r="N28" s="767"/>
      <c r="AD28" s="1244"/>
      <c r="AE28" s="1245"/>
      <c r="AF28" s="753"/>
      <c r="AG28" s="754"/>
      <c r="AH28" s="740">
        <f t="shared" si="5"/>
        <v>1620283</v>
      </c>
      <c r="AI28" s="740" t="str">
        <f t="shared" si="6"/>
        <v>MAKSYMILIAN</v>
      </c>
      <c r="AJ28" s="740" t="str">
        <f t="shared" si="7"/>
        <v>WOZNICKI</v>
      </c>
      <c r="AK28" s="740"/>
      <c r="AL28" s="740"/>
      <c r="AM28" s="740"/>
      <c r="AN28" s="740"/>
      <c r="AO28" s="740"/>
      <c r="AQ28" s="741">
        <f t="shared" ca="1" si="8"/>
        <v>40009</v>
      </c>
    </row>
    <row r="29" spans="1:43" ht="20.25" customHeight="1" x14ac:dyDescent="0.25">
      <c r="A29" s="1256"/>
      <c r="B29" s="1249"/>
      <c r="C29" s="763"/>
      <c r="D29" s="764"/>
      <c r="E29" s="730">
        <v>1508490</v>
      </c>
      <c r="F29" s="731" t="s">
        <v>4853</v>
      </c>
      <c r="G29" s="731" t="s">
        <v>4854</v>
      </c>
      <c r="H29" s="732">
        <v>40012</v>
      </c>
      <c r="I29" s="733" t="str">
        <f t="shared" si="0"/>
        <v>SEBASTIAN BROWN</v>
      </c>
      <c r="J29" s="734" t="str">
        <f t="shared" si="1"/>
        <v>BROWN,SEBASTIAN</v>
      </c>
      <c r="K29" s="735">
        <f t="shared" ca="1" si="2"/>
        <v>14</v>
      </c>
      <c r="L29" s="736" t="str">
        <f t="shared" si="3"/>
        <v>180709</v>
      </c>
      <c r="M29" s="766" t="str">
        <f t="shared" ca="1" si="11"/>
        <v>OK</v>
      </c>
      <c r="N29" s="767"/>
      <c r="AD29" s="1244"/>
      <c r="AE29" s="1245"/>
      <c r="AF29" s="753"/>
      <c r="AG29" s="754"/>
      <c r="AH29" s="740">
        <f t="shared" si="5"/>
        <v>1508490</v>
      </c>
      <c r="AI29" s="740" t="str">
        <f t="shared" si="6"/>
        <v>SEBASTIAN</v>
      </c>
      <c r="AJ29" s="740" t="str">
        <f t="shared" si="7"/>
        <v>BROWN</v>
      </c>
      <c r="AK29" s="740"/>
      <c r="AL29" s="740"/>
      <c r="AM29" s="740"/>
      <c r="AN29" s="740"/>
      <c r="AO29" s="740"/>
      <c r="AQ29" s="741">
        <f t="shared" ca="1" si="8"/>
        <v>40012</v>
      </c>
    </row>
    <row r="30" spans="1:43" ht="20.25" customHeight="1" x14ac:dyDescent="0.25">
      <c r="A30" s="1250">
        <v>9</v>
      </c>
      <c r="B30" s="1251" t="s">
        <v>4681</v>
      </c>
      <c r="C30" s="768"/>
      <c r="D30" s="769"/>
      <c r="E30" s="730">
        <v>1168870</v>
      </c>
      <c r="F30" s="731" t="s">
        <v>4855</v>
      </c>
      <c r="G30" s="731" t="s">
        <v>4856</v>
      </c>
      <c r="H30" s="732">
        <v>39147</v>
      </c>
      <c r="I30" s="733" t="str">
        <f t="shared" si="0"/>
        <v>LUCY BURNHAM</v>
      </c>
      <c r="J30" s="734" t="str">
        <f t="shared" si="1"/>
        <v>BURNHAM,LUCY</v>
      </c>
      <c r="K30" s="735">
        <f t="shared" ca="1" si="2"/>
        <v>16</v>
      </c>
      <c r="L30" s="736" t="str">
        <f t="shared" si="3"/>
        <v>060307</v>
      </c>
      <c r="M30" s="770" t="str">
        <f t="shared" ref="M30:M37" ca="1" si="12">IF(K30=0,0,IF(K30&lt;9,"TOO YOUNG",IF(K30&lt;60,"OK","BIT OLD MAYBE")))</f>
        <v>OK</v>
      </c>
      <c r="N30" s="767"/>
      <c r="AD30" s="1244">
        <f>A30</f>
        <v>9</v>
      </c>
      <c r="AE30" s="1245" t="str">
        <f>B30</f>
        <v>FEMALE 16+ 4 X 50M
MEDLEY RELAY</v>
      </c>
      <c r="AF30" s="749"/>
      <c r="AG30" s="750"/>
      <c r="AH30" s="740">
        <f t="shared" si="5"/>
        <v>1168870</v>
      </c>
      <c r="AI30" s="740" t="str">
        <f t="shared" si="6"/>
        <v>LUCY</v>
      </c>
      <c r="AJ30" s="740" t="str">
        <f t="shared" si="7"/>
        <v>BURNHAM</v>
      </c>
      <c r="AK30" s="740"/>
      <c r="AL30" s="740"/>
      <c r="AM30" s="740"/>
      <c r="AN30" s="740"/>
      <c r="AO30" s="740"/>
      <c r="AQ30" s="741">
        <f t="shared" ca="1" si="8"/>
        <v>39147</v>
      </c>
    </row>
    <row r="31" spans="1:43" ht="20.25" customHeight="1" x14ac:dyDescent="0.25">
      <c r="A31" s="1250"/>
      <c r="B31" s="1251"/>
      <c r="C31" s="771"/>
      <c r="D31" s="772"/>
      <c r="E31" s="730">
        <v>856295</v>
      </c>
      <c r="F31" s="731" t="s">
        <v>4812</v>
      </c>
      <c r="G31" s="731" t="s">
        <v>4813</v>
      </c>
      <c r="H31" s="732">
        <v>37374</v>
      </c>
      <c r="I31" s="733" t="str">
        <f t="shared" si="0"/>
        <v>LIBBY BLISSETT</v>
      </c>
      <c r="J31" s="734" t="str">
        <f t="shared" si="1"/>
        <v>BLISSETT,LIBBY</v>
      </c>
      <c r="K31" s="735">
        <f t="shared" ca="1" si="2"/>
        <v>21</v>
      </c>
      <c r="L31" s="736" t="str">
        <f t="shared" si="3"/>
        <v>280402</v>
      </c>
      <c r="M31" s="770" t="str">
        <f t="shared" ca="1" si="12"/>
        <v>OK</v>
      </c>
      <c r="N31" s="767"/>
      <c r="AD31" s="1244"/>
      <c r="AE31" s="1245"/>
      <c r="AF31" s="753"/>
      <c r="AG31" s="754"/>
      <c r="AH31" s="740">
        <f t="shared" si="5"/>
        <v>856295</v>
      </c>
      <c r="AI31" s="740" t="str">
        <f t="shared" si="6"/>
        <v>LIBBY</v>
      </c>
      <c r="AJ31" s="740" t="str">
        <f t="shared" si="7"/>
        <v>BLISSETT</v>
      </c>
      <c r="AK31" s="740"/>
      <c r="AL31" s="740"/>
      <c r="AM31" s="740"/>
      <c r="AN31" s="740"/>
      <c r="AO31" s="740"/>
      <c r="AQ31" s="741">
        <f t="shared" ca="1" si="8"/>
        <v>37374</v>
      </c>
    </row>
    <row r="32" spans="1:43" ht="20.25" customHeight="1" x14ac:dyDescent="0.25">
      <c r="A32" s="1250"/>
      <c r="B32" s="1251"/>
      <c r="C32" s="771"/>
      <c r="D32" s="772"/>
      <c r="E32" s="730">
        <v>1414211</v>
      </c>
      <c r="F32" s="731" t="s">
        <v>4857</v>
      </c>
      <c r="G32" s="731" t="s">
        <v>4858</v>
      </c>
      <c r="H32" s="732">
        <v>39434</v>
      </c>
      <c r="I32" s="733" t="str">
        <f t="shared" si="0"/>
        <v>HANNAH BOLTON</v>
      </c>
      <c r="J32" s="734" t="str">
        <f t="shared" si="1"/>
        <v>BOLTON,HANNAH</v>
      </c>
      <c r="K32" s="735">
        <f t="shared" ca="1" si="2"/>
        <v>16</v>
      </c>
      <c r="L32" s="736" t="str">
        <f t="shared" si="3"/>
        <v>181207</v>
      </c>
      <c r="M32" s="770" t="str">
        <f t="shared" ca="1" si="12"/>
        <v>OK</v>
      </c>
      <c r="N32" s="767"/>
      <c r="AD32" s="1244"/>
      <c r="AE32" s="1245"/>
      <c r="AF32" s="753"/>
      <c r="AG32" s="754"/>
      <c r="AH32" s="740">
        <f t="shared" si="5"/>
        <v>1414211</v>
      </c>
      <c r="AI32" s="740" t="str">
        <f t="shared" si="6"/>
        <v>HANNAH</v>
      </c>
      <c r="AJ32" s="740" t="str">
        <f t="shared" si="7"/>
        <v>BOLTON</v>
      </c>
      <c r="AK32" s="740"/>
      <c r="AL32" s="740"/>
      <c r="AM32" s="740"/>
      <c r="AN32" s="740"/>
      <c r="AO32" s="740"/>
      <c r="AQ32" s="741">
        <f t="shared" ca="1" si="8"/>
        <v>39434</v>
      </c>
    </row>
    <row r="33" spans="1:43" ht="20.25" customHeight="1" x14ac:dyDescent="0.25">
      <c r="A33" s="1250"/>
      <c r="B33" s="1251"/>
      <c r="C33" s="771"/>
      <c r="D33" s="772"/>
      <c r="E33" s="730">
        <v>1345057</v>
      </c>
      <c r="F33" s="731" t="s">
        <v>4859</v>
      </c>
      <c r="G33" s="731" t="s">
        <v>4860</v>
      </c>
      <c r="H33" s="732">
        <v>39084</v>
      </c>
      <c r="I33" s="733" t="str">
        <f t="shared" si="0"/>
        <v>AMBER CURTIS</v>
      </c>
      <c r="J33" s="734" t="str">
        <f t="shared" si="1"/>
        <v>CURTIS,AMBER</v>
      </c>
      <c r="K33" s="735">
        <f t="shared" ca="1" si="2"/>
        <v>16</v>
      </c>
      <c r="L33" s="736" t="str">
        <f t="shared" si="3"/>
        <v>020107</v>
      </c>
      <c r="M33" s="770" t="str">
        <f t="shared" ca="1" si="12"/>
        <v>OK</v>
      </c>
      <c r="N33" s="767"/>
      <c r="AD33" s="1244"/>
      <c r="AE33" s="1245"/>
      <c r="AF33" s="753"/>
      <c r="AG33" s="754"/>
      <c r="AH33" s="740">
        <f t="shared" si="5"/>
        <v>1345057</v>
      </c>
      <c r="AI33" s="740" t="str">
        <f t="shared" si="6"/>
        <v>AMBER</v>
      </c>
      <c r="AJ33" s="740" t="str">
        <f t="shared" si="7"/>
        <v>CURTIS</v>
      </c>
      <c r="AK33" s="740"/>
      <c r="AL33" s="740"/>
      <c r="AM33" s="740"/>
      <c r="AN33" s="740"/>
      <c r="AO33" s="740"/>
      <c r="AQ33" s="741">
        <f t="shared" ca="1" si="8"/>
        <v>39084</v>
      </c>
    </row>
    <row r="34" spans="1:43" ht="20.25" customHeight="1" x14ac:dyDescent="0.25">
      <c r="A34" s="1250">
        <v>10</v>
      </c>
      <c r="B34" s="1251" t="s">
        <v>4687</v>
      </c>
      <c r="C34" s="768"/>
      <c r="D34" s="769"/>
      <c r="E34" s="730">
        <v>211202</v>
      </c>
      <c r="F34" s="731" t="s">
        <v>4861</v>
      </c>
      <c r="G34" s="731" t="s">
        <v>4862</v>
      </c>
      <c r="H34" s="732">
        <v>34638</v>
      </c>
      <c r="I34" s="733" t="str">
        <f t="shared" si="0"/>
        <v>MATTHEW MASTERS</v>
      </c>
      <c r="J34" s="734" t="str">
        <f t="shared" si="1"/>
        <v>MASTERS,MATTHEW</v>
      </c>
      <c r="K34" s="735">
        <f t="shared" ca="1" si="2"/>
        <v>29</v>
      </c>
      <c r="L34" s="736" t="str">
        <f t="shared" si="3"/>
        <v>311094</v>
      </c>
      <c r="M34" s="770" t="str">
        <f t="shared" ca="1" si="12"/>
        <v>OK</v>
      </c>
      <c r="N34" s="767"/>
      <c r="AD34" s="1244">
        <f>A34</f>
        <v>10</v>
      </c>
      <c r="AE34" s="1245" t="str">
        <f>B34</f>
        <v>OPEN/MALE 16+ 4 X 50M
MEDLEY RELAY</v>
      </c>
      <c r="AF34" s="749"/>
      <c r="AG34" s="750"/>
      <c r="AH34" s="740">
        <f t="shared" si="5"/>
        <v>211202</v>
      </c>
      <c r="AI34" s="740" t="str">
        <f t="shared" si="6"/>
        <v>MATTHEW</v>
      </c>
      <c r="AJ34" s="740" t="str">
        <f t="shared" si="7"/>
        <v>MASTERS</v>
      </c>
      <c r="AK34" s="740"/>
      <c r="AL34" s="740"/>
      <c r="AM34" s="740"/>
      <c r="AN34" s="740"/>
      <c r="AO34" s="740"/>
      <c r="AQ34" s="741">
        <f t="shared" ca="1" si="8"/>
        <v>34638</v>
      </c>
    </row>
    <row r="35" spans="1:43" ht="20.25" customHeight="1" x14ac:dyDescent="0.25">
      <c r="A35" s="1250"/>
      <c r="B35" s="1251"/>
      <c r="C35" s="771"/>
      <c r="D35" s="772"/>
      <c r="E35" s="730">
        <v>1303395</v>
      </c>
      <c r="F35" s="731" t="s">
        <v>4863</v>
      </c>
      <c r="G35" s="731" t="s">
        <v>4846</v>
      </c>
      <c r="H35" s="732">
        <v>38773</v>
      </c>
      <c r="I35" s="733" t="str">
        <f t="shared" si="0"/>
        <v>MAX WALLER</v>
      </c>
      <c r="J35" s="734" t="str">
        <f t="shared" si="1"/>
        <v>WALLER,MAX</v>
      </c>
      <c r="K35" s="735">
        <f t="shared" ca="1" si="2"/>
        <v>17</v>
      </c>
      <c r="L35" s="736" t="str">
        <f t="shared" si="3"/>
        <v>250206</v>
      </c>
      <c r="M35" s="770" t="str">
        <f t="shared" ca="1" si="12"/>
        <v>OK</v>
      </c>
      <c r="AD35" s="1244"/>
      <c r="AE35" s="1245"/>
      <c r="AF35" s="753"/>
      <c r="AG35" s="754"/>
      <c r="AH35" s="740">
        <f t="shared" si="5"/>
        <v>1303395</v>
      </c>
      <c r="AI35" s="740" t="str">
        <f t="shared" si="6"/>
        <v>MAX</v>
      </c>
      <c r="AJ35" s="740" t="str">
        <f t="shared" si="7"/>
        <v>WALLER</v>
      </c>
      <c r="AK35" s="740"/>
      <c r="AL35" s="740"/>
      <c r="AM35" s="740"/>
      <c r="AN35" s="740"/>
      <c r="AO35" s="740"/>
      <c r="AQ35" s="741">
        <f t="shared" ca="1" si="8"/>
        <v>38773</v>
      </c>
    </row>
    <row r="36" spans="1:43" ht="20.25" customHeight="1" x14ac:dyDescent="0.25">
      <c r="A36" s="1250"/>
      <c r="B36" s="1251"/>
      <c r="C36" s="771"/>
      <c r="D36" s="772"/>
      <c r="E36" s="730">
        <v>1388593</v>
      </c>
      <c r="F36" s="731" t="s">
        <v>4814</v>
      </c>
      <c r="G36" s="731" t="s">
        <v>4815</v>
      </c>
      <c r="H36" s="732">
        <v>39385</v>
      </c>
      <c r="I36" s="733" t="str">
        <f t="shared" ref="I36:I67" si="13">CONCATENATE(F36," ",G36)</f>
        <v>ELLIS BUNCE</v>
      </c>
      <c r="J36" s="734" t="str">
        <f t="shared" ref="J36:J67" si="14">CONCATENATE(G36,",",F36)</f>
        <v>BUNCE,ELLIS</v>
      </c>
      <c r="K36" s="735">
        <f t="shared" ref="K36:K67" ca="1" si="15">IF(K$2=0,0,IF(AQ36=0,0,IF(COUNTBLANK(AQ36)=1,"",YEAR(K$2)-YEAR(AQ36)-IF(DATE(YEAR(K$2),MONTH(AQ36),DAY(4638))&gt;K$2,1,0))))</f>
        <v>16</v>
      </c>
      <c r="L36" s="736" t="str">
        <f t="shared" ref="L36:L67" si="16">(TEXT(H36,"DDMMYY"))</f>
        <v>301007</v>
      </c>
      <c r="M36" s="770" t="str">
        <f t="shared" ca="1" si="12"/>
        <v>OK</v>
      </c>
      <c r="AD36" s="1244"/>
      <c r="AE36" s="1245"/>
      <c r="AF36" s="753"/>
      <c r="AG36" s="754"/>
      <c r="AH36" s="740">
        <f t="shared" ref="AH36:AH67" si="17">E36</f>
        <v>1388593</v>
      </c>
      <c r="AI36" s="740" t="str">
        <f t="shared" ref="AI36:AI67" si="18">F36</f>
        <v>ELLIS</v>
      </c>
      <c r="AJ36" s="740" t="str">
        <f t="shared" ref="AJ36:AJ67" si="19">G36</f>
        <v>BUNCE</v>
      </c>
      <c r="AK36" s="740"/>
      <c r="AL36" s="740"/>
      <c r="AM36" s="740"/>
      <c r="AN36" s="740"/>
      <c r="AO36" s="740"/>
      <c r="AQ36" s="741">
        <f t="shared" ref="AQ36:AQ67" ca="1" si="20">INDIRECT(ADDRESS(ROW(),AQ$3))</f>
        <v>39385</v>
      </c>
    </row>
    <row r="37" spans="1:43" ht="20.25" customHeight="1" x14ac:dyDescent="0.25">
      <c r="A37" s="1250"/>
      <c r="B37" s="1251"/>
      <c r="C37" s="771"/>
      <c r="D37" s="772"/>
      <c r="E37" s="730">
        <v>1330363</v>
      </c>
      <c r="F37" s="731" t="s">
        <v>4826</v>
      </c>
      <c r="G37" s="731" t="s">
        <v>4832</v>
      </c>
      <c r="H37" s="732">
        <v>39115</v>
      </c>
      <c r="I37" s="733" t="str">
        <f t="shared" si="13"/>
        <v>CHARLIE STARSMORE</v>
      </c>
      <c r="J37" s="734" t="str">
        <f t="shared" si="14"/>
        <v>STARSMORE,CHARLIE</v>
      </c>
      <c r="K37" s="735">
        <f t="shared" ca="1" si="15"/>
        <v>16</v>
      </c>
      <c r="L37" s="736" t="str">
        <f t="shared" si="16"/>
        <v>020207</v>
      </c>
      <c r="M37" s="770" t="str">
        <f t="shared" ca="1" si="12"/>
        <v>OK</v>
      </c>
      <c r="AD37" s="1244"/>
      <c r="AE37" s="1245"/>
      <c r="AF37" s="753"/>
      <c r="AG37" s="754"/>
      <c r="AH37" s="740">
        <f t="shared" si="17"/>
        <v>1330363</v>
      </c>
      <c r="AI37" s="740" t="str">
        <f t="shared" si="18"/>
        <v>CHARLIE</v>
      </c>
      <c r="AJ37" s="740" t="str">
        <f t="shared" si="19"/>
        <v>STARSMORE</v>
      </c>
      <c r="AK37" s="740"/>
      <c r="AL37" s="740"/>
      <c r="AM37" s="740"/>
      <c r="AN37" s="740"/>
      <c r="AO37" s="740"/>
      <c r="AQ37" s="741">
        <f t="shared" ca="1" si="20"/>
        <v>39115</v>
      </c>
    </row>
    <row r="38" spans="1:43" ht="20.25" customHeight="1" x14ac:dyDescent="0.25">
      <c r="A38" s="745">
        <v>11</v>
      </c>
      <c r="B38" s="773" t="s">
        <v>4339</v>
      </c>
      <c r="C38" s="774" t="s">
        <v>4635</v>
      </c>
      <c r="D38" s="775">
        <v>13</v>
      </c>
      <c r="E38" s="730">
        <v>1438744</v>
      </c>
      <c r="F38" s="731" t="s">
        <v>4818</v>
      </c>
      <c r="G38" s="731" t="s">
        <v>1275</v>
      </c>
      <c r="H38" s="732">
        <v>41079</v>
      </c>
      <c r="I38" s="733" t="str">
        <f t="shared" si="13"/>
        <v>CHELSEA DARE</v>
      </c>
      <c r="J38" s="734" t="str">
        <f t="shared" si="14"/>
        <v>DARE,CHELSEA</v>
      </c>
      <c r="K38" s="735">
        <f t="shared" ca="1" si="15"/>
        <v>11</v>
      </c>
      <c r="L38" s="736" t="str">
        <f t="shared" si="16"/>
        <v>190612</v>
      </c>
      <c r="M38" s="766" t="str">
        <f ca="1">IF(K38=0,0,IF(K38&lt;10,"TOO YOUNG",IF(K38&lt;12,"OK","NOT ELIGIBLE")))</f>
        <v>OK</v>
      </c>
      <c r="AD38" s="722">
        <f t="shared" ref="AD38:AD70" si="21">A38</f>
        <v>11</v>
      </c>
      <c r="AE38" s="443" t="str">
        <f t="shared" ref="AE38:AE70" si="22">B38</f>
        <v>Female 10/11 50m Backstroke</v>
      </c>
      <c r="AF38" s="440" t="s">
        <v>4635</v>
      </c>
      <c r="AG38" s="739">
        <v>13</v>
      </c>
      <c r="AH38" s="740">
        <f t="shared" si="17"/>
        <v>1438744</v>
      </c>
      <c r="AI38" s="740" t="str">
        <f t="shared" si="18"/>
        <v>CHELSEA</v>
      </c>
      <c r="AJ38" s="740" t="str">
        <f t="shared" si="19"/>
        <v>DARE</v>
      </c>
      <c r="AK38" s="740"/>
      <c r="AL38" s="740"/>
      <c r="AM38" s="740"/>
      <c r="AN38" s="740"/>
      <c r="AO38" s="740"/>
      <c r="AQ38" s="741">
        <f t="shared" ca="1" si="20"/>
        <v>41079</v>
      </c>
    </row>
    <row r="39" spans="1:43" ht="20.25" customHeight="1" x14ac:dyDescent="0.25">
      <c r="A39" s="745">
        <v>12</v>
      </c>
      <c r="B39" s="773" t="s">
        <v>4340</v>
      </c>
      <c r="C39" s="774" t="s">
        <v>328</v>
      </c>
      <c r="D39" s="775">
        <v>13</v>
      </c>
      <c r="E39" s="730">
        <v>1468363</v>
      </c>
      <c r="F39" s="731" t="s">
        <v>4824</v>
      </c>
      <c r="G39" s="731" t="s">
        <v>4825</v>
      </c>
      <c r="H39" s="732">
        <v>41231</v>
      </c>
      <c r="I39" s="733" t="str">
        <f t="shared" si="13"/>
        <v>SIMON ROSA</v>
      </c>
      <c r="J39" s="734" t="str">
        <f t="shared" si="14"/>
        <v>ROSA,SIMON</v>
      </c>
      <c r="K39" s="735">
        <f t="shared" ca="1" si="15"/>
        <v>11</v>
      </c>
      <c r="L39" s="736" t="str">
        <f t="shared" si="16"/>
        <v>181112</v>
      </c>
      <c r="M39" s="766" t="str">
        <f ca="1">IF(K39=0,0,IF(K39&lt;10,"TOO YOUNG",IF(K39&lt;12,"OK","NOT ELIGIBLE")))</f>
        <v>OK</v>
      </c>
      <c r="AD39" s="722">
        <f t="shared" si="21"/>
        <v>12</v>
      </c>
      <c r="AE39" s="443" t="str">
        <f t="shared" si="22"/>
        <v>Open/Male 10/11 50m Backstroke</v>
      </c>
      <c r="AF39" s="440" t="s">
        <v>328</v>
      </c>
      <c r="AG39" s="739">
        <v>13</v>
      </c>
      <c r="AH39" s="740">
        <f t="shared" si="17"/>
        <v>1468363</v>
      </c>
      <c r="AI39" s="740" t="str">
        <f t="shared" si="18"/>
        <v>SIMON</v>
      </c>
      <c r="AJ39" s="740" t="str">
        <f t="shared" si="19"/>
        <v>ROSA</v>
      </c>
      <c r="AK39" s="740"/>
      <c r="AL39" s="740"/>
      <c r="AM39" s="740"/>
      <c r="AN39" s="740"/>
      <c r="AO39" s="740"/>
      <c r="AQ39" s="741">
        <f t="shared" ca="1" si="20"/>
        <v>41231</v>
      </c>
    </row>
    <row r="40" spans="1:43" ht="20.25" customHeight="1" x14ac:dyDescent="0.25">
      <c r="A40" s="755">
        <v>13</v>
      </c>
      <c r="B40" s="776" t="s">
        <v>4341</v>
      </c>
      <c r="C40" s="777" t="s">
        <v>4635</v>
      </c>
      <c r="D40" s="778">
        <v>8</v>
      </c>
      <c r="E40" s="730">
        <v>1403242</v>
      </c>
      <c r="F40" s="731" t="s">
        <v>4831</v>
      </c>
      <c r="G40" s="731" t="s">
        <v>4832</v>
      </c>
      <c r="H40" s="732">
        <v>40206</v>
      </c>
      <c r="I40" s="733" t="str">
        <f t="shared" si="13"/>
        <v>FRANCES STARSMORE</v>
      </c>
      <c r="J40" s="734" t="str">
        <f t="shared" si="14"/>
        <v>STARSMORE,FRANCES</v>
      </c>
      <c r="K40" s="735">
        <f t="shared" ca="1" si="15"/>
        <v>13</v>
      </c>
      <c r="L40" s="736" t="str">
        <f t="shared" si="16"/>
        <v>280110</v>
      </c>
      <c r="M40" s="766" t="str">
        <f ca="1">IF(K40=0,0,IF(K40&lt;9,"TOO YOUNG",IF(K40&lt;14,"OK","NOT ELIGIBLE")))</f>
        <v>OK</v>
      </c>
      <c r="AD40" s="722">
        <f t="shared" si="21"/>
        <v>13</v>
      </c>
      <c r="AE40" s="443" t="str">
        <f t="shared" si="22"/>
        <v>Female 13/U 100m Breaststroke</v>
      </c>
      <c r="AF40" s="440" t="s">
        <v>4635</v>
      </c>
      <c r="AG40" s="739">
        <v>8</v>
      </c>
      <c r="AH40" s="740">
        <f t="shared" si="17"/>
        <v>1403242</v>
      </c>
      <c r="AI40" s="740" t="str">
        <f t="shared" si="18"/>
        <v>FRANCES</v>
      </c>
      <c r="AJ40" s="740" t="str">
        <f t="shared" si="19"/>
        <v>STARSMORE</v>
      </c>
      <c r="AK40" s="740"/>
      <c r="AL40" s="740"/>
      <c r="AM40" s="740"/>
      <c r="AN40" s="740"/>
      <c r="AO40" s="740"/>
      <c r="AQ40" s="741">
        <f t="shared" ca="1" si="20"/>
        <v>40206</v>
      </c>
    </row>
    <row r="41" spans="1:43" ht="20.25" customHeight="1" x14ac:dyDescent="0.25">
      <c r="A41" s="755">
        <v>14</v>
      </c>
      <c r="B41" s="776" t="s">
        <v>4342</v>
      </c>
      <c r="C41" s="777" t="s">
        <v>328</v>
      </c>
      <c r="D41" s="778">
        <v>8</v>
      </c>
      <c r="E41" s="730">
        <v>1438743</v>
      </c>
      <c r="F41" s="731" t="s">
        <v>4743</v>
      </c>
      <c r="G41" s="731" t="s">
        <v>4864</v>
      </c>
      <c r="H41" s="732">
        <v>40254</v>
      </c>
      <c r="I41" s="733" t="str">
        <f t="shared" si="13"/>
        <v>Samuel Rosa</v>
      </c>
      <c r="J41" s="734" t="str">
        <f t="shared" si="14"/>
        <v>Rosa,Samuel</v>
      </c>
      <c r="K41" s="735">
        <f t="shared" ca="1" si="15"/>
        <v>13</v>
      </c>
      <c r="L41" s="736" t="str">
        <f t="shared" si="16"/>
        <v>170310</v>
      </c>
      <c r="M41" s="766" t="str">
        <f ca="1">IF(K41=0,0,IF(K41&lt;9,"TOO YOUNG",IF(K41&lt;14,"OK","NOT ELIGIBLE")))</f>
        <v>OK</v>
      </c>
      <c r="AD41" s="722">
        <f t="shared" si="21"/>
        <v>14</v>
      </c>
      <c r="AE41" s="443" t="str">
        <f t="shared" si="22"/>
        <v>Open/Male 13/U 100m Breaststroke</v>
      </c>
      <c r="AF41" s="440" t="s">
        <v>328</v>
      </c>
      <c r="AG41" s="739">
        <v>8</v>
      </c>
      <c r="AH41" s="740">
        <f t="shared" si="17"/>
        <v>1438743</v>
      </c>
      <c r="AI41" s="740" t="str">
        <f t="shared" si="18"/>
        <v>Samuel</v>
      </c>
      <c r="AJ41" s="740" t="str">
        <f t="shared" si="19"/>
        <v>Rosa</v>
      </c>
      <c r="AK41" s="740"/>
      <c r="AL41" s="740"/>
      <c r="AM41" s="740"/>
      <c r="AN41" s="740"/>
      <c r="AO41" s="740"/>
      <c r="AQ41" s="741">
        <f t="shared" ca="1" si="20"/>
        <v>40254</v>
      </c>
    </row>
    <row r="42" spans="1:43" ht="20.25" customHeight="1" x14ac:dyDescent="0.25">
      <c r="A42" s="779">
        <v>15</v>
      </c>
      <c r="B42" s="780" t="s">
        <v>4343</v>
      </c>
      <c r="C42" s="781" t="s">
        <v>4635</v>
      </c>
      <c r="D42" s="782">
        <v>14</v>
      </c>
      <c r="E42" s="730">
        <v>1443628</v>
      </c>
      <c r="F42" s="731" t="s">
        <v>4842</v>
      </c>
      <c r="G42" s="731" t="s">
        <v>4843</v>
      </c>
      <c r="H42" s="732">
        <v>39755</v>
      </c>
      <c r="I42" s="733" t="str">
        <f t="shared" si="13"/>
        <v>MEGAN JOHNSON</v>
      </c>
      <c r="J42" s="734" t="str">
        <f t="shared" si="14"/>
        <v>JOHNSON,MEGAN</v>
      </c>
      <c r="K42" s="735">
        <f t="shared" ca="1" si="15"/>
        <v>15</v>
      </c>
      <c r="L42" s="736" t="str">
        <f t="shared" si="16"/>
        <v>031108</v>
      </c>
      <c r="M42" s="766" t="str">
        <f ca="1">IF(K42=0,0,IF(K42&lt;9,"TOO YOUNG",IF(K42&lt;16,"OK","NOT ELIGIBLE")))</f>
        <v>OK</v>
      </c>
      <c r="AD42" s="722">
        <f t="shared" si="21"/>
        <v>15</v>
      </c>
      <c r="AE42" s="443" t="str">
        <f t="shared" si="22"/>
        <v>Female 15/U 100m Backstroke</v>
      </c>
      <c r="AF42" s="440" t="s">
        <v>4635</v>
      </c>
      <c r="AG42" s="739">
        <v>14</v>
      </c>
      <c r="AH42" s="740">
        <f t="shared" si="17"/>
        <v>1443628</v>
      </c>
      <c r="AI42" s="740" t="str">
        <f t="shared" si="18"/>
        <v>MEGAN</v>
      </c>
      <c r="AJ42" s="740" t="str">
        <f t="shared" si="19"/>
        <v>JOHNSON</v>
      </c>
      <c r="AK42" s="740"/>
      <c r="AL42" s="740"/>
      <c r="AM42" s="740"/>
      <c r="AN42" s="740"/>
      <c r="AO42" s="740"/>
      <c r="AQ42" s="741">
        <f t="shared" ca="1" si="20"/>
        <v>39755</v>
      </c>
    </row>
    <row r="43" spans="1:43" ht="20.25" customHeight="1" x14ac:dyDescent="0.25">
      <c r="A43" s="779">
        <v>16</v>
      </c>
      <c r="B43" s="780" t="s">
        <v>4694</v>
      </c>
      <c r="C43" s="781" t="s">
        <v>328</v>
      </c>
      <c r="D43" s="782">
        <v>14</v>
      </c>
      <c r="E43" s="730">
        <v>1313732</v>
      </c>
      <c r="F43" s="731" t="s">
        <v>4847</v>
      </c>
      <c r="G43" s="731" t="s">
        <v>4848</v>
      </c>
      <c r="H43" s="732">
        <v>39491</v>
      </c>
      <c r="I43" s="733" t="str">
        <f t="shared" si="13"/>
        <v>CHARLES RAINES</v>
      </c>
      <c r="J43" s="734" t="str">
        <f t="shared" si="14"/>
        <v>RAINES,CHARLES</v>
      </c>
      <c r="K43" s="735">
        <f t="shared" ca="1" si="15"/>
        <v>15</v>
      </c>
      <c r="L43" s="736" t="str">
        <f t="shared" si="16"/>
        <v>130208</v>
      </c>
      <c r="M43" s="766" t="str">
        <f ca="1">IF(K43=0,0,IF(K43&lt;9,"TOO YOUNG",IF(K43&lt;16,"OK","NOT ELIGIBLE")))</f>
        <v>OK</v>
      </c>
      <c r="AD43" s="722">
        <f t="shared" si="21"/>
        <v>16</v>
      </c>
      <c r="AE43" s="443" t="str">
        <f t="shared" si="22"/>
        <v>Open/Male 15/U 100m Backstroke</v>
      </c>
      <c r="AF43" s="440" t="s">
        <v>328</v>
      </c>
      <c r="AG43" s="739">
        <v>14</v>
      </c>
      <c r="AH43" s="740">
        <f t="shared" si="17"/>
        <v>1313732</v>
      </c>
      <c r="AI43" s="740" t="str">
        <f t="shared" si="18"/>
        <v>CHARLES</v>
      </c>
      <c r="AJ43" s="740" t="str">
        <f t="shared" si="19"/>
        <v>RAINES</v>
      </c>
      <c r="AK43" s="740"/>
      <c r="AL43" s="740"/>
      <c r="AM43" s="740"/>
      <c r="AN43" s="740"/>
      <c r="AO43" s="740"/>
      <c r="AQ43" s="741">
        <f t="shared" ca="1" si="20"/>
        <v>39491</v>
      </c>
    </row>
    <row r="44" spans="1:43" ht="20.25" customHeight="1" x14ac:dyDescent="0.25">
      <c r="A44" s="727">
        <v>17</v>
      </c>
      <c r="B44" s="742" t="s">
        <v>4345</v>
      </c>
      <c r="C44" s="728" t="s">
        <v>4635</v>
      </c>
      <c r="D44" s="729">
        <v>11</v>
      </c>
      <c r="E44" s="730">
        <v>856295</v>
      </c>
      <c r="F44" s="731" t="s">
        <v>4812</v>
      </c>
      <c r="G44" s="731" t="s">
        <v>4813</v>
      </c>
      <c r="H44" s="732">
        <v>37374</v>
      </c>
      <c r="I44" s="733" t="str">
        <f t="shared" si="13"/>
        <v>LIBBY BLISSETT</v>
      </c>
      <c r="J44" s="734" t="str">
        <f t="shared" si="14"/>
        <v>BLISSETT,LIBBY</v>
      </c>
      <c r="K44" s="735">
        <f t="shared" ca="1" si="15"/>
        <v>21</v>
      </c>
      <c r="L44" s="736" t="str">
        <f t="shared" si="16"/>
        <v>280402</v>
      </c>
      <c r="M44" s="770" t="str">
        <f ca="1">IF(K44=0,0,IF(K44&lt;9,"TOO YOUNG",IF(K44&lt;60,"OK","BIT OLD MAYBE")))</f>
        <v>OK</v>
      </c>
      <c r="AD44" s="722">
        <f t="shared" si="21"/>
        <v>17</v>
      </c>
      <c r="AE44" s="443" t="str">
        <f t="shared" si="22"/>
        <v>Female 16+ 100m Butterfly</v>
      </c>
      <c r="AF44" s="440" t="s">
        <v>4635</v>
      </c>
      <c r="AG44" s="739">
        <v>11</v>
      </c>
      <c r="AH44" s="740">
        <f t="shared" si="17"/>
        <v>856295</v>
      </c>
      <c r="AI44" s="740" t="str">
        <f t="shared" si="18"/>
        <v>LIBBY</v>
      </c>
      <c r="AJ44" s="740" t="str">
        <f t="shared" si="19"/>
        <v>BLISSETT</v>
      </c>
      <c r="AK44" s="740"/>
      <c r="AL44" s="740"/>
      <c r="AM44" s="740"/>
      <c r="AN44" s="740"/>
      <c r="AO44" s="740"/>
      <c r="AQ44" s="741">
        <f t="shared" ca="1" si="20"/>
        <v>37374</v>
      </c>
    </row>
    <row r="45" spans="1:43" ht="20.25" customHeight="1" x14ac:dyDescent="0.25">
      <c r="A45" s="727">
        <v>18</v>
      </c>
      <c r="B45" s="742" t="s">
        <v>4346</v>
      </c>
      <c r="C45" s="728" t="s">
        <v>328</v>
      </c>
      <c r="D45" s="729">
        <v>11</v>
      </c>
      <c r="E45" s="730">
        <v>1388593</v>
      </c>
      <c r="F45" s="731" t="s">
        <v>4814</v>
      </c>
      <c r="G45" s="731" t="s">
        <v>4815</v>
      </c>
      <c r="H45" s="732">
        <v>39385</v>
      </c>
      <c r="I45" s="733" t="str">
        <f t="shared" si="13"/>
        <v>ELLIS BUNCE</v>
      </c>
      <c r="J45" s="734" t="str">
        <f t="shared" si="14"/>
        <v>BUNCE,ELLIS</v>
      </c>
      <c r="K45" s="735">
        <f t="shared" ca="1" si="15"/>
        <v>16</v>
      </c>
      <c r="L45" s="736" t="str">
        <f t="shared" si="16"/>
        <v>301007</v>
      </c>
      <c r="M45" s="770" t="str">
        <f ca="1">IF(K45=0,0,IF(K45&lt;9,"TOO YOUNG",IF(K45&lt;60,"OK","BIT OLD MAYBE")))</f>
        <v>OK</v>
      </c>
      <c r="AD45" s="722">
        <f t="shared" si="21"/>
        <v>18</v>
      </c>
      <c r="AE45" s="443" t="str">
        <f t="shared" si="22"/>
        <v>Open/Male 16+ 100m Butterfly</v>
      </c>
      <c r="AF45" s="440" t="s">
        <v>328</v>
      </c>
      <c r="AG45" s="739">
        <v>11</v>
      </c>
      <c r="AH45" s="740">
        <f t="shared" si="17"/>
        <v>1388593</v>
      </c>
      <c r="AI45" s="740" t="str">
        <f t="shared" si="18"/>
        <v>ELLIS</v>
      </c>
      <c r="AJ45" s="740" t="str">
        <f t="shared" si="19"/>
        <v>BUNCE</v>
      </c>
      <c r="AK45" s="740"/>
      <c r="AL45" s="740"/>
      <c r="AM45" s="740"/>
      <c r="AN45" s="740"/>
      <c r="AO45" s="740"/>
      <c r="AQ45" s="741">
        <f t="shared" ca="1" si="20"/>
        <v>39385</v>
      </c>
    </row>
    <row r="46" spans="1:43" ht="20.25" customHeight="1" x14ac:dyDescent="0.25">
      <c r="A46" s="745">
        <v>19</v>
      </c>
      <c r="B46" s="773" t="s">
        <v>4347</v>
      </c>
      <c r="C46" s="774" t="s">
        <v>4635</v>
      </c>
      <c r="D46" s="775">
        <v>10</v>
      </c>
      <c r="E46" s="730">
        <v>1468360</v>
      </c>
      <c r="F46" s="731" t="s">
        <v>4816</v>
      </c>
      <c r="G46" s="731" t="s">
        <v>4817</v>
      </c>
      <c r="H46" s="732">
        <v>41109</v>
      </c>
      <c r="I46" s="733" t="str">
        <f t="shared" si="13"/>
        <v>WILLOW BROWNBRIDGE</v>
      </c>
      <c r="J46" s="734" t="str">
        <f t="shared" si="14"/>
        <v>BROWNBRIDGE,WILLOW</v>
      </c>
      <c r="K46" s="735">
        <f t="shared" ca="1" si="15"/>
        <v>11</v>
      </c>
      <c r="L46" s="736" t="str">
        <f t="shared" si="16"/>
        <v>190712</v>
      </c>
      <c r="M46" s="766" t="str">
        <f ca="1">IF(K46=0,0,IF(K46&lt;10,"TOO YOUNG",IF(K46&lt;12,"OK","NOT ELIGIBLE")))</f>
        <v>OK</v>
      </c>
      <c r="AD46" s="722">
        <f t="shared" si="21"/>
        <v>19</v>
      </c>
      <c r="AE46" s="443" t="str">
        <f t="shared" si="22"/>
        <v>Female 10/11 50m Butterfly</v>
      </c>
      <c r="AF46" s="440" t="s">
        <v>4635</v>
      </c>
      <c r="AG46" s="739">
        <v>10</v>
      </c>
      <c r="AH46" s="740">
        <f t="shared" si="17"/>
        <v>1468360</v>
      </c>
      <c r="AI46" s="740" t="str">
        <f t="shared" si="18"/>
        <v>WILLOW</v>
      </c>
      <c r="AJ46" s="740" t="str">
        <f t="shared" si="19"/>
        <v>BROWNBRIDGE</v>
      </c>
      <c r="AK46" s="740"/>
      <c r="AL46" s="740"/>
      <c r="AM46" s="740"/>
      <c r="AN46" s="740"/>
      <c r="AO46" s="740"/>
      <c r="AQ46" s="741">
        <f t="shared" ca="1" si="20"/>
        <v>41109</v>
      </c>
    </row>
    <row r="47" spans="1:43" ht="20.25" customHeight="1" x14ac:dyDescent="0.25">
      <c r="A47" s="745">
        <v>20</v>
      </c>
      <c r="B47" s="773" t="s">
        <v>4348</v>
      </c>
      <c r="C47" s="774" t="s">
        <v>328</v>
      </c>
      <c r="D47" s="775">
        <v>10</v>
      </c>
      <c r="E47" s="730">
        <v>1468363</v>
      </c>
      <c r="F47" s="731" t="s">
        <v>4824</v>
      </c>
      <c r="G47" s="731" t="s">
        <v>4825</v>
      </c>
      <c r="H47" s="732">
        <v>41231</v>
      </c>
      <c r="I47" s="733" t="str">
        <f t="shared" si="13"/>
        <v>SIMON ROSA</v>
      </c>
      <c r="J47" s="734" t="str">
        <f t="shared" si="14"/>
        <v>ROSA,SIMON</v>
      </c>
      <c r="K47" s="735">
        <f t="shared" ca="1" si="15"/>
        <v>11</v>
      </c>
      <c r="L47" s="736" t="str">
        <f t="shared" si="16"/>
        <v>181112</v>
      </c>
      <c r="M47" s="766" t="str">
        <f ca="1">IF(K47=0,0,IF(K47&lt;10,"TOO YOUNG",IF(K47&lt;12,"OK","NOT ELIGIBLE")))</f>
        <v>OK</v>
      </c>
      <c r="AD47" s="722">
        <f t="shared" si="21"/>
        <v>20</v>
      </c>
      <c r="AE47" s="443" t="str">
        <f t="shared" si="22"/>
        <v>Open/Male 10/11 50m Butterfly</v>
      </c>
      <c r="AF47" s="440" t="s">
        <v>328</v>
      </c>
      <c r="AG47" s="739">
        <v>10</v>
      </c>
      <c r="AH47" s="740">
        <f t="shared" si="17"/>
        <v>1468363</v>
      </c>
      <c r="AI47" s="740" t="str">
        <f t="shared" si="18"/>
        <v>SIMON</v>
      </c>
      <c r="AJ47" s="740" t="str">
        <f t="shared" si="19"/>
        <v>ROSA</v>
      </c>
      <c r="AK47" s="740"/>
      <c r="AL47" s="740"/>
      <c r="AM47" s="740"/>
      <c r="AN47" s="740"/>
      <c r="AO47" s="740"/>
      <c r="AQ47" s="741">
        <f t="shared" ca="1" si="20"/>
        <v>41231</v>
      </c>
    </row>
    <row r="48" spans="1:43" ht="20.25" customHeight="1" x14ac:dyDescent="0.25">
      <c r="A48" s="755">
        <v>21</v>
      </c>
      <c r="B48" s="776" t="s">
        <v>4349</v>
      </c>
      <c r="C48" s="777" t="s">
        <v>4635</v>
      </c>
      <c r="D48" s="778">
        <v>14</v>
      </c>
      <c r="E48" s="730">
        <v>1403242</v>
      </c>
      <c r="F48" s="731" t="s">
        <v>4831</v>
      </c>
      <c r="G48" s="731" t="s">
        <v>4832</v>
      </c>
      <c r="H48" s="732">
        <v>40206</v>
      </c>
      <c r="I48" s="733" t="str">
        <f t="shared" si="13"/>
        <v>FRANCES STARSMORE</v>
      </c>
      <c r="J48" s="734" t="str">
        <f t="shared" si="14"/>
        <v>STARSMORE,FRANCES</v>
      </c>
      <c r="K48" s="735">
        <f t="shared" ca="1" si="15"/>
        <v>13</v>
      </c>
      <c r="L48" s="736" t="str">
        <f t="shared" si="16"/>
        <v>280110</v>
      </c>
      <c r="M48" s="766" t="str">
        <f ca="1">IF(K48=0,0,IF(K48&lt;9,"TOO YOUNG",IF(K48&lt;14,"OK","NOT ELIGIBLE")))</f>
        <v>OK</v>
      </c>
      <c r="AD48" s="722">
        <f t="shared" si="21"/>
        <v>21</v>
      </c>
      <c r="AE48" s="443" t="str">
        <f t="shared" si="22"/>
        <v>Female 13/U 100m Backstroke</v>
      </c>
      <c r="AF48" s="440" t="s">
        <v>4635</v>
      </c>
      <c r="AG48" s="739">
        <v>14</v>
      </c>
      <c r="AH48" s="740">
        <f t="shared" si="17"/>
        <v>1403242</v>
      </c>
      <c r="AI48" s="740" t="str">
        <f t="shared" si="18"/>
        <v>FRANCES</v>
      </c>
      <c r="AJ48" s="740" t="str">
        <f t="shared" si="19"/>
        <v>STARSMORE</v>
      </c>
      <c r="AK48" s="740"/>
      <c r="AL48" s="740"/>
      <c r="AM48" s="740"/>
      <c r="AN48" s="740"/>
      <c r="AO48" s="740"/>
      <c r="AQ48" s="741">
        <f t="shared" ca="1" si="20"/>
        <v>40206</v>
      </c>
    </row>
    <row r="49" spans="1:43" ht="20.25" customHeight="1" x14ac:dyDescent="0.25">
      <c r="A49" s="755">
        <v>22</v>
      </c>
      <c r="B49" s="776" t="s">
        <v>4350</v>
      </c>
      <c r="C49" s="777" t="s">
        <v>328</v>
      </c>
      <c r="D49" s="778">
        <v>14</v>
      </c>
      <c r="E49" s="730">
        <v>1438743</v>
      </c>
      <c r="F49" s="731" t="s">
        <v>4837</v>
      </c>
      <c r="G49" s="731" t="s">
        <v>4825</v>
      </c>
      <c r="H49" s="732">
        <v>40254</v>
      </c>
      <c r="I49" s="733" t="str">
        <f t="shared" si="13"/>
        <v>SAMUEL ROSA</v>
      </c>
      <c r="J49" s="734" t="str">
        <f t="shared" si="14"/>
        <v>ROSA,SAMUEL</v>
      </c>
      <c r="K49" s="735">
        <f t="shared" ca="1" si="15"/>
        <v>13</v>
      </c>
      <c r="L49" s="736" t="str">
        <f t="shared" si="16"/>
        <v>170310</v>
      </c>
      <c r="M49" s="766" t="str">
        <f ca="1">IF(K49=0,0,IF(K49&lt;9,"TOO YOUNG",IF(K49&lt;14,"OK","NOT ELIGIBLE")))</f>
        <v>OK</v>
      </c>
      <c r="AD49" s="722">
        <f t="shared" si="21"/>
        <v>22</v>
      </c>
      <c r="AE49" s="443" t="str">
        <f t="shared" si="22"/>
        <v>Open/Male 13/U 100m Backstroke</v>
      </c>
      <c r="AF49" s="440" t="s">
        <v>328</v>
      </c>
      <c r="AG49" s="739">
        <v>14</v>
      </c>
      <c r="AH49" s="740">
        <f t="shared" si="17"/>
        <v>1438743</v>
      </c>
      <c r="AI49" s="740" t="str">
        <f t="shared" si="18"/>
        <v>SAMUEL</v>
      </c>
      <c r="AJ49" s="740" t="str">
        <f t="shared" si="19"/>
        <v>ROSA</v>
      </c>
      <c r="AK49" s="740"/>
      <c r="AL49" s="740"/>
      <c r="AM49" s="740"/>
      <c r="AN49" s="740"/>
      <c r="AO49" s="740"/>
      <c r="AQ49" s="741">
        <f t="shared" ca="1" si="20"/>
        <v>40254</v>
      </c>
    </row>
    <row r="50" spans="1:43" ht="20.25" customHeight="1" x14ac:dyDescent="0.25">
      <c r="A50" s="779">
        <v>23</v>
      </c>
      <c r="B50" s="780" t="s">
        <v>4351</v>
      </c>
      <c r="C50" s="781" t="s">
        <v>4635</v>
      </c>
      <c r="D50" s="782">
        <v>11</v>
      </c>
      <c r="E50" s="730">
        <v>1458055</v>
      </c>
      <c r="F50" s="731" t="s">
        <v>4830</v>
      </c>
      <c r="G50" s="731" t="s">
        <v>4827</v>
      </c>
      <c r="H50" s="732">
        <v>40527</v>
      </c>
      <c r="I50" s="733" t="str">
        <f t="shared" si="13"/>
        <v>ANNABELLA COJEEN</v>
      </c>
      <c r="J50" s="734" t="str">
        <f t="shared" si="14"/>
        <v>COJEEN,ANNABELLA</v>
      </c>
      <c r="K50" s="735">
        <f t="shared" ca="1" si="15"/>
        <v>13</v>
      </c>
      <c r="L50" s="736" t="str">
        <f t="shared" si="16"/>
        <v>151210</v>
      </c>
      <c r="M50" s="766" t="str">
        <f ca="1">IF(K50=0,0,IF(K50&lt;9,"TOO YOUNG",IF(K50&lt;16,"OK","NOT ELIGIBLE")))</f>
        <v>OK</v>
      </c>
      <c r="AD50" s="722">
        <f t="shared" si="21"/>
        <v>23</v>
      </c>
      <c r="AE50" s="443" t="str">
        <f t="shared" si="22"/>
        <v>Female 15/U 100m Butterfly</v>
      </c>
      <c r="AF50" s="440" t="s">
        <v>4635</v>
      </c>
      <c r="AG50" s="739">
        <v>11</v>
      </c>
      <c r="AH50" s="740">
        <f t="shared" si="17"/>
        <v>1458055</v>
      </c>
      <c r="AI50" s="740" t="str">
        <f t="shared" si="18"/>
        <v>ANNABELLA</v>
      </c>
      <c r="AJ50" s="740" t="str">
        <f t="shared" si="19"/>
        <v>COJEEN</v>
      </c>
      <c r="AK50" s="740"/>
      <c r="AL50" s="740"/>
      <c r="AM50" s="740"/>
      <c r="AN50" s="740"/>
      <c r="AO50" s="740"/>
      <c r="AQ50" s="741">
        <f t="shared" ca="1" si="20"/>
        <v>40527</v>
      </c>
    </row>
    <row r="51" spans="1:43" ht="20.25" customHeight="1" x14ac:dyDescent="0.25">
      <c r="A51" s="779">
        <v>24</v>
      </c>
      <c r="B51" s="780" t="s">
        <v>4697</v>
      </c>
      <c r="C51" s="781" t="s">
        <v>328</v>
      </c>
      <c r="D51" s="782">
        <v>11</v>
      </c>
      <c r="E51" s="730">
        <v>1233535</v>
      </c>
      <c r="F51" s="731" t="s">
        <v>4849</v>
      </c>
      <c r="G51" s="731" t="s">
        <v>4850</v>
      </c>
      <c r="H51" s="732">
        <v>39720</v>
      </c>
      <c r="I51" s="733" t="str">
        <f t="shared" si="13"/>
        <v>RAFI GIBSON</v>
      </c>
      <c r="J51" s="734" t="str">
        <f t="shared" si="14"/>
        <v>GIBSON,RAFI</v>
      </c>
      <c r="K51" s="735">
        <f t="shared" ca="1" si="15"/>
        <v>15</v>
      </c>
      <c r="L51" s="736" t="str">
        <f t="shared" si="16"/>
        <v>290908</v>
      </c>
      <c r="M51" s="766" t="str">
        <f ca="1">IF(K51=0,0,IF(K51&lt;9,"TOO YOUNG",IF(K51&lt;16,"OK","NOT ELIGIBLE")))</f>
        <v>OK</v>
      </c>
      <c r="AD51" s="722">
        <f t="shared" si="21"/>
        <v>24</v>
      </c>
      <c r="AE51" s="443" t="str">
        <f t="shared" si="22"/>
        <v>Open/Male 15/U 100m Butterfly</v>
      </c>
      <c r="AF51" s="440" t="s">
        <v>328</v>
      </c>
      <c r="AG51" s="739">
        <v>11</v>
      </c>
      <c r="AH51" s="740">
        <f t="shared" si="17"/>
        <v>1233535</v>
      </c>
      <c r="AI51" s="740" t="str">
        <f t="shared" si="18"/>
        <v>RAFI</v>
      </c>
      <c r="AJ51" s="740" t="str">
        <f t="shared" si="19"/>
        <v>GIBSON</v>
      </c>
      <c r="AK51" s="740"/>
      <c r="AL51" s="740"/>
      <c r="AM51" s="740"/>
      <c r="AN51" s="740"/>
      <c r="AO51" s="740"/>
      <c r="AQ51" s="741">
        <f t="shared" ca="1" si="20"/>
        <v>39720</v>
      </c>
    </row>
    <row r="52" spans="1:43" ht="20.25" customHeight="1" x14ac:dyDescent="0.25">
      <c r="A52" s="727">
        <v>25</v>
      </c>
      <c r="B52" s="742" t="s">
        <v>4353</v>
      </c>
      <c r="C52" s="728" t="s">
        <v>4635</v>
      </c>
      <c r="D52" s="729">
        <v>14</v>
      </c>
      <c r="E52" s="730">
        <v>1443628</v>
      </c>
      <c r="F52" s="731" t="s">
        <v>4842</v>
      </c>
      <c r="G52" s="731" t="s">
        <v>4843</v>
      </c>
      <c r="H52" s="732">
        <v>39755</v>
      </c>
      <c r="I52" s="733" t="str">
        <f t="shared" si="13"/>
        <v>MEGAN JOHNSON</v>
      </c>
      <c r="J52" s="734" t="str">
        <f t="shared" si="14"/>
        <v>JOHNSON,MEGAN</v>
      </c>
      <c r="K52" s="735">
        <f t="shared" ca="1" si="15"/>
        <v>15</v>
      </c>
      <c r="L52" s="736" t="str">
        <f t="shared" si="16"/>
        <v>031108</v>
      </c>
      <c r="M52" s="770" t="str">
        <f ca="1">IF(K52=0,0,IF(K52&lt;9,"TOO YOUNG",IF(K52&lt;60,"OK","BIT OLD MAYBE")))</f>
        <v>OK</v>
      </c>
      <c r="AD52" s="722">
        <f t="shared" si="21"/>
        <v>25</v>
      </c>
      <c r="AE52" s="443" t="str">
        <f t="shared" si="22"/>
        <v>Female 16+ 100m Backstroke</v>
      </c>
      <c r="AF52" s="440" t="s">
        <v>4635</v>
      </c>
      <c r="AG52" s="739">
        <v>14</v>
      </c>
      <c r="AH52" s="740">
        <f t="shared" si="17"/>
        <v>1443628</v>
      </c>
      <c r="AI52" s="740" t="str">
        <f t="shared" si="18"/>
        <v>MEGAN</v>
      </c>
      <c r="AJ52" s="740" t="str">
        <f t="shared" si="19"/>
        <v>JOHNSON</v>
      </c>
      <c r="AK52" s="740"/>
      <c r="AL52" s="740"/>
      <c r="AM52" s="740"/>
      <c r="AN52" s="740"/>
      <c r="AO52" s="740"/>
      <c r="AQ52" s="741">
        <f t="shared" ca="1" si="20"/>
        <v>39755</v>
      </c>
    </row>
    <row r="53" spans="1:43" ht="20.25" customHeight="1" x14ac:dyDescent="0.25">
      <c r="A53" s="727">
        <v>26</v>
      </c>
      <c r="B53" s="742" t="s">
        <v>4698</v>
      </c>
      <c r="C53" s="728" t="s">
        <v>328</v>
      </c>
      <c r="D53" s="729">
        <v>14</v>
      </c>
      <c r="E53" s="730">
        <v>211202</v>
      </c>
      <c r="F53" s="731" t="s">
        <v>4861</v>
      </c>
      <c r="G53" s="731" t="s">
        <v>4862</v>
      </c>
      <c r="H53" s="732">
        <v>34638</v>
      </c>
      <c r="I53" s="733" t="str">
        <f t="shared" si="13"/>
        <v>MATTHEW MASTERS</v>
      </c>
      <c r="J53" s="734" t="str">
        <f t="shared" si="14"/>
        <v>MASTERS,MATTHEW</v>
      </c>
      <c r="K53" s="735">
        <f t="shared" ca="1" si="15"/>
        <v>29</v>
      </c>
      <c r="L53" s="736" t="str">
        <f t="shared" si="16"/>
        <v>311094</v>
      </c>
      <c r="M53" s="770" t="str">
        <f ca="1">IF(K53=0,0,IF(K53&lt;9,"TOO YOUNG",IF(K53&lt;60,"OK","BIT OLD MAYBE")))</f>
        <v>OK</v>
      </c>
      <c r="AD53" s="722">
        <f t="shared" si="21"/>
        <v>26</v>
      </c>
      <c r="AE53" s="443" t="str">
        <f t="shared" si="22"/>
        <v>Open/Male 16+100m Backstroke</v>
      </c>
      <c r="AF53" s="440" t="s">
        <v>328</v>
      </c>
      <c r="AG53" s="739">
        <v>14</v>
      </c>
      <c r="AH53" s="740">
        <f t="shared" si="17"/>
        <v>211202</v>
      </c>
      <c r="AI53" s="740" t="str">
        <f t="shared" si="18"/>
        <v>MATTHEW</v>
      </c>
      <c r="AJ53" s="740" t="str">
        <f t="shared" si="19"/>
        <v>MASTERS</v>
      </c>
      <c r="AK53" s="740"/>
      <c r="AL53" s="740"/>
      <c r="AM53" s="740"/>
      <c r="AN53" s="740"/>
      <c r="AO53" s="740"/>
      <c r="AQ53" s="741">
        <f t="shared" ca="1" si="20"/>
        <v>34638</v>
      </c>
    </row>
    <row r="54" spans="1:43" ht="20.25" customHeight="1" x14ac:dyDescent="0.25">
      <c r="A54" s="745">
        <v>27</v>
      </c>
      <c r="B54" s="773" t="s">
        <v>4355</v>
      </c>
      <c r="C54" s="774" t="s">
        <v>4635</v>
      </c>
      <c r="D54" s="775">
        <v>7</v>
      </c>
      <c r="E54" s="730">
        <v>1735254</v>
      </c>
      <c r="F54" s="731" t="s">
        <v>4820</v>
      </c>
      <c r="G54" s="731" t="s">
        <v>4821</v>
      </c>
      <c r="H54" s="732">
        <v>41016</v>
      </c>
      <c r="I54" s="733" t="str">
        <f t="shared" si="13"/>
        <v>MIA ZUBCEVIC</v>
      </c>
      <c r="J54" s="734" t="str">
        <f t="shared" si="14"/>
        <v>ZUBCEVIC,MIA</v>
      </c>
      <c r="K54" s="735">
        <f t="shared" ca="1" si="15"/>
        <v>11</v>
      </c>
      <c r="L54" s="736" t="str">
        <f t="shared" si="16"/>
        <v>170412</v>
      </c>
      <c r="M54" s="766" t="str">
        <f ca="1">IF(K54=0,0,IF(K54&lt;10,"TOO YOUNG",IF(K54&lt;12,"OK","NOT ELIGIBLE")))</f>
        <v>OK</v>
      </c>
      <c r="AD54" s="722">
        <f t="shared" si="21"/>
        <v>27</v>
      </c>
      <c r="AE54" s="443" t="str">
        <f t="shared" si="22"/>
        <v>Female 10/11 50m Breaststroke</v>
      </c>
      <c r="AF54" s="440" t="s">
        <v>4635</v>
      </c>
      <c r="AG54" s="739">
        <v>7</v>
      </c>
      <c r="AH54" s="740">
        <f t="shared" si="17"/>
        <v>1735254</v>
      </c>
      <c r="AI54" s="740" t="str">
        <f t="shared" si="18"/>
        <v>MIA</v>
      </c>
      <c r="AJ54" s="740" t="str">
        <f t="shared" si="19"/>
        <v>ZUBCEVIC</v>
      </c>
      <c r="AK54" s="740"/>
      <c r="AL54" s="740"/>
      <c r="AM54" s="740"/>
      <c r="AN54" s="740"/>
      <c r="AO54" s="740"/>
      <c r="AQ54" s="741">
        <f t="shared" ca="1" si="20"/>
        <v>41016</v>
      </c>
    </row>
    <row r="55" spans="1:43" ht="20.25" customHeight="1" x14ac:dyDescent="0.25">
      <c r="A55" s="745">
        <v>28</v>
      </c>
      <c r="B55" s="773" t="s">
        <v>4356</v>
      </c>
      <c r="C55" s="774" t="s">
        <v>328</v>
      </c>
      <c r="D55" s="775">
        <v>7</v>
      </c>
      <c r="E55" s="730">
        <v>1578227</v>
      </c>
      <c r="F55" s="731" t="s">
        <v>4822</v>
      </c>
      <c r="G55" s="731" t="s">
        <v>4823</v>
      </c>
      <c r="H55" s="732">
        <v>41189</v>
      </c>
      <c r="I55" s="733" t="str">
        <f t="shared" si="13"/>
        <v>JAMES MOHAMMED</v>
      </c>
      <c r="J55" s="734" t="str">
        <f t="shared" si="14"/>
        <v>MOHAMMED,JAMES</v>
      </c>
      <c r="K55" s="735">
        <f t="shared" ca="1" si="15"/>
        <v>11</v>
      </c>
      <c r="L55" s="736" t="str">
        <f t="shared" si="16"/>
        <v>071012</v>
      </c>
      <c r="M55" s="766" t="str">
        <f ca="1">IF(K55=0,0,IF(K55&lt;10,"TOO YOUNG",IF(K55&lt;12,"OK","NOT ELIGIBLE")))</f>
        <v>OK</v>
      </c>
      <c r="AD55" s="722">
        <f t="shared" si="21"/>
        <v>28</v>
      </c>
      <c r="AE55" s="443" t="str">
        <f t="shared" si="22"/>
        <v>Open/Male 10/11 50m Breaststroke</v>
      </c>
      <c r="AF55" s="440" t="s">
        <v>328</v>
      </c>
      <c r="AG55" s="739">
        <v>7</v>
      </c>
      <c r="AH55" s="740">
        <f t="shared" si="17"/>
        <v>1578227</v>
      </c>
      <c r="AI55" s="740" t="str">
        <f t="shared" si="18"/>
        <v>JAMES</v>
      </c>
      <c r="AJ55" s="740" t="str">
        <f t="shared" si="19"/>
        <v>MOHAMMED</v>
      </c>
      <c r="AK55" s="740"/>
      <c r="AL55" s="740"/>
      <c r="AM55" s="740"/>
      <c r="AN55" s="740"/>
      <c r="AO55" s="740"/>
      <c r="AQ55" s="741">
        <f t="shared" ca="1" si="20"/>
        <v>41189</v>
      </c>
    </row>
    <row r="56" spans="1:43" ht="20.25" customHeight="1" x14ac:dyDescent="0.25">
      <c r="A56" s="755">
        <v>29</v>
      </c>
      <c r="B56" s="776" t="s">
        <v>4357</v>
      </c>
      <c r="C56" s="777" t="s">
        <v>4635</v>
      </c>
      <c r="D56" s="778">
        <v>11</v>
      </c>
      <c r="E56" s="730">
        <v>1511245</v>
      </c>
      <c r="F56" s="731" t="s">
        <v>4833</v>
      </c>
      <c r="G56" s="731" t="s">
        <v>4823</v>
      </c>
      <c r="H56" s="732">
        <v>40442</v>
      </c>
      <c r="I56" s="733" t="str">
        <f t="shared" si="13"/>
        <v>ISLA MOHAMMED</v>
      </c>
      <c r="J56" s="734" t="str">
        <f t="shared" si="14"/>
        <v>MOHAMMED,ISLA</v>
      </c>
      <c r="K56" s="735">
        <f t="shared" ca="1" si="15"/>
        <v>13</v>
      </c>
      <c r="L56" s="736" t="str">
        <f t="shared" si="16"/>
        <v>210910</v>
      </c>
      <c r="M56" s="766" t="str">
        <f ca="1">IF(K56=0,0,IF(K56&lt;9,"TOO YOUNG",IF(K56&lt;14,"OK","NOT ELIGIBLE")))</f>
        <v>OK</v>
      </c>
      <c r="AD56" s="722">
        <f t="shared" si="21"/>
        <v>29</v>
      </c>
      <c r="AE56" s="443" t="str">
        <f t="shared" si="22"/>
        <v>Female 13/U 100m Butterfly</v>
      </c>
      <c r="AF56" s="440" t="s">
        <v>4635</v>
      </c>
      <c r="AG56" s="739">
        <v>11</v>
      </c>
      <c r="AH56" s="740">
        <f t="shared" si="17"/>
        <v>1511245</v>
      </c>
      <c r="AI56" s="740" t="str">
        <f t="shared" si="18"/>
        <v>ISLA</v>
      </c>
      <c r="AJ56" s="740" t="str">
        <f t="shared" si="19"/>
        <v>MOHAMMED</v>
      </c>
      <c r="AK56" s="740"/>
      <c r="AL56" s="740"/>
      <c r="AM56" s="740"/>
      <c r="AN56" s="740"/>
      <c r="AO56" s="740"/>
      <c r="AQ56" s="741">
        <f t="shared" ca="1" si="20"/>
        <v>40442</v>
      </c>
    </row>
    <row r="57" spans="1:43" ht="20.25" customHeight="1" x14ac:dyDescent="0.25">
      <c r="A57" s="755">
        <v>30</v>
      </c>
      <c r="B57" s="776" t="s">
        <v>4358</v>
      </c>
      <c r="C57" s="777" t="s">
        <v>328</v>
      </c>
      <c r="D57" s="778">
        <v>11</v>
      </c>
      <c r="E57" s="730">
        <v>1492522</v>
      </c>
      <c r="F57" s="731" t="s">
        <v>4836</v>
      </c>
      <c r="G57" s="731" t="s">
        <v>4815</v>
      </c>
      <c r="H57" s="732">
        <v>40417</v>
      </c>
      <c r="I57" s="733" t="str">
        <f t="shared" si="13"/>
        <v>RILEY BUNCE</v>
      </c>
      <c r="J57" s="734" t="str">
        <f t="shared" si="14"/>
        <v>BUNCE,RILEY</v>
      </c>
      <c r="K57" s="735">
        <f t="shared" ca="1" si="15"/>
        <v>13</v>
      </c>
      <c r="L57" s="736" t="str">
        <f t="shared" si="16"/>
        <v>270810</v>
      </c>
      <c r="M57" s="766" t="str">
        <f ca="1">IF(K57=0,0,IF(K57&lt;9,"TOO YOUNG",IF(K57&lt;14,"OK","NOT ELIGIBLE")))</f>
        <v>OK</v>
      </c>
      <c r="AD57" s="722">
        <f t="shared" si="21"/>
        <v>30</v>
      </c>
      <c r="AE57" s="443" t="str">
        <f t="shared" si="22"/>
        <v>Open/Male 13/U 100m Butterfly</v>
      </c>
      <c r="AF57" s="440" t="s">
        <v>328</v>
      </c>
      <c r="AG57" s="739">
        <v>11</v>
      </c>
      <c r="AH57" s="740">
        <f t="shared" si="17"/>
        <v>1492522</v>
      </c>
      <c r="AI57" s="740" t="str">
        <f t="shared" si="18"/>
        <v>RILEY</v>
      </c>
      <c r="AJ57" s="740" t="str">
        <f t="shared" si="19"/>
        <v>BUNCE</v>
      </c>
      <c r="AK57" s="740"/>
      <c r="AL57" s="740"/>
      <c r="AM57" s="740"/>
      <c r="AN57" s="740"/>
      <c r="AO57" s="740"/>
      <c r="AQ57" s="741">
        <f t="shared" ca="1" si="20"/>
        <v>40417</v>
      </c>
    </row>
    <row r="58" spans="1:43" ht="20.25" customHeight="1" x14ac:dyDescent="0.25">
      <c r="A58" s="779">
        <v>31</v>
      </c>
      <c r="B58" s="780" t="s">
        <v>4359</v>
      </c>
      <c r="C58" s="781" t="s">
        <v>4635</v>
      </c>
      <c r="D58" s="782">
        <v>2</v>
      </c>
      <c r="E58" s="730">
        <v>1492516</v>
      </c>
      <c r="F58" s="731" t="s">
        <v>4844</v>
      </c>
      <c r="G58" s="731" t="s">
        <v>4843</v>
      </c>
      <c r="H58" s="732">
        <v>39635</v>
      </c>
      <c r="I58" s="733" t="str">
        <f t="shared" si="13"/>
        <v>ABIGAIL JOHNSON</v>
      </c>
      <c r="J58" s="734" t="str">
        <f t="shared" si="14"/>
        <v>JOHNSON,ABIGAIL</v>
      </c>
      <c r="K58" s="735">
        <f t="shared" ca="1" si="15"/>
        <v>15</v>
      </c>
      <c r="L58" s="736" t="str">
        <f t="shared" si="16"/>
        <v>060708</v>
      </c>
      <c r="M58" s="766" t="str">
        <f ca="1">IF(K58=0,0,IF(K58&lt;9,"TOO YOUNG",IF(K58&lt;16,"OK","NOT ELIGIBLE")))</f>
        <v>OK</v>
      </c>
      <c r="AD58" s="722">
        <f t="shared" si="21"/>
        <v>31</v>
      </c>
      <c r="AE58" s="443" t="str">
        <f t="shared" si="22"/>
        <v>Female 15/U 100m Freestyle</v>
      </c>
      <c r="AF58" s="440" t="s">
        <v>4635</v>
      </c>
      <c r="AG58" s="739">
        <v>2</v>
      </c>
      <c r="AH58" s="740">
        <f t="shared" si="17"/>
        <v>1492516</v>
      </c>
      <c r="AI58" s="740" t="str">
        <f t="shared" si="18"/>
        <v>ABIGAIL</v>
      </c>
      <c r="AJ58" s="740" t="str">
        <f t="shared" si="19"/>
        <v>JOHNSON</v>
      </c>
      <c r="AK58" s="740"/>
      <c r="AL58" s="740"/>
      <c r="AM58" s="740"/>
      <c r="AN58" s="740"/>
      <c r="AO58" s="740"/>
      <c r="AQ58" s="741">
        <f t="shared" ca="1" si="20"/>
        <v>39635</v>
      </c>
    </row>
    <row r="59" spans="1:43" ht="20.25" customHeight="1" x14ac:dyDescent="0.25">
      <c r="A59" s="779">
        <v>32</v>
      </c>
      <c r="B59" s="780" t="s">
        <v>4360</v>
      </c>
      <c r="C59" s="781" t="s">
        <v>328</v>
      </c>
      <c r="D59" s="782">
        <v>2</v>
      </c>
      <c r="E59" s="730">
        <v>1313732</v>
      </c>
      <c r="F59" s="731" t="s">
        <v>4847</v>
      </c>
      <c r="G59" s="731" t="s">
        <v>4848</v>
      </c>
      <c r="H59" s="732">
        <v>39491</v>
      </c>
      <c r="I59" s="733" t="str">
        <f t="shared" si="13"/>
        <v>CHARLES RAINES</v>
      </c>
      <c r="J59" s="734" t="str">
        <f t="shared" si="14"/>
        <v>RAINES,CHARLES</v>
      </c>
      <c r="K59" s="735">
        <f t="shared" ca="1" si="15"/>
        <v>15</v>
      </c>
      <c r="L59" s="736" t="str">
        <f t="shared" si="16"/>
        <v>130208</v>
      </c>
      <c r="M59" s="766" t="str">
        <f ca="1">IF(K59=0,0,IF(K59&lt;9,"TOO YOUNG",IF(K59&lt;16,"OK","NOT ELIGIBLE")))</f>
        <v>OK</v>
      </c>
      <c r="AD59" s="722">
        <f t="shared" si="21"/>
        <v>32</v>
      </c>
      <c r="AE59" s="443" t="str">
        <f t="shared" si="22"/>
        <v>Open/Male 15/U 100m Freestyle</v>
      </c>
      <c r="AF59" s="440" t="s">
        <v>328</v>
      </c>
      <c r="AG59" s="739">
        <v>2</v>
      </c>
      <c r="AH59" s="740">
        <f t="shared" si="17"/>
        <v>1313732</v>
      </c>
      <c r="AI59" s="740" t="str">
        <f t="shared" si="18"/>
        <v>CHARLES</v>
      </c>
      <c r="AJ59" s="740" t="str">
        <f t="shared" si="19"/>
        <v>RAINES</v>
      </c>
      <c r="AK59" s="740"/>
      <c r="AL59" s="740"/>
      <c r="AM59" s="740"/>
      <c r="AN59" s="740"/>
      <c r="AO59" s="740"/>
      <c r="AQ59" s="741">
        <f t="shared" ca="1" si="20"/>
        <v>39491</v>
      </c>
    </row>
    <row r="60" spans="1:43" ht="20.25" customHeight="1" x14ac:dyDescent="0.25">
      <c r="A60" s="727">
        <v>33</v>
      </c>
      <c r="B60" s="742" t="s">
        <v>4361</v>
      </c>
      <c r="C60" s="742" t="s">
        <v>4635</v>
      </c>
      <c r="D60" s="783">
        <v>8</v>
      </c>
      <c r="E60" s="730">
        <v>1345057</v>
      </c>
      <c r="F60" s="731" t="s">
        <v>4859</v>
      </c>
      <c r="G60" s="731" t="s">
        <v>4860</v>
      </c>
      <c r="H60" s="732">
        <v>39084</v>
      </c>
      <c r="I60" s="733" t="str">
        <f t="shared" si="13"/>
        <v>AMBER CURTIS</v>
      </c>
      <c r="J60" s="734" t="str">
        <f t="shared" si="14"/>
        <v>CURTIS,AMBER</v>
      </c>
      <c r="K60" s="735">
        <f t="shared" ca="1" si="15"/>
        <v>16</v>
      </c>
      <c r="L60" s="736" t="str">
        <f t="shared" si="16"/>
        <v>020107</v>
      </c>
      <c r="M60" s="770" t="str">
        <f ca="1">IF(K60=0,0,IF(K60&lt;9,"TOO YOUNG",IF(K60&lt;60,"OK","BIT OLD MAYBE")))</f>
        <v>OK</v>
      </c>
      <c r="AD60" s="722">
        <f t="shared" si="21"/>
        <v>33</v>
      </c>
      <c r="AE60" s="443" t="str">
        <f t="shared" si="22"/>
        <v>Female 16+ 100m Breaststroke</v>
      </c>
      <c r="AF60" s="443" t="s">
        <v>4635</v>
      </c>
      <c r="AG60" s="744">
        <v>9</v>
      </c>
      <c r="AH60" s="740">
        <f t="shared" si="17"/>
        <v>1345057</v>
      </c>
      <c r="AI60" s="740" t="str">
        <f t="shared" si="18"/>
        <v>AMBER</v>
      </c>
      <c r="AJ60" s="740" t="str">
        <f t="shared" si="19"/>
        <v>CURTIS</v>
      </c>
      <c r="AK60" s="740"/>
      <c r="AL60" s="740"/>
      <c r="AM60" s="740"/>
      <c r="AN60" s="740"/>
      <c r="AO60" s="740"/>
      <c r="AQ60" s="741">
        <f t="shared" ca="1" si="20"/>
        <v>39084</v>
      </c>
    </row>
    <row r="61" spans="1:43" ht="20.25" customHeight="1" x14ac:dyDescent="0.25">
      <c r="A61" s="727">
        <v>34</v>
      </c>
      <c r="B61" s="742" t="s">
        <v>4362</v>
      </c>
      <c r="C61" s="742" t="s">
        <v>328</v>
      </c>
      <c r="D61" s="783">
        <v>8</v>
      </c>
      <c r="E61" s="730">
        <v>1303395</v>
      </c>
      <c r="F61" s="731" t="s">
        <v>4863</v>
      </c>
      <c r="G61" s="731" t="s">
        <v>4846</v>
      </c>
      <c r="H61" s="732">
        <v>38773</v>
      </c>
      <c r="I61" s="733" t="str">
        <f t="shared" si="13"/>
        <v>MAX WALLER</v>
      </c>
      <c r="J61" s="734" t="str">
        <f t="shared" si="14"/>
        <v>WALLER,MAX</v>
      </c>
      <c r="K61" s="735">
        <f t="shared" ca="1" si="15"/>
        <v>17</v>
      </c>
      <c r="L61" s="736" t="str">
        <f t="shared" si="16"/>
        <v>250206</v>
      </c>
      <c r="M61" s="770" t="str">
        <f ca="1">IF(K61=0,0,IF(K61&lt;9,"TOO YOUNG",IF(K61&lt;60,"OK","BIT OLD MAYBE")))</f>
        <v>OK</v>
      </c>
      <c r="AD61" s="722">
        <f t="shared" si="21"/>
        <v>34</v>
      </c>
      <c r="AE61" s="443" t="str">
        <f t="shared" si="22"/>
        <v>Open/Male 16+ 100m Breaststroke</v>
      </c>
      <c r="AF61" s="443" t="s">
        <v>328</v>
      </c>
      <c r="AG61" s="744">
        <v>9</v>
      </c>
      <c r="AH61" s="740">
        <f t="shared" si="17"/>
        <v>1303395</v>
      </c>
      <c r="AI61" s="740" t="str">
        <f t="shared" si="18"/>
        <v>MAX</v>
      </c>
      <c r="AJ61" s="740" t="str">
        <f t="shared" si="19"/>
        <v>WALLER</v>
      </c>
      <c r="AK61" s="740"/>
      <c r="AL61" s="740"/>
      <c r="AM61" s="740"/>
      <c r="AN61" s="740"/>
      <c r="AO61" s="740"/>
      <c r="AQ61" s="741">
        <f t="shared" ca="1" si="20"/>
        <v>38773</v>
      </c>
    </row>
    <row r="62" spans="1:43" ht="20.25" customHeight="1" x14ac:dyDescent="0.25">
      <c r="A62" s="745">
        <v>35</v>
      </c>
      <c r="B62" s="773" t="s">
        <v>4363</v>
      </c>
      <c r="C62" s="774" t="s">
        <v>4635</v>
      </c>
      <c r="D62" s="775">
        <v>1</v>
      </c>
      <c r="E62" s="730">
        <v>1438744</v>
      </c>
      <c r="F62" s="731" t="s">
        <v>4818</v>
      </c>
      <c r="G62" s="731" t="s">
        <v>1275</v>
      </c>
      <c r="H62" s="732">
        <v>41079</v>
      </c>
      <c r="I62" s="733" t="str">
        <f t="shared" si="13"/>
        <v>CHELSEA DARE</v>
      </c>
      <c r="J62" s="734" t="str">
        <f t="shared" si="14"/>
        <v>DARE,CHELSEA</v>
      </c>
      <c r="K62" s="735">
        <f t="shared" ca="1" si="15"/>
        <v>11</v>
      </c>
      <c r="L62" s="736" t="str">
        <f t="shared" si="16"/>
        <v>190612</v>
      </c>
      <c r="M62" s="766" t="str">
        <f ca="1">IF(K62=0,0,IF(K62&lt;10,"TOO YOUNG",IF(K62&lt;12,"OK","NOT ELIGIBLE")))</f>
        <v>OK</v>
      </c>
      <c r="AD62" s="722">
        <f t="shared" si="21"/>
        <v>35</v>
      </c>
      <c r="AE62" s="443" t="str">
        <f t="shared" si="22"/>
        <v>Female 10/11 50m Freestyle</v>
      </c>
      <c r="AF62" s="440" t="s">
        <v>4635</v>
      </c>
      <c r="AG62" s="739">
        <v>1</v>
      </c>
      <c r="AH62" s="740">
        <f t="shared" si="17"/>
        <v>1438744</v>
      </c>
      <c r="AI62" s="740" t="str">
        <f t="shared" si="18"/>
        <v>CHELSEA</v>
      </c>
      <c r="AJ62" s="740" t="str">
        <f t="shared" si="19"/>
        <v>DARE</v>
      </c>
      <c r="AK62" s="740"/>
      <c r="AL62" s="740"/>
      <c r="AM62" s="740"/>
      <c r="AN62" s="740"/>
      <c r="AO62" s="740"/>
      <c r="AQ62" s="741">
        <f t="shared" ca="1" si="20"/>
        <v>41079</v>
      </c>
    </row>
    <row r="63" spans="1:43" ht="20.25" customHeight="1" x14ac:dyDescent="0.25">
      <c r="A63" s="745">
        <v>36</v>
      </c>
      <c r="B63" s="773" t="s">
        <v>4699</v>
      </c>
      <c r="C63" s="774" t="s">
        <v>328</v>
      </c>
      <c r="D63" s="775">
        <v>1</v>
      </c>
      <c r="E63" s="730">
        <v>1578227</v>
      </c>
      <c r="F63" s="731" t="s">
        <v>4822</v>
      </c>
      <c r="G63" s="731" t="s">
        <v>4823</v>
      </c>
      <c r="H63" s="732">
        <v>41189</v>
      </c>
      <c r="I63" s="733" t="str">
        <f t="shared" si="13"/>
        <v>JAMES MOHAMMED</v>
      </c>
      <c r="J63" s="734" t="str">
        <f t="shared" si="14"/>
        <v>MOHAMMED,JAMES</v>
      </c>
      <c r="K63" s="735">
        <f t="shared" ca="1" si="15"/>
        <v>11</v>
      </c>
      <c r="L63" s="736" t="str">
        <f t="shared" si="16"/>
        <v>071012</v>
      </c>
      <c r="M63" s="766" t="str">
        <f ca="1">IF(K63=0,0,IF(K63&lt;10,"TOO YOUNG",IF(K63&lt;12,"OK","NOT ELIGIBLE")))</f>
        <v>OK</v>
      </c>
      <c r="AD63" s="722">
        <f t="shared" si="21"/>
        <v>36</v>
      </c>
      <c r="AE63" s="443" t="str">
        <f t="shared" si="22"/>
        <v>Open/Male 10/11 50m Freestyle</v>
      </c>
      <c r="AF63" s="440" t="s">
        <v>328</v>
      </c>
      <c r="AG63" s="739">
        <v>1</v>
      </c>
      <c r="AH63" s="740">
        <f t="shared" si="17"/>
        <v>1578227</v>
      </c>
      <c r="AI63" s="740" t="str">
        <f t="shared" si="18"/>
        <v>JAMES</v>
      </c>
      <c r="AJ63" s="740" t="str">
        <f t="shared" si="19"/>
        <v>MOHAMMED</v>
      </c>
      <c r="AK63" s="740"/>
      <c r="AL63" s="740"/>
      <c r="AM63" s="740"/>
      <c r="AN63" s="740"/>
      <c r="AO63" s="740"/>
      <c r="AQ63" s="741">
        <f t="shared" ca="1" si="20"/>
        <v>41189</v>
      </c>
    </row>
    <row r="64" spans="1:43" ht="20.25" customHeight="1" x14ac:dyDescent="0.25">
      <c r="A64" s="755">
        <v>37</v>
      </c>
      <c r="B64" s="776" t="s">
        <v>4365</v>
      </c>
      <c r="C64" s="777" t="s">
        <v>4635</v>
      </c>
      <c r="D64" s="778">
        <v>2</v>
      </c>
      <c r="E64" s="730">
        <v>1458055</v>
      </c>
      <c r="F64" s="731" t="s">
        <v>4830</v>
      </c>
      <c r="G64" s="731" t="s">
        <v>4827</v>
      </c>
      <c r="H64" s="732">
        <v>40527</v>
      </c>
      <c r="I64" s="733" t="str">
        <f t="shared" si="13"/>
        <v>ANNABELLA COJEEN</v>
      </c>
      <c r="J64" s="734" t="str">
        <f t="shared" si="14"/>
        <v>COJEEN,ANNABELLA</v>
      </c>
      <c r="K64" s="735">
        <f t="shared" ca="1" si="15"/>
        <v>13</v>
      </c>
      <c r="L64" s="736" t="str">
        <f t="shared" si="16"/>
        <v>151210</v>
      </c>
      <c r="M64" s="766" t="str">
        <f ca="1">IF(K64=0,0,IF(K64&lt;9,"TOO YOUNG",IF(K64&lt;14,"OK","NOT ELIGIBLE")))</f>
        <v>OK</v>
      </c>
      <c r="AD64" s="722">
        <f t="shared" si="21"/>
        <v>37</v>
      </c>
      <c r="AE64" s="443" t="str">
        <f t="shared" si="22"/>
        <v>Female 13/U 100m Freestyle</v>
      </c>
      <c r="AF64" s="440" t="s">
        <v>4635</v>
      </c>
      <c r="AG64" s="739">
        <v>2</v>
      </c>
      <c r="AH64" s="740">
        <f t="shared" si="17"/>
        <v>1458055</v>
      </c>
      <c r="AI64" s="740" t="str">
        <f t="shared" si="18"/>
        <v>ANNABELLA</v>
      </c>
      <c r="AJ64" s="740" t="str">
        <f t="shared" si="19"/>
        <v>COJEEN</v>
      </c>
      <c r="AK64" s="740"/>
      <c r="AL64" s="740"/>
      <c r="AM64" s="740"/>
      <c r="AN64" s="740"/>
      <c r="AO64" s="740"/>
      <c r="AQ64" s="741">
        <f t="shared" ca="1" si="20"/>
        <v>40527</v>
      </c>
    </row>
    <row r="65" spans="1:43" ht="20.25" customHeight="1" x14ac:dyDescent="0.25">
      <c r="A65" s="755">
        <v>38</v>
      </c>
      <c r="B65" s="776" t="s">
        <v>4366</v>
      </c>
      <c r="C65" s="777" t="s">
        <v>328</v>
      </c>
      <c r="D65" s="778">
        <v>2</v>
      </c>
      <c r="E65" s="730">
        <v>1492522</v>
      </c>
      <c r="F65" s="731" t="s">
        <v>4836</v>
      </c>
      <c r="G65" s="731" t="s">
        <v>4815</v>
      </c>
      <c r="H65" s="732">
        <v>40417</v>
      </c>
      <c r="I65" s="733" t="str">
        <f t="shared" si="13"/>
        <v>RILEY BUNCE</v>
      </c>
      <c r="J65" s="734" t="str">
        <f t="shared" si="14"/>
        <v>BUNCE,RILEY</v>
      </c>
      <c r="K65" s="735">
        <f t="shared" ca="1" si="15"/>
        <v>13</v>
      </c>
      <c r="L65" s="736" t="str">
        <f t="shared" si="16"/>
        <v>270810</v>
      </c>
      <c r="M65" s="766" t="str">
        <f ca="1">IF(K65=0,0,IF(K65&lt;9,"TOO YOUNG",IF(K65&lt;14,"OK","NOT ELIGIBLE")))</f>
        <v>OK</v>
      </c>
      <c r="AD65" s="722">
        <f t="shared" si="21"/>
        <v>38</v>
      </c>
      <c r="AE65" s="443" t="str">
        <f t="shared" si="22"/>
        <v>Open/Male 13/U 100m Freestyle</v>
      </c>
      <c r="AF65" s="440" t="s">
        <v>328</v>
      </c>
      <c r="AG65" s="739">
        <v>2</v>
      </c>
      <c r="AH65" s="740">
        <f t="shared" si="17"/>
        <v>1492522</v>
      </c>
      <c r="AI65" s="740" t="str">
        <f t="shared" si="18"/>
        <v>RILEY</v>
      </c>
      <c r="AJ65" s="740" t="str">
        <f t="shared" si="19"/>
        <v>BUNCE</v>
      </c>
      <c r="AK65" s="740"/>
      <c r="AL65" s="740"/>
      <c r="AM65" s="740"/>
      <c r="AN65" s="740"/>
      <c r="AO65" s="740"/>
      <c r="AQ65" s="741">
        <f t="shared" ca="1" si="20"/>
        <v>40417</v>
      </c>
    </row>
    <row r="66" spans="1:43" ht="20.25" customHeight="1" x14ac:dyDescent="0.25">
      <c r="A66" s="779">
        <v>39</v>
      </c>
      <c r="B66" s="780" t="s">
        <v>4367</v>
      </c>
      <c r="C66" s="781" t="s">
        <v>4635</v>
      </c>
      <c r="D66" s="782">
        <v>8</v>
      </c>
      <c r="E66" s="730">
        <v>1303396</v>
      </c>
      <c r="F66" s="731" t="s">
        <v>4845</v>
      </c>
      <c r="G66" s="731" t="s">
        <v>4846</v>
      </c>
      <c r="H66" s="732">
        <v>39760</v>
      </c>
      <c r="I66" s="733" t="str">
        <f t="shared" si="13"/>
        <v>ZAHRA WALLER</v>
      </c>
      <c r="J66" s="734" t="str">
        <f t="shared" si="14"/>
        <v>WALLER,ZAHRA</v>
      </c>
      <c r="K66" s="735">
        <f t="shared" ca="1" si="15"/>
        <v>15</v>
      </c>
      <c r="L66" s="736" t="str">
        <f t="shared" si="16"/>
        <v>081108</v>
      </c>
      <c r="M66" s="766" t="str">
        <f ca="1">IF(K66=0,0,IF(K66&lt;9,"TOO YOUNG",IF(K66&lt;16,"OK","NOT ELIGIBLE")))</f>
        <v>OK</v>
      </c>
      <c r="AD66" s="722">
        <f t="shared" si="21"/>
        <v>39</v>
      </c>
      <c r="AE66" s="443" t="str">
        <f t="shared" si="22"/>
        <v>Female 15/U 100m Breaststroke</v>
      </c>
      <c r="AF66" s="440" t="s">
        <v>4635</v>
      </c>
      <c r="AG66" s="739">
        <v>9</v>
      </c>
      <c r="AH66" s="740">
        <f t="shared" si="17"/>
        <v>1303396</v>
      </c>
      <c r="AI66" s="740" t="str">
        <f t="shared" si="18"/>
        <v>ZAHRA</v>
      </c>
      <c r="AJ66" s="740" t="str">
        <f t="shared" si="19"/>
        <v>WALLER</v>
      </c>
      <c r="AK66" s="740"/>
      <c r="AL66" s="740"/>
      <c r="AM66" s="740"/>
      <c r="AN66" s="740"/>
      <c r="AO66" s="740"/>
      <c r="AQ66" s="741">
        <f t="shared" ca="1" si="20"/>
        <v>39760</v>
      </c>
    </row>
    <row r="67" spans="1:43" ht="20.25" customHeight="1" x14ac:dyDescent="0.25">
      <c r="A67" s="779">
        <v>40</v>
      </c>
      <c r="B67" s="780" t="s">
        <v>4368</v>
      </c>
      <c r="C67" s="781" t="s">
        <v>328</v>
      </c>
      <c r="D67" s="782">
        <v>8</v>
      </c>
      <c r="E67" s="730">
        <v>1233535</v>
      </c>
      <c r="F67" s="731" t="s">
        <v>4849</v>
      </c>
      <c r="G67" s="731" t="s">
        <v>4850</v>
      </c>
      <c r="H67" s="732">
        <v>39720</v>
      </c>
      <c r="I67" s="733" t="str">
        <f t="shared" si="13"/>
        <v>RAFI GIBSON</v>
      </c>
      <c r="J67" s="734" t="str">
        <f t="shared" si="14"/>
        <v>GIBSON,RAFI</v>
      </c>
      <c r="K67" s="735">
        <f t="shared" ca="1" si="15"/>
        <v>15</v>
      </c>
      <c r="L67" s="736" t="str">
        <f t="shared" si="16"/>
        <v>290908</v>
      </c>
      <c r="M67" s="766" t="str">
        <f ca="1">IF(K67=0,0,IF(K67&lt;9,"TOO YOUNG",IF(K67&lt;16,"OK","NOT ELIGIBLE")))</f>
        <v>OK</v>
      </c>
      <c r="AD67" s="722">
        <f t="shared" si="21"/>
        <v>40</v>
      </c>
      <c r="AE67" s="443" t="str">
        <f t="shared" si="22"/>
        <v>Open/Male 15/U 100m Breaststroke</v>
      </c>
      <c r="AF67" s="440" t="s">
        <v>328</v>
      </c>
      <c r="AG67" s="739">
        <v>9</v>
      </c>
      <c r="AH67" s="740">
        <f t="shared" si="17"/>
        <v>1233535</v>
      </c>
      <c r="AI67" s="740" t="str">
        <f t="shared" si="18"/>
        <v>RAFI</v>
      </c>
      <c r="AJ67" s="740" t="str">
        <f t="shared" si="19"/>
        <v>GIBSON</v>
      </c>
      <c r="AK67" s="740"/>
      <c r="AL67" s="740"/>
      <c r="AM67" s="740"/>
      <c r="AN67" s="740"/>
      <c r="AO67" s="740"/>
      <c r="AQ67" s="741">
        <f t="shared" ca="1" si="20"/>
        <v>39720</v>
      </c>
    </row>
    <row r="68" spans="1:43" ht="20.25" customHeight="1" x14ac:dyDescent="0.25">
      <c r="A68" s="727">
        <v>41</v>
      </c>
      <c r="B68" s="742" t="s">
        <v>4369</v>
      </c>
      <c r="C68" s="728" t="s">
        <v>4635</v>
      </c>
      <c r="D68" s="729">
        <v>2</v>
      </c>
      <c r="E68" s="730">
        <v>1168870</v>
      </c>
      <c r="F68" s="731" t="s">
        <v>4855</v>
      </c>
      <c r="G68" s="731" t="s">
        <v>4856</v>
      </c>
      <c r="H68" s="732">
        <v>39147</v>
      </c>
      <c r="I68" s="733" t="str">
        <f t="shared" ref="I68:I101" si="23">CONCATENATE(F68," ",G68)</f>
        <v>LUCY BURNHAM</v>
      </c>
      <c r="J68" s="734" t="str">
        <f t="shared" ref="J68:J101" si="24">CONCATENATE(G68,",",F68)</f>
        <v>BURNHAM,LUCY</v>
      </c>
      <c r="K68" s="735">
        <f t="shared" ref="K68:K99" ca="1" si="25">IF(K$2=0,0,IF(AQ68=0,0,IF(COUNTBLANK(AQ68)=1,"",YEAR(K$2)-YEAR(AQ68)-IF(DATE(YEAR(K$2),MONTH(AQ68),DAY(4638))&gt;K$2,1,0))))</f>
        <v>16</v>
      </c>
      <c r="L68" s="736" t="str">
        <f t="shared" ref="L68:L99" si="26">(TEXT(H68,"DDMMYY"))</f>
        <v>060307</v>
      </c>
      <c r="M68" s="770" t="str">
        <f ca="1">IF(K68=0,0,IF(K68&lt;9,"TOO YOUNG",IF(K68&lt;60,"OK","BIT OLD MAYBE")))</f>
        <v>OK</v>
      </c>
      <c r="AD68" s="722">
        <f t="shared" si="21"/>
        <v>41</v>
      </c>
      <c r="AE68" s="443" t="str">
        <f t="shared" si="22"/>
        <v>Female 16+ 100m Freestyle</v>
      </c>
      <c r="AF68" s="440" t="s">
        <v>4635</v>
      </c>
      <c r="AG68" s="739">
        <v>2</v>
      </c>
      <c r="AH68" s="740">
        <f t="shared" ref="AH68:AH99" si="27">E68</f>
        <v>1168870</v>
      </c>
      <c r="AI68" s="740" t="str">
        <f t="shared" ref="AI68:AI99" si="28">F68</f>
        <v>LUCY</v>
      </c>
      <c r="AJ68" s="740" t="str">
        <f t="shared" ref="AJ68:AJ99" si="29">G68</f>
        <v>BURNHAM</v>
      </c>
      <c r="AK68" s="740"/>
      <c r="AL68" s="740"/>
      <c r="AM68" s="740"/>
      <c r="AN68" s="740"/>
      <c r="AO68" s="740"/>
      <c r="AQ68" s="741">
        <f t="shared" ref="AQ68:AQ99" ca="1" si="30">INDIRECT(ADDRESS(ROW(),AQ$3))</f>
        <v>39147</v>
      </c>
    </row>
    <row r="69" spans="1:43" ht="20.25" customHeight="1" x14ac:dyDescent="0.25">
      <c r="A69" s="727">
        <v>42</v>
      </c>
      <c r="B69" s="742" t="s">
        <v>4370</v>
      </c>
      <c r="C69" s="728" t="s">
        <v>328</v>
      </c>
      <c r="D69" s="729">
        <v>2</v>
      </c>
      <c r="E69" s="730">
        <v>211202</v>
      </c>
      <c r="F69" s="731" t="s">
        <v>4861</v>
      </c>
      <c r="G69" s="731" t="s">
        <v>4862</v>
      </c>
      <c r="H69" s="732">
        <v>34638</v>
      </c>
      <c r="I69" s="733" t="str">
        <f t="shared" si="23"/>
        <v>MATTHEW MASTERS</v>
      </c>
      <c r="J69" s="734" t="str">
        <f t="shared" si="24"/>
        <v>MASTERS,MATTHEW</v>
      </c>
      <c r="K69" s="735">
        <f t="shared" ca="1" si="25"/>
        <v>29</v>
      </c>
      <c r="L69" s="736" t="str">
        <f t="shared" si="26"/>
        <v>311094</v>
      </c>
      <c r="M69" s="770" t="str">
        <f ca="1">IF(K69=0,0,IF(K69&lt;9,"TOO YOUNG",IF(K69&lt;60,"OK","BIT OLD MAYBE")))</f>
        <v>OK</v>
      </c>
      <c r="AD69" s="722">
        <f t="shared" si="21"/>
        <v>42</v>
      </c>
      <c r="AE69" s="443" t="str">
        <f t="shared" si="22"/>
        <v>Open/Male 16+ 100m Freestyle</v>
      </c>
      <c r="AF69" s="440" t="s">
        <v>328</v>
      </c>
      <c r="AG69" s="739">
        <v>2</v>
      </c>
      <c r="AH69" s="740">
        <f t="shared" si="27"/>
        <v>211202</v>
      </c>
      <c r="AI69" s="740" t="str">
        <f t="shared" si="28"/>
        <v>MATTHEW</v>
      </c>
      <c r="AJ69" s="740" t="str">
        <f t="shared" si="29"/>
        <v>MASTERS</v>
      </c>
      <c r="AK69" s="740"/>
      <c r="AL69" s="740"/>
      <c r="AM69" s="740"/>
      <c r="AN69" s="740"/>
      <c r="AO69" s="740"/>
      <c r="AQ69" s="741">
        <f t="shared" ca="1" si="30"/>
        <v>34638</v>
      </c>
    </row>
    <row r="70" spans="1:43" ht="20.25" customHeight="1" x14ac:dyDescent="0.25">
      <c r="A70" s="1254">
        <v>43</v>
      </c>
      <c r="B70" s="1255" t="s">
        <v>4700</v>
      </c>
      <c r="C70" s="746"/>
      <c r="D70" s="747"/>
      <c r="E70" s="730">
        <v>1438744</v>
      </c>
      <c r="F70" s="731" t="s">
        <v>4818</v>
      </c>
      <c r="G70" s="731" t="s">
        <v>1275</v>
      </c>
      <c r="H70" s="732">
        <v>41079</v>
      </c>
      <c r="I70" s="733" t="str">
        <f t="shared" si="23"/>
        <v>CHELSEA DARE</v>
      </c>
      <c r="J70" s="734" t="str">
        <f t="shared" si="24"/>
        <v>DARE,CHELSEA</v>
      </c>
      <c r="K70" s="735">
        <f t="shared" ca="1" si="25"/>
        <v>11</v>
      </c>
      <c r="L70" s="736" t="str">
        <f t="shared" si="26"/>
        <v>190612</v>
      </c>
      <c r="M70" s="766" t="str">
        <f t="shared" ref="M70:M77" ca="1" si="31">IF(K70=0,0,IF(K70&lt;9,"TOO YOUNG",IF(K70&lt;12,"OK","NOT ELIGIBLE")))</f>
        <v>OK</v>
      </c>
      <c r="AD70" s="1244">
        <f t="shared" si="21"/>
        <v>43</v>
      </c>
      <c r="AE70" s="1245" t="str">
        <f t="shared" si="22"/>
        <v>FEMALE 9/11 4 X 50M
MEDLEY RELAY</v>
      </c>
      <c r="AF70" s="749"/>
      <c r="AG70" s="750"/>
      <c r="AH70" s="740">
        <f t="shared" si="27"/>
        <v>1438744</v>
      </c>
      <c r="AI70" s="740" t="str">
        <f t="shared" si="28"/>
        <v>CHELSEA</v>
      </c>
      <c r="AJ70" s="740" t="str">
        <f t="shared" si="29"/>
        <v>DARE</v>
      </c>
      <c r="AK70" s="740"/>
      <c r="AL70" s="740"/>
      <c r="AM70" s="740"/>
      <c r="AN70" s="740"/>
      <c r="AO70" s="740"/>
      <c r="AQ70" s="741">
        <f t="shared" ca="1" si="30"/>
        <v>41079</v>
      </c>
    </row>
    <row r="71" spans="1:43" ht="20.25" customHeight="1" x14ac:dyDescent="0.25">
      <c r="A71" s="1254"/>
      <c r="B71" s="1255"/>
      <c r="C71" s="751"/>
      <c r="D71" s="752"/>
      <c r="E71" s="730">
        <v>1735254</v>
      </c>
      <c r="F71" s="731" t="s">
        <v>4820</v>
      </c>
      <c r="G71" s="731" t="s">
        <v>4821</v>
      </c>
      <c r="H71" s="732">
        <v>41016</v>
      </c>
      <c r="I71" s="733" t="str">
        <f t="shared" si="23"/>
        <v>MIA ZUBCEVIC</v>
      </c>
      <c r="J71" s="734" t="str">
        <f t="shared" si="24"/>
        <v>ZUBCEVIC,MIA</v>
      </c>
      <c r="K71" s="735">
        <f t="shared" ca="1" si="25"/>
        <v>11</v>
      </c>
      <c r="L71" s="736" t="str">
        <f t="shared" si="26"/>
        <v>170412</v>
      </c>
      <c r="M71" s="766" t="str">
        <f t="shared" ca="1" si="31"/>
        <v>OK</v>
      </c>
      <c r="AD71" s="1244"/>
      <c r="AE71" s="1245"/>
      <c r="AF71" s="753"/>
      <c r="AG71" s="754"/>
      <c r="AH71" s="740">
        <f t="shared" si="27"/>
        <v>1735254</v>
      </c>
      <c r="AI71" s="740" t="str">
        <f t="shared" si="28"/>
        <v>MIA</v>
      </c>
      <c r="AJ71" s="740" t="str">
        <f t="shared" si="29"/>
        <v>ZUBCEVIC</v>
      </c>
      <c r="AK71" s="740"/>
      <c r="AL71" s="740"/>
      <c r="AM71" s="740"/>
      <c r="AN71" s="740"/>
      <c r="AO71" s="740"/>
      <c r="AQ71" s="741">
        <f t="shared" ca="1" si="30"/>
        <v>41016</v>
      </c>
    </row>
    <row r="72" spans="1:43" ht="20.25" customHeight="1" x14ac:dyDescent="0.25">
      <c r="A72" s="1254"/>
      <c r="B72" s="1255"/>
      <c r="C72" s="751"/>
      <c r="D72" s="752"/>
      <c r="E72" s="730">
        <v>1468360</v>
      </c>
      <c r="F72" s="731" t="s">
        <v>4816</v>
      </c>
      <c r="G72" s="731" t="s">
        <v>4817</v>
      </c>
      <c r="H72" s="732">
        <v>41109</v>
      </c>
      <c r="I72" s="733" t="str">
        <f t="shared" si="23"/>
        <v>WILLOW BROWNBRIDGE</v>
      </c>
      <c r="J72" s="734" t="str">
        <f t="shared" si="24"/>
        <v>BROWNBRIDGE,WILLOW</v>
      </c>
      <c r="K72" s="735">
        <f t="shared" ca="1" si="25"/>
        <v>11</v>
      </c>
      <c r="L72" s="736" t="str">
        <f t="shared" si="26"/>
        <v>190712</v>
      </c>
      <c r="M72" s="766" t="str">
        <f t="shared" ca="1" si="31"/>
        <v>OK</v>
      </c>
      <c r="AD72" s="1244"/>
      <c r="AE72" s="1245"/>
      <c r="AF72" s="753"/>
      <c r="AG72" s="754"/>
      <c r="AH72" s="740">
        <f t="shared" si="27"/>
        <v>1468360</v>
      </c>
      <c r="AI72" s="740" t="str">
        <f t="shared" si="28"/>
        <v>WILLOW</v>
      </c>
      <c r="AJ72" s="740" t="str">
        <f t="shared" si="29"/>
        <v>BROWNBRIDGE</v>
      </c>
      <c r="AK72" s="740"/>
      <c r="AL72" s="740"/>
      <c r="AM72" s="740"/>
      <c r="AN72" s="740"/>
      <c r="AO72" s="740"/>
      <c r="AQ72" s="741">
        <f t="shared" ca="1" si="30"/>
        <v>41109</v>
      </c>
    </row>
    <row r="73" spans="1:43" ht="20.25" customHeight="1" x14ac:dyDescent="0.25">
      <c r="A73" s="1254"/>
      <c r="B73" s="1255"/>
      <c r="C73" s="751"/>
      <c r="D73" s="752"/>
      <c r="E73" s="730">
        <v>1620288</v>
      </c>
      <c r="F73" s="731" t="s">
        <v>4786</v>
      </c>
      <c r="G73" s="731" t="s">
        <v>4819</v>
      </c>
      <c r="H73" s="732">
        <v>41248</v>
      </c>
      <c r="I73" s="733" t="str">
        <f t="shared" si="23"/>
        <v>Olivia Genge</v>
      </c>
      <c r="J73" s="734" t="str">
        <f t="shared" si="24"/>
        <v>Genge,Olivia</v>
      </c>
      <c r="K73" s="735">
        <f t="shared" ca="1" si="25"/>
        <v>11</v>
      </c>
      <c r="L73" s="736" t="str">
        <f t="shared" si="26"/>
        <v>051212</v>
      </c>
      <c r="M73" s="766" t="str">
        <f t="shared" ca="1" si="31"/>
        <v>OK</v>
      </c>
      <c r="AD73" s="1244"/>
      <c r="AE73" s="1245"/>
      <c r="AF73" s="753"/>
      <c r="AG73" s="754"/>
      <c r="AH73" s="740">
        <f t="shared" si="27"/>
        <v>1620288</v>
      </c>
      <c r="AI73" s="740" t="str">
        <f t="shared" si="28"/>
        <v>Olivia</v>
      </c>
      <c r="AJ73" s="740" t="str">
        <f t="shared" si="29"/>
        <v>Genge</v>
      </c>
      <c r="AK73" s="740"/>
      <c r="AL73" s="740"/>
      <c r="AM73" s="740"/>
      <c r="AN73" s="740"/>
      <c r="AO73" s="740"/>
      <c r="AQ73" s="741">
        <f t="shared" ca="1" si="30"/>
        <v>41248</v>
      </c>
    </row>
    <row r="74" spans="1:43" ht="20.25" customHeight="1" x14ac:dyDescent="0.25">
      <c r="A74" s="1254">
        <v>44</v>
      </c>
      <c r="B74" s="1255" t="s">
        <v>4701</v>
      </c>
      <c r="C74" s="746"/>
      <c r="D74" s="747"/>
      <c r="E74" s="730">
        <v>1468363</v>
      </c>
      <c r="F74" s="731" t="s">
        <v>4824</v>
      </c>
      <c r="G74" s="731" t="s">
        <v>4825</v>
      </c>
      <c r="H74" s="732">
        <v>41231</v>
      </c>
      <c r="I74" s="733" t="str">
        <f t="shared" si="23"/>
        <v>SIMON ROSA</v>
      </c>
      <c r="J74" s="734" t="str">
        <f t="shared" si="24"/>
        <v>ROSA,SIMON</v>
      </c>
      <c r="K74" s="735">
        <f t="shared" ca="1" si="25"/>
        <v>11</v>
      </c>
      <c r="L74" s="736" t="str">
        <f t="shared" si="26"/>
        <v>181112</v>
      </c>
      <c r="M74" s="766" t="str">
        <f t="shared" ca="1" si="31"/>
        <v>OK</v>
      </c>
      <c r="AD74" s="1244">
        <f>A74</f>
        <v>44</v>
      </c>
      <c r="AE74" s="1245" t="str">
        <f>B74</f>
        <v>OPEN/MALE 9/11 4 X 50M
MEDLEY RELAY</v>
      </c>
      <c r="AF74" s="749"/>
      <c r="AG74" s="750"/>
      <c r="AH74" s="740">
        <f t="shared" si="27"/>
        <v>1468363</v>
      </c>
      <c r="AI74" s="740" t="str">
        <f t="shared" si="28"/>
        <v>SIMON</v>
      </c>
      <c r="AJ74" s="740" t="str">
        <f t="shared" si="29"/>
        <v>ROSA</v>
      </c>
      <c r="AK74" s="740"/>
      <c r="AL74" s="740"/>
      <c r="AM74" s="740"/>
      <c r="AN74" s="740"/>
      <c r="AO74" s="740"/>
      <c r="AQ74" s="741">
        <f t="shared" ca="1" si="30"/>
        <v>41231</v>
      </c>
    </row>
    <row r="75" spans="1:43" ht="20.25" customHeight="1" x14ac:dyDescent="0.25">
      <c r="A75" s="1254"/>
      <c r="B75" s="1255"/>
      <c r="C75" s="751"/>
      <c r="D75" s="752"/>
      <c r="E75" s="730">
        <v>1578227</v>
      </c>
      <c r="F75" s="731" t="s">
        <v>4822</v>
      </c>
      <c r="G75" s="731" t="s">
        <v>4823</v>
      </c>
      <c r="H75" s="732">
        <v>41189</v>
      </c>
      <c r="I75" s="733" t="str">
        <f t="shared" si="23"/>
        <v>JAMES MOHAMMED</v>
      </c>
      <c r="J75" s="734" t="str">
        <f t="shared" si="24"/>
        <v>MOHAMMED,JAMES</v>
      </c>
      <c r="K75" s="735">
        <f t="shared" ca="1" si="25"/>
        <v>11</v>
      </c>
      <c r="L75" s="736" t="str">
        <f t="shared" si="26"/>
        <v>071012</v>
      </c>
      <c r="M75" s="766" t="str">
        <f t="shared" ca="1" si="31"/>
        <v>OK</v>
      </c>
      <c r="AD75" s="1244"/>
      <c r="AE75" s="1245"/>
      <c r="AF75" s="753"/>
      <c r="AG75" s="754"/>
      <c r="AH75" s="740">
        <f t="shared" si="27"/>
        <v>1578227</v>
      </c>
      <c r="AI75" s="740" t="str">
        <f t="shared" si="28"/>
        <v>JAMES</v>
      </c>
      <c r="AJ75" s="740" t="str">
        <f t="shared" si="29"/>
        <v>MOHAMMED</v>
      </c>
      <c r="AK75" s="740"/>
      <c r="AL75" s="740"/>
      <c r="AM75" s="740"/>
      <c r="AN75" s="740"/>
      <c r="AO75" s="740"/>
      <c r="AQ75" s="741">
        <f t="shared" ca="1" si="30"/>
        <v>41189</v>
      </c>
    </row>
    <row r="76" spans="1:43" ht="20.25" customHeight="1" x14ac:dyDescent="0.25">
      <c r="A76" s="1254"/>
      <c r="B76" s="1255"/>
      <c r="C76" s="751"/>
      <c r="D76" s="752"/>
      <c r="E76" s="730">
        <v>1689774</v>
      </c>
      <c r="F76" s="731" t="s">
        <v>4826</v>
      </c>
      <c r="G76" s="731" t="s">
        <v>4827</v>
      </c>
      <c r="H76" s="732">
        <v>41166</v>
      </c>
      <c r="I76" s="733" t="str">
        <f t="shared" si="23"/>
        <v>CHARLIE COJEEN</v>
      </c>
      <c r="J76" s="734" t="str">
        <f t="shared" si="24"/>
        <v>COJEEN,CHARLIE</v>
      </c>
      <c r="K76" s="735">
        <f t="shared" ca="1" si="25"/>
        <v>11</v>
      </c>
      <c r="L76" s="736" t="str">
        <f t="shared" si="26"/>
        <v>140912</v>
      </c>
      <c r="M76" s="766" t="str">
        <f t="shared" ca="1" si="31"/>
        <v>OK</v>
      </c>
      <c r="AD76" s="1244"/>
      <c r="AE76" s="1245"/>
      <c r="AF76" s="753"/>
      <c r="AG76" s="754"/>
      <c r="AH76" s="740">
        <f t="shared" si="27"/>
        <v>1689774</v>
      </c>
      <c r="AI76" s="740" t="str">
        <f t="shared" si="28"/>
        <v>CHARLIE</v>
      </c>
      <c r="AJ76" s="740" t="str">
        <f t="shared" si="29"/>
        <v>COJEEN</v>
      </c>
      <c r="AK76" s="740"/>
      <c r="AL76" s="740"/>
      <c r="AM76" s="740"/>
      <c r="AN76" s="740"/>
      <c r="AO76" s="740"/>
      <c r="AQ76" s="741">
        <f t="shared" ca="1" si="30"/>
        <v>41166</v>
      </c>
    </row>
    <row r="77" spans="1:43" ht="20.25" customHeight="1" x14ac:dyDescent="0.25">
      <c r="A77" s="1254"/>
      <c r="B77" s="1255"/>
      <c r="C77" s="751"/>
      <c r="D77" s="752"/>
      <c r="E77" s="730">
        <v>1733897</v>
      </c>
      <c r="F77" s="731" t="s">
        <v>4828</v>
      </c>
      <c r="G77" s="731" t="s">
        <v>4829</v>
      </c>
      <c r="H77" s="732">
        <v>41816</v>
      </c>
      <c r="I77" s="733" t="str">
        <f t="shared" si="23"/>
        <v>SOLOMON HAWKES</v>
      </c>
      <c r="J77" s="734" t="str">
        <f t="shared" si="24"/>
        <v>HAWKES,SOLOMON</v>
      </c>
      <c r="K77" s="735">
        <f t="shared" ca="1" si="25"/>
        <v>9</v>
      </c>
      <c r="L77" s="736" t="str">
        <f t="shared" si="26"/>
        <v>260614</v>
      </c>
      <c r="M77" s="766" t="str">
        <f t="shared" ca="1" si="31"/>
        <v>OK</v>
      </c>
      <c r="AD77" s="1244"/>
      <c r="AE77" s="1245"/>
      <c r="AF77" s="753"/>
      <c r="AG77" s="754"/>
      <c r="AH77" s="740">
        <f t="shared" si="27"/>
        <v>1733897</v>
      </c>
      <c r="AI77" s="740" t="str">
        <f t="shared" si="28"/>
        <v>SOLOMON</v>
      </c>
      <c r="AJ77" s="740" t="str">
        <f t="shared" si="29"/>
        <v>HAWKES</v>
      </c>
      <c r="AK77" s="740"/>
      <c r="AL77" s="740"/>
      <c r="AM77" s="740"/>
      <c r="AN77" s="740"/>
      <c r="AO77" s="740"/>
      <c r="AQ77" s="741">
        <f t="shared" ca="1" si="30"/>
        <v>41816</v>
      </c>
    </row>
    <row r="78" spans="1:43" ht="20.25" customHeight="1" x14ac:dyDescent="0.25">
      <c r="A78" s="1252">
        <v>45</v>
      </c>
      <c r="B78" s="1253" t="s">
        <v>4702</v>
      </c>
      <c r="C78" s="756"/>
      <c r="D78" s="757"/>
      <c r="E78" s="730">
        <v>1458055</v>
      </c>
      <c r="F78" s="731" t="s">
        <v>4830</v>
      </c>
      <c r="G78" s="731" t="s">
        <v>4827</v>
      </c>
      <c r="H78" s="732">
        <v>40527</v>
      </c>
      <c r="I78" s="733" t="str">
        <f t="shared" si="23"/>
        <v>ANNABELLA COJEEN</v>
      </c>
      <c r="J78" s="734" t="str">
        <f t="shared" si="24"/>
        <v>COJEEN,ANNABELLA</v>
      </c>
      <c r="K78" s="735">
        <f t="shared" ca="1" si="25"/>
        <v>13</v>
      </c>
      <c r="L78" s="736" t="str">
        <f t="shared" si="26"/>
        <v>151210</v>
      </c>
      <c r="M78" s="766" t="str">
        <f t="shared" ref="M78:M85" ca="1" si="32">IF(K78=0,0,IF(K78&lt;9,"TOO YOUNG",IF(K78&lt;14,"OK","NOT ELIGIBLE")))</f>
        <v>OK</v>
      </c>
      <c r="AD78" s="1244">
        <f>A78</f>
        <v>45</v>
      </c>
      <c r="AE78" s="1245" t="str">
        <f>B78</f>
        <v>FEMALE 13/U 4 X 50M
FREESTYLE RELAY</v>
      </c>
      <c r="AF78" s="749"/>
      <c r="AG78" s="750"/>
      <c r="AH78" s="740">
        <f t="shared" si="27"/>
        <v>1458055</v>
      </c>
      <c r="AI78" s="740" t="str">
        <f t="shared" si="28"/>
        <v>ANNABELLA</v>
      </c>
      <c r="AJ78" s="740" t="str">
        <f t="shared" si="29"/>
        <v>COJEEN</v>
      </c>
      <c r="AK78" s="740"/>
      <c r="AL78" s="740"/>
      <c r="AM78" s="740"/>
      <c r="AN78" s="740"/>
      <c r="AO78" s="740"/>
      <c r="AQ78" s="741">
        <f t="shared" ca="1" si="30"/>
        <v>40527</v>
      </c>
    </row>
    <row r="79" spans="1:43" ht="20.25" customHeight="1" x14ac:dyDescent="0.25">
      <c r="A79" s="1252"/>
      <c r="B79" s="1253"/>
      <c r="C79" s="758"/>
      <c r="D79" s="759"/>
      <c r="E79" s="730">
        <v>1419811</v>
      </c>
      <c r="F79" s="731" t="s">
        <v>4834</v>
      </c>
      <c r="G79" s="731" t="s">
        <v>4835</v>
      </c>
      <c r="H79" s="732">
        <v>40468</v>
      </c>
      <c r="I79" s="733" t="str">
        <f t="shared" si="23"/>
        <v>AVA IANNONE</v>
      </c>
      <c r="J79" s="734" t="str">
        <f t="shared" si="24"/>
        <v>IANNONE,AVA</v>
      </c>
      <c r="K79" s="735">
        <f t="shared" ca="1" si="25"/>
        <v>13</v>
      </c>
      <c r="L79" s="736" t="str">
        <f t="shared" si="26"/>
        <v>171010</v>
      </c>
      <c r="M79" s="766" t="str">
        <f t="shared" ca="1" si="32"/>
        <v>OK</v>
      </c>
      <c r="AD79" s="1244"/>
      <c r="AE79" s="1245"/>
      <c r="AF79" s="753"/>
      <c r="AG79" s="754"/>
      <c r="AH79" s="740">
        <f t="shared" si="27"/>
        <v>1419811</v>
      </c>
      <c r="AI79" s="740" t="str">
        <f t="shared" si="28"/>
        <v>AVA</v>
      </c>
      <c r="AJ79" s="740" t="str">
        <f t="shared" si="29"/>
        <v>IANNONE</v>
      </c>
      <c r="AK79" s="740"/>
      <c r="AL79" s="740"/>
      <c r="AM79" s="740"/>
      <c r="AN79" s="740"/>
      <c r="AO79" s="740"/>
      <c r="AQ79" s="741">
        <f t="shared" ca="1" si="30"/>
        <v>40468</v>
      </c>
    </row>
    <row r="80" spans="1:43" ht="20.25" customHeight="1" x14ac:dyDescent="0.25">
      <c r="A80" s="1252"/>
      <c r="B80" s="1253"/>
      <c r="C80" s="758"/>
      <c r="D80" s="759"/>
      <c r="E80" s="730">
        <v>1403242</v>
      </c>
      <c r="F80" s="731" t="s">
        <v>4831</v>
      </c>
      <c r="G80" s="731" t="s">
        <v>4832</v>
      </c>
      <c r="H80" s="732">
        <v>40206</v>
      </c>
      <c r="I80" s="733" t="str">
        <f t="shared" si="23"/>
        <v>FRANCES STARSMORE</v>
      </c>
      <c r="J80" s="734" t="str">
        <f t="shared" si="24"/>
        <v>STARSMORE,FRANCES</v>
      </c>
      <c r="K80" s="735">
        <f t="shared" ca="1" si="25"/>
        <v>13</v>
      </c>
      <c r="L80" s="736" t="str">
        <f t="shared" si="26"/>
        <v>280110</v>
      </c>
      <c r="M80" s="766" t="str">
        <f t="shared" ca="1" si="32"/>
        <v>OK</v>
      </c>
      <c r="AD80" s="1244"/>
      <c r="AE80" s="1245"/>
      <c r="AF80" s="753"/>
      <c r="AG80" s="754"/>
      <c r="AH80" s="740">
        <f t="shared" si="27"/>
        <v>1403242</v>
      </c>
      <c r="AI80" s="740" t="str">
        <f t="shared" si="28"/>
        <v>FRANCES</v>
      </c>
      <c r="AJ80" s="740" t="str">
        <f t="shared" si="29"/>
        <v>STARSMORE</v>
      </c>
      <c r="AK80" s="740"/>
      <c r="AL80" s="740"/>
      <c r="AM80" s="740"/>
      <c r="AN80" s="740"/>
      <c r="AO80" s="740"/>
      <c r="AQ80" s="741">
        <f t="shared" ca="1" si="30"/>
        <v>40206</v>
      </c>
    </row>
    <row r="81" spans="1:43" ht="20.25" customHeight="1" x14ac:dyDescent="0.25">
      <c r="A81" s="1252"/>
      <c r="B81" s="1253"/>
      <c r="C81" s="758"/>
      <c r="D81" s="759"/>
      <c r="E81" s="730">
        <v>1511245</v>
      </c>
      <c r="F81" s="731" t="s">
        <v>4833</v>
      </c>
      <c r="G81" s="731" t="s">
        <v>4823</v>
      </c>
      <c r="H81" s="732">
        <v>40442</v>
      </c>
      <c r="I81" s="733" t="str">
        <f t="shared" si="23"/>
        <v>ISLA MOHAMMED</v>
      </c>
      <c r="J81" s="734" t="str">
        <f t="shared" si="24"/>
        <v>MOHAMMED,ISLA</v>
      </c>
      <c r="K81" s="735">
        <f t="shared" ca="1" si="25"/>
        <v>13</v>
      </c>
      <c r="L81" s="736" t="str">
        <f t="shared" si="26"/>
        <v>210910</v>
      </c>
      <c r="M81" s="766" t="str">
        <f t="shared" ca="1" si="32"/>
        <v>OK</v>
      </c>
      <c r="AD81" s="1244"/>
      <c r="AE81" s="1245"/>
      <c r="AF81" s="753"/>
      <c r="AG81" s="754"/>
      <c r="AH81" s="740">
        <f t="shared" si="27"/>
        <v>1511245</v>
      </c>
      <c r="AI81" s="740" t="str">
        <f t="shared" si="28"/>
        <v>ISLA</v>
      </c>
      <c r="AJ81" s="740" t="str">
        <f t="shared" si="29"/>
        <v>MOHAMMED</v>
      </c>
      <c r="AK81" s="740"/>
      <c r="AL81" s="740"/>
      <c r="AM81" s="740"/>
      <c r="AN81" s="740"/>
      <c r="AO81" s="740"/>
      <c r="AQ81" s="741">
        <f t="shared" ca="1" si="30"/>
        <v>40442</v>
      </c>
    </row>
    <row r="82" spans="1:43" ht="20.25" customHeight="1" x14ac:dyDescent="0.25">
      <c r="A82" s="1252">
        <v>46</v>
      </c>
      <c r="B82" s="1253" t="s">
        <v>4703</v>
      </c>
      <c r="C82" s="756"/>
      <c r="D82" s="757"/>
      <c r="E82" s="730">
        <v>1492522</v>
      </c>
      <c r="F82" s="731" t="s">
        <v>4836</v>
      </c>
      <c r="G82" s="731" t="s">
        <v>4815</v>
      </c>
      <c r="H82" s="732">
        <v>40417</v>
      </c>
      <c r="I82" s="733" t="str">
        <f t="shared" si="23"/>
        <v>RILEY BUNCE</v>
      </c>
      <c r="J82" s="734" t="str">
        <f t="shared" si="24"/>
        <v>BUNCE,RILEY</v>
      </c>
      <c r="K82" s="735">
        <f t="shared" ca="1" si="25"/>
        <v>13</v>
      </c>
      <c r="L82" s="736" t="str">
        <f t="shared" si="26"/>
        <v>270810</v>
      </c>
      <c r="M82" s="766" t="str">
        <f t="shared" ca="1" si="32"/>
        <v>OK</v>
      </c>
      <c r="AD82" s="1244">
        <f>A82</f>
        <v>46</v>
      </c>
      <c r="AE82" s="1245" t="str">
        <f>B82</f>
        <v>OPEN/MALE 13/U 4 X 50M
FREESTYLE RELAY</v>
      </c>
      <c r="AF82" s="749"/>
      <c r="AG82" s="750"/>
      <c r="AH82" s="740">
        <f t="shared" si="27"/>
        <v>1492522</v>
      </c>
      <c r="AI82" s="740" t="str">
        <f t="shared" si="28"/>
        <v>RILEY</v>
      </c>
      <c r="AJ82" s="740" t="str">
        <f t="shared" si="29"/>
        <v>BUNCE</v>
      </c>
      <c r="AK82" s="740"/>
      <c r="AL82" s="740"/>
      <c r="AM82" s="740"/>
      <c r="AN82" s="740"/>
      <c r="AO82" s="740"/>
      <c r="AQ82" s="741">
        <f t="shared" ca="1" si="30"/>
        <v>40417</v>
      </c>
    </row>
    <row r="83" spans="1:43" ht="20.25" customHeight="1" x14ac:dyDescent="0.25">
      <c r="A83" s="1252"/>
      <c r="B83" s="1253"/>
      <c r="C83" s="758"/>
      <c r="D83" s="759"/>
      <c r="E83" s="730">
        <v>1438743</v>
      </c>
      <c r="F83" s="731" t="s">
        <v>4837</v>
      </c>
      <c r="G83" s="731" t="s">
        <v>4825</v>
      </c>
      <c r="H83" s="732">
        <v>40254</v>
      </c>
      <c r="I83" s="733" t="str">
        <f t="shared" si="23"/>
        <v>SAMUEL ROSA</v>
      </c>
      <c r="J83" s="734" t="str">
        <f t="shared" si="24"/>
        <v>ROSA,SAMUEL</v>
      </c>
      <c r="K83" s="735">
        <f t="shared" ca="1" si="25"/>
        <v>13</v>
      </c>
      <c r="L83" s="736" t="str">
        <f t="shared" si="26"/>
        <v>170310</v>
      </c>
      <c r="M83" s="766" t="str">
        <f t="shared" ca="1" si="32"/>
        <v>OK</v>
      </c>
      <c r="AD83" s="1244"/>
      <c r="AE83" s="1245"/>
      <c r="AF83" s="753"/>
      <c r="AG83" s="754"/>
      <c r="AH83" s="740">
        <f t="shared" si="27"/>
        <v>1438743</v>
      </c>
      <c r="AI83" s="740" t="str">
        <f t="shared" si="28"/>
        <v>SAMUEL</v>
      </c>
      <c r="AJ83" s="740" t="str">
        <f t="shared" si="29"/>
        <v>ROSA</v>
      </c>
      <c r="AK83" s="740"/>
      <c r="AL83" s="740"/>
      <c r="AM83" s="740"/>
      <c r="AN83" s="740"/>
      <c r="AO83" s="740"/>
      <c r="AQ83" s="741">
        <f t="shared" ca="1" si="30"/>
        <v>40254</v>
      </c>
    </row>
    <row r="84" spans="1:43" ht="20.25" customHeight="1" x14ac:dyDescent="0.25">
      <c r="A84" s="1252"/>
      <c r="B84" s="1253"/>
      <c r="C84" s="758"/>
      <c r="D84" s="759"/>
      <c r="E84" s="730">
        <v>1578227</v>
      </c>
      <c r="F84" s="731" t="s">
        <v>4822</v>
      </c>
      <c r="G84" s="731" t="s">
        <v>4823</v>
      </c>
      <c r="H84" s="732">
        <v>41189</v>
      </c>
      <c r="I84" s="733" t="str">
        <f t="shared" si="23"/>
        <v>JAMES MOHAMMED</v>
      </c>
      <c r="J84" s="734" t="str">
        <f t="shared" si="24"/>
        <v>MOHAMMED,JAMES</v>
      </c>
      <c r="K84" s="735">
        <f t="shared" ca="1" si="25"/>
        <v>11</v>
      </c>
      <c r="L84" s="736" t="str">
        <f t="shared" si="26"/>
        <v>071012</v>
      </c>
      <c r="M84" s="766" t="str">
        <f t="shared" ca="1" si="32"/>
        <v>OK</v>
      </c>
      <c r="AD84" s="1244"/>
      <c r="AE84" s="1245"/>
      <c r="AF84" s="753"/>
      <c r="AG84" s="754"/>
      <c r="AH84" s="740">
        <f t="shared" si="27"/>
        <v>1578227</v>
      </c>
      <c r="AI84" s="740" t="str">
        <f t="shared" si="28"/>
        <v>JAMES</v>
      </c>
      <c r="AJ84" s="740" t="str">
        <f t="shared" si="29"/>
        <v>MOHAMMED</v>
      </c>
      <c r="AK84" s="740"/>
      <c r="AL84" s="740"/>
      <c r="AM84" s="740"/>
      <c r="AN84" s="740"/>
      <c r="AO84" s="740"/>
      <c r="AQ84" s="741">
        <f t="shared" ca="1" si="30"/>
        <v>41189</v>
      </c>
    </row>
    <row r="85" spans="1:43" ht="20.25" customHeight="1" x14ac:dyDescent="0.25">
      <c r="A85" s="1252"/>
      <c r="B85" s="1253"/>
      <c r="C85" s="758"/>
      <c r="D85" s="759"/>
      <c r="E85" s="730">
        <v>1647337</v>
      </c>
      <c r="F85" s="731" t="s">
        <v>4838</v>
      </c>
      <c r="G85" s="731" t="s">
        <v>4839</v>
      </c>
      <c r="H85" s="732">
        <v>40623</v>
      </c>
      <c r="I85" s="733" t="str">
        <f t="shared" si="23"/>
        <v>ROWAN FULLER</v>
      </c>
      <c r="J85" s="734" t="str">
        <f t="shared" si="24"/>
        <v>FULLER,ROWAN</v>
      </c>
      <c r="K85" s="735">
        <f t="shared" ca="1" si="25"/>
        <v>12</v>
      </c>
      <c r="L85" s="736" t="str">
        <f t="shared" si="26"/>
        <v>210311</v>
      </c>
      <c r="M85" s="766" t="str">
        <f t="shared" ca="1" si="32"/>
        <v>OK</v>
      </c>
      <c r="AD85" s="1244"/>
      <c r="AE85" s="1245"/>
      <c r="AF85" s="753"/>
      <c r="AG85" s="754"/>
      <c r="AH85" s="740">
        <f t="shared" si="27"/>
        <v>1647337</v>
      </c>
      <c r="AI85" s="740" t="str">
        <f t="shared" si="28"/>
        <v>ROWAN</v>
      </c>
      <c r="AJ85" s="740" t="str">
        <f t="shared" si="29"/>
        <v>FULLER</v>
      </c>
      <c r="AK85" s="740"/>
      <c r="AL85" s="740"/>
      <c r="AM85" s="740"/>
      <c r="AN85" s="740"/>
      <c r="AO85" s="740"/>
      <c r="AQ85" s="741">
        <f t="shared" ca="1" si="30"/>
        <v>40623</v>
      </c>
    </row>
    <row r="86" spans="1:43" ht="20.25" customHeight="1" x14ac:dyDescent="0.25">
      <c r="A86" s="1248">
        <v>47</v>
      </c>
      <c r="B86" s="1249" t="s">
        <v>4704</v>
      </c>
      <c r="C86" s="761"/>
      <c r="D86" s="762"/>
      <c r="E86" s="730">
        <v>1443628</v>
      </c>
      <c r="F86" s="731" t="s">
        <v>4842</v>
      </c>
      <c r="G86" s="731" t="s">
        <v>4843</v>
      </c>
      <c r="H86" s="732">
        <v>39755</v>
      </c>
      <c r="I86" s="733" t="str">
        <f t="shared" si="23"/>
        <v>MEGAN JOHNSON</v>
      </c>
      <c r="J86" s="734" t="str">
        <f t="shared" si="24"/>
        <v>JOHNSON,MEGAN</v>
      </c>
      <c r="K86" s="735">
        <f t="shared" ca="1" si="25"/>
        <v>15</v>
      </c>
      <c r="L86" s="736" t="str">
        <f t="shared" si="26"/>
        <v>031108</v>
      </c>
      <c r="M86" s="766" t="str">
        <f t="shared" ref="M86:M93" ca="1" si="33">IF(K86=0,0,IF(K86&lt;9,"TOO YOUNG",IF(K86&lt;16,"OK","NOT ELIGIBLE")))</f>
        <v>OK</v>
      </c>
      <c r="AD86" s="1244">
        <f>A86</f>
        <v>47</v>
      </c>
      <c r="AE86" s="1245" t="str">
        <f>B86</f>
        <v>FEMALE 15/U 4 X 50M
MEDLEY RELAY</v>
      </c>
      <c r="AF86" s="749"/>
      <c r="AG86" s="750"/>
      <c r="AH86" s="740">
        <f t="shared" si="27"/>
        <v>1443628</v>
      </c>
      <c r="AI86" s="740" t="str">
        <f t="shared" si="28"/>
        <v>MEGAN</v>
      </c>
      <c r="AJ86" s="740" t="str">
        <f t="shared" si="29"/>
        <v>JOHNSON</v>
      </c>
      <c r="AK86" s="740"/>
      <c r="AL86" s="740"/>
      <c r="AM86" s="740"/>
      <c r="AN86" s="740"/>
      <c r="AO86" s="740"/>
      <c r="AQ86" s="741">
        <f t="shared" ca="1" si="30"/>
        <v>39755</v>
      </c>
    </row>
    <row r="87" spans="1:43" ht="20.25" customHeight="1" x14ac:dyDescent="0.25">
      <c r="A87" s="1248"/>
      <c r="B87" s="1249"/>
      <c r="C87" s="763"/>
      <c r="D87" s="764"/>
      <c r="E87" s="730">
        <v>1303396</v>
      </c>
      <c r="F87" s="731" t="s">
        <v>4845</v>
      </c>
      <c r="G87" s="731" t="s">
        <v>4846</v>
      </c>
      <c r="H87" s="732">
        <v>39760</v>
      </c>
      <c r="I87" s="733" t="str">
        <f t="shared" si="23"/>
        <v>ZAHRA WALLER</v>
      </c>
      <c r="J87" s="734" t="str">
        <f t="shared" si="24"/>
        <v>WALLER,ZAHRA</v>
      </c>
      <c r="K87" s="735">
        <f t="shared" ca="1" si="25"/>
        <v>15</v>
      </c>
      <c r="L87" s="736" t="str">
        <f t="shared" si="26"/>
        <v>081108</v>
      </c>
      <c r="M87" s="766" t="str">
        <f t="shared" ca="1" si="33"/>
        <v>OK</v>
      </c>
      <c r="AD87" s="1244"/>
      <c r="AE87" s="1245"/>
      <c r="AF87" s="753"/>
      <c r="AG87" s="754"/>
      <c r="AH87" s="740">
        <f t="shared" si="27"/>
        <v>1303396</v>
      </c>
      <c r="AI87" s="740" t="str">
        <f t="shared" si="28"/>
        <v>ZAHRA</v>
      </c>
      <c r="AJ87" s="740" t="str">
        <f t="shared" si="29"/>
        <v>WALLER</v>
      </c>
      <c r="AK87" s="740"/>
      <c r="AL87" s="740"/>
      <c r="AM87" s="740"/>
      <c r="AN87" s="740"/>
      <c r="AO87" s="740"/>
      <c r="AQ87" s="741">
        <f t="shared" ca="1" si="30"/>
        <v>39760</v>
      </c>
    </row>
    <row r="88" spans="1:43" ht="20.25" customHeight="1" x14ac:dyDescent="0.25">
      <c r="A88" s="1248"/>
      <c r="B88" s="1249"/>
      <c r="C88" s="763"/>
      <c r="D88" s="764"/>
      <c r="E88" s="730">
        <v>1458055</v>
      </c>
      <c r="F88" s="731" t="s">
        <v>4830</v>
      </c>
      <c r="G88" s="731" t="s">
        <v>4827</v>
      </c>
      <c r="H88" s="732">
        <v>40527</v>
      </c>
      <c r="I88" s="733" t="str">
        <f t="shared" si="23"/>
        <v>ANNABELLA COJEEN</v>
      </c>
      <c r="J88" s="734" t="str">
        <f t="shared" si="24"/>
        <v>COJEEN,ANNABELLA</v>
      </c>
      <c r="K88" s="735">
        <f t="shared" ca="1" si="25"/>
        <v>13</v>
      </c>
      <c r="L88" s="736" t="str">
        <f t="shared" si="26"/>
        <v>151210</v>
      </c>
      <c r="M88" s="766" t="str">
        <f t="shared" ca="1" si="33"/>
        <v>OK</v>
      </c>
      <c r="AD88" s="1244"/>
      <c r="AE88" s="1245"/>
      <c r="AF88" s="753"/>
      <c r="AG88" s="754"/>
      <c r="AH88" s="740">
        <f t="shared" si="27"/>
        <v>1458055</v>
      </c>
      <c r="AI88" s="740" t="str">
        <f t="shared" si="28"/>
        <v>ANNABELLA</v>
      </c>
      <c r="AJ88" s="740" t="str">
        <f t="shared" si="29"/>
        <v>COJEEN</v>
      </c>
      <c r="AK88" s="740"/>
      <c r="AL88" s="740"/>
      <c r="AM88" s="740"/>
      <c r="AN88" s="740"/>
      <c r="AO88" s="740"/>
      <c r="AQ88" s="741">
        <f t="shared" ca="1" si="30"/>
        <v>40527</v>
      </c>
    </row>
    <row r="89" spans="1:43" ht="20.25" customHeight="1" x14ac:dyDescent="0.25">
      <c r="A89" s="1248"/>
      <c r="B89" s="1249"/>
      <c r="C89" s="763"/>
      <c r="D89" s="764"/>
      <c r="E89" s="730">
        <v>1492516</v>
      </c>
      <c r="F89" s="731" t="s">
        <v>4844</v>
      </c>
      <c r="G89" s="731" t="s">
        <v>4843</v>
      </c>
      <c r="H89" s="732">
        <v>39635</v>
      </c>
      <c r="I89" s="733" t="str">
        <f t="shared" si="23"/>
        <v>ABIGAIL JOHNSON</v>
      </c>
      <c r="J89" s="734" t="str">
        <f t="shared" si="24"/>
        <v>JOHNSON,ABIGAIL</v>
      </c>
      <c r="K89" s="735">
        <f t="shared" ca="1" si="25"/>
        <v>15</v>
      </c>
      <c r="L89" s="736" t="str">
        <f t="shared" si="26"/>
        <v>060708</v>
      </c>
      <c r="M89" s="766" t="str">
        <f t="shared" ca="1" si="33"/>
        <v>OK</v>
      </c>
      <c r="AD89" s="1244"/>
      <c r="AE89" s="1245"/>
      <c r="AF89" s="753"/>
      <c r="AG89" s="754"/>
      <c r="AH89" s="740">
        <f t="shared" si="27"/>
        <v>1492516</v>
      </c>
      <c r="AI89" s="740" t="str">
        <f t="shared" si="28"/>
        <v>ABIGAIL</v>
      </c>
      <c r="AJ89" s="740" t="str">
        <f t="shared" si="29"/>
        <v>JOHNSON</v>
      </c>
      <c r="AK89" s="740"/>
      <c r="AL89" s="740"/>
      <c r="AM89" s="740"/>
      <c r="AN89" s="740"/>
      <c r="AO89" s="740"/>
      <c r="AQ89" s="741">
        <f t="shared" ca="1" si="30"/>
        <v>39635</v>
      </c>
    </row>
    <row r="90" spans="1:43" ht="20.25" customHeight="1" x14ac:dyDescent="0.25">
      <c r="A90" s="1248">
        <v>48</v>
      </c>
      <c r="B90" s="1249" t="s">
        <v>4705</v>
      </c>
      <c r="C90" s="761"/>
      <c r="D90" s="762"/>
      <c r="E90" s="730">
        <v>1313732</v>
      </c>
      <c r="F90" s="731" t="s">
        <v>4847</v>
      </c>
      <c r="G90" s="731" t="s">
        <v>4848</v>
      </c>
      <c r="H90" s="732">
        <v>39491</v>
      </c>
      <c r="I90" s="733" t="str">
        <f t="shared" si="23"/>
        <v>CHARLES RAINES</v>
      </c>
      <c r="J90" s="734" t="str">
        <f t="shared" si="24"/>
        <v>RAINES,CHARLES</v>
      </c>
      <c r="K90" s="735">
        <f t="shared" ca="1" si="25"/>
        <v>15</v>
      </c>
      <c r="L90" s="736" t="str">
        <f t="shared" si="26"/>
        <v>130208</v>
      </c>
      <c r="M90" s="766" t="str">
        <f t="shared" ca="1" si="33"/>
        <v>OK</v>
      </c>
      <c r="AD90" s="1244">
        <f>A90</f>
        <v>48</v>
      </c>
      <c r="AE90" s="1245" t="str">
        <f>B90</f>
        <v>OPEN/MALE 15/U 4 X 50M
MEDLEY RELAY</v>
      </c>
      <c r="AF90" s="749"/>
      <c r="AG90" s="750"/>
      <c r="AH90" s="740">
        <f t="shared" si="27"/>
        <v>1313732</v>
      </c>
      <c r="AI90" s="740" t="str">
        <f t="shared" si="28"/>
        <v>CHARLES</v>
      </c>
      <c r="AJ90" s="740" t="str">
        <f t="shared" si="29"/>
        <v>RAINES</v>
      </c>
      <c r="AK90" s="740"/>
      <c r="AL90" s="740"/>
      <c r="AM90" s="740"/>
      <c r="AN90" s="740"/>
      <c r="AO90" s="740"/>
      <c r="AQ90" s="741">
        <f t="shared" ca="1" si="30"/>
        <v>39491</v>
      </c>
    </row>
    <row r="91" spans="1:43" ht="20.25" customHeight="1" x14ac:dyDescent="0.25">
      <c r="A91" s="1248"/>
      <c r="B91" s="1249"/>
      <c r="C91" s="763"/>
      <c r="D91" s="764"/>
      <c r="E91" s="730">
        <v>1620283</v>
      </c>
      <c r="F91" s="731" t="s">
        <v>4851</v>
      </c>
      <c r="G91" s="731" t="s">
        <v>4852</v>
      </c>
      <c r="H91" s="732">
        <v>40009</v>
      </c>
      <c r="I91" s="733" t="str">
        <f t="shared" si="23"/>
        <v>MAKSYMILIAN WOZNICKI</v>
      </c>
      <c r="J91" s="734" t="str">
        <f t="shared" si="24"/>
        <v>WOZNICKI,MAKSYMILIAN</v>
      </c>
      <c r="K91" s="735">
        <f t="shared" ca="1" si="25"/>
        <v>14</v>
      </c>
      <c r="L91" s="736" t="str">
        <f t="shared" si="26"/>
        <v>150709</v>
      </c>
      <c r="M91" s="766" t="str">
        <f t="shared" ca="1" si="33"/>
        <v>OK</v>
      </c>
      <c r="AD91" s="1244"/>
      <c r="AE91" s="1245"/>
      <c r="AF91" s="753"/>
      <c r="AG91" s="754"/>
      <c r="AH91" s="740">
        <f t="shared" si="27"/>
        <v>1620283</v>
      </c>
      <c r="AI91" s="740" t="str">
        <f t="shared" si="28"/>
        <v>MAKSYMILIAN</v>
      </c>
      <c r="AJ91" s="740" t="str">
        <f t="shared" si="29"/>
        <v>WOZNICKI</v>
      </c>
      <c r="AK91" s="740"/>
      <c r="AL91" s="740"/>
      <c r="AM91" s="740"/>
      <c r="AN91" s="740"/>
      <c r="AO91" s="740"/>
      <c r="AQ91" s="741">
        <f t="shared" ca="1" si="30"/>
        <v>40009</v>
      </c>
    </row>
    <row r="92" spans="1:43" ht="20.25" customHeight="1" x14ac:dyDescent="0.25">
      <c r="A92" s="1248"/>
      <c r="B92" s="1249"/>
      <c r="C92" s="763"/>
      <c r="D92" s="764"/>
      <c r="E92" s="730">
        <v>1233535</v>
      </c>
      <c r="F92" s="731" t="s">
        <v>4849</v>
      </c>
      <c r="G92" s="731" t="s">
        <v>4850</v>
      </c>
      <c r="H92" s="732">
        <v>39720</v>
      </c>
      <c r="I92" s="733" t="str">
        <f t="shared" si="23"/>
        <v>RAFI GIBSON</v>
      </c>
      <c r="J92" s="734" t="str">
        <f t="shared" si="24"/>
        <v>GIBSON,RAFI</v>
      </c>
      <c r="K92" s="735">
        <f t="shared" ca="1" si="25"/>
        <v>15</v>
      </c>
      <c r="L92" s="736" t="str">
        <f t="shared" si="26"/>
        <v>290908</v>
      </c>
      <c r="M92" s="766" t="str">
        <f t="shared" ca="1" si="33"/>
        <v>OK</v>
      </c>
      <c r="AD92" s="1244"/>
      <c r="AE92" s="1245"/>
      <c r="AF92" s="753"/>
      <c r="AG92" s="754"/>
      <c r="AH92" s="740">
        <f t="shared" si="27"/>
        <v>1233535</v>
      </c>
      <c r="AI92" s="740" t="str">
        <f t="shared" si="28"/>
        <v>RAFI</v>
      </c>
      <c r="AJ92" s="740" t="str">
        <f t="shared" si="29"/>
        <v>GIBSON</v>
      </c>
      <c r="AK92" s="740"/>
      <c r="AL92" s="740"/>
      <c r="AM92" s="740"/>
      <c r="AN92" s="740"/>
      <c r="AO92" s="740"/>
      <c r="AQ92" s="741">
        <f t="shared" ca="1" si="30"/>
        <v>39720</v>
      </c>
    </row>
    <row r="93" spans="1:43" ht="20.25" customHeight="1" x14ac:dyDescent="0.25">
      <c r="A93" s="1248"/>
      <c r="B93" s="1249"/>
      <c r="C93" s="763"/>
      <c r="D93" s="764"/>
      <c r="E93" s="730">
        <v>1508490</v>
      </c>
      <c r="F93" s="731" t="s">
        <v>4853</v>
      </c>
      <c r="G93" s="731" t="s">
        <v>4854</v>
      </c>
      <c r="H93" s="732">
        <v>40012</v>
      </c>
      <c r="I93" s="733" t="str">
        <f t="shared" si="23"/>
        <v>SEBASTIAN BROWN</v>
      </c>
      <c r="J93" s="734" t="str">
        <f t="shared" si="24"/>
        <v>BROWN,SEBASTIAN</v>
      </c>
      <c r="K93" s="735">
        <f t="shared" ca="1" si="25"/>
        <v>14</v>
      </c>
      <c r="L93" s="736" t="str">
        <f t="shared" si="26"/>
        <v>180709</v>
      </c>
      <c r="M93" s="766" t="str">
        <f t="shared" ca="1" si="33"/>
        <v>OK</v>
      </c>
      <c r="AD93" s="1244"/>
      <c r="AE93" s="1245"/>
      <c r="AF93" s="753"/>
      <c r="AG93" s="754"/>
      <c r="AH93" s="740">
        <f t="shared" si="27"/>
        <v>1508490</v>
      </c>
      <c r="AI93" s="740" t="str">
        <f t="shared" si="28"/>
        <v>SEBASTIAN</v>
      </c>
      <c r="AJ93" s="740" t="str">
        <f t="shared" si="29"/>
        <v>BROWN</v>
      </c>
      <c r="AK93" s="740"/>
      <c r="AL93" s="740"/>
      <c r="AM93" s="740"/>
      <c r="AN93" s="740"/>
      <c r="AO93" s="740"/>
      <c r="AQ93" s="741">
        <f t="shared" ca="1" si="30"/>
        <v>40012</v>
      </c>
    </row>
    <row r="94" spans="1:43" ht="20.25" customHeight="1" x14ac:dyDescent="0.25">
      <c r="A94" s="1250">
        <v>49</v>
      </c>
      <c r="B94" s="1251" t="s">
        <v>4706</v>
      </c>
      <c r="C94" s="768"/>
      <c r="D94" s="769"/>
      <c r="E94" s="730">
        <v>1168870</v>
      </c>
      <c r="F94" s="731" t="s">
        <v>4855</v>
      </c>
      <c r="G94" s="731" t="s">
        <v>4856</v>
      </c>
      <c r="H94" s="732">
        <v>39147</v>
      </c>
      <c r="I94" s="733" t="str">
        <f t="shared" si="23"/>
        <v>LUCY BURNHAM</v>
      </c>
      <c r="J94" s="734" t="str">
        <f t="shared" si="24"/>
        <v>BURNHAM,LUCY</v>
      </c>
      <c r="K94" s="735">
        <f t="shared" ca="1" si="25"/>
        <v>16</v>
      </c>
      <c r="L94" s="736" t="str">
        <f t="shared" si="26"/>
        <v>060307</v>
      </c>
      <c r="M94" s="770" t="str">
        <f t="shared" ref="M94:M109" ca="1" si="34">IF(K94=0,0,IF(K94&lt;9,"TOO YOUNG",IF(K94&lt;60,"OK","BIT OLD MAYBE")))</f>
        <v>OK</v>
      </c>
      <c r="AD94" s="1244">
        <f>A94</f>
        <v>49</v>
      </c>
      <c r="AE94" s="1245" t="str">
        <f>B94</f>
        <v>FEMALE 16+4 X 50M
FREESTYLE RELAY</v>
      </c>
      <c r="AF94" s="749"/>
      <c r="AG94" s="750"/>
      <c r="AH94" s="740">
        <f t="shared" si="27"/>
        <v>1168870</v>
      </c>
      <c r="AI94" s="740" t="str">
        <f t="shared" si="28"/>
        <v>LUCY</v>
      </c>
      <c r="AJ94" s="740" t="str">
        <f t="shared" si="29"/>
        <v>BURNHAM</v>
      </c>
      <c r="AK94" s="740"/>
      <c r="AL94" s="740"/>
      <c r="AM94" s="740"/>
      <c r="AN94" s="740"/>
      <c r="AO94" s="740"/>
      <c r="AQ94" s="741">
        <f t="shared" ca="1" si="30"/>
        <v>39147</v>
      </c>
    </row>
    <row r="95" spans="1:43" ht="20.25" customHeight="1" x14ac:dyDescent="0.25">
      <c r="A95" s="1250"/>
      <c r="B95" s="1251"/>
      <c r="C95" s="771"/>
      <c r="D95" s="772"/>
      <c r="E95" s="730">
        <v>856295</v>
      </c>
      <c r="F95" s="731" t="s">
        <v>4812</v>
      </c>
      <c r="G95" s="731" t="s">
        <v>4813</v>
      </c>
      <c r="H95" s="732">
        <v>37374</v>
      </c>
      <c r="I95" s="733" t="str">
        <f t="shared" si="23"/>
        <v>LIBBY BLISSETT</v>
      </c>
      <c r="J95" s="734" t="str">
        <f t="shared" si="24"/>
        <v>BLISSETT,LIBBY</v>
      </c>
      <c r="K95" s="735">
        <f t="shared" ca="1" si="25"/>
        <v>21</v>
      </c>
      <c r="L95" s="736" t="str">
        <f t="shared" si="26"/>
        <v>280402</v>
      </c>
      <c r="M95" s="770" t="str">
        <f t="shared" ca="1" si="34"/>
        <v>OK</v>
      </c>
      <c r="AD95" s="1244"/>
      <c r="AE95" s="1245"/>
      <c r="AF95" s="753"/>
      <c r="AG95" s="754"/>
      <c r="AH95" s="740">
        <f t="shared" si="27"/>
        <v>856295</v>
      </c>
      <c r="AI95" s="740" t="str">
        <f t="shared" si="28"/>
        <v>LIBBY</v>
      </c>
      <c r="AJ95" s="740" t="str">
        <f t="shared" si="29"/>
        <v>BLISSETT</v>
      </c>
      <c r="AK95" s="740"/>
      <c r="AL95" s="740"/>
      <c r="AM95" s="740"/>
      <c r="AN95" s="740"/>
      <c r="AO95" s="740"/>
      <c r="AQ95" s="741">
        <f t="shared" ca="1" si="30"/>
        <v>37374</v>
      </c>
    </row>
    <row r="96" spans="1:43" ht="20.25" customHeight="1" x14ac:dyDescent="0.25">
      <c r="A96" s="1250"/>
      <c r="B96" s="1251"/>
      <c r="C96" s="771"/>
      <c r="D96" s="772"/>
      <c r="E96" s="730">
        <v>1414211</v>
      </c>
      <c r="F96" s="731" t="s">
        <v>4857</v>
      </c>
      <c r="G96" s="731" t="s">
        <v>4858</v>
      </c>
      <c r="H96" s="732">
        <v>39434</v>
      </c>
      <c r="I96" s="733" t="str">
        <f t="shared" si="23"/>
        <v>HANNAH BOLTON</v>
      </c>
      <c r="J96" s="734" t="str">
        <f t="shared" si="24"/>
        <v>BOLTON,HANNAH</v>
      </c>
      <c r="K96" s="735">
        <f t="shared" ca="1" si="25"/>
        <v>16</v>
      </c>
      <c r="L96" s="736" t="str">
        <f t="shared" si="26"/>
        <v>181207</v>
      </c>
      <c r="M96" s="770" t="str">
        <f t="shared" ca="1" si="34"/>
        <v>OK</v>
      </c>
      <c r="AD96" s="1244"/>
      <c r="AE96" s="1245"/>
      <c r="AF96" s="753"/>
      <c r="AG96" s="754"/>
      <c r="AH96" s="740">
        <f t="shared" si="27"/>
        <v>1414211</v>
      </c>
      <c r="AI96" s="740" t="str">
        <f t="shared" si="28"/>
        <v>HANNAH</v>
      </c>
      <c r="AJ96" s="740" t="str">
        <f t="shared" si="29"/>
        <v>BOLTON</v>
      </c>
      <c r="AK96" s="740"/>
      <c r="AL96" s="740"/>
      <c r="AM96" s="740"/>
      <c r="AN96" s="740"/>
      <c r="AO96" s="740"/>
      <c r="AQ96" s="741">
        <f t="shared" ca="1" si="30"/>
        <v>39434</v>
      </c>
    </row>
    <row r="97" spans="1:43" ht="20.25" customHeight="1" x14ac:dyDescent="0.25">
      <c r="A97" s="1250"/>
      <c r="B97" s="1251"/>
      <c r="C97" s="771"/>
      <c r="D97" s="772"/>
      <c r="E97" s="730">
        <v>1345057</v>
      </c>
      <c r="F97" s="731" t="s">
        <v>4859</v>
      </c>
      <c r="G97" s="731" t="s">
        <v>4860</v>
      </c>
      <c r="H97" s="732">
        <v>39084</v>
      </c>
      <c r="I97" s="733" t="str">
        <f t="shared" si="23"/>
        <v>AMBER CURTIS</v>
      </c>
      <c r="J97" s="734" t="str">
        <f t="shared" si="24"/>
        <v>CURTIS,AMBER</v>
      </c>
      <c r="K97" s="735">
        <f t="shared" ca="1" si="25"/>
        <v>16</v>
      </c>
      <c r="L97" s="736" t="str">
        <f t="shared" si="26"/>
        <v>020107</v>
      </c>
      <c r="M97" s="770" t="str">
        <f t="shared" ca="1" si="34"/>
        <v>OK</v>
      </c>
      <c r="AD97" s="1244"/>
      <c r="AE97" s="1245"/>
      <c r="AF97" s="753"/>
      <c r="AG97" s="754"/>
      <c r="AH97" s="740">
        <f t="shared" si="27"/>
        <v>1345057</v>
      </c>
      <c r="AI97" s="740" t="str">
        <f t="shared" si="28"/>
        <v>AMBER</v>
      </c>
      <c r="AJ97" s="740" t="str">
        <f t="shared" si="29"/>
        <v>CURTIS</v>
      </c>
      <c r="AK97" s="740"/>
      <c r="AL97" s="740"/>
      <c r="AM97" s="740"/>
      <c r="AN97" s="740"/>
      <c r="AO97" s="740"/>
      <c r="AQ97" s="741">
        <f t="shared" ca="1" si="30"/>
        <v>39084</v>
      </c>
    </row>
    <row r="98" spans="1:43" ht="20.25" customHeight="1" x14ac:dyDescent="0.25">
      <c r="A98" s="1242">
        <v>50</v>
      </c>
      <c r="B98" s="1243" t="s">
        <v>4707</v>
      </c>
      <c r="C98" s="768"/>
      <c r="D98" s="769"/>
      <c r="E98" s="731">
        <v>211202</v>
      </c>
      <c r="F98" s="731" t="s">
        <v>4861</v>
      </c>
      <c r="G98" s="731" t="s">
        <v>4862</v>
      </c>
      <c r="H98" s="732">
        <v>34638</v>
      </c>
      <c r="I98" s="733" t="str">
        <f t="shared" si="23"/>
        <v>MATTHEW MASTERS</v>
      </c>
      <c r="J98" s="734" t="str">
        <f t="shared" si="24"/>
        <v>MASTERS,MATTHEW</v>
      </c>
      <c r="K98" s="735">
        <f t="shared" ca="1" si="25"/>
        <v>29</v>
      </c>
      <c r="L98" s="736" t="str">
        <f t="shared" si="26"/>
        <v>311094</v>
      </c>
      <c r="M98" s="770" t="str">
        <f t="shared" ca="1" si="34"/>
        <v>OK</v>
      </c>
      <c r="AD98" s="1244">
        <f>A98</f>
        <v>50</v>
      </c>
      <c r="AE98" s="1245" t="str">
        <f>B98</f>
        <v>OPEN/MALE 16+4 X 50M
FREESTYLE RELAY</v>
      </c>
      <c r="AF98" s="749"/>
      <c r="AG98" s="750"/>
      <c r="AH98" s="740">
        <f t="shared" si="27"/>
        <v>211202</v>
      </c>
      <c r="AI98" s="740" t="str">
        <f t="shared" si="28"/>
        <v>MATTHEW</v>
      </c>
      <c r="AJ98" s="740" t="str">
        <f t="shared" si="29"/>
        <v>MASTERS</v>
      </c>
      <c r="AK98" s="740"/>
      <c r="AL98" s="740"/>
      <c r="AM98" s="740"/>
      <c r="AN98" s="740"/>
      <c r="AO98" s="740"/>
      <c r="AQ98" s="741">
        <f t="shared" ca="1" si="30"/>
        <v>34638</v>
      </c>
    </row>
    <row r="99" spans="1:43" ht="20.25" customHeight="1" x14ac:dyDescent="0.25">
      <c r="A99" s="1242"/>
      <c r="B99" s="1243"/>
      <c r="C99" s="771"/>
      <c r="D99" s="772"/>
      <c r="E99" s="731">
        <v>1388593</v>
      </c>
      <c r="F99" s="731" t="s">
        <v>4814</v>
      </c>
      <c r="G99" s="731" t="s">
        <v>4815</v>
      </c>
      <c r="H99" s="732">
        <v>39385</v>
      </c>
      <c r="I99" s="733" t="str">
        <f t="shared" si="23"/>
        <v>ELLIS BUNCE</v>
      </c>
      <c r="J99" s="734" t="str">
        <f t="shared" si="24"/>
        <v>BUNCE,ELLIS</v>
      </c>
      <c r="K99" s="735">
        <f t="shared" ca="1" si="25"/>
        <v>16</v>
      </c>
      <c r="L99" s="736" t="str">
        <f t="shared" si="26"/>
        <v>301007</v>
      </c>
      <c r="M99" s="770" t="str">
        <f t="shared" ca="1" si="34"/>
        <v>OK</v>
      </c>
      <c r="AD99" s="1244"/>
      <c r="AE99" s="1245"/>
      <c r="AF99" s="753"/>
      <c r="AG99" s="754"/>
      <c r="AH99" s="740">
        <f t="shared" si="27"/>
        <v>1388593</v>
      </c>
      <c r="AI99" s="740" t="str">
        <f t="shared" si="28"/>
        <v>ELLIS</v>
      </c>
      <c r="AJ99" s="740" t="str">
        <f t="shared" si="29"/>
        <v>BUNCE</v>
      </c>
      <c r="AK99" s="740"/>
      <c r="AL99" s="740"/>
      <c r="AM99" s="740"/>
      <c r="AN99" s="740"/>
      <c r="AO99" s="740"/>
      <c r="AQ99" s="741">
        <f t="shared" ca="1" si="30"/>
        <v>39385</v>
      </c>
    </row>
    <row r="100" spans="1:43" ht="20.25" customHeight="1" x14ac:dyDescent="0.25">
      <c r="A100" s="1242"/>
      <c r="B100" s="1243"/>
      <c r="C100" s="771"/>
      <c r="D100" s="772"/>
      <c r="E100" s="730">
        <v>1330363</v>
      </c>
      <c r="F100" s="731" t="s">
        <v>4826</v>
      </c>
      <c r="G100" s="731" t="s">
        <v>4832</v>
      </c>
      <c r="H100" s="732">
        <v>39115</v>
      </c>
      <c r="I100" s="733" t="str">
        <f t="shared" si="23"/>
        <v>CHARLIE STARSMORE</v>
      </c>
      <c r="J100" s="734" t="str">
        <f t="shared" si="24"/>
        <v>STARSMORE,CHARLIE</v>
      </c>
      <c r="K100" s="735">
        <f t="shared" ref="K100:K109" ca="1" si="35">IF(K$2=0,0,IF(AQ100=0,0,IF(COUNTBLANK(AQ100)=1,"",YEAR(K$2)-YEAR(AQ100)-IF(DATE(YEAR(K$2),MONTH(AQ100),DAY(4638))&gt;K$2,1,0))))</f>
        <v>16</v>
      </c>
      <c r="L100" s="736" t="str">
        <f t="shared" ref="L100:L109" si="36">(TEXT(H100,"DDMMYY"))</f>
        <v>020207</v>
      </c>
      <c r="M100" s="770" t="str">
        <f t="shared" ca="1" si="34"/>
        <v>OK</v>
      </c>
      <c r="AD100" s="1244"/>
      <c r="AE100" s="1245"/>
      <c r="AF100" s="753"/>
      <c r="AG100" s="754"/>
      <c r="AH100" s="740">
        <f t="shared" ref="AH100:AH109" si="37">E100</f>
        <v>1330363</v>
      </c>
      <c r="AI100" s="740" t="str">
        <f t="shared" ref="AI100:AI109" si="38">F100</f>
        <v>CHARLIE</v>
      </c>
      <c r="AJ100" s="740" t="str">
        <f t="shared" ref="AJ100:AJ109" si="39">G100</f>
        <v>STARSMORE</v>
      </c>
      <c r="AK100" s="740"/>
      <c r="AL100" s="740"/>
      <c r="AM100" s="740"/>
      <c r="AN100" s="740"/>
      <c r="AO100" s="740"/>
      <c r="AQ100" s="741">
        <f t="shared" ref="AQ100:AQ109" ca="1" si="40">INDIRECT(ADDRESS(ROW(),AQ$3))</f>
        <v>39115</v>
      </c>
    </row>
    <row r="101" spans="1:43" ht="20.25" customHeight="1" x14ac:dyDescent="0.25">
      <c r="A101" s="1242"/>
      <c r="B101" s="1243"/>
      <c r="C101" s="771"/>
      <c r="D101" s="772"/>
      <c r="E101" s="730">
        <v>1303395</v>
      </c>
      <c r="F101" s="731" t="s">
        <v>4863</v>
      </c>
      <c r="G101" s="731" t="s">
        <v>4846</v>
      </c>
      <c r="H101" s="732">
        <v>38773</v>
      </c>
      <c r="I101" s="733" t="str">
        <f t="shared" si="23"/>
        <v>MAX WALLER</v>
      </c>
      <c r="J101" s="734" t="str">
        <f t="shared" si="24"/>
        <v>WALLER,MAX</v>
      </c>
      <c r="K101" s="735">
        <f t="shared" ca="1" si="35"/>
        <v>17</v>
      </c>
      <c r="L101" s="736" t="str">
        <f t="shared" si="36"/>
        <v>250206</v>
      </c>
      <c r="M101" s="770" t="str">
        <f t="shared" ca="1" si="34"/>
        <v>OK</v>
      </c>
      <c r="AD101" s="1244"/>
      <c r="AE101" s="1245"/>
      <c r="AF101" s="753"/>
      <c r="AG101" s="754"/>
      <c r="AH101" s="740">
        <f t="shared" si="37"/>
        <v>1303395</v>
      </c>
      <c r="AI101" s="740" t="str">
        <f t="shared" si="38"/>
        <v>MAX</v>
      </c>
      <c r="AJ101" s="740" t="str">
        <f t="shared" si="39"/>
        <v>WALLER</v>
      </c>
      <c r="AK101" s="740"/>
      <c r="AL101" s="740"/>
      <c r="AM101" s="740"/>
      <c r="AN101" s="740"/>
      <c r="AO101" s="740"/>
      <c r="AQ101" s="741">
        <f t="shared" ca="1" si="40"/>
        <v>38773</v>
      </c>
    </row>
    <row r="102" spans="1:43" ht="20.25" customHeight="1" x14ac:dyDescent="0.25">
      <c r="A102" s="1246">
        <v>51</v>
      </c>
      <c r="B102" s="1247" t="s">
        <v>4708</v>
      </c>
      <c r="C102" s="20"/>
      <c r="D102" s="784"/>
      <c r="E102" s="730">
        <v>1313732</v>
      </c>
      <c r="F102" s="731" t="s">
        <v>4847</v>
      </c>
      <c r="G102" s="731" t="s">
        <v>4848</v>
      </c>
      <c r="H102" s="732">
        <v>39491</v>
      </c>
      <c r="I102" s="785"/>
      <c r="J102" s="785"/>
      <c r="K102" s="735">
        <f t="shared" ca="1" si="35"/>
        <v>15</v>
      </c>
      <c r="L102" s="736" t="str">
        <f t="shared" si="36"/>
        <v>130208</v>
      </c>
      <c r="M102" s="770" t="str">
        <f t="shared" ca="1" si="34"/>
        <v>OK</v>
      </c>
      <c r="AD102" s="1244">
        <f>A102</f>
        <v>51</v>
      </c>
      <c r="AE102" s="1245" t="str">
        <f>B102</f>
        <v>SQUADRON RELAY 8 X 50M
1 MALE &amp; 1 FEMALE FROM EACH AGE GROUP
SWIM IN ANY ORDER</v>
      </c>
      <c r="AF102" s="786"/>
      <c r="AG102" s="787"/>
      <c r="AH102" s="740">
        <f t="shared" si="37"/>
        <v>1313732</v>
      </c>
      <c r="AI102" s="740" t="str">
        <f t="shared" si="38"/>
        <v>CHARLES</v>
      </c>
      <c r="AJ102" s="740" t="str">
        <f t="shared" si="39"/>
        <v>RAINES</v>
      </c>
      <c r="AK102" s="740"/>
      <c r="AL102" s="740"/>
      <c r="AM102" s="740"/>
      <c r="AN102" s="740"/>
      <c r="AO102" s="740"/>
      <c r="AQ102" s="741">
        <f t="shared" ca="1" si="40"/>
        <v>39491</v>
      </c>
    </row>
    <row r="103" spans="1:43" ht="20.25" customHeight="1" x14ac:dyDescent="0.25">
      <c r="A103" s="1246"/>
      <c r="B103" s="1247"/>
      <c r="C103" s="20"/>
      <c r="D103" s="784"/>
      <c r="E103" s="730">
        <v>1458055</v>
      </c>
      <c r="F103" s="731" t="s">
        <v>4830</v>
      </c>
      <c r="G103" s="731" t="s">
        <v>4827</v>
      </c>
      <c r="H103" s="732">
        <v>40527</v>
      </c>
      <c r="I103" s="785"/>
      <c r="J103" s="785"/>
      <c r="K103" s="735">
        <f t="shared" ca="1" si="35"/>
        <v>13</v>
      </c>
      <c r="L103" s="736" t="str">
        <f t="shared" si="36"/>
        <v>151210</v>
      </c>
      <c r="M103" s="770" t="str">
        <f t="shared" ca="1" si="34"/>
        <v>OK</v>
      </c>
      <c r="AD103" s="1244"/>
      <c r="AE103" s="1245"/>
      <c r="AF103" s="786"/>
      <c r="AG103" s="787"/>
      <c r="AH103" s="740">
        <f t="shared" si="37"/>
        <v>1458055</v>
      </c>
      <c r="AI103" s="740" t="str">
        <f t="shared" si="38"/>
        <v>ANNABELLA</v>
      </c>
      <c r="AJ103" s="740" t="str">
        <f t="shared" si="39"/>
        <v>COJEEN</v>
      </c>
      <c r="AK103" s="740"/>
      <c r="AL103" s="740"/>
      <c r="AM103" s="740"/>
      <c r="AN103" s="740"/>
      <c r="AO103" s="740"/>
      <c r="AQ103" s="741">
        <f t="shared" ca="1" si="40"/>
        <v>40527</v>
      </c>
    </row>
    <row r="104" spans="1:43" ht="20.25" customHeight="1" x14ac:dyDescent="0.25">
      <c r="A104" s="1246"/>
      <c r="B104" s="1247"/>
      <c r="C104" s="20"/>
      <c r="D104" s="784"/>
      <c r="E104" s="730">
        <v>1578227</v>
      </c>
      <c r="F104" s="731" t="s">
        <v>4822</v>
      </c>
      <c r="G104" s="731" t="s">
        <v>4823</v>
      </c>
      <c r="H104" s="732">
        <v>41189</v>
      </c>
      <c r="I104" s="785"/>
      <c r="J104" s="785"/>
      <c r="K104" s="735">
        <f t="shared" ca="1" si="35"/>
        <v>11</v>
      </c>
      <c r="L104" s="736" t="str">
        <f t="shared" si="36"/>
        <v>071012</v>
      </c>
      <c r="M104" s="770" t="str">
        <f t="shared" ca="1" si="34"/>
        <v>OK</v>
      </c>
      <c r="AD104" s="1244"/>
      <c r="AE104" s="1245"/>
      <c r="AF104" s="786"/>
      <c r="AG104" s="787"/>
      <c r="AH104" s="740">
        <f t="shared" si="37"/>
        <v>1578227</v>
      </c>
      <c r="AI104" s="740" t="str">
        <f t="shared" si="38"/>
        <v>JAMES</v>
      </c>
      <c r="AJ104" s="740" t="str">
        <f t="shared" si="39"/>
        <v>MOHAMMED</v>
      </c>
      <c r="AK104" s="740"/>
      <c r="AL104" s="740"/>
      <c r="AM104" s="740"/>
      <c r="AN104" s="740"/>
      <c r="AO104" s="740"/>
      <c r="AQ104" s="741">
        <f t="shared" ca="1" si="40"/>
        <v>41189</v>
      </c>
    </row>
    <row r="105" spans="1:43" ht="20.25" customHeight="1" x14ac:dyDescent="0.25">
      <c r="A105" s="1246"/>
      <c r="B105" s="1247"/>
      <c r="C105" s="20"/>
      <c r="D105" s="784"/>
      <c r="E105" s="730">
        <v>1492522</v>
      </c>
      <c r="F105" s="731" t="s">
        <v>4836</v>
      </c>
      <c r="G105" s="731" t="s">
        <v>4815</v>
      </c>
      <c r="H105" s="732">
        <v>40417</v>
      </c>
      <c r="I105" s="785"/>
      <c r="J105" s="785"/>
      <c r="K105" s="735">
        <f t="shared" ca="1" si="35"/>
        <v>13</v>
      </c>
      <c r="L105" s="736" t="str">
        <f t="shared" si="36"/>
        <v>270810</v>
      </c>
      <c r="M105" s="770" t="str">
        <f t="shared" ca="1" si="34"/>
        <v>OK</v>
      </c>
      <c r="AD105" s="1244"/>
      <c r="AE105" s="1245"/>
      <c r="AF105" s="786"/>
      <c r="AG105" s="787"/>
      <c r="AH105" s="740">
        <f t="shared" si="37"/>
        <v>1492522</v>
      </c>
      <c r="AI105" s="740" t="str">
        <f t="shared" si="38"/>
        <v>RILEY</v>
      </c>
      <c r="AJ105" s="740" t="str">
        <f t="shared" si="39"/>
        <v>BUNCE</v>
      </c>
      <c r="AK105" s="740"/>
      <c r="AL105" s="740"/>
      <c r="AM105" s="740"/>
      <c r="AN105" s="740"/>
      <c r="AO105" s="740"/>
      <c r="AQ105" s="741">
        <f t="shared" ca="1" si="40"/>
        <v>40417</v>
      </c>
    </row>
    <row r="106" spans="1:43" ht="20.25" customHeight="1" x14ac:dyDescent="0.25">
      <c r="A106" s="1246"/>
      <c r="B106" s="1247"/>
      <c r="E106" s="730">
        <v>1468360</v>
      </c>
      <c r="F106" s="731" t="s">
        <v>4816</v>
      </c>
      <c r="G106" s="731" t="s">
        <v>4817</v>
      </c>
      <c r="H106" s="732">
        <v>41109</v>
      </c>
      <c r="I106" s="785"/>
      <c r="J106" s="785"/>
      <c r="K106" s="735">
        <f t="shared" ca="1" si="35"/>
        <v>11</v>
      </c>
      <c r="L106" s="736" t="str">
        <f t="shared" si="36"/>
        <v>190712</v>
      </c>
      <c r="M106" s="770" t="str">
        <f t="shared" ca="1" si="34"/>
        <v>OK</v>
      </c>
      <c r="AD106" s="1244"/>
      <c r="AE106" s="1245"/>
      <c r="AH106" s="740">
        <f t="shared" si="37"/>
        <v>1468360</v>
      </c>
      <c r="AI106" s="740" t="str">
        <f t="shared" si="38"/>
        <v>WILLOW</v>
      </c>
      <c r="AJ106" s="740" t="str">
        <f t="shared" si="39"/>
        <v>BROWNBRIDGE</v>
      </c>
      <c r="AK106" s="211"/>
      <c r="AL106" s="211"/>
      <c r="AM106" s="211"/>
      <c r="AN106" s="211"/>
      <c r="AO106" s="211"/>
      <c r="AQ106" s="741">
        <f t="shared" ca="1" si="40"/>
        <v>41109</v>
      </c>
    </row>
    <row r="107" spans="1:43" ht="20.25" customHeight="1" x14ac:dyDescent="0.25">
      <c r="A107" s="1246"/>
      <c r="B107" s="1247"/>
      <c r="E107" s="730">
        <v>1492516</v>
      </c>
      <c r="F107" s="731" t="s">
        <v>4844</v>
      </c>
      <c r="G107" s="731" t="s">
        <v>4843</v>
      </c>
      <c r="H107" s="732">
        <v>39635</v>
      </c>
      <c r="I107" s="785"/>
      <c r="J107" s="785"/>
      <c r="K107" s="735">
        <f t="shared" ca="1" si="35"/>
        <v>15</v>
      </c>
      <c r="L107" s="736" t="str">
        <f t="shared" si="36"/>
        <v>060708</v>
      </c>
      <c r="M107" s="770" t="str">
        <f t="shared" ca="1" si="34"/>
        <v>OK</v>
      </c>
      <c r="AD107" s="1244"/>
      <c r="AE107" s="1245"/>
      <c r="AH107" s="740">
        <f t="shared" si="37"/>
        <v>1492516</v>
      </c>
      <c r="AI107" s="740" t="str">
        <f t="shared" si="38"/>
        <v>ABIGAIL</v>
      </c>
      <c r="AJ107" s="740" t="str">
        <f t="shared" si="39"/>
        <v>JOHNSON</v>
      </c>
      <c r="AK107" s="211"/>
      <c r="AL107" s="211"/>
      <c r="AM107" s="211"/>
      <c r="AN107" s="211"/>
      <c r="AO107" s="211"/>
      <c r="AQ107" s="741">
        <f t="shared" ca="1" si="40"/>
        <v>39635</v>
      </c>
    </row>
    <row r="108" spans="1:43" ht="20.25" customHeight="1" x14ac:dyDescent="0.25">
      <c r="A108" s="1246"/>
      <c r="B108" s="1247"/>
      <c r="E108" s="730">
        <v>1168870</v>
      </c>
      <c r="F108" s="731" t="s">
        <v>4855</v>
      </c>
      <c r="G108" s="731" t="s">
        <v>4856</v>
      </c>
      <c r="H108" s="732">
        <v>39147</v>
      </c>
      <c r="I108" s="785"/>
      <c r="J108" s="785"/>
      <c r="K108" s="735">
        <f t="shared" ca="1" si="35"/>
        <v>16</v>
      </c>
      <c r="L108" s="736" t="str">
        <f t="shared" si="36"/>
        <v>060307</v>
      </c>
      <c r="M108" s="770" t="str">
        <f t="shared" ca="1" si="34"/>
        <v>OK</v>
      </c>
      <c r="AD108" s="1244"/>
      <c r="AE108" s="1245"/>
      <c r="AH108" s="740">
        <f t="shared" si="37"/>
        <v>1168870</v>
      </c>
      <c r="AI108" s="740" t="str">
        <f t="shared" si="38"/>
        <v>LUCY</v>
      </c>
      <c r="AJ108" s="740" t="str">
        <f t="shared" si="39"/>
        <v>BURNHAM</v>
      </c>
      <c r="AK108" s="211"/>
      <c r="AL108" s="211"/>
      <c r="AM108" s="211"/>
      <c r="AN108" s="211"/>
      <c r="AO108" s="211"/>
      <c r="AQ108" s="741">
        <f t="shared" ca="1" si="40"/>
        <v>39147</v>
      </c>
    </row>
    <row r="109" spans="1:43" ht="20.25" customHeight="1" x14ac:dyDescent="0.25">
      <c r="A109" s="1246"/>
      <c r="B109" s="1247"/>
      <c r="E109" s="730">
        <v>1303395</v>
      </c>
      <c r="F109" s="731" t="s">
        <v>4863</v>
      </c>
      <c r="G109" s="731" t="s">
        <v>4846</v>
      </c>
      <c r="H109" s="732">
        <v>38773</v>
      </c>
      <c r="I109" s="785"/>
      <c r="J109" s="785"/>
      <c r="K109" s="735">
        <f t="shared" ca="1" si="35"/>
        <v>17</v>
      </c>
      <c r="L109" s="736" t="str">
        <f t="shared" si="36"/>
        <v>250206</v>
      </c>
      <c r="M109" s="770" t="str">
        <f t="shared" ca="1" si="34"/>
        <v>OK</v>
      </c>
      <c r="AD109" s="1244"/>
      <c r="AE109" s="1245"/>
      <c r="AH109" s="740">
        <f t="shared" si="37"/>
        <v>1303395</v>
      </c>
      <c r="AI109" s="740" t="str">
        <f t="shared" si="38"/>
        <v>MAX</v>
      </c>
      <c r="AJ109" s="740" t="str">
        <f t="shared" si="39"/>
        <v>WALLER</v>
      </c>
      <c r="AK109" s="211"/>
      <c r="AL109" s="211"/>
      <c r="AM109" s="211"/>
      <c r="AN109" s="211"/>
      <c r="AO109" s="211"/>
      <c r="AQ109" s="741">
        <f t="shared" ca="1" si="40"/>
        <v>38773</v>
      </c>
    </row>
    <row r="110" spans="1:43" s="134" customFormat="1" ht="9" customHeight="1" x14ac:dyDescent="0.25">
      <c r="E110" s="788"/>
      <c r="F110" s="789"/>
      <c r="G110" s="789"/>
      <c r="H110" s="790"/>
      <c r="AD110" s="791"/>
      <c r="AE110" s="792"/>
    </row>
    <row r="111" spans="1:43" s="134" customFormat="1" ht="9" customHeight="1" x14ac:dyDescent="0.25">
      <c r="E111" s="788"/>
      <c r="F111" s="789"/>
      <c r="G111" s="789"/>
      <c r="H111" s="790"/>
      <c r="AD111" s="791"/>
      <c r="AE111" s="792"/>
    </row>
    <row r="112" spans="1:43" s="134" customFormat="1" ht="9" customHeight="1" x14ac:dyDescent="0.25">
      <c r="E112" s="788"/>
      <c r="F112" s="789"/>
      <c r="G112" s="789"/>
      <c r="H112" s="790"/>
      <c r="AD112" s="791"/>
      <c r="AE112" s="792"/>
    </row>
    <row r="113" spans="5:31" s="134" customFormat="1" ht="9" customHeight="1" x14ac:dyDescent="0.25">
      <c r="E113" s="788"/>
      <c r="F113" s="789"/>
      <c r="G113" s="789"/>
      <c r="H113" s="790"/>
      <c r="AD113" s="791"/>
      <c r="AE113" s="792"/>
    </row>
    <row r="114" spans="5:31" s="134" customFormat="1" ht="9" customHeight="1" x14ac:dyDescent="0.25">
      <c r="E114" s="788"/>
      <c r="F114" s="789"/>
      <c r="G114" s="789"/>
      <c r="H114" s="790"/>
      <c r="AD114" s="791"/>
      <c r="AE114" s="792"/>
    </row>
    <row r="115" spans="5:31" s="134" customFormat="1" ht="9" customHeight="1" x14ac:dyDescent="0.25">
      <c r="E115" s="788"/>
      <c r="F115" s="789"/>
      <c r="G115" s="789"/>
      <c r="H115" s="790"/>
      <c r="AD115" s="791"/>
      <c r="AE115" s="792"/>
    </row>
    <row r="116" spans="5:31" s="134" customFormat="1" ht="9" customHeight="1" x14ac:dyDescent="0.25">
      <c r="E116" s="788"/>
      <c r="F116" s="789"/>
      <c r="G116" s="789"/>
      <c r="H116" s="790"/>
      <c r="AD116" s="791"/>
      <c r="AE116" s="792"/>
    </row>
    <row r="117" spans="5:31" s="134" customFormat="1" ht="9" customHeight="1" x14ac:dyDescent="0.25">
      <c r="E117" s="788"/>
      <c r="F117" s="789"/>
      <c r="G117" s="789"/>
      <c r="H117" s="790"/>
      <c r="AD117" s="791"/>
      <c r="AE117" s="792"/>
    </row>
    <row r="118" spans="5:31" s="134" customFormat="1" ht="9" customHeight="1" x14ac:dyDescent="0.25">
      <c r="E118" s="788"/>
      <c r="F118" s="789"/>
      <c r="G118" s="789"/>
      <c r="H118" s="790"/>
      <c r="AD118" s="791"/>
      <c r="AE118" s="792"/>
    </row>
    <row r="119" spans="5:31" s="134" customFormat="1" ht="9" customHeight="1" x14ac:dyDescent="0.25">
      <c r="E119" s="788"/>
      <c r="F119" s="789"/>
      <c r="G119" s="789"/>
      <c r="H119" s="790"/>
      <c r="AD119" s="791"/>
      <c r="AE119" s="792"/>
    </row>
    <row r="120" spans="5:31" s="134" customFormat="1" ht="9" customHeight="1" x14ac:dyDescent="0.25">
      <c r="E120" s="788"/>
      <c r="F120" s="789"/>
      <c r="G120" s="789"/>
      <c r="H120" s="790"/>
      <c r="AD120" s="791"/>
      <c r="AE120" s="792"/>
    </row>
    <row r="121" spans="5:31" s="134" customFormat="1" ht="9" customHeight="1" x14ac:dyDescent="0.25">
      <c r="E121" s="788"/>
      <c r="F121" s="789"/>
      <c r="G121" s="789"/>
      <c r="H121" s="790"/>
      <c r="AD121" s="791"/>
      <c r="AE121" s="792"/>
    </row>
    <row r="122" spans="5:31" s="134" customFormat="1" ht="9" customHeight="1" x14ac:dyDescent="0.25">
      <c r="E122" s="788"/>
      <c r="F122" s="789"/>
      <c r="G122" s="789"/>
      <c r="H122" s="790"/>
      <c r="AD122" s="791"/>
      <c r="AE122" s="792"/>
    </row>
    <row r="123" spans="5:31" s="134" customFormat="1" ht="9" customHeight="1" x14ac:dyDescent="0.25">
      <c r="E123" s="788"/>
      <c r="F123" s="789"/>
      <c r="G123" s="789"/>
      <c r="H123" s="790"/>
      <c r="AD123" s="791"/>
      <c r="AE123" s="792"/>
    </row>
    <row r="124" spans="5:31" s="134" customFormat="1" ht="9" customHeight="1" x14ac:dyDescent="0.25">
      <c r="E124" s="788"/>
      <c r="F124" s="789"/>
      <c r="G124" s="789"/>
      <c r="H124" s="790"/>
      <c r="AD124" s="791"/>
      <c r="AE124" s="792"/>
    </row>
    <row r="125" spans="5:31" s="134" customFormat="1" ht="9" customHeight="1" x14ac:dyDescent="0.25">
      <c r="E125" s="788"/>
      <c r="F125" s="789"/>
      <c r="G125" s="789"/>
      <c r="H125" s="790"/>
      <c r="AD125" s="791"/>
      <c r="AE125" s="792"/>
    </row>
    <row r="126" spans="5:31" s="134" customFormat="1" ht="9" customHeight="1" x14ac:dyDescent="0.25">
      <c r="E126" s="788"/>
      <c r="F126" s="789"/>
      <c r="G126" s="789"/>
      <c r="H126" s="790"/>
      <c r="AD126" s="791"/>
      <c r="AE126" s="792"/>
    </row>
    <row r="127" spans="5:31" s="134" customFormat="1" ht="9" customHeight="1" x14ac:dyDescent="0.25">
      <c r="E127" s="788"/>
      <c r="F127" s="789"/>
      <c r="G127" s="789"/>
      <c r="H127" s="790"/>
      <c r="AD127" s="791"/>
      <c r="AE127" s="792"/>
    </row>
    <row r="128" spans="5:31" s="134" customFormat="1" ht="9" customHeight="1" x14ac:dyDescent="0.25">
      <c r="E128" s="788"/>
      <c r="F128" s="789"/>
      <c r="G128" s="789"/>
      <c r="H128" s="790"/>
      <c r="AD128" s="791"/>
      <c r="AE128" s="792"/>
    </row>
    <row r="129" spans="5:31" s="134" customFormat="1" ht="9" customHeight="1" x14ac:dyDescent="0.25">
      <c r="E129" s="788"/>
      <c r="F129" s="789"/>
      <c r="G129" s="789"/>
      <c r="H129" s="790"/>
      <c r="AD129" s="791"/>
      <c r="AE129" s="792"/>
    </row>
    <row r="130" spans="5:31" s="134" customFormat="1" ht="9" customHeight="1" x14ac:dyDescent="0.25">
      <c r="E130" s="788"/>
      <c r="F130" s="789"/>
      <c r="G130" s="789"/>
      <c r="H130" s="790"/>
      <c r="AD130" s="791"/>
      <c r="AE130" s="792"/>
    </row>
    <row r="131" spans="5:31" s="134" customFormat="1" ht="9" customHeight="1" x14ac:dyDescent="0.25">
      <c r="E131" s="788"/>
      <c r="F131" s="789"/>
      <c r="G131" s="789"/>
      <c r="H131" s="790"/>
      <c r="AD131" s="791"/>
      <c r="AE131" s="792"/>
    </row>
    <row r="132" spans="5:31" s="134" customFormat="1" ht="9" customHeight="1" x14ac:dyDescent="0.25">
      <c r="E132" s="788"/>
      <c r="F132" s="789"/>
      <c r="G132" s="789"/>
      <c r="H132" s="790"/>
      <c r="AD132" s="791"/>
      <c r="AE132" s="792"/>
    </row>
    <row r="133" spans="5:31" s="134" customFormat="1" ht="9" customHeight="1" x14ac:dyDescent="0.25">
      <c r="E133" s="788"/>
      <c r="F133" s="789"/>
      <c r="G133" s="789"/>
      <c r="H133" s="790"/>
      <c r="AD133" s="791"/>
      <c r="AE133" s="792"/>
    </row>
    <row r="134" spans="5:31" s="134" customFormat="1" ht="9" customHeight="1" x14ac:dyDescent="0.25">
      <c r="E134" s="788"/>
      <c r="F134" s="789"/>
      <c r="G134" s="789"/>
      <c r="H134" s="790"/>
      <c r="AD134" s="791"/>
      <c r="AE134" s="792"/>
    </row>
    <row r="135" spans="5:31" s="134" customFormat="1" ht="9" customHeight="1" x14ac:dyDescent="0.25">
      <c r="E135" s="788"/>
      <c r="F135" s="789"/>
      <c r="G135" s="789"/>
      <c r="H135" s="790"/>
      <c r="AD135" s="791"/>
      <c r="AE135" s="792"/>
    </row>
    <row r="136" spans="5:31" s="134" customFormat="1" ht="9" customHeight="1" x14ac:dyDescent="0.25">
      <c r="E136" s="788"/>
      <c r="F136" s="789"/>
      <c r="G136" s="789"/>
      <c r="H136" s="790"/>
      <c r="AD136" s="791"/>
      <c r="AE136" s="792"/>
    </row>
    <row r="137" spans="5:31" s="134" customFormat="1" ht="9" customHeight="1" x14ac:dyDescent="0.25">
      <c r="E137" s="788"/>
      <c r="F137" s="789"/>
      <c r="G137" s="789"/>
      <c r="H137" s="790"/>
      <c r="AD137" s="791"/>
      <c r="AE137" s="792"/>
    </row>
    <row r="138" spans="5:31" s="134" customFormat="1" ht="9" customHeight="1" x14ac:dyDescent="0.25">
      <c r="E138" s="788"/>
      <c r="F138" s="789"/>
      <c r="G138" s="789"/>
      <c r="H138" s="790"/>
      <c r="AD138" s="791"/>
      <c r="AE138" s="792"/>
    </row>
    <row r="139" spans="5:31" s="134" customFormat="1" ht="9" customHeight="1" x14ac:dyDescent="0.25">
      <c r="E139" s="788"/>
      <c r="F139" s="789"/>
      <c r="G139" s="789"/>
      <c r="H139" s="790"/>
      <c r="AD139" s="791"/>
      <c r="AE139" s="792"/>
    </row>
    <row r="140" spans="5:31" s="134" customFormat="1" ht="9" customHeight="1" x14ac:dyDescent="0.25">
      <c r="E140" s="788"/>
      <c r="F140" s="789"/>
      <c r="G140" s="789"/>
      <c r="H140" s="790"/>
      <c r="AD140" s="791"/>
      <c r="AE140" s="792"/>
    </row>
    <row r="141" spans="5:31" s="134" customFormat="1" ht="9" customHeight="1" x14ac:dyDescent="0.25">
      <c r="E141" s="789"/>
      <c r="F141" s="789"/>
      <c r="G141" s="789"/>
      <c r="H141" s="790"/>
      <c r="AD141" s="791"/>
      <c r="AE141" s="792"/>
    </row>
    <row r="142" spans="5:31" s="134" customFormat="1" ht="9" customHeight="1" x14ac:dyDescent="0.25">
      <c r="E142" s="789"/>
      <c r="F142" s="789"/>
      <c r="G142" s="789"/>
      <c r="H142" s="790"/>
      <c r="AD142" s="791"/>
      <c r="AE142" s="792"/>
    </row>
    <row r="143" spans="5:31" s="134" customFormat="1" ht="9" customHeight="1" x14ac:dyDescent="0.25">
      <c r="E143" s="789"/>
      <c r="F143" s="789"/>
      <c r="G143" s="789"/>
      <c r="H143" s="790"/>
      <c r="AD143" s="791"/>
      <c r="AE143" s="792"/>
    </row>
    <row r="144" spans="5:31" s="134" customFormat="1" ht="9" customHeight="1" x14ac:dyDescent="0.25">
      <c r="E144" s="789"/>
      <c r="F144" s="789"/>
      <c r="G144" s="789"/>
      <c r="H144" s="790"/>
      <c r="AD144" s="791"/>
      <c r="AE144" s="792"/>
    </row>
    <row r="145" spans="5:31" s="134" customFormat="1" ht="9" customHeight="1" x14ac:dyDescent="0.25">
      <c r="E145" s="789"/>
      <c r="F145" s="789"/>
      <c r="G145" s="789"/>
      <c r="H145" s="790"/>
      <c r="AD145" s="791"/>
      <c r="AE145" s="792"/>
    </row>
    <row r="146" spans="5:31" s="134" customFormat="1" ht="9" customHeight="1" x14ac:dyDescent="0.25">
      <c r="E146" s="789"/>
      <c r="F146" s="789"/>
      <c r="G146" s="789"/>
      <c r="H146" s="790"/>
      <c r="AD146" s="791"/>
      <c r="AE146" s="792"/>
    </row>
    <row r="147" spans="5:31" s="134" customFormat="1" ht="9" customHeight="1" x14ac:dyDescent="0.25">
      <c r="E147" s="789"/>
      <c r="F147" s="789"/>
      <c r="G147" s="789"/>
      <c r="H147" s="790"/>
      <c r="AD147" s="791"/>
      <c r="AE147" s="792"/>
    </row>
    <row r="148" spans="5:31" s="134" customFormat="1" ht="9" customHeight="1" x14ac:dyDescent="0.25">
      <c r="E148" s="789"/>
      <c r="F148" s="789"/>
      <c r="G148" s="789"/>
      <c r="H148" s="790"/>
      <c r="AD148" s="791"/>
      <c r="AE148" s="792"/>
    </row>
    <row r="149" spans="5:31" s="134" customFormat="1" ht="9" customHeight="1" x14ac:dyDescent="0.25">
      <c r="E149" s="789"/>
      <c r="F149" s="789"/>
      <c r="G149" s="789"/>
      <c r="H149" s="790"/>
      <c r="AD149" s="791"/>
      <c r="AE149" s="792"/>
    </row>
    <row r="150" spans="5:31" s="134" customFormat="1" ht="9" customHeight="1" x14ac:dyDescent="0.25">
      <c r="E150" s="789"/>
      <c r="F150" s="789"/>
      <c r="G150" s="789"/>
      <c r="H150" s="790"/>
      <c r="AD150" s="791"/>
      <c r="AE150" s="792"/>
    </row>
    <row r="151" spans="5:31" s="134" customFormat="1" ht="9" customHeight="1" x14ac:dyDescent="0.25">
      <c r="E151" s="789"/>
      <c r="F151" s="789"/>
      <c r="G151" s="789"/>
      <c r="H151" s="790"/>
      <c r="AD151" s="791"/>
      <c r="AE151" s="792"/>
    </row>
    <row r="152" spans="5:31" s="134" customFormat="1" ht="9" customHeight="1" x14ac:dyDescent="0.25">
      <c r="E152" s="789"/>
      <c r="F152" s="789"/>
      <c r="G152" s="789"/>
      <c r="H152" s="790"/>
      <c r="AD152" s="791"/>
      <c r="AE152" s="792"/>
    </row>
    <row r="153" spans="5:31" s="134" customFormat="1" ht="9" customHeight="1" x14ac:dyDescent="0.25">
      <c r="E153" s="789"/>
      <c r="F153" s="789"/>
      <c r="G153" s="789"/>
      <c r="H153" s="790"/>
      <c r="AD153" s="791"/>
      <c r="AE153" s="792"/>
    </row>
    <row r="154" spans="5:31" s="134" customFormat="1" ht="9" customHeight="1" x14ac:dyDescent="0.25">
      <c r="E154" s="789"/>
      <c r="F154" s="789"/>
      <c r="G154" s="789"/>
      <c r="H154" s="790"/>
      <c r="AD154" s="791"/>
      <c r="AE154" s="792"/>
    </row>
    <row r="155" spans="5:31" s="134" customFormat="1" ht="9" customHeight="1" x14ac:dyDescent="0.25">
      <c r="E155" s="789"/>
      <c r="F155" s="789"/>
      <c r="G155" s="789"/>
      <c r="H155" s="790"/>
      <c r="AD155" s="791"/>
      <c r="AE155" s="792"/>
    </row>
    <row r="156" spans="5:31" s="134" customFormat="1" ht="9" customHeight="1" x14ac:dyDescent="0.25">
      <c r="E156" s="789"/>
      <c r="F156" s="789"/>
      <c r="G156" s="789"/>
      <c r="H156" s="790"/>
      <c r="AD156" s="791"/>
      <c r="AE156" s="792"/>
    </row>
    <row r="157" spans="5:31" s="134" customFormat="1" ht="9" customHeight="1" x14ac:dyDescent="0.25">
      <c r="E157" s="789"/>
      <c r="F157" s="789"/>
      <c r="G157" s="789"/>
      <c r="H157" s="790"/>
      <c r="AD157" s="791"/>
      <c r="AE157" s="792"/>
    </row>
    <row r="158" spans="5:31" s="134" customFormat="1" ht="9" customHeight="1" x14ac:dyDescent="0.25">
      <c r="E158" s="789"/>
      <c r="F158" s="789"/>
      <c r="G158" s="789"/>
      <c r="H158" s="790"/>
      <c r="AD158" s="791"/>
      <c r="AE158" s="792"/>
    </row>
    <row r="159" spans="5:31" s="134" customFormat="1" ht="9" customHeight="1" x14ac:dyDescent="0.25">
      <c r="E159" s="789"/>
      <c r="F159" s="789"/>
      <c r="G159" s="789"/>
      <c r="H159" s="790"/>
      <c r="AD159" s="791"/>
      <c r="AE159" s="792"/>
    </row>
    <row r="160" spans="5:31" s="134" customFormat="1" ht="9" customHeight="1" x14ac:dyDescent="0.25">
      <c r="E160" s="789"/>
      <c r="F160" s="789"/>
      <c r="G160" s="789"/>
      <c r="H160" s="790"/>
      <c r="AD160" s="791"/>
      <c r="AE160" s="792"/>
    </row>
    <row r="161" spans="5:31" s="134" customFormat="1" ht="9" customHeight="1" x14ac:dyDescent="0.25">
      <c r="E161" s="789"/>
      <c r="F161" s="789"/>
      <c r="G161" s="789"/>
      <c r="H161" s="790"/>
      <c r="AD161" s="791"/>
      <c r="AE161" s="792"/>
    </row>
    <row r="162" spans="5:31" s="134" customFormat="1" ht="9" customHeight="1" x14ac:dyDescent="0.25">
      <c r="E162" s="789"/>
      <c r="F162" s="789"/>
      <c r="G162" s="789"/>
      <c r="H162" s="790"/>
      <c r="AD162" s="791"/>
      <c r="AE162" s="792"/>
    </row>
    <row r="163" spans="5:31" s="134" customFormat="1" ht="9" customHeight="1" x14ac:dyDescent="0.25">
      <c r="E163" s="789"/>
      <c r="F163" s="789"/>
      <c r="G163" s="789"/>
      <c r="H163" s="790"/>
      <c r="AD163" s="791"/>
      <c r="AE163" s="792"/>
    </row>
    <row r="164" spans="5:31" s="134" customFormat="1" ht="9" customHeight="1" x14ac:dyDescent="0.25">
      <c r="E164" s="789"/>
      <c r="F164" s="789"/>
      <c r="G164" s="789"/>
      <c r="H164" s="790"/>
      <c r="AD164" s="791"/>
      <c r="AE164" s="792"/>
    </row>
    <row r="165" spans="5:31" s="134" customFormat="1" ht="9" customHeight="1" x14ac:dyDescent="0.25">
      <c r="E165" s="789"/>
      <c r="F165" s="789"/>
      <c r="G165" s="789"/>
      <c r="H165" s="790"/>
      <c r="AD165" s="791"/>
      <c r="AE165" s="792"/>
    </row>
    <row r="166" spans="5:31" s="134" customFormat="1" ht="9" customHeight="1" x14ac:dyDescent="0.25">
      <c r="E166" s="789"/>
      <c r="F166" s="789"/>
      <c r="G166" s="789"/>
      <c r="H166" s="790"/>
      <c r="AD166" s="791"/>
      <c r="AE166" s="792"/>
    </row>
    <row r="167" spans="5:31" s="134" customFormat="1" ht="9" customHeight="1" x14ac:dyDescent="0.25">
      <c r="E167" s="789"/>
      <c r="F167" s="789"/>
      <c r="G167" s="789"/>
      <c r="H167" s="790"/>
      <c r="AD167" s="791"/>
      <c r="AE167" s="792"/>
    </row>
    <row r="168" spans="5:31" s="134" customFormat="1" ht="9" customHeight="1" x14ac:dyDescent="0.25">
      <c r="E168" s="789"/>
      <c r="F168" s="789"/>
      <c r="G168" s="789"/>
      <c r="H168" s="790"/>
      <c r="AD168" s="791"/>
      <c r="AE168" s="792"/>
    </row>
    <row r="169" spans="5:31" s="134" customFormat="1" ht="9" customHeight="1" x14ac:dyDescent="0.25">
      <c r="E169" s="789"/>
      <c r="F169" s="789"/>
      <c r="G169" s="789"/>
      <c r="H169" s="790"/>
      <c r="AD169" s="791"/>
      <c r="AE169" s="792"/>
    </row>
    <row r="170" spans="5:31" s="134" customFormat="1" ht="9" customHeight="1" x14ac:dyDescent="0.25">
      <c r="E170" s="789"/>
      <c r="F170" s="789"/>
      <c r="G170" s="789"/>
      <c r="H170" s="790"/>
      <c r="AD170" s="791"/>
      <c r="AE170" s="792"/>
    </row>
    <row r="171" spans="5:31" s="134" customFormat="1" ht="9" customHeight="1" x14ac:dyDescent="0.25">
      <c r="E171" s="789"/>
      <c r="F171" s="789"/>
      <c r="G171" s="789"/>
      <c r="H171" s="790"/>
      <c r="AD171" s="791"/>
      <c r="AE171" s="792"/>
    </row>
    <row r="172" spans="5:31" s="134" customFormat="1" ht="9" customHeight="1" x14ac:dyDescent="0.25">
      <c r="E172" s="789"/>
      <c r="F172" s="789"/>
      <c r="G172" s="789"/>
      <c r="H172" s="790"/>
      <c r="AD172" s="791"/>
      <c r="AE172" s="792"/>
    </row>
    <row r="173" spans="5:31" s="134" customFormat="1" ht="9" customHeight="1" x14ac:dyDescent="0.25">
      <c r="E173" s="789"/>
      <c r="F173" s="789"/>
      <c r="G173" s="789"/>
      <c r="H173" s="790"/>
      <c r="AD173" s="791"/>
      <c r="AE173" s="792"/>
    </row>
    <row r="174" spans="5:31" s="134" customFormat="1" ht="9" customHeight="1" x14ac:dyDescent="0.25">
      <c r="E174" s="789"/>
      <c r="F174" s="789"/>
      <c r="G174" s="789"/>
      <c r="H174" s="790"/>
      <c r="AD174" s="791"/>
      <c r="AE174" s="792"/>
    </row>
    <row r="175" spans="5:31" s="134" customFormat="1" ht="9" customHeight="1" x14ac:dyDescent="0.25">
      <c r="E175" s="789"/>
      <c r="F175" s="789"/>
      <c r="G175" s="789"/>
      <c r="H175" s="790"/>
      <c r="AD175" s="791"/>
      <c r="AE175" s="792"/>
    </row>
    <row r="176" spans="5:31" s="134" customFormat="1" ht="9" customHeight="1" x14ac:dyDescent="0.25">
      <c r="E176" s="789"/>
      <c r="F176" s="789"/>
      <c r="G176" s="789"/>
      <c r="H176" s="790"/>
      <c r="AD176" s="791"/>
      <c r="AE176" s="792"/>
    </row>
    <row r="177" spans="5:31" s="134" customFormat="1" ht="9" customHeight="1" x14ac:dyDescent="0.25">
      <c r="E177" s="789"/>
      <c r="F177" s="789"/>
      <c r="G177" s="789"/>
      <c r="H177" s="790"/>
      <c r="AD177" s="791"/>
      <c r="AE177" s="792"/>
    </row>
    <row r="178" spans="5:31" s="134" customFormat="1" ht="9" customHeight="1" x14ac:dyDescent="0.25">
      <c r="E178" s="789"/>
      <c r="F178" s="789"/>
      <c r="G178" s="789"/>
      <c r="H178" s="790"/>
      <c r="AD178" s="791"/>
      <c r="AE178" s="792"/>
    </row>
    <row r="179" spans="5:31" s="134" customFormat="1" ht="9" customHeight="1" x14ac:dyDescent="0.25">
      <c r="E179" s="789"/>
      <c r="F179" s="789"/>
      <c r="G179" s="789"/>
      <c r="H179" s="790"/>
      <c r="AD179" s="791"/>
      <c r="AE179" s="792"/>
    </row>
    <row r="180" spans="5:31" s="134" customFormat="1" ht="9" customHeight="1" x14ac:dyDescent="0.25">
      <c r="E180" s="789"/>
      <c r="F180" s="789"/>
      <c r="G180" s="789"/>
      <c r="H180" s="790"/>
      <c r="AD180" s="791"/>
      <c r="AE180" s="792"/>
    </row>
    <row r="181" spans="5:31" s="134" customFormat="1" ht="9" customHeight="1" x14ac:dyDescent="0.25">
      <c r="E181" s="789"/>
      <c r="F181" s="789"/>
      <c r="G181" s="789"/>
      <c r="H181" s="790"/>
      <c r="AD181" s="791"/>
      <c r="AE181" s="792"/>
    </row>
    <row r="182" spans="5:31" s="134" customFormat="1" ht="9" customHeight="1" x14ac:dyDescent="0.25">
      <c r="E182" s="789"/>
      <c r="F182" s="789"/>
      <c r="G182" s="789"/>
      <c r="H182" s="790"/>
      <c r="AD182" s="791"/>
      <c r="AE182" s="792"/>
    </row>
    <row r="183" spans="5:31" s="134" customFormat="1" ht="9" customHeight="1" x14ac:dyDescent="0.25">
      <c r="E183" s="789"/>
      <c r="F183" s="789"/>
      <c r="G183" s="789"/>
      <c r="H183" s="790"/>
      <c r="AD183" s="791"/>
      <c r="AE183" s="792"/>
    </row>
    <row r="184" spans="5:31" s="134" customFormat="1" ht="9" customHeight="1" x14ac:dyDescent="0.25">
      <c r="E184" s="789"/>
      <c r="F184" s="789"/>
      <c r="G184" s="789"/>
      <c r="H184" s="790"/>
      <c r="AD184" s="791"/>
      <c r="AE184" s="792"/>
    </row>
    <row r="185" spans="5:31" s="134" customFormat="1" ht="9" customHeight="1" x14ac:dyDescent="0.25">
      <c r="E185" s="789"/>
      <c r="F185" s="789"/>
      <c r="G185" s="789"/>
      <c r="H185" s="790"/>
      <c r="AD185" s="791"/>
      <c r="AE185" s="792"/>
    </row>
    <row r="186" spans="5:31" s="134" customFormat="1" ht="9" customHeight="1" x14ac:dyDescent="0.25">
      <c r="E186" s="789"/>
      <c r="F186" s="789"/>
      <c r="G186" s="789"/>
      <c r="H186" s="790"/>
      <c r="AD186" s="791"/>
      <c r="AE186" s="792"/>
    </row>
    <row r="187" spans="5:31" s="134" customFormat="1" ht="9" customHeight="1" x14ac:dyDescent="0.25">
      <c r="E187" s="789"/>
      <c r="F187" s="789"/>
      <c r="G187" s="789"/>
      <c r="H187" s="790"/>
      <c r="AD187" s="791"/>
      <c r="AE187" s="792"/>
    </row>
    <row r="188" spans="5:31" s="134" customFormat="1" ht="9" customHeight="1" x14ac:dyDescent="0.25">
      <c r="E188" s="789"/>
      <c r="F188" s="789"/>
      <c r="G188" s="789"/>
      <c r="H188" s="790"/>
      <c r="AD188" s="791"/>
      <c r="AE188" s="792"/>
    </row>
    <row r="189" spans="5:31" s="134" customFormat="1" ht="9" customHeight="1" x14ac:dyDescent="0.25">
      <c r="E189" s="789"/>
      <c r="F189" s="789"/>
      <c r="G189" s="789"/>
      <c r="H189" s="790"/>
      <c r="AD189" s="791"/>
      <c r="AE189" s="792"/>
    </row>
    <row r="190" spans="5:31" s="134" customFormat="1" ht="9" customHeight="1" x14ac:dyDescent="0.25">
      <c r="E190" s="789"/>
      <c r="F190" s="789"/>
      <c r="G190" s="789"/>
      <c r="H190" s="790"/>
      <c r="AD190" s="791"/>
      <c r="AE190" s="792"/>
    </row>
    <row r="191" spans="5:31" s="134" customFormat="1" ht="9" customHeight="1" x14ac:dyDescent="0.25">
      <c r="E191" s="789"/>
      <c r="F191" s="789"/>
      <c r="G191" s="789"/>
      <c r="H191" s="790"/>
      <c r="AD191" s="791"/>
      <c r="AE191" s="792"/>
    </row>
    <row r="192" spans="5:31" s="134" customFormat="1" ht="9" customHeight="1" x14ac:dyDescent="0.25">
      <c r="E192" s="789"/>
      <c r="F192" s="789"/>
      <c r="G192" s="789"/>
      <c r="H192" s="790"/>
      <c r="AD192" s="791"/>
      <c r="AE192" s="792"/>
    </row>
    <row r="193" spans="5:31" s="134" customFormat="1" ht="9" customHeight="1" x14ac:dyDescent="0.25">
      <c r="E193" s="789"/>
      <c r="F193" s="789"/>
      <c r="G193" s="789"/>
      <c r="H193" s="790"/>
      <c r="AD193" s="791"/>
      <c r="AE193" s="792"/>
    </row>
    <row r="194" spans="5:31" s="134" customFormat="1" ht="9" customHeight="1" x14ac:dyDescent="0.25">
      <c r="E194" s="789"/>
      <c r="F194" s="789"/>
      <c r="G194" s="789"/>
      <c r="H194" s="790"/>
      <c r="AD194" s="791"/>
      <c r="AE194" s="792"/>
    </row>
    <row r="195" spans="5:31" s="134" customFormat="1" ht="9" customHeight="1" x14ac:dyDescent="0.25">
      <c r="E195" s="789"/>
      <c r="F195" s="789"/>
      <c r="G195" s="789"/>
      <c r="H195" s="790"/>
      <c r="AD195" s="791"/>
      <c r="AE195" s="792"/>
    </row>
    <row r="196" spans="5:31" s="134" customFormat="1" ht="9" customHeight="1" x14ac:dyDescent="0.25">
      <c r="E196" s="789"/>
      <c r="F196" s="789"/>
      <c r="G196" s="789"/>
      <c r="H196" s="790"/>
      <c r="AD196" s="791"/>
      <c r="AE196" s="792"/>
    </row>
    <row r="197" spans="5:31" s="134" customFormat="1" ht="9" customHeight="1" x14ac:dyDescent="0.25">
      <c r="E197" s="789"/>
      <c r="F197" s="789"/>
      <c r="G197" s="789"/>
      <c r="H197" s="790"/>
      <c r="AD197" s="791"/>
      <c r="AE197" s="792"/>
    </row>
    <row r="198" spans="5:31" s="134" customFormat="1" ht="9" customHeight="1" x14ac:dyDescent="0.25">
      <c r="E198" s="789"/>
      <c r="F198" s="789"/>
      <c r="G198" s="789"/>
      <c r="H198" s="790"/>
      <c r="AD198" s="791"/>
      <c r="AE198" s="792"/>
    </row>
    <row r="199" spans="5:31" s="134" customFormat="1" ht="9" customHeight="1" x14ac:dyDescent="0.25">
      <c r="E199" s="789"/>
      <c r="F199" s="789"/>
      <c r="G199" s="789"/>
      <c r="H199" s="790"/>
      <c r="AD199" s="791"/>
      <c r="AE199" s="792"/>
    </row>
    <row r="200" spans="5:31" s="134" customFormat="1" ht="3" customHeight="1" x14ac:dyDescent="0.25">
      <c r="E200" s="789"/>
      <c r="F200" s="789"/>
      <c r="G200" s="789"/>
      <c r="H200" s="790"/>
      <c r="AD200" s="791"/>
      <c r="AE200" s="792"/>
    </row>
    <row r="201" spans="5:31" s="134" customFormat="1" ht="3" customHeight="1" x14ac:dyDescent="0.25">
      <c r="E201" s="789"/>
      <c r="F201" s="789"/>
      <c r="G201" s="789"/>
      <c r="H201" s="790"/>
      <c r="AD201" s="791"/>
      <c r="AE201" s="792"/>
    </row>
    <row r="202" spans="5:31" s="134" customFormat="1" ht="3" customHeight="1" x14ac:dyDescent="0.25">
      <c r="E202" s="789"/>
      <c r="F202" s="789"/>
      <c r="G202" s="789"/>
      <c r="H202" s="790"/>
      <c r="AD202" s="791"/>
      <c r="AE202" s="792"/>
    </row>
    <row r="203" spans="5:31" s="134" customFormat="1" ht="3" customHeight="1" x14ac:dyDescent="0.25">
      <c r="E203" s="789"/>
      <c r="F203" s="789"/>
      <c r="G203" s="789"/>
      <c r="H203" s="790"/>
      <c r="AD203" s="791"/>
      <c r="AE203" s="792"/>
    </row>
    <row r="204" spans="5:31" s="134" customFormat="1" ht="3" customHeight="1" x14ac:dyDescent="0.25">
      <c r="E204" s="789"/>
      <c r="F204" s="789"/>
      <c r="G204" s="789"/>
      <c r="H204" s="790"/>
      <c r="AD204" s="791"/>
      <c r="AE204" s="792"/>
    </row>
    <row r="205" spans="5:31" s="134" customFormat="1" ht="3" customHeight="1" x14ac:dyDescent="0.25">
      <c r="E205" s="789"/>
      <c r="F205" s="789"/>
      <c r="G205" s="789"/>
      <c r="H205" s="790"/>
      <c r="AD205" s="791"/>
      <c r="AE205" s="792"/>
    </row>
    <row r="206" spans="5:31" s="134" customFormat="1" ht="3" customHeight="1" x14ac:dyDescent="0.25">
      <c r="E206" s="789"/>
      <c r="F206" s="789"/>
      <c r="G206" s="789"/>
      <c r="H206" s="790"/>
      <c r="AD206" s="791"/>
      <c r="AE206" s="792"/>
    </row>
    <row r="207" spans="5:31" s="134" customFormat="1" ht="3" customHeight="1" x14ac:dyDescent="0.25">
      <c r="E207" s="789"/>
      <c r="F207" s="789"/>
      <c r="G207" s="789"/>
      <c r="H207" s="790"/>
      <c r="AD207" s="791"/>
      <c r="AE207" s="792"/>
    </row>
    <row r="208" spans="5:31" s="134" customFormat="1" ht="3" customHeight="1" x14ac:dyDescent="0.25">
      <c r="E208" s="789"/>
      <c r="F208" s="789"/>
      <c r="G208" s="789"/>
      <c r="H208" s="790"/>
      <c r="AD208" s="791"/>
      <c r="AE208" s="792"/>
    </row>
    <row r="209" spans="5:31" s="134" customFormat="1" ht="3" customHeight="1" x14ac:dyDescent="0.25">
      <c r="E209" s="789"/>
      <c r="F209" s="789"/>
      <c r="G209" s="789"/>
      <c r="H209" s="790"/>
      <c r="AD209" s="791"/>
      <c r="AE209" s="792"/>
    </row>
    <row r="210" spans="5:31" s="134" customFormat="1" ht="3" customHeight="1" x14ac:dyDescent="0.25">
      <c r="E210" s="789"/>
      <c r="F210" s="789"/>
      <c r="G210" s="789"/>
      <c r="H210" s="790"/>
      <c r="AD210" s="791"/>
      <c r="AE210" s="792"/>
    </row>
    <row r="211" spans="5:31" s="134" customFormat="1" ht="3" customHeight="1" x14ac:dyDescent="0.25">
      <c r="E211" s="789"/>
      <c r="F211" s="789"/>
      <c r="G211" s="789"/>
      <c r="H211" s="790"/>
      <c r="AD211" s="791"/>
      <c r="AE211" s="792"/>
    </row>
    <row r="212" spans="5:31" s="134" customFormat="1" ht="3" customHeight="1" x14ac:dyDescent="0.25">
      <c r="E212" s="789"/>
      <c r="F212" s="789"/>
      <c r="G212" s="789"/>
      <c r="H212" s="790"/>
      <c r="AD212" s="791"/>
      <c r="AE212" s="792"/>
    </row>
    <row r="213" spans="5:31" s="134" customFormat="1" ht="3" customHeight="1" x14ac:dyDescent="0.25">
      <c r="E213" s="789"/>
      <c r="F213" s="789"/>
      <c r="G213" s="789"/>
      <c r="H213" s="790"/>
      <c r="AD213" s="791"/>
      <c r="AE213" s="792"/>
    </row>
    <row r="214" spans="5:31" s="134" customFormat="1" ht="3" customHeight="1" x14ac:dyDescent="0.25">
      <c r="E214" s="789"/>
      <c r="F214" s="789"/>
      <c r="G214" s="789"/>
      <c r="H214" s="790"/>
      <c r="AD214" s="791"/>
      <c r="AE214" s="792"/>
    </row>
    <row r="215" spans="5:31" s="134" customFormat="1" ht="3" customHeight="1" x14ac:dyDescent="0.25">
      <c r="E215" s="789"/>
      <c r="F215" s="789"/>
      <c r="G215" s="789"/>
      <c r="H215" s="790"/>
      <c r="AD215" s="791"/>
      <c r="AE215" s="792"/>
    </row>
    <row r="216" spans="5:31" s="134" customFormat="1" ht="3" customHeight="1" x14ac:dyDescent="0.25">
      <c r="E216" s="789"/>
      <c r="F216" s="789"/>
      <c r="G216" s="789"/>
      <c r="H216" s="790"/>
      <c r="AD216" s="791"/>
      <c r="AE216" s="792"/>
    </row>
    <row r="217" spans="5:31" s="134" customFormat="1" ht="3" customHeight="1" x14ac:dyDescent="0.25">
      <c r="E217" s="789"/>
      <c r="F217" s="789"/>
      <c r="G217" s="789"/>
      <c r="H217" s="790"/>
      <c r="AD217" s="791"/>
      <c r="AE217" s="792"/>
    </row>
    <row r="218" spans="5:31" s="134" customFormat="1" ht="3" customHeight="1" x14ac:dyDescent="0.25">
      <c r="E218" s="789"/>
      <c r="F218" s="789"/>
      <c r="G218" s="789"/>
      <c r="H218" s="790"/>
      <c r="AD218" s="791"/>
      <c r="AE218" s="792"/>
    </row>
    <row r="219" spans="5:31" s="134" customFormat="1" ht="3" customHeight="1" x14ac:dyDescent="0.25">
      <c r="E219" s="789"/>
      <c r="F219" s="789"/>
      <c r="G219" s="789"/>
      <c r="H219" s="790"/>
      <c r="AD219" s="791"/>
      <c r="AE219" s="792"/>
    </row>
    <row r="220" spans="5:31" s="134" customFormat="1" ht="3" customHeight="1" x14ac:dyDescent="0.25">
      <c r="E220" s="789"/>
      <c r="F220" s="789"/>
      <c r="G220" s="789"/>
      <c r="H220" s="790"/>
      <c r="AD220" s="791"/>
      <c r="AE220" s="792"/>
    </row>
    <row r="221" spans="5:31" s="134" customFormat="1" ht="3" customHeight="1" x14ac:dyDescent="0.25">
      <c r="E221" s="789"/>
      <c r="F221" s="789"/>
      <c r="G221" s="789"/>
      <c r="H221" s="790"/>
      <c r="AD221" s="791"/>
      <c r="AE221" s="792"/>
    </row>
    <row r="222" spans="5:31" s="134" customFormat="1" ht="3" customHeight="1" x14ac:dyDescent="0.25">
      <c r="E222" s="789"/>
      <c r="F222" s="789"/>
      <c r="G222" s="789"/>
      <c r="H222" s="790"/>
      <c r="AD222" s="791"/>
      <c r="AE222" s="792"/>
    </row>
    <row r="223" spans="5:31" s="134" customFormat="1" ht="3" customHeight="1" x14ac:dyDescent="0.25">
      <c r="E223" s="789"/>
      <c r="F223" s="789"/>
      <c r="G223" s="789"/>
      <c r="H223" s="790"/>
      <c r="AD223" s="791"/>
      <c r="AE223" s="792"/>
    </row>
    <row r="224" spans="5:31" s="134" customFormat="1" ht="3" customHeight="1" x14ac:dyDescent="0.25">
      <c r="E224" s="789"/>
      <c r="F224" s="789"/>
      <c r="G224" s="789"/>
      <c r="H224" s="790"/>
      <c r="AD224" s="791"/>
      <c r="AE224" s="792"/>
    </row>
    <row r="225" spans="5:31" s="134" customFormat="1" ht="3" customHeight="1" x14ac:dyDescent="0.25">
      <c r="E225" s="789"/>
      <c r="F225" s="789"/>
      <c r="G225" s="789"/>
      <c r="H225" s="790"/>
      <c r="AD225" s="791"/>
      <c r="AE225" s="792"/>
    </row>
    <row r="226" spans="5:31" s="134" customFormat="1" ht="3" customHeight="1" x14ac:dyDescent="0.25">
      <c r="E226" s="789"/>
      <c r="F226" s="789"/>
      <c r="G226" s="789"/>
      <c r="H226" s="790"/>
      <c r="AD226" s="791"/>
      <c r="AE226" s="792"/>
    </row>
    <row r="227" spans="5:31" s="134" customFormat="1" ht="3" customHeight="1" x14ac:dyDescent="0.25">
      <c r="E227" s="789"/>
      <c r="F227" s="789"/>
      <c r="G227" s="789"/>
      <c r="H227" s="790"/>
      <c r="AD227" s="791"/>
      <c r="AE227" s="792"/>
    </row>
    <row r="228" spans="5:31" s="134" customFormat="1" ht="3" customHeight="1" x14ac:dyDescent="0.25">
      <c r="E228" s="789"/>
      <c r="F228" s="789"/>
      <c r="G228" s="789"/>
      <c r="H228" s="790"/>
      <c r="AD228" s="791"/>
      <c r="AE228" s="792"/>
    </row>
    <row r="229" spans="5:31" s="134" customFormat="1" ht="3" customHeight="1" x14ac:dyDescent="0.25">
      <c r="E229" s="789"/>
      <c r="F229" s="789"/>
      <c r="G229" s="789"/>
      <c r="H229" s="790"/>
      <c r="AD229" s="791"/>
      <c r="AE229" s="792"/>
    </row>
    <row r="230" spans="5:31" s="134" customFormat="1" ht="3" customHeight="1" x14ac:dyDescent="0.25">
      <c r="E230" s="789"/>
      <c r="F230" s="789"/>
      <c r="G230" s="789"/>
      <c r="H230" s="790"/>
      <c r="AD230" s="791"/>
      <c r="AE230" s="792"/>
    </row>
    <row r="231" spans="5:31" s="134" customFormat="1" ht="3" customHeight="1" x14ac:dyDescent="0.25">
      <c r="E231" s="789"/>
      <c r="F231" s="789"/>
      <c r="G231" s="789"/>
      <c r="H231" s="790"/>
      <c r="AD231" s="791"/>
      <c r="AE231" s="792"/>
    </row>
    <row r="232" spans="5:31" s="134" customFormat="1" ht="3" customHeight="1" x14ac:dyDescent="0.25">
      <c r="E232" s="789"/>
      <c r="F232" s="789"/>
      <c r="G232" s="789"/>
      <c r="H232" s="790"/>
      <c r="AD232" s="791"/>
      <c r="AE232" s="792"/>
    </row>
    <row r="233" spans="5:31" s="134" customFormat="1" ht="3" customHeight="1" x14ac:dyDescent="0.25">
      <c r="E233" s="789"/>
      <c r="F233" s="789"/>
      <c r="G233" s="789"/>
      <c r="H233" s="790"/>
      <c r="AD233" s="791"/>
      <c r="AE233" s="792"/>
    </row>
    <row r="234" spans="5:31" s="134" customFormat="1" ht="3" customHeight="1" x14ac:dyDescent="0.25">
      <c r="E234" s="789"/>
      <c r="F234" s="789"/>
      <c r="G234" s="789"/>
      <c r="H234" s="790"/>
      <c r="AD234" s="791"/>
      <c r="AE234" s="792"/>
    </row>
    <row r="235" spans="5:31" s="134" customFormat="1" ht="3" customHeight="1" x14ac:dyDescent="0.25">
      <c r="E235" s="789"/>
      <c r="F235" s="789"/>
      <c r="G235" s="789"/>
      <c r="H235" s="790"/>
      <c r="AD235" s="791"/>
      <c r="AE235" s="792"/>
    </row>
    <row r="236" spans="5:31" s="134" customFormat="1" ht="3" customHeight="1" x14ac:dyDescent="0.25">
      <c r="E236" s="789"/>
      <c r="F236" s="789"/>
      <c r="G236" s="789"/>
      <c r="H236" s="790"/>
      <c r="AD236" s="791"/>
      <c r="AE236" s="792"/>
    </row>
    <row r="237" spans="5:31" s="134" customFormat="1" ht="3" customHeight="1" x14ac:dyDescent="0.25">
      <c r="E237" s="789"/>
      <c r="F237" s="789"/>
      <c r="G237" s="789"/>
      <c r="H237" s="790"/>
      <c r="AD237" s="791"/>
      <c r="AE237" s="792"/>
    </row>
    <row r="238" spans="5:31" s="134" customFormat="1" ht="3" customHeight="1" x14ac:dyDescent="0.25">
      <c r="E238" s="789"/>
      <c r="F238" s="789"/>
      <c r="G238" s="789"/>
      <c r="H238" s="790"/>
      <c r="AD238" s="791"/>
      <c r="AE238" s="792"/>
    </row>
    <row r="239" spans="5:31" s="134" customFormat="1" ht="3" customHeight="1" x14ac:dyDescent="0.25">
      <c r="E239" s="789"/>
      <c r="F239" s="789"/>
      <c r="G239" s="789"/>
      <c r="H239" s="790"/>
      <c r="AD239" s="791"/>
      <c r="AE239" s="792"/>
    </row>
    <row r="240" spans="5:31" s="134" customFormat="1" ht="3" customHeight="1" x14ac:dyDescent="0.25">
      <c r="E240" s="789"/>
      <c r="F240" s="789"/>
      <c r="G240" s="789"/>
      <c r="H240" s="790"/>
      <c r="AD240" s="791"/>
      <c r="AE240" s="792"/>
    </row>
    <row r="241" spans="5:31" s="134" customFormat="1" ht="3" customHeight="1" x14ac:dyDescent="0.25">
      <c r="E241" s="789"/>
      <c r="F241" s="789"/>
      <c r="G241" s="789"/>
      <c r="H241" s="790"/>
      <c r="AD241" s="791"/>
      <c r="AE241" s="792"/>
    </row>
    <row r="242" spans="5:31" s="134" customFormat="1" ht="3" customHeight="1" x14ac:dyDescent="0.25">
      <c r="E242" s="789"/>
      <c r="F242" s="789"/>
      <c r="G242" s="789"/>
      <c r="H242" s="790"/>
      <c r="AD242" s="791"/>
      <c r="AE242" s="792"/>
    </row>
    <row r="243" spans="5:31" s="134" customFormat="1" ht="3" customHeight="1" x14ac:dyDescent="0.25">
      <c r="E243" s="789"/>
      <c r="F243" s="789"/>
      <c r="G243" s="789"/>
      <c r="H243" s="790"/>
      <c r="AD243" s="791"/>
      <c r="AE243" s="792"/>
    </row>
    <row r="244" spans="5:31" s="134" customFormat="1" ht="3" customHeight="1" x14ac:dyDescent="0.25">
      <c r="E244" s="789"/>
      <c r="F244" s="789"/>
      <c r="G244" s="789"/>
      <c r="H244" s="790"/>
      <c r="AD244" s="791"/>
      <c r="AE244" s="792"/>
    </row>
    <row r="245" spans="5:31" s="134" customFormat="1" ht="3" customHeight="1" x14ac:dyDescent="0.25">
      <c r="E245" s="789"/>
      <c r="F245" s="789"/>
      <c r="G245" s="789"/>
      <c r="H245" s="790"/>
      <c r="AD245" s="791"/>
      <c r="AE245" s="792"/>
    </row>
    <row r="246" spans="5:31" s="134" customFormat="1" ht="3" customHeight="1" x14ac:dyDescent="0.25">
      <c r="E246" s="789"/>
      <c r="F246" s="789"/>
      <c r="G246" s="789"/>
      <c r="H246" s="790"/>
      <c r="AD246" s="791"/>
      <c r="AE246" s="792"/>
    </row>
    <row r="247" spans="5:31" s="134" customFormat="1" ht="3" customHeight="1" x14ac:dyDescent="0.25">
      <c r="E247" s="789"/>
      <c r="F247" s="789"/>
      <c r="G247" s="789"/>
      <c r="H247" s="790"/>
      <c r="AD247" s="791"/>
      <c r="AE247" s="792"/>
    </row>
    <row r="248" spans="5:31" s="134" customFormat="1" ht="3" customHeight="1" x14ac:dyDescent="0.25">
      <c r="E248" s="789"/>
      <c r="F248" s="789"/>
      <c r="G248" s="789"/>
      <c r="H248" s="790"/>
      <c r="AD248" s="791"/>
      <c r="AE248" s="792"/>
    </row>
    <row r="249" spans="5:31" s="134" customFormat="1" ht="3" customHeight="1" x14ac:dyDescent="0.25">
      <c r="E249" s="789"/>
      <c r="F249" s="789"/>
      <c r="G249" s="789"/>
      <c r="H249" s="790"/>
      <c r="AD249" s="791"/>
      <c r="AE249" s="792"/>
    </row>
    <row r="250" spans="5:31" s="134" customFormat="1" ht="3" customHeight="1" x14ac:dyDescent="0.25">
      <c r="E250" s="789"/>
      <c r="F250" s="789"/>
      <c r="G250" s="789"/>
      <c r="H250" s="790"/>
      <c r="AD250" s="791"/>
      <c r="AE250" s="792"/>
    </row>
    <row r="251" spans="5:31" s="134" customFormat="1" ht="3" customHeight="1" x14ac:dyDescent="0.25">
      <c r="E251" s="789"/>
      <c r="F251" s="789"/>
      <c r="G251" s="789"/>
      <c r="H251" s="790"/>
      <c r="AD251" s="791"/>
      <c r="AE251" s="792"/>
    </row>
    <row r="252" spans="5:31" s="134" customFormat="1" ht="3" customHeight="1" x14ac:dyDescent="0.25">
      <c r="E252" s="789"/>
      <c r="F252" s="789"/>
      <c r="G252" s="789"/>
      <c r="H252" s="790"/>
      <c r="AD252" s="791"/>
      <c r="AE252" s="792"/>
    </row>
    <row r="253" spans="5:31" s="134" customFormat="1" ht="3" customHeight="1" x14ac:dyDescent="0.25">
      <c r="E253" s="789"/>
      <c r="F253" s="789"/>
      <c r="G253" s="789"/>
      <c r="H253" s="790"/>
      <c r="AD253" s="791"/>
      <c r="AE253" s="792"/>
    </row>
    <row r="254" spans="5:31" s="134" customFormat="1" ht="3" customHeight="1" x14ac:dyDescent="0.25">
      <c r="E254" s="789"/>
      <c r="F254" s="789"/>
      <c r="G254" s="789"/>
      <c r="H254" s="790"/>
      <c r="AD254" s="791"/>
      <c r="AE254" s="792"/>
    </row>
    <row r="255" spans="5:31" s="134" customFormat="1" ht="3" customHeight="1" x14ac:dyDescent="0.25">
      <c r="E255" s="789"/>
      <c r="F255" s="789"/>
      <c r="G255" s="789"/>
      <c r="H255" s="790"/>
      <c r="AD255" s="791"/>
      <c r="AE255" s="792"/>
    </row>
    <row r="256" spans="5:31" s="134" customFormat="1" ht="3" customHeight="1" x14ac:dyDescent="0.25">
      <c r="E256" s="789"/>
      <c r="F256" s="789"/>
      <c r="G256" s="789"/>
      <c r="H256" s="790"/>
      <c r="AD256" s="791"/>
      <c r="AE256" s="792"/>
    </row>
    <row r="257" spans="5:31" s="134" customFormat="1" ht="3" customHeight="1" x14ac:dyDescent="0.25">
      <c r="E257" s="789"/>
      <c r="F257" s="789"/>
      <c r="G257" s="789"/>
      <c r="H257" s="790"/>
      <c r="AD257" s="791"/>
      <c r="AE257" s="792"/>
    </row>
    <row r="258" spans="5:31" s="134" customFormat="1" ht="3" customHeight="1" x14ac:dyDescent="0.25">
      <c r="E258" s="789"/>
      <c r="F258" s="789"/>
      <c r="G258" s="789"/>
      <c r="H258" s="790"/>
      <c r="AD258" s="791"/>
      <c r="AE258" s="792"/>
    </row>
    <row r="259" spans="5:31" s="134" customFormat="1" ht="3" customHeight="1" x14ac:dyDescent="0.25">
      <c r="E259" s="789"/>
      <c r="F259" s="789"/>
      <c r="G259" s="789"/>
      <c r="H259" s="790"/>
      <c r="AD259" s="791"/>
      <c r="AE259" s="792"/>
    </row>
    <row r="260" spans="5:31" s="134" customFormat="1" ht="3" customHeight="1" x14ac:dyDescent="0.25">
      <c r="E260" s="789"/>
      <c r="F260" s="789"/>
      <c r="G260" s="789"/>
      <c r="H260" s="790"/>
      <c r="AD260" s="791"/>
      <c r="AE260" s="792"/>
    </row>
    <row r="261" spans="5:31" s="134" customFormat="1" ht="3" customHeight="1" x14ac:dyDescent="0.25">
      <c r="E261" s="789"/>
      <c r="F261" s="789"/>
      <c r="G261" s="789"/>
      <c r="H261" s="790"/>
      <c r="AD261" s="791"/>
      <c r="AE261" s="792"/>
    </row>
    <row r="262" spans="5:31" s="134" customFormat="1" ht="3" customHeight="1" x14ac:dyDescent="0.25">
      <c r="E262" s="789"/>
      <c r="F262" s="789"/>
      <c r="G262" s="789"/>
      <c r="H262" s="790"/>
      <c r="AD262" s="791"/>
      <c r="AE262" s="792"/>
    </row>
    <row r="263" spans="5:31" s="134" customFormat="1" ht="3" customHeight="1" x14ac:dyDescent="0.25">
      <c r="E263" s="789"/>
      <c r="F263" s="789"/>
      <c r="G263" s="789"/>
      <c r="H263" s="790"/>
      <c r="AD263" s="791"/>
      <c r="AE263" s="792"/>
    </row>
    <row r="264" spans="5:31" s="134" customFormat="1" ht="3" customHeight="1" x14ac:dyDescent="0.25">
      <c r="E264" s="789"/>
      <c r="F264" s="789"/>
      <c r="G264" s="789"/>
      <c r="H264" s="790"/>
      <c r="AD264" s="791"/>
      <c r="AE264" s="792"/>
    </row>
    <row r="265" spans="5:31" s="134" customFormat="1" ht="3" customHeight="1" x14ac:dyDescent="0.25">
      <c r="E265" s="789"/>
      <c r="F265" s="789"/>
      <c r="G265" s="789"/>
      <c r="H265" s="790"/>
      <c r="AD265" s="791"/>
      <c r="AE265" s="792"/>
    </row>
    <row r="266" spans="5:31" s="134" customFormat="1" ht="3" customHeight="1" x14ac:dyDescent="0.25">
      <c r="E266" s="789"/>
      <c r="F266" s="789"/>
      <c r="G266" s="789"/>
      <c r="H266" s="790"/>
      <c r="AD266" s="791"/>
      <c r="AE266" s="792"/>
    </row>
    <row r="267" spans="5:31" s="134" customFormat="1" ht="3" customHeight="1" x14ac:dyDescent="0.25">
      <c r="E267" s="789"/>
      <c r="F267" s="789"/>
      <c r="G267" s="789"/>
      <c r="H267" s="790"/>
      <c r="AD267" s="791"/>
      <c r="AE267" s="792"/>
    </row>
    <row r="268" spans="5:31" s="134" customFormat="1" ht="3" customHeight="1" x14ac:dyDescent="0.25">
      <c r="E268" s="789"/>
      <c r="F268" s="789"/>
      <c r="G268" s="789"/>
      <c r="H268" s="790"/>
      <c r="AD268" s="791"/>
      <c r="AE268" s="792"/>
    </row>
    <row r="269" spans="5:31" s="134" customFormat="1" ht="3" customHeight="1" x14ac:dyDescent="0.25">
      <c r="E269" s="789"/>
      <c r="F269" s="789"/>
      <c r="G269" s="789"/>
      <c r="H269" s="790"/>
      <c r="AD269" s="791"/>
      <c r="AE269" s="792"/>
    </row>
    <row r="270" spans="5:31" s="134" customFormat="1" ht="3" customHeight="1" x14ac:dyDescent="0.25">
      <c r="E270" s="789"/>
      <c r="F270" s="789"/>
      <c r="G270" s="789"/>
      <c r="H270" s="790"/>
      <c r="AD270" s="791"/>
      <c r="AE270" s="792"/>
    </row>
    <row r="271" spans="5:31" s="134" customFormat="1" ht="3" customHeight="1" x14ac:dyDescent="0.25">
      <c r="E271" s="789"/>
      <c r="F271" s="789"/>
      <c r="G271" s="789"/>
      <c r="H271" s="790"/>
      <c r="AD271" s="791"/>
      <c r="AE271" s="792"/>
    </row>
    <row r="272" spans="5:31" s="134" customFormat="1" ht="3" customHeight="1" x14ac:dyDescent="0.25">
      <c r="E272" s="789"/>
      <c r="F272" s="789"/>
      <c r="G272" s="789"/>
      <c r="H272" s="790"/>
      <c r="AD272" s="791"/>
      <c r="AE272" s="792"/>
    </row>
    <row r="273" spans="5:31" s="134" customFormat="1" ht="3" customHeight="1" x14ac:dyDescent="0.25">
      <c r="E273" s="789"/>
      <c r="F273" s="789"/>
      <c r="G273" s="789"/>
      <c r="H273" s="790"/>
      <c r="AD273" s="791"/>
      <c r="AE273" s="792"/>
    </row>
    <row r="274" spans="5:31" s="134" customFormat="1" ht="3" customHeight="1" x14ac:dyDescent="0.25">
      <c r="E274" s="789"/>
      <c r="F274" s="789"/>
      <c r="G274" s="789"/>
      <c r="H274" s="790"/>
      <c r="AD274" s="791"/>
      <c r="AE274" s="792"/>
    </row>
    <row r="275" spans="5:31" s="134" customFormat="1" ht="3" customHeight="1" x14ac:dyDescent="0.25">
      <c r="E275" s="789"/>
      <c r="F275" s="789"/>
      <c r="G275" s="789"/>
      <c r="H275" s="790"/>
      <c r="AD275" s="791"/>
      <c r="AE275" s="792"/>
    </row>
    <row r="276" spans="5:31" s="134" customFormat="1" ht="3" customHeight="1" x14ac:dyDescent="0.25">
      <c r="E276" s="789"/>
      <c r="F276" s="789"/>
      <c r="G276" s="789"/>
      <c r="H276" s="790"/>
      <c r="AD276" s="791"/>
      <c r="AE276" s="792"/>
    </row>
    <row r="277" spans="5:31" s="134" customFormat="1" ht="3" customHeight="1" x14ac:dyDescent="0.25">
      <c r="E277" s="789"/>
      <c r="F277" s="789"/>
      <c r="G277" s="789"/>
      <c r="H277" s="790"/>
      <c r="AD277" s="791"/>
      <c r="AE277" s="792"/>
    </row>
    <row r="278" spans="5:31" s="134" customFormat="1" ht="3" customHeight="1" x14ac:dyDescent="0.25">
      <c r="E278" s="789"/>
      <c r="F278" s="789"/>
      <c r="G278" s="789"/>
      <c r="H278" s="790"/>
      <c r="AD278" s="791"/>
      <c r="AE278" s="792"/>
    </row>
    <row r="279" spans="5:31" s="134" customFormat="1" ht="3" customHeight="1" x14ac:dyDescent="0.25">
      <c r="E279" s="789"/>
      <c r="F279" s="789"/>
      <c r="G279" s="789"/>
      <c r="H279" s="790"/>
      <c r="AD279" s="791"/>
      <c r="AE279" s="792"/>
    </row>
    <row r="280" spans="5:31" s="134" customFormat="1" ht="3" customHeight="1" x14ac:dyDescent="0.25">
      <c r="E280" s="789"/>
      <c r="F280" s="789"/>
      <c r="G280" s="789"/>
      <c r="H280" s="790"/>
      <c r="AD280" s="791"/>
      <c r="AE280" s="792"/>
    </row>
    <row r="281" spans="5:31" s="134" customFormat="1" ht="3" customHeight="1" x14ac:dyDescent="0.25">
      <c r="E281" s="789"/>
      <c r="F281" s="789"/>
      <c r="G281" s="789"/>
      <c r="H281" s="790"/>
      <c r="AD281" s="791"/>
      <c r="AE281" s="792"/>
    </row>
    <row r="282" spans="5:31" s="134" customFormat="1" ht="3" customHeight="1" x14ac:dyDescent="0.25">
      <c r="E282" s="789"/>
      <c r="F282" s="789"/>
      <c r="G282" s="789"/>
      <c r="H282" s="790"/>
      <c r="AD282" s="791"/>
      <c r="AE282" s="792"/>
    </row>
    <row r="283" spans="5:31" s="134" customFormat="1" ht="3" customHeight="1" x14ac:dyDescent="0.25">
      <c r="E283" s="789"/>
      <c r="F283" s="789"/>
      <c r="G283" s="789"/>
      <c r="H283" s="790"/>
      <c r="AD283" s="791"/>
      <c r="AE283" s="792"/>
    </row>
    <row r="284" spans="5:31" s="134" customFormat="1" ht="3" customHeight="1" x14ac:dyDescent="0.25">
      <c r="E284" s="789"/>
      <c r="F284" s="789"/>
      <c r="G284" s="789"/>
      <c r="H284" s="790"/>
      <c r="AD284" s="791"/>
      <c r="AE284" s="792"/>
    </row>
    <row r="285" spans="5:31" s="134" customFormat="1" ht="3" customHeight="1" x14ac:dyDescent="0.25">
      <c r="E285" s="789"/>
      <c r="F285" s="789"/>
      <c r="G285" s="789"/>
      <c r="H285" s="790"/>
      <c r="AD285" s="791"/>
      <c r="AE285" s="792"/>
    </row>
    <row r="286" spans="5:31" s="134" customFormat="1" ht="3" customHeight="1" x14ac:dyDescent="0.25">
      <c r="E286" s="789"/>
      <c r="F286" s="789"/>
      <c r="G286" s="789"/>
      <c r="H286" s="790"/>
      <c r="AD286" s="791"/>
      <c r="AE286" s="792"/>
    </row>
    <row r="287" spans="5:31" s="134" customFormat="1" ht="3" customHeight="1" x14ac:dyDescent="0.25">
      <c r="E287" s="789"/>
      <c r="F287" s="789"/>
      <c r="G287" s="789"/>
      <c r="H287" s="790"/>
      <c r="AD287" s="791"/>
      <c r="AE287" s="792"/>
    </row>
    <row r="288" spans="5:31" s="134" customFormat="1" ht="3" customHeight="1" x14ac:dyDescent="0.25">
      <c r="E288" s="789"/>
      <c r="F288" s="789"/>
      <c r="G288" s="789"/>
      <c r="H288" s="790"/>
      <c r="AD288" s="791"/>
      <c r="AE288" s="792"/>
    </row>
    <row r="289" spans="5:31" s="134" customFormat="1" ht="3" customHeight="1" x14ac:dyDescent="0.25">
      <c r="E289" s="789"/>
      <c r="F289" s="789"/>
      <c r="G289" s="789"/>
      <c r="H289" s="790"/>
      <c r="AD289" s="791"/>
      <c r="AE289" s="792"/>
    </row>
    <row r="290" spans="5:31" s="134" customFormat="1" ht="3" customHeight="1" x14ac:dyDescent="0.25">
      <c r="E290" s="789"/>
      <c r="F290" s="789"/>
      <c r="G290" s="789"/>
      <c r="H290" s="790"/>
      <c r="AD290" s="791"/>
      <c r="AE290" s="792"/>
    </row>
    <row r="291" spans="5:31" s="134" customFormat="1" ht="3" customHeight="1" x14ac:dyDescent="0.25">
      <c r="E291" s="789"/>
      <c r="F291" s="789"/>
      <c r="G291" s="789"/>
      <c r="H291" s="790"/>
      <c r="AD291" s="791"/>
      <c r="AE291" s="792"/>
    </row>
    <row r="292" spans="5:31" s="134" customFormat="1" ht="3" customHeight="1" x14ac:dyDescent="0.25">
      <c r="E292" s="789"/>
      <c r="F292" s="789"/>
      <c r="G292" s="789"/>
      <c r="H292" s="790"/>
      <c r="AD292" s="791"/>
      <c r="AE292" s="792"/>
    </row>
    <row r="293" spans="5:31" s="134" customFormat="1" ht="3" customHeight="1" x14ac:dyDescent="0.25">
      <c r="E293" s="789"/>
      <c r="F293" s="789"/>
      <c r="G293" s="789"/>
      <c r="H293" s="790"/>
      <c r="AD293" s="791"/>
      <c r="AE293" s="792"/>
    </row>
    <row r="294" spans="5:31" s="134" customFormat="1" ht="3" customHeight="1" x14ac:dyDescent="0.25">
      <c r="E294" s="789"/>
      <c r="F294" s="789"/>
      <c r="G294" s="789"/>
      <c r="H294" s="790"/>
      <c r="AD294" s="791"/>
      <c r="AE294" s="792"/>
    </row>
    <row r="295" spans="5:31" s="134" customFormat="1" ht="3" customHeight="1" x14ac:dyDescent="0.25">
      <c r="E295" s="789"/>
      <c r="F295" s="789"/>
      <c r="G295" s="789"/>
      <c r="H295" s="790"/>
      <c r="AD295" s="791"/>
      <c r="AE295" s="792"/>
    </row>
    <row r="296" spans="5:31" s="134" customFormat="1" ht="3" customHeight="1" x14ac:dyDescent="0.25">
      <c r="E296" s="789"/>
      <c r="F296" s="789"/>
      <c r="G296" s="789"/>
      <c r="H296" s="790"/>
      <c r="AD296" s="791"/>
      <c r="AE296" s="792"/>
    </row>
    <row r="297" spans="5:31" s="134" customFormat="1" ht="3" customHeight="1" x14ac:dyDescent="0.25">
      <c r="E297" s="789"/>
      <c r="F297" s="789"/>
      <c r="G297" s="789"/>
      <c r="H297" s="790"/>
      <c r="AD297" s="791"/>
      <c r="AE297" s="792"/>
    </row>
    <row r="298" spans="5:31" s="134" customFormat="1" ht="3" customHeight="1" x14ac:dyDescent="0.25">
      <c r="E298" s="789"/>
      <c r="F298" s="789"/>
      <c r="G298" s="789"/>
      <c r="H298" s="790"/>
      <c r="AD298" s="791"/>
      <c r="AE298" s="792"/>
    </row>
    <row r="299" spans="5:31" s="134" customFormat="1" ht="3" customHeight="1" x14ac:dyDescent="0.25">
      <c r="E299" s="789"/>
      <c r="F299" s="789"/>
      <c r="G299" s="789"/>
      <c r="H299" s="790"/>
      <c r="AD299" s="791"/>
      <c r="AE299" s="792"/>
    </row>
    <row r="300" spans="5:31" s="134" customFormat="1" ht="3" customHeight="1" x14ac:dyDescent="0.25">
      <c r="E300" s="789"/>
      <c r="F300" s="789"/>
      <c r="G300" s="789"/>
      <c r="H300" s="790"/>
      <c r="AD300" s="791"/>
      <c r="AE300" s="792"/>
    </row>
    <row r="301" spans="5:31" s="134" customFormat="1" ht="3" customHeight="1" x14ac:dyDescent="0.25">
      <c r="E301" s="789"/>
      <c r="F301" s="789"/>
      <c r="G301" s="789"/>
      <c r="H301" s="790"/>
      <c r="AD301" s="791"/>
      <c r="AE301" s="792"/>
    </row>
    <row r="302" spans="5:31" s="134" customFormat="1" ht="3" customHeight="1" x14ac:dyDescent="0.25">
      <c r="E302" s="789"/>
      <c r="F302" s="789"/>
      <c r="G302" s="789"/>
      <c r="H302" s="790"/>
      <c r="AD302" s="791"/>
      <c r="AE302" s="792"/>
    </row>
    <row r="303" spans="5:31" s="134" customFormat="1" ht="3" customHeight="1" x14ac:dyDescent="0.25">
      <c r="E303" s="789"/>
      <c r="F303" s="789"/>
      <c r="G303" s="789"/>
      <c r="H303" s="790"/>
      <c r="AD303" s="791"/>
      <c r="AE303" s="792"/>
    </row>
    <row r="304" spans="5:31" s="134" customFormat="1" ht="3" customHeight="1" x14ac:dyDescent="0.25">
      <c r="E304" s="789"/>
      <c r="F304" s="789"/>
      <c r="G304" s="789"/>
      <c r="H304" s="790"/>
      <c r="AD304" s="791"/>
      <c r="AE304" s="792"/>
    </row>
    <row r="305" spans="5:31" s="134" customFormat="1" ht="3" customHeight="1" x14ac:dyDescent="0.25">
      <c r="E305" s="789"/>
      <c r="F305" s="789"/>
      <c r="G305" s="789"/>
      <c r="H305" s="790"/>
      <c r="AD305" s="791"/>
      <c r="AE305" s="792"/>
    </row>
    <row r="306" spans="5:31" s="134" customFormat="1" ht="3" customHeight="1" x14ac:dyDescent="0.25">
      <c r="E306" s="789"/>
      <c r="F306" s="789"/>
      <c r="G306" s="789"/>
      <c r="H306" s="790"/>
      <c r="AD306" s="791"/>
      <c r="AE306" s="792"/>
    </row>
    <row r="307" spans="5:31" s="134" customFormat="1" ht="3" customHeight="1" x14ac:dyDescent="0.25">
      <c r="E307" s="789"/>
      <c r="F307" s="789"/>
      <c r="G307" s="789"/>
      <c r="H307" s="790"/>
      <c r="AD307" s="791"/>
      <c r="AE307" s="792"/>
    </row>
    <row r="308" spans="5:31" s="134" customFormat="1" ht="3" customHeight="1" x14ac:dyDescent="0.25">
      <c r="E308" s="789"/>
      <c r="F308" s="789"/>
      <c r="G308" s="789"/>
      <c r="H308" s="790"/>
      <c r="AD308" s="791"/>
      <c r="AE308" s="792"/>
    </row>
    <row r="309" spans="5:31" s="134" customFormat="1" ht="12.75" customHeight="1" x14ac:dyDescent="0.25">
      <c r="E309" s="789"/>
      <c r="F309" s="789"/>
      <c r="G309" s="789"/>
      <c r="H309" s="790"/>
      <c r="AD309" s="791"/>
      <c r="AE309" s="792"/>
    </row>
    <row r="310" spans="5:31" s="134" customFormat="1" ht="12.75" customHeight="1" x14ac:dyDescent="0.25">
      <c r="E310" s="789"/>
      <c r="F310" s="789"/>
      <c r="G310" s="789"/>
      <c r="H310" s="790"/>
      <c r="AD310" s="791"/>
      <c r="AE310" s="792"/>
    </row>
    <row r="311" spans="5:31" s="134" customFormat="1" ht="12.75" customHeight="1" x14ac:dyDescent="0.25">
      <c r="E311" s="789"/>
      <c r="F311" s="789"/>
      <c r="G311" s="789"/>
      <c r="H311" s="790"/>
      <c r="AD311" s="791"/>
      <c r="AE311" s="792"/>
    </row>
    <row r="312" spans="5:31" s="134" customFormat="1" ht="12.75" customHeight="1" x14ac:dyDescent="0.25">
      <c r="E312" s="789"/>
      <c r="F312" s="789"/>
      <c r="G312" s="789"/>
      <c r="H312" s="790"/>
      <c r="AD312" s="791"/>
      <c r="AE312" s="792"/>
    </row>
    <row r="313" spans="5:31" s="134" customFormat="1" ht="12.75" customHeight="1" x14ac:dyDescent="0.25">
      <c r="E313" s="789"/>
      <c r="F313" s="789"/>
      <c r="G313" s="789"/>
      <c r="H313" s="790"/>
      <c r="AD313" s="791"/>
      <c r="AE313" s="792"/>
    </row>
    <row r="314" spans="5:31" s="134" customFormat="1" ht="12.75" customHeight="1" x14ac:dyDescent="0.25">
      <c r="E314" s="789"/>
      <c r="F314" s="789"/>
      <c r="G314" s="789"/>
      <c r="H314" s="790"/>
      <c r="AD314" s="791"/>
      <c r="AE314" s="792"/>
    </row>
    <row r="315" spans="5:31" s="134" customFormat="1" ht="12.75" customHeight="1" x14ac:dyDescent="0.25">
      <c r="E315" s="789"/>
      <c r="F315" s="789"/>
      <c r="G315" s="789"/>
      <c r="H315" s="790"/>
      <c r="AD315" s="791"/>
      <c r="AE315" s="792"/>
    </row>
    <row r="316" spans="5:31" s="134" customFormat="1" ht="12.75" customHeight="1" x14ac:dyDescent="0.25">
      <c r="E316" s="789"/>
      <c r="F316" s="789"/>
      <c r="G316" s="789"/>
      <c r="H316" s="790"/>
      <c r="AD316" s="791"/>
      <c r="AE316" s="792"/>
    </row>
    <row r="317" spans="5:31" s="134" customFormat="1" ht="12.75" customHeight="1" x14ac:dyDescent="0.25">
      <c r="E317" s="789"/>
      <c r="F317" s="789"/>
      <c r="G317" s="789"/>
      <c r="H317" s="790"/>
      <c r="AD317" s="791"/>
      <c r="AE317" s="792"/>
    </row>
    <row r="318" spans="5:31" s="134" customFormat="1" ht="12.75" customHeight="1" x14ac:dyDescent="0.25">
      <c r="E318" s="789"/>
      <c r="F318" s="789"/>
      <c r="G318" s="789"/>
      <c r="H318" s="790"/>
      <c r="AD318" s="791"/>
      <c r="AE318" s="792"/>
    </row>
    <row r="319" spans="5:31" s="134" customFormat="1" ht="12.75" customHeight="1" x14ac:dyDescent="0.25">
      <c r="E319" s="789"/>
      <c r="F319" s="789"/>
      <c r="G319" s="789"/>
      <c r="H319" s="790"/>
      <c r="AD319" s="791"/>
      <c r="AE319" s="792"/>
    </row>
    <row r="320" spans="5:31" s="134" customFormat="1" ht="12.75" customHeight="1" x14ac:dyDescent="0.25">
      <c r="E320" s="789"/>
      <c r="F320" s="789"/>
      <c r="G320" s="789"/>
      <c r="H320" s="790"/>
      <c r="AD320" s="791"/>
      <c r="AE320" s="792"/>
    </row>
    <row r="321" spans="5:31" s="134" customFormat="1" ht="12.75" customHeight="1" x14ac:dyDescent="0.25">
      <c r="E321" s="789"/>
      <c r="F321" s="789"/>
      <c r="G321" s="789"/>
      <c r="H321" s="790"/>
      <c r="AD321" s="791"/>
      <c r="AE321" s="792"/>
    </row>
    <row r="322" spans="5:31" s="134" customFormat="1" ht="12.75" customHeight="1" x14ac:dyDescent="0.25">
      <c r="E322" s="789"/>
      <c r="F322" s="789"/>
      <c r="G322" s="789"/>
      <c r="H322" s="790"/>
      <c r="AD322" s="791"/>
      <c r="AE322" s="792"/>
    </row>
    <row r="323" spans="5:31" s="134" customFormat="1" ht="12.75" customHeight="1" x14ac:dyDescent="0.25">
      <c r="E323" s="789"/>
      <c r="F323" s="789"/>
      <c r="G323" s="789"/>
      <c r="H323" s="790"/>
      <c r="AD323" s="791"/>
      <c r="AE323" s="792"/>
    </row>
    <row r="324" spans="5:31" s="134" customFormat="1" ht="12.75" customHeight="1" x14ac:dyDescent="0.25">
      <c r="E324" s="789"/>
      <c r="F324" s="789"/>
      <c r="G324" s="789"/>
      <c r="H324" s="790"/>
      <c r="AD324" s="791"/>
      <c r="AE324" s="792"/>
    </row>
    <row r="325" spans="5:31" s="134" customFormat="1" ht="12.75" customHeight="1" x14ac:dyDescent="0.25">
      <c r="E325" s="789"/>
      <c r="F325" s="789"/>
      <c r="G325" s="789"/>
      <c r="H325" s="790"/>
      <c r="AD325" s="791"/>
      <c r="AE325" s="792"/>
    </row>
    <row r="326" spans="5:31" s="134" customFormat="1" ht="12.75" customHeight="1" x14ac:dyDescent="0.25">
      <c r="E326" s="789"/>
      <c r="F326" s="789"/>
      <c r="G326" s="789"/>
      <c r="H326" s="790"/>
      <c r="AD326" s="791"/>
      <c r="AE326" s="792"/>
    </row>
    <row r="327" spans="5:31" s="134" customFormat="1" ht="12.75" customHeight="1" x14ac:dyDescent="0.25">
      <c r="E327" s="789"/>
      <c r="F327" s="789"/>
      <c r="G327" s="789"/>
      <c r="H327" s="790"/>
      <c r="AD327" s="791"/>
      <c r="AE327" s="792"/>
    </row>
    <row r="328" spans="5:31" s="134" customFormat="1" ht="12.75" customHeight="1" x14ac:dyDescent="0.25">
      <c r="E328" s="789"/>
      <c r="F328" s="789"/>
      <c r="G328" s="789"/>
      <c r="H328" s="790"/>
      <c r="AD328" s="791"/>
      <c r="AE328" s="792"/>
    </row>
    <row r="329" spans="5:31" s="134" customFormat="1" ht="12.75" customHeight="1" x14ac:dyDescent="0.25">
      <c r="E329" s="789"/>
      <c r="F329" s="789"/>
      <c r="G329" s="789"/>
      <c r="H329" s="790"/>
      <c r="AD329" s="791"/>
      <c r="AE329" s="792"/>
    </row>
    <row r="330" spans="5:31" s="134" customFormat="1" ht="12.75" customHeight="1" x14ac:dyDescent="0.25">
      <c r="E330" s="789"/>
      <c r="F330" s="789"/>
      <c r="G330" s="789"/>
      <c r="H330" s="790"/>
      <c r="AD330" s="791"/>
      <c r="AE330" s="792"/>
    </row>
    <row r="331" spans="5:31" s="134" customFormat="1" ht="12.75" customHeight="1" x14ac:dyDescent="0.25">
      <c r="E331" s="789"/>
      <c r="F331" s="789"/>
      <c r="G331" s="789"/>
      <c r="H331" s="790"/>
      <c r="AD331" s="791"/>
      <c r="AE331" s="792"/>
    </row>
    <row r="332" spans="5:31" s="134" customFormat="1" ht="12.75" customHeight="1" x14ac:dyDescent="0.25">
      <c r="E332" s="789"/>
      <c r="F332" s="789"/>
      <c r="G332" s="789"/>
      <c r="H332" s="790"/>
      <c r="AD332" s="791"/>
      <c r="AE332" s="792"/>
    </row>
    <row r="333" spans="5:31" s="134" customFormat="1" ht="12.75" customHeight="1" x14ac:dyDescent="0.25">
      <c r="E333" s="789"/>
      <c r="F333" s="789"/>
      <c r="G333" s="789"/>
      <c r="H333" s="790"/>
      <c r="AD333" s="791"/>
      <c r="AE333" s="792"/>
    </row>
    <row r="334" spans="5:31" s="134" customFormat="1" ht="12.75" customHeight="1" x14ac:dyDescent="0.25">
      <c r="E334" s="789"/>
      <c r="F334" s="789"/>
      <c r="G334" s="789"/>
      <c r="H334" s="790"/>
      <c r="AD334" s="791"/>
      <c r="AE334" s="792"/>
    </row>
    <row r="335" spans="5:31" s="134" customFormat="1" ht="12.75" customHeight="1" x14ac:dyDescent="0.25">
      <c r="E335" s="789"/>
      <c r="F335" s="789"/>
      <c r="G335" s="789"/>
      <c r="H335" s="790"/>
      <c r="AD335" s="791"/>
      <c r="AE335" s="792"/>
    </row>
    <row r="336" spans="5:31" s="134" customFormat="1" ht="12.75" customHeight="1" x14ac:dyDescent="0.25">
      <c r="E336" s="789"/>
      <c r="F336" s="789"/>
      <c r="G336" s="789"/>
      <c r="H336" s="790"/>
      <c r="AD336" s="791"/>
      <c r="AE336" s="792"/>
    </row>
    <row r="337" spans="5:31" s="134" customFormat="1" ht="12.75" customHeight="1" x14ac:dyDescent="0.25">
      <c r="E337" s="789"/>
      <c r="F337" s="789"/>
      <c r="G337" s="789"/>
      <c r="H337" s="790"/>
      <c r="AD337" s="791"/>
      <c r="AE337" s="792"/>
    </row>
    <row r="338" spans="5:31" s="134" customFormat="1" ht="12.75" customHeight="1" x14ac:dyDescent="0.25">
      <c r="E338" s="789"/>
      <c r="F338" s="789"/>
      <c r="G338" s="789"/>
      <c r="H338" s="790"/>
      <c r="AD338" s="791"/>
      <c r="AE338" s="792"/>
    </row>
    <row r="339" spans="5:31" s="134" customFormat="1" ht="12.75" customHeight="1" x14ac:dyDescent="0.25">
      <c r="E339" s="789"/>
      <c r="F339" s="789"/>
      <c r="G339" s="789"/>
      <c r="H339" s="790"/>
      <c r="AD339" s="791"/>
      <c r="AE339" s="792"/>
    </row>
    <row r="340" spans="5:31" s="134" customFormat="1" ht="12.75" customHeight="1" x14ac:dyDescent="0.25">
      <c r="E340" s="789"/>
      <c r="F340" s="789"/>
      <c r="G340" s="789"/>
      <c r="H340" s="790"/>
      <c r="AD340" s="791"/>
      <c r="AE340" s="792"/>
    </row>
    <row r="341" spans="5:31" s="134" customFormat="1" ht="12.75" customHeight="1" x14ac:dyDescent="0.25">
      <c r="E341" s="789"/>
      <c r="F341" s="789"/>
      <c r="G341" s="789"/>
      <c r="H341" s="790"/>
      <c r="AD341" s="791"/>
      <c r="AE341" s="792"/>
    </row>
    <row r="342" spans="5:31" s="134" customFormat="1" ht="12.75" customHeight="1" x14ac:dyDescent="0.25">
      <c r="E342" s="789"/>
      <c r="F342" s="789"/>
      <c r="G342" s="789"/>
      <c r="H342" s="790"/>
      <c r="AD342" s="791"/>
      <c r="AE342" s="792"/>
    </row>
    <row r="343" spans="5:31" s="134" customFormat="1" ht="12.75" customHeight="1" x14ac:dyDescent="0.25">
      <c r="E343" s="789"/>
      <c r="F343" s="789"/>
      <c r="G343" s="789"/>
      <c r="H343" s="790"/>
      <c r="AD343" s="791"/>
      <c r="AE343" s="792"/>
    </row>
    <row r="344" spans="5:31" s="134" customFormat="1" ht="12.75" customHeight="1" x14ac:dyDescent="0.25">
      <c r="E344" s="789"/>
      <c r="F344" s="789"/>
      <c r="G344" s="789"/>
      <c r="H344" s="790"/>
      <c r="AD344" s="791"/>
      <c r="AE344" s="792"/>
    </row>
    <row r="345" spans="5:31" s="134" customFormat="1" ht="12.75" customHeight="1" x14ac:dyDescent="0.25">
      <c r="E345" s="789"/>
      <c r="F345" s="789"/>
      <c r="G345" s="789"/>
      <c r="H345" s="790"/>
      <c r="AD345" s="791"/>
      <c r="AE345" s="792"/>
    </row>
    <row r="346" spans="5:31" s="134" customFormat="1" ht="12.75" customHeight="1" x14ac:dyDescent="0.25">
      <c r="E346" s="789"/>
      <c r="F346" s="789"/>
      <c r="G346" s="789"/>
      <c r="H346" s="790"/>
      <c r="AD346" s="791"/>
      <c r="AE346" s="792"/>
    </row>
    <row r="347" spans="5:31" s="134" customFormat="1" ht="12.75" customHeight="1" x14ac:dyDescent="0.25">
      <c r="E347" s="789"/>
      <c r="F347" s="789"/>
      <c r="G347" s="789"/>
      <c r="H347" s="790"/>
      <c r="AD347" s="791"/>
      <c r="AE347" s="792"/>
    </row>
    <row r="348" spans="5:31" s="134" customFormat="1" ht="12.75" customHeight="1" x14ac:dyDescent="0.25">
      <c r="E348" s="789"/>
      <c r="F348" s="789"/>
      <c r="G348" s="789"/>
      <c r="H348" s="790"/>
      <c r="AD348" s="791"/>
      <c r="AE348" s="792"/>
    </row>
    <row r="349" spans="5:31" s="134" customFormat="1" ht="12.75" customHeight="1" x14ac:dyDescent="0.25">
      <c r="E349" s="789"/>
      <c r="F349" s="789"/>
      <c r="G349" s="789"/>
      <c r="H349" s="790"/>
      <c r="AD349" s="791"/>
      <c r="AE349" s="792"/>
    </row>
    <row r="350" spans="5:31" s="134" customFormat="1" ht="12.75" customHeight="1" x14ac:dyDescent="0.25">
      <c r="E350" s="789"/>
      <c r="F350" s="789"/>
      <c r="G350" s="789"/>
      <c r="H350" s="790"/>
      <c r="AD350" s="791"/>
      <c r="AE350" s="792"/>
    </row>
    <row r="351" spans="5:31" s="134" customFormat="1" ht="12.75" customHeight="1" x14ac:dyDescent="0.25">
      <c r="E351" s="789"/>
      <c r="F351" s="789"/>
      <c r="G351" s="789"/>
      <c r="H351" s="790"/>
      <c r="AD351" s="791"/>
      <c r="AE351" s="792"/>
    </row>
    <row r="352" spans="5:31" s="134" customFormat="1" ht="12.75" customHeight="1" x14ac:dyDescent="0.25">
      <c r="E352" s="789"/>
      <c r="F352" s="789"/>
      <c r="G352" s="789"/>
      <c r="H352" s="790"/>
      <c r="AD352" s="791"/>
      <c r="AE352" s="792"/>
    </row>
    <row r="353" spans="5:31" s="134" customFormat="1" ht="12.75" customHeight="1" x14ac:dyDescent="0.25">
      <c r="E353" s="789"/>
      <c r="F353" s="789"/>
      <c r="G353" s="789"/>
      <c r="H353" s="790"/>
      <c r="AD353" s="791"/>
      <c r="AE353" s="792"/>
    </row>
    <row r="354" spans="5:31" s="134" customFormat="1" ht="12.75" customHeight="1" x14ac:dyDescent="0.25">
      <c r="E354" s="789"/>
      <c r="F354" s="789"/>
      <c r="G354" s="789"/>
      <c r="H354" s="790"/>
      <c r="AD354" s="791"/>
      <c r="AE354" s="792"/>
    </row>
    <row r="355" spans="5:31" s="134" customFormat="1" ht="12.75" customHeight="1" x14ac:dyDescent="0.25">
      <c r="E355" s="789"/>
      <c r="F355" s="789"/>
      <c r="G355" s="789"/>
      <c r="H355" s="790"/>
      <c r="AD355" s="791"/>
      <c r="AE355" s="792"/>
    </row>
    <row r="356" spans="5:31" s="134" customFormat="1" ht="12.75" customHeight="1" x14ac:dyDescent="0.25">
      <c r="E356" s="789"/>
      <c r="F356" s="789"/>
      <c r="G356" s="789"/>
      <c r="H356" s="790"/>
      <c r="AD356" s="791"/>
      <c r="AE356" s="792"/>
    </row>
    <row r="357" spans="5:31" s="134" customFormat="1" ht="12.75" customHeight="1" x14ac:dyDescent="0.25">
      <c r="E357" s="789"/>
      <c r="F357" s="789"/>
      <c r="G357" s="789"/>
      <c r="H357" s="790"/>
      <c r="AD357" s="791"/>
      <c r="AE357" s="792"/>
    </row>
    <row r="358" spans="5:31" s="134" customFormat="1" ht="12.75" customHeight="1" x14ac:dyDescent="0.25">
      <c r="E358" s="789"/>
      <c r="F358" s="789"/>
      <c r="G358" s="789"/>
      <c r="H358" s="790"/>
      <c r="AD358" s="791"/>
      <c r="AE358" s="792"/>
    </row>
    <row r="359" spans="5:31" s="134" customFormat="1" ht="12.75" customHeight="1" x14ac:dyDescent="0.25">
      <c r="E359" s="789"/>
      <c r="F359" s="789"/>
      <c r="G359" s="789"/>
      <c r="H359" s="790"/>
      <c r="AD359" s="791"/>
      <c r="AE359" s="792"/>
    </row>
    <row r="360" spans="5:31" s="134" customFormat="1" ht="12.75" customHeight="1" x14ac:dyDescent="0.25">
      <c r="E360" s="789"/>
      <c r="F360" s="789"/>
      <c r="G360" s="789"/>
      <c r="H360" s="790"/>
      <c r="AD360" s="791"/>
      <c r="AE360" s="792"/>
    </row>
    <row r="361" spans="5:31" s="134" customFormat="1" ht="12.75" customHeight="1" x14ac:dyDescent="0.25">
      <c r="E361" s="789"/>
      <c r="F361" s="789"/>
      <c r="G361" s="789"/>
      <c r="H361" s="790"/>
      <c r="AD361" s="791"/>
      <c r="AE361" s="792"/>
    </row>
    <row r="362" spans="5:31" s="134" customFormat="1" ht="12.75" customHeight="1" x14ac:dyDescent="0.25">
      <c r="E362" s="789"/>
      <c r="F362" s="789"/>
      <c r="G362" s="789"/>
      <c r="H362" s="790"/>
      <c r="AD362" s="791"/>
      <c r="AE362" s="792"/>
    </row>
    <row r="363" spans="5:31" s="134" customFormat="1" ht="12.75" customHeight="1" x14ac:dyDescent="0.25">
      <c r="E363" s="789"/>
      <c r="F363" s="789"/>
      <c r="G363" s="789"/>
      <c r="H363" s="790"/>
      <c r="AD363" s="791"/>
      <c r="AE363" s="792"/>
    </row>
    <row r="364" spans="5:31" s="134" customFormat="1" ht="12.75" customHeight="1" x14ac:dyDescent="0.25">
      <c r="E364" s="789"/>
      <c r="F364" s="789"/>
      <c r="G364" s="789"/>
      <c r="H364" s="790"/>
      <c r="AD364" s="791"/>
      <c r="AE364" s="792"/>
    </row>
    <row r="365" spans="5:31" ht="12.75" customHeight="1" x14ac:dyDescent="0.25">
      <c r="E365" s="793"/>
      <c r="F365" s="793"/>
      <c r="G365" s="793"/>
      <c r="H365" s="794"/>
    </row>
    <row r="366" spans="5:31" ht="12.75" customHeight="1" x14ac:dyDescent="0.25">
      <c r="E366" s="793"/>
      <c r="F366" s="793"/>
      <c r="G366" s="793"/>
      <c r="H366" s="794"/>
    </row>
    <row r="367" spans="5:31" ht="12.75" customHeight="1" x14ac:dyDescent="0.25">
      <c r="E367" s="793"/>
      <c r="F367" s="793"/>
      <c r="G367" s="793"/>
      <c r="H367" s="794"/>
    </row>
    <row r="368" spans="5:31" ht="12.75" customHeight="1" x14ac:dyDescent="0.25">
      <c r="E368" s="793"/>
      <c r="F368" s="793"/>
      <c r="G368" s="793"/>
      <c r="H368" s="794"/>
    </row>
    <row r="369" spans="5:8" ht="12.75" customHeight="1" x14ac:dyDescent="0.25">
      <c r="E369" s="793"/>
      <c r="F369" s="793"/>
      <c r="G369" s="793"/>
      <c r="H369" s="794"/>
    </row>
    <row r="370" spans="5:8" ht="12.75" customHeight="1" x14ac:dyDescent="0.25">
      <c r="E370" s="793"/>
      <c r="F370" s="793"/>
      <c r="G370" s="793"/>
      <c r="H370" s="794"/>
    </row>
    <row r="371" spans="5:8" ht="12.75" customHeight="1" x14ac:dyDescent="0.25">
      <c r="E371" s="793"/>
      <c r="F371" s="793"/>
      <c r="G371" s="793"/>
      <c r="H371" s="794"/>
    </row>
    <row r="372" spans="5:8" ht="12.75" customHeight="1" x14ac:dyDescent="0.25">
      <c r="E372" s="793"/>
      <c r="F372" s="793"/>
      <c r="G372" s="793"/>
      <c r="H372" s="794"/>
    </row>
    <row r="373" spans="5:8" ht="12.75" customHeight="1" x14ac:dyDescent="0.25">
      <c r="E373" s="793"/>
      <c r="F373" s="793"/>
      <c r="G373" s="793"/>
      <c r="H373" s="794"/>
    </row>
    <row r="374" spans="5:8" ht="12.75" customHeight="1" x14ac:dyDescent="0.25">
      <c r="E374" s="793"/>
      <c r="F374" s="793"/>
      <c r="G374" s="793"/>
      <c r="H374" s="794"/>
    </row>
    <row r="375" spans="5:8" ht="12.75" customHeight="1" x14ac:dyDescent="0.25">
      <c r="E375" s="793"/>
      <c r="F375" s="793"/>
      <c r="G375" s="793"/>
      <c r="H375" s="794"/>
    </row>
    <row r="376" spans="5:8" ht="12.75" customHeight="1" x14ac:dyDescent="0.25">
      <c r="E376" s="793"/>
      <c r="F376" s="793"/>
      <c r="G376" s="793"/>
      <c r="H376" s="794"/>
    </row>
    <row r="377" spans="5:8" ht="12.75" customHeight="1" x14ac:dyDescent="0.25">
      <c r="E377" s="793"/>
      <c r="F377" s="793"/>
      <c r="G377" s="793"/>
      <c r="H377" s="794"/>
    </row>
    <row r="378" spans="5:8" ht="12.75" customHeight="1" x14ac:dyDescent="0.25">
      <c r="E378" s="793"/>
      <c r="F378" s="793"/>
      <c r="G378" s="793"/>
      <c r="H378" s="794"/>
    </row>
    <row r="379" spans="5:8" ht="12.75" customHeight="1" x14ac:dyDescent="0.25">
      <c r="E379" s="793"/>
      <c r="F379" s="793"/>
      <c r="G379" s="793"/>
      <c r="H379" s="794"/>
    </row>
    <row r="380" spans="5:8" ht="12.75" customHeight="1" x14ac:dyDescent="0.25">
      <c r="E380" s="793"/>
      <c r="F380" s="793"/>
      <c r="G380" s="793"/>
      <c r="H380" s="794"/>
    </row>
    <row r="381" spans="5:8" ht="12.75" customHeight="1" x14ac:dyDescent="0.25">
      <c r="E381" s="793"/>
      <c r="F381" s="793"/>
      <c r="G381" s="793"/>
      <c r="H381" s="794"/>
    </row>
    <row r="382" spans="5:8" ht="12.75" customHeight="1" x14ac:dyDescent="0.25">
      <c r="E382" s="793"/>
      <c r="F382" s="793"/>
      <c r="G382" s="793"/>
      <c r="H382" s="794"/>
    </row>
    <row r="383" spans="5:8" ht="12.75" customHeight="1" x14ac:dyDescent="0.25">
      <c r="E383" s="793"/>
      <c r="F383" s="793"/>
      <c r="G383" s="793"/>
      <c r="H383" s="794"/>
    </row>
    <row r="384" spans="5:8" ht="12.75" customHeight="1" x14ac:dyDescent="0.25">
      <c r="E384" s="793"/>
      <c r="F384" s="793"/>
      <c r="G384" s="793"/>
      <c r="H384" s="794"/>
    </row>
    <row r="385" spans="5:8" ht="12.75" customHeight="1" x14ac:dyDescent="0.25">
      <c r="E385" s="793"/>
      <c r="F385" s="793"/>
      <c r="G385" s="793"/>
      <c r="H385" s="794"/>
    </row>
    <row r="386" spans="5:8" ht="12.75" customHeight="1" x14ac:dyDescent="0.25">
      <c r="E386" s="793"/>
      <c r="F386" s="793"/>
      <c r="G386" s="793"/>
      <c r="H386" s="794"/>
    </row>
    <row r="387" spans="5:8" ht="12.75" customHeight="1" x14ac:dyDescent="0.25">
      <c r="E387" s="793"/>
      <c r="F387" s="793"/>
      <c r="G387" s="793"/>
      <c r="H387" s="794"/>
    </row>
    <row r="388" spans="5:8" ht="12.75" customHeight="1" x14ac:dyDescent="0.25">
      <c r="E388" s="793"/>
      <c r="F388" s="793"/>
      <c r="G388" s="793"/>
      <c r="H388" s="794"/>
    </row>
    <row r="389" spans="5:8" ht="12.75" customHeight="1" x14ac:dyDescent="0.25">
      <c r="E389" s="793"/>
      <c r="F389" s="793"/>
      <c r="G389" s="793"/>
      <c r="H389" s="794"/>
    </row>
    <row r="390" spans="5:8" ht="12.75" customHeight="1" x14ac:dyDescent="0.25">
      <c r="E390" s="793"/>
      <c r="F390" s="793"/>
      <c r="G390" s="793"/>
      <c r="H390" s="794"/>
    </row>
    <row r="391" spans="5:8" ht="12.75" customHeight="1" x14ac:dyDescent="0.25">
      <c r="E391" s="793"/>
      <c r="F391" s="793"/>
      <c r="G391" s="793"/>
      <c r="H391" s="794"/>
    </row>
    <row r="392" spans="5:8" ht="12.75" customHeight="1" x14ac:dyDescent="0.25">
      <c r="E392" s="793"/>
      <c r="F392" s="793"/>
      <c r="G392" s="793"/>
      <c r="H392" s="794"/>
    </row>
    <row r="393" spans="5:8" ht="12.75" customHeight="1" x14ac:dyDescent="0.25">
      <c r="E393" s="793"/>
      <c r="F393" s="793"/>
      <c r="G393" s="793"/>
      <c r="H393" s="794"/>
    </row>
    <row r="394" spans="5:8" ht="12.75" customHeight="1" x14ac:dyDescent="0.25">
      <c r="E394" s="793"/>
      <c r="F394" s="793"/>
      <c r="G394" s="793"/>
      <c r="H394" s="794"/>
    </row>
    <row r="395" spans="5:8" ht="12.75" customHeight="1" x14ac:dyDescent="0.25">
      <c r="E395" s="793"/>
      <c r="F395" s="793"/>
      <c r="G395" s="793"/>
      <c r="H395" s="794"/>
    </row>
    <row r="396" spans="5:8" ht="12.75" customHeight="1" x14ac:dyDescent="0.25">
      <c r="E396" s="793"/>
      <c r="F396" s="793"/>
      <c r="G396" s="793"/>
      <c r="H396" s="794"/>
    </row>
    <row r="397" spans="5:8" ht="12.75" customHeight="1" x14ac:dyDescent="0.25">
      <c r="E397" s="793"/>
      <c r="F397" s="793"/>
      <c r="G397" s="793"/>
      <c r="H397" s="794"/>
    </row>
    <row r="398" spans="5:8" ht="12.75" customHeight="1" x14ac:dyDescent="0.25">
      <c r="E398" s="793"/>
      <c r="F398" s="793"/>
      <c r="G398" s="793"/>
      <c r="H398" s="794"/>
    </row>
    <row r="399" spans="5:8" ht="12.75" customHeight="1" x14ac:dyDescent="0.25">
      <c r="E399" s="793"/>
      <c r="F399" s="793"/>
      <c r="G399" s="793"/>
      <c r="H399" s="794"/>
    </row>
    <row r="400" spans="5:8" ht="12.75" customHeight="1" x14ac:dyDescent="0.25">
      <c r="E400" s="793"/>
      <c r="F400" s="793"/>
      <c r="G400" s="793"/>
      <c r="H400" s="794"/>
    </row>
    <row r="401" spans="5:8" ht="12.75" customHeight="1" x14ac:dyDescent="0.25">
      <c r="E401" s="793"/>
      <c r="F401" s="793"/>
      <c r="G401" s="793"/>
      <c r="H401" s="794"/>
    </row>
    <row r="402" spans="5:8" ht="12.75" customHeight="1" x14ac:dyDescent="0.25">
      <c r="E402" s="793"/>
      <c r="F402" s="793"/>
      <c r="G402" s="793"/>
      <c r="H402" s="794"/>
    </row>
    <row r="403" spans="5:8" ht="12.75" customHeight="1" x14ac:dyDescent="0.25">
      <c r="E403" s="793"/>
      <c r="F403" s="793"/>
      <c r="G403" s="793"/>
      <c r="H403" s="794"/>
    </row>
    <row r="404" spans="5:8" ht="12.75" customHeight="1" x14ac:dyDescent="0.25">
      <c r="E404" s="793"/>
      <c r="F404" s="793"/>
      <c r="G404" s="793"/>
      <c r="H404" s="794"/>
    </row>
    <row r="405" spans="5:8" ht="12.75" customHeight="1" x14ac:dyDescent="0.25">
      <c r="E405" s="793"/>
      <c r="F405" s="793"/>
      <c r="G405" s="793"/>
      <c r="H405" s="794"/>
    </row>
    <row r="406" spans="5:8" ht="12.75" customHeight="1" x14ac:dyDescent="0.25">
      <c r="E406" s="793"/>
      <c r="F406" s="793"/>
      <c r="G406" s="793"/>
      <c r="H406" s="794"/>
    </row>
    <row r="407" spans="5:8" ht="12.75" customHeight="1" x14ac:dyDescent="0.25">
      <c r="E407" s="793"/>
      <c r="F407" s="793"/>
      <c r="G407" s="793"/>
      <c r="H407" s="794"/>
    </row>
    <row r="408" spans="5:8" ht="12.75" customHeight="1" x14ac:dyDescent="0.25">
      <c r="E408" s="793"/>
      <c r="F408" s="793"/>
      <c r="G408" s="793"/>
      <c r="H408" s="794"/>
    </row>
    <row r="409" spans="5:8" ht="12.75" customHeight="1" x14ac:dyDescent="0.25">
      <c r="E409" s="793"/>
      <c r="F409" s="793"/>
      <c r="G409" s="793"/>
      <c r="H409" s="794"/>
    </row>
    <row r="410" spans="5:8" ht="12.75" customHeight="1" x14ac:dyDescent="0.25">
      <c r="E410" s="793"/>
      <c r="F410" s="793"/>
      <c r="G410" s="793"/>
      <c r="H410" s="794"/>
    </row>
    <row r="411" spans="5:8" ht="12.75" customHeight="1" x14ac:dyDescent="0.25">
      <c r="E411" s="793"/>
      <c r="F411" s="793"/>
      <c r="G411" s="793"/>
      <c r="H411" s="794"/>
    </row>
    <row r="412" spans="5:8" ht="12.75" customHeight="1" x14ac:dyDescent="0.25">
      <c r="E412" s="793"/>
      <c r="F412" s="793"/>
      <c r="G412" s="793"/>
      <c r="H412" s="794"/>
    </row>
    <row r="413" spans="5:8" ht="12.75" customHeight="1" x14ac:dyDescent="0.25">
      <c r="E413" s="793"/>
      <c r="F413" s="793"/>
      <c r="G413" s="793"/>
      <c r="H413" s="794"/>
    </row>
    <row r="414" spans="5:8" ht="12.75" customHeight="1" x14ac:dyDescent="0.25">
      <c r="E414" s="793"/>
      <c r="F414" s="793"/>
      <c r="G414" s="793"/>
      <c r="H414" s="794"/>
    </row>
    <row r="415" spans="5:8" ht="12.75" customHeight="1" x14ac:dyDescent="0.25">
      <c r="E415" s="793"/>
      <c r="F415" s="793"/>
      <c r="G415" s="793"/>
      <c r="H415" s="794"/>
    </row>
    <row r="416" spans="5:8" ht="12.75" customHeight="1" x14ac:dyDescent="0.25">
      <c r="E416" s="793"/>
      <c r="F416" s="793"/>
      <c r="G416" s="793"/>
      <c r="H416" s="794"/>
    </row>
    <row r="417" spans="5:8" ht="12.75" customHeight="1" x14ac:dyDescent="0.25">
      <c r="E417" s="793"/>
      <c r="F417" s="793"/>
      <c r="G417" s="793"/>
      <c r="H417" s="794"/>
    </row>
    <row r="418" spans="5:8" ht="12.75" customHeight="1" x14ac:dyDescent="0.25">
      <c r="E418" s="793"/>
      <c r="F418" s="793"/>
      <c r="G418" s="793"/>
      <c r="H418" s="794"/>
    </row>
    <row r="419" spans="5:8" ht="12.75" customHeight="1" x14ac:dyDescent="0.25">
      <c r="E419" s="793"/>
      <c r="F419" s="793"/>
      <c r="G419" s="793"/>
      <c r="H419" s="794"/>
    </row>
    <row r="420" spans="5:8" ht="12.75" customHeight="1" x14ac:dyDescent="0.25">
      <c r="E420" s="793"/>
      <c r="F420" s="793"/>
      <c r="G420" s="793"/>
      <c r="H420" s="794"/>
    </row>
    <row r="421" spans="5:8" ht="12.75" customHeight="1" x14ac:dyDescent="0.25">
      <c r="E421" s="793"/>
      <c r="F421" s="793"/>
      <c r="G421" s="793"/>
      <c r="H421" s="794"/>
    </row>
    <row r="422" spans="5:8" ht="12.75" customHeight="1" x14ac:dyDescent="0.25">
      <c r="E422" s="793"/>
      <c r="F422" s="793"/>
      <c r="G422" s="793"/>
      <c r="H422" s="794"/>
    </row>
    <row r="423" spans="5:8" ht="12.75" customHeight="1" x14ac:dyDescent="0.25">
      <c r="E423" s="793"/>
      <c r="F423" s="793"/>
      <c r="G423" s="793"/>
      <c r="H423" s="794"/>
    </row>
    <row r="424" spans="5:8" ht="12.75" customHeight="1" x14ac:dyDescent="0.25">
      <c r="E424" s="793"/>
      <c r="F424" s="793"/>
      <c r="G424" s="793"/>
      <c r="H424" s="794"/>
    </row>
    <row r="425" spans="5:8" ht="12.75" customHeight="1" x14ac:dyDescent="0.25">
      <c r="E425" s="793"/>
      <c r="F425" s="793"/>
      <c r="G425" s="793"/>
      <c r="H425" s="794"/>
    </row>
    <row r="426" spans="5:8" ht="12.75" customHeight="1" x14ac:dyDescent="0.25">
      <c r="E426" s="793"/>
      <c r="F426" s="793"/>
      <c r="G426" s="793"/>
      <c r="H426" s="794"/>
    </row>
    <row r="427" spans="5:8" ht="12.75" customHeight="1" x14ac:dyDescent="0.25">
      <c r="E427" s="793"/>
      <c r="F427" s="793"/>
      <c r="G427" s="793"/>
      <c r="H427" s="794"/>
    </row>
    <row r="428" spans="5:8" ht="12.75" customHeight="1" x14ac:dyDescent="0.25">
      <c r="E428" s="793"/>
      <c r="F428" s="793"/>
      <c r="G428" s="793"/>
      <c r="H428" s="794"/>
    </row>
    <row r="429" spans="5:8" ht="12.75" customHeight="1" x14ac:dyDescent="0.25">
      <c r="E429" s="793"/>
      <c r="F429" s="793"/>
      <c r="G429" s="793"/>
      <c r="H429" s="794"/>
    </row>
    <row r="430" spans="5:8" ht="12.75" customHeight="1" x14ac:dyDescent="0.25">
      <c r="E430" s="793"/>
      <c r="F430" s="793"/>
      <c r="G430" s="793"/>
      <c r="H430" s="794"/>
    </row>
    <row r="431" spans="5:8" ht="12.75" customHeight="1" x14ac:dyDescent="0.25">
      <c r="E431" s="793"/>
      <c r="F431" s="793"/>
      <c r="G431" s="793"/>
      <c r="H431" s="794"/>
    </row>
    <row r="432" spans="5:8" ht="12.75" customHeight="1" x14ac:dyDescent="0.25">
      <c r="E432" s="793"/>
      <c r="F432" s="793"/>
      <c r="G432" s="793"/>
      <c r="H432" s="794"/>
    </row>
    <row r="433" spans="5:8" ht="12.75" customHeight="1" x14ac:dyDescent="0.25">
      <c r="E433" s="793"/>
      <c r="F433" s="793"/>
      <c r="G433" s="793"/>
      <c r="H433" s="794"/>
    </row>
    <row r="434" spans="5:8" ht="12.75" customHeight="1" x14ac:dyDescent="0.25">
      <c r="E434" s="793"/>
      <c r="F434" s="793"/>
      <c r="G434" s="793"/>
      <c r="H434" s="794"/>
    </row>
    <row r="435" spans="5:8" ht="12.75" customHeight="1" x14ac:dyDescent="0.25">
      <c r="E435" s="793"/>
      <c r="F435" s="793"/>
      <c r="G435" s="793"/>
      <c r="H435" s="794"/>
    </row>
    <row r="436" spans="5:8" ht="12.75" customHeight="1" x14ac:dyDescent="0.25">
      <c r="E436" s="793"/>
      <c r="F436" s="793"/>
      <c r="G436" s="793"/>
      <c r="H436" s="794"/>
    </row>
    <row r="437" spans="5:8" ht="12.75" customHeight="1" x14ac:dyDescent="0.25">
      <c r="E437" s="793"/>
      <c r="F437" s="793"/>
      <c r="G437" s="793"/>
      <c r="H437" s="794"/>
    </row>
    <row r="438" spans="5:8" ht="12.75" customHeight="1" x14ac:dyDescent="0.25">
      <c r="E438" s="793"/>
      <c r="F438" s="793"/>
      <c r="G438" s="793"/>
      <c r="H438" s="794"/>
    </row>
    <row r="439" spans="5:8" ht="12.75" customHeight="1" x14ac:dyDescent="0.25">
      <c r="E439" s="793"/>
      <c r="F439" s="793"/>
      <c r="G439" s="793"/>
      <c r="H439" s="794"/>
    </row>
    <row r="440" spans="5:8" ht="12.75" customHeight="1" x14ac:dyDescent="0.25">
      <c r="E440" s="793"/>
      <c r="F440" s="793"/>
      <c r="G440" s="793"/>
      <c r="H440" s="794"/>
    </row>
    <row r="441" spans="5:8" ht="12.75" customHeight="1" x14ac:dyDescent="0.25">
      <c r="E441" s="793"/>
      <c r="F441" s="793"/>
      <c r="G441" s="793"/>
      <c r="H441" s="794"/>
    </row>
    <row r="442" spans="5:8" ht="12.75" customHeight="1" x14ac:dyDescent="0.25">
      <c r="E442" s="793"/>
      <c r="F442" s="793"/>
      <c r="G442" s="793"/>
      <c r="H442" s="794"/>
    </row>
    <row r="443" spans="5:8" ht="12.75" customHeight="1" x14ac:dyDescent="0.25">
      <c r="E443" s="793"/>
      <c r="F443" s="793"/>
      <c r="G443" s="793"/>
      <c r="H443" s="794"/>
    </row>
    <row r="444" spans="5:8" ht="12.75" customHeight="1" x14ac:dyDescent="0.25">
      <c r="E444" s="793"/>
      <c r="F444" s="793"/>
      <c r="G444" s="793"/>
      <c r="H444" s="794"/>
    </row>
    <row r="445" spans="5:8" ht="12.75" customHeight="1" x14ac:dyDescent="0.25">
      <c r="E445" s="793"/>
      <c r="F445" s="793"/>
      <c r="G445" s="793"/>
      <c r="H445" s="794"/>
    </row>
    <row r="446" spans="5:8" ht="12.75" customHeight="1" x14ac:dyDescent="0.25">
      <c r="E446" s="793"/>
      <c r="F446" s="793"/>
      <c r="G446" s="793"/>
      <c r="H446" s="794"/>
    </row>
    <row r="447" spans="5:8" ht="12.75" customHeight="1" x14ac:dyDescent="0.25">
      <c r="E447" s="793"/>
      <c r="F447" s="793"/>
      <c r="G447" s="793"/>
      <c r="H447" s="794"/>
    </row>
    <row r="448" spans="5:8" ht="12.75" customHeight="1" x14ac:dyDescent="0.25">
      <c r="E448" s="793"/>
      <c r="F448" s="793"/>
      <c r="G448" s="793"/>
      <c r="H448" s="794"/>
    </row>
    <row r="449" spans="5:8" ht="12.75" customHeight="1" x14ac:dyDescent="0.25">
      <c r="E449" s="793"/>
      <c r="F449" s="793"/>
      <c r="G449" s="793"/>
      <c r="H449" s="794"/>
    </row>
    <row r="450" spans="5:8" ht="12.75" customHeight="1" x14ac:dyDescent="0.25">
      <c r="E450" s="793"/>
      <c r="F450" s="793"/>
      <c r="G450" s="793"/>
      <c r="H450" s="794"/>
    </row>
    <row r="451" spans="5:8" ht="12.75" customHeight="1" x14ac:dyDescent="0.25">
      <c r="E451" s="793"/>
      <c r="F451" s="793"/>
      <c r="G451" s="793"/>
      <c r="H451" s="794"/>
    </row>
    <row r="452" spans="5:8" ht="12.75" customHeight="1" x14ac:dyDescent="0.25">
      <c r="E452" s="793"/>
      <c r="F452" s="793"/>
      <c r="G452" s="793"/>
      <c r="H452" s="794"/>
    </row>
    <row r="453" spans="5:8" ht="12.75" customHeight="1" x14ac:dyDescent="0.25">
      <c r="E453" s="793"/>
      <c r="F453" s="793"/>
      <c r="G453" s="793"/>
      <c r="H453" s="794"/>
    </row>
    <row r="454" spans="5:8" ht="12.75" customHeight="1" x14ac:dyDescent="0.25">
      <c r="E454" s="793"/>
      <c r="F454" s="793"/>
      <c r="G454" s="793"/>
      <c r="H454" s="794"/>
    </row>
    <row r="455" spans="5:8" ht="12.75" customHeight="1" x14ac:dyDescent="0.25">
      <c r="E455" s="793"/>
      <c r="F455" s="793"/>
      <c r="G455" s="793"/>
      <c r="H455" s="794"/>
    </row>
    <row r="456" spans="5:8" ht="12.75" customHeight="1" x14ac:dyDescent="0.25">
      <c r="E456" s="793"/>
      <c r="F456" s="793"/>
      <c r="G456" s="793"/>
      <c r="H456" s="794"/>
    </row>
    <row r="457" spans="5:8" ht="12.75" customHeight="1" x14ac:dyDescent="0.25">
      <c r="E457" s="793"/>
      <c r="F457" s="793"/>
      <c r="G457" s="793"/>
      <c r="H457" s="794"/>
    </row>
    <row r="458" spans="5:8" ht="12.75" customHeight="1" x14ac:dyDescent="0.25">
      <c r="E458" s="793"/>
      <c r="F458" s="793"/>
      <c r="G458" s="793"/>
      <c r="H458" s="794"/>
    </row>
    <row r="459" spans="5:8" ht="12.75" customHeight="1" x14ac:dyDescent="0.25">
      <c r="E459" s="793"/>
      <c r="F459" s="793"/>
      <c r="G459" s="793"/>
      <c r="H459" s="794"/>
    </row>
    <row r="460" spans="5:8" ht="12.75" customHeight="1" x14ac:dyDescent="0.25">
      <c r="E460" s="793"/>
      <c r="F460" s="793"/>
      <c r="G460" s="793"/>
      <c r="H460" s="794"/>
    </row>
    <row r="461" spans="5:8" ht="12.75" customHeight="1" x14ac:dyDescent="0.25">
      <c r="E461" s="793"/>
      <c r="F461" s="793"/>
      <c r="G461" s="793"/>
      <c r="H461" s="794"/>
    </row>
    <row r="462" spans="5:8" ht="12.75" customHeight="1" x14ac:dyDescent="0.25">
      <c r="E462" s="793"/>
      <c r="F462" s="793"/>
      <c r="G462" s="793"/>
      <c r="H462" s="794"/>
    </row>
    <row r="463" spans="5:8" ht="12.75" customHeight="1" x14ac:dyDescent="0.25">
      <c r="E463" s="793"/>
      <c r="F463" s="793"/>
      <c r="G463" s="793"/>
      <c r="H463" s="794"/>
    </row>
    <row r="464" spans="5:8" ht="12.75" customHeight="1" x14ac:dyDescent="0.25">
      <c r="E464" s="793"/>
      <c r="F464" s="793"/>
      <c r="G464" s="793"/>
      <c r="H464" s="794"/>
    </row>
    <row r="465" spans="5:8" ht="12.75" customHeight="1" x14ac:dyDescent="0.25">
      <c r="E465" s="793"/>
      <c r="F465" s="793"/>
      <c r="G465" s="793"/>
      <c r="H465" s="794"/>
    </row>
    <row r="466" spans="5:8" ht="12.75" customHeight="1" x14ac:dyDescent="0.25">
      <c r="E466" s="793"/>
      <c r="F466" s="793"/>
      <c r="G466" s="793"/>
      <c r="H466" s="794"/>
    </row>
    <row r="467" spans="5:8" ht="12.75" customHeight="1" x14ac:dyDescent="0.25">
      <c r="E467" s="793"/>
      <c r="F467" s="793"/>
      <c r="G467" s="793"/>
      <c r="H467" s="794"/>
    </row>
    <row r="468" spans="5:8" ht="12.75" customHeight="1" x14ac:dyDescent="0.25">
      <c r="E468" s="793"/>
      <c r="F468" s="793"/>
      <c r="G468" s="793"/>
      <c r="H468" s="794"/>
    </row>
    <row r="469" spans="5:8" ht="12.75" customHeight="1" x14ac:dyDescent="0.25">
      <c r="E469" s="793"/>
      <c r="F469" s="793"/>
      <c r="G469" s="793"/>
      <c r="H469" s="794"/>
    </row>
    <row r="470" spans="5:8" ht="12.75" customHeight="1" x14ac:dyDescent="0.25">
      <c r="E470" s="793"/>
      <c r="F470" s="793"/>
      <c r="G470" s="793"/>
      <c r="H470" s="794"/>
    </row>
    <row r="471" spans="5:8" ht="12.75" customHeight="1" x14ac:dyDescent="0.25">
      <c r="E471" s="793"/>
      <c r="F471" s="793"/>
      <c r="G471" s="793"/>
      <c r="H471" s="794"/>
    </row>
    <row r="472" spans="5:8" ht="12.75" customHeight="1" x14ac:dyDescent="0.25">
      <c r="E472" s="793"/>
      <c r="F472" s="793"/>
      <c r="G472" s="793"/>
      <c r="H472" s="794"/>
    </row>
    <row r="473" spans="5:8" ht="12.75" customHeight="1" x14ac:dyDescent="0.25">
      <c r="E473" s="793"/>
      <c r="F473" s="793"/>
      <c r="G473" s="793"/>
      <c r="H473" s="794"/>
    </row>
    <row r="474" spans="5:8" ht="12.75" customHeight="1" x14ac:dyDescent="0.25">
      <c r="E474" s="793"/>
      <c r="F474" s="793"/>
      <c r="G474" s="793"/>
      <c r="H474" s="794"/>
    </row>
    <row r="475" spans="5:8" ht="12.75" customHeight="1" x14ac:dyDescent="0.25">
      <c r="E475" s="793"/>
      <c r="F475" s="793"/>
      <c r="G475" s="793"/>
      <c r="H475" s="794"/>
    </row>
    <row r="476" spans="5:8" ht="12.75" customHeight="1" x14ac:dyDescent="0.25">
      <c r="E476" s="793"/>
      <c r="F476" s="793"/>
      <c r="G476" s="793"/>
      <c r="H476" s="794"/>
    </row>
    <row r="477" spans="5:8" ht="12.75" customHeight="1" x14ac:dyDescent="0.25">
      <c r="E477" s="793"/>
      <c r="F477" s="793"/>
      <c r="G477" s="793"/>
      <c r="H477" s="794"/>
    </row>
    <row r="478" spans="5:8" ht="12.75" customHeight="1" x14ac:dyDescent="0.25">
      <c r="E478" s="793"/>
      <c r="F478" s="793"/>
      <c r="G478" s="793"/>
      <c r="H478" s="794"/>
    </row>
    <row r="479" spans="5:8" ht="12.75" customHeight="1" x14ac:dyDescent="0.25">
      <c r="E479" s="793"/>
      <c r="F479" s="793"/>
      <c r="G479" s="793"/>
      <c r="H479" s="794"/>
    </row>
    <row r="480" spans="5:8" ht="12.75" customHeight="1" x14ac:dyDescent="0.25">
      <c r="E480" s="793"/>
      <c r="F480" s="793"/>
      <c r="G480" s="793"/>
      <c r="H480" s="794"/>
    </row>
    <row r="481" spans="5:8" ht="12.75" customHeight="1" x14ac:dyDescent="0.25">
      <c r="E481" s="793"/>
      <c r="F481" s="793"/>
      <c r="G481" s="793"/>
      <c r="H481" s="794"/>
    </row>
    <row r="482" spans="5:8" ht="12.75" customHeight="1" x14ac:dyDescent="0.25">
      <c r="E482" s="793"/>
      <c r="F482" s="793"/>
      <c r="G482" s="793"/>
      <c r="H482" s="794"/>
    </row>
    <row r="483" spans="5:8" ht="12.75" customHeight="1" x14ac:dyDescent="0.25">
      <c r="E483" s="793"/>
      <c r="F483" s="793"/>
      <c r="G483" s="793"/>
      <c r="H483" s="794"/>
    </row>
    <row r="484" spans="5:8" ht="12.75" customHeight="1" x14ac:dyDescent="0.25">
      <c r="E484" s="793"/>
      <c r="F484" s="793"/>
      <c r="G484" s="793"/>
      <c r="H484" s="794"/>
    </row>
    <row r="485" spans="5:8" ht="12.75" customHeight="1" x14ac:dyDescent="0.25">
      <c r="E485" s="793"/>
      <c r="F485" s="793"/>
      <c r="G485" s="793"/>
      <c r="H485" s="794"/>
    </row>
    <row r="486" spans="5:8" ht="12.75" customHeight="1" x14ac:dyDescent="0.25">
      <c r="E486" s="793"/>
      <c r="F486" s="793"/>
      <c r="G486" s="793"/>
      <c r="H486" s="794"/>
    </row>
    <row r="487" spans="5:8" ht="12.75" customHeight="1" x14ac:dyDescent="0.25">
      <c r="E487" s="793"/>
      <c r="F487" s="793"/>
      <c r="G487" s="793"/>
      <c r="H487" s="794"/>
    </row>
    <row r="488" spans="5:8" ht="12.75" customHeight="1" x14ac:dyDescent="0.25">
      <c r="E488" s="793"/>
      <c r="F488" s="793"/>
      <c r="G488" s="793"/>
      <c r="H488" s="794"/>
    </row>
    <row r="489" spans="5:8" ht="12.75" customHeight="1" x14ac:dyDescent="0.25">
      <c r="E489" s="793"/>
      <c r="F489" s="793"/>
      <c r="G489" s="793"/>
      <c r="H489" s="794"/>
    </row>
    <row r="490" spans="5:8" ht="12.75" customHeight="1" x14ac:dyDescent="0.25">
      <c r="E490" s="793"/>
      <c r="F490" s="793"/>
      <c r="G490" s="793"/>
      <c r="H490" s="794"/>
    </row>
    <row r="491" spans="5:8" ht="12.75" customHeight="1" x14ac:dyDescent="0.25">
      <c r="E491" s="793"/>
      <c r="F491" s="793"/>
      <c r="G491" s="793"/>
      <c r="H491" s="794"/>
    </row>
    <row r="492" spans="5:8" ht="12.75" customHeight="1" x14ac:dyDescent="0.25">
      <c r="E492" s="793"/>
      <c r="F492" s="793"/>
      <c r="G492" s="793"/>
      <c r="H492" s="794"/>
    </row>
    <row r="493" spans="5:8" ht="12.75" customHeight="1" x14ac:dyDescent="0.25">
      <c r="E493" s="793"/>
      <c r="F493" s="793"/>
      <c r="G493" s="793"/>
      <c r="H493" s="794"/>
    </row>
    <row r="494" spans="5:8" ht="12.75" customHeight="1" x14ac:dyDescent="0.25">
      <c r="E494" s="793"/>
      <c r="F494" s="793"/>
      <c r="G494" s="793"/>
      <c r="H494" s="794"/>
    </row>
    <row r="495" spans="5:8" ht="12.75" customHeight="1" x14ac:dyDescent="0.25">
      <c r="E495" s="793"/>
      <c r="F495" s="793"/>
      <c r="G495" s="793"/>
      <c r="H495" s="794"/>
    </row>
    <row r="496" spans="5:8" ht="12.75" customHeight="1" x14ac:dyDescent="0.25">
      <c r="E496" s="793"/>
      <c r="F496" s="793"/>
      <c r="G496" s="793"/>
      <c r="H496" s="794"/>
    </row>
    <row r="497" spans="5:8" ht="12.75" customHeight="1" x14ac:dyDescent="0.25">
      <c r="E497" s="793"/>
      <c r="F497" s="793"/>
      <c r="G497" s="793"/>
      <c r="H497" s="794"/>
    </row>
    <row r="498" spans="5:8" ht="12.75" customHeight="1" x14ac:dyDescent="0.25">
      <c r="E498" s="793"/>
      <c r="F498" s="793"/>
      <c r="G498" s="793"/>
      <c r="H498" s="794"/>
    </row>
    <row r="499" spans="5:8" ht="12.75" customHeight="1" x14ac:dyDescent="0.25">
      <c r="E499" s="793"/>
      <c r="F499" s="793"/>
      <c r="G499" s="793"/>
      <c r="H499" s="794"/>
    </row>
    <row r="500" spans="5:8" ht="12.75" customHeight="1" x14ac:dyDescent="0.25">
      <c r="E500" s="793"/>
      <c r="F500" s="793"/>
      <c r="G500" s="793"/>
      <c r="H500" s="794"/>
    </row>
    <row r="501" spans="5:8" ht="12.75" customHeight="1" x14ac:dyDescent="0.25">
      <c r="E501" s="793"/>
      <c r="F501" s="793"/>
      <c r="G501" s="793"/>
      <c r="H501" s="794"/>
    </row>
    <row r="502" spans="5:8" ht="12.75" customHeight="1" x14ac:dyDescent="0.25">
      <c r="E502" s="793"/>
      <c r="F502" s="793"/>
      <c r="G502" s="793"/>
      <c r="H502" s="794"/>
    </row>
    <row r="503" spans="5:8" ht="12.75" customHeight="1" x14ac:dyDescent="0.25">
      <c r="E503" s="793"/>
      <c r="F503" s="793"/>
      <c r="G503" s="793"/>
      <c r="H503" s="794"/>
    </row>
    <row r="504" spans="5:8" ht="12.75" customHeight="1" x14ac:dyDescent="0.25">
      <c r="E504" s="793"/>
      <c r="F504" s="793"/>
      <c r="G504" s="793"/>
      <c r="H504" s="794"/>
    </row>
    <row r="505" spans="5:8" ht="12.75" customHeight="1" x14ac:dyDescent="0.25">
      <c r="E505" s="793"/>
      <c r="F505" s="793"/>
      <c r="G505" s="793"/>
      <c r="H505" s="794"/>
    </row>
    <row r="506" spans="5:8" ht="12.75" customHeight="1" x14ac:dyDescent="0.25">
      <c r="E506" s="793"/>
      <c r="F506" s="793"/>
      <c r="G506" s="793"/>
      <c r="H506" s="794"/>
    </row>
    <row r="507" spans="5:8" ht="12.75" customHeight="1" x14ac:dyDescent="0.25">
      <c r="E507" s="793"/>
      <c r="F507" s="793"/>
      <c r="G507" s="793"/>
      <c r="H507" s="794"/>
    </row>
    <row r="508" spans="5:8" ht="12.75" customHeight="1" x14ac:dyDescent="0.25">
      <c r="E508" s="793"/>
      <c r="F508" s="793"/>
      <c r="G508" s="793"/>
      <c r="H508" s="794"/>
    </row>
    <row r="509" spans="5:8" ht="12.75" customHeight="1" x14ac:dyDescent="0.25">
      <c r="E509" s="793"/>
      <c r="F509" s="793"/>
      <c r="G509" s="793"/>
      <c r="H509" s="794"/>
    </row>
    <row r="510" spans="5:8" ht="12.75" customHeight="1" x14ac:dyDescent="0.25">
      <c r="E510" s="793"/>
      <c r="F510" s="793"/>
      <c r="G510" s="793"/>
      <c r="H510" s="794"/>
    </row>
    <row r="511" spans="5:8" ht="12.75" customHeight="1" x14ac:dyDescent="0.25">
      <c r="E511" s="793"/>
      <c r="F511" s="793"/>
      <c r="G511" s="793"/>
      <c r="H511" s="794"/>
    </row>
    <row r="512" spans="5:8" ht="12.75" customHeight="1" x14ac:dyDescent="0.25">
      <c r="E512" s="793"/>
      <c r="F512" s="793"/>
      <c r="G512" s="793"/>
      <c r="H512" s="794"/>
    </row>
    <row r="513" spans="5:8" ht="12.75" customHeight="1" x14ac:dyDescent="0.25">
      <c r="E513" s="793"/>
      <c r="F513" s="793"/>
      <c r="G513" s="793"/>
      <c r="H513" s="794"/>
    </row>
    <row r="514" spans="5:8" ht="12.75" customHeight="1" x14ac:dyDescent="0.25">
      <c r="E514" s="793"/>
      <c r="F514" s="793"/>
      <c r="G514" s="793"/>
      <c r="H514" s="794"/>
    </row>
    <row r="515" spans="5:8" ht="12.75" customHeight="1" x14ac:dyDescent="0.25">
      <c r="E515" s="793"/>
      <c r="F515" s="793"/>
      <c r="G515" s="793"/>
      <c r="H515" s="794"/>
    </row>
    <row r="516" spans="5:8" ht="12.75" customHeight="1" x14ac:dyDescent="0.25">
      <c r="E516" s="793"/>
      <c r="F516" s="793"/>
      <c r="G516" s="793"/>
      <c r="H516" s="794"/>
    </row>
    <row r="517" spans="5:8" ht="12.75" customHeight="1" x14ac:dyDescent="0.25">
      <c r="E517" s="793"/>
      <c r="F517" s="793"/>
      <c r="G517" s="793"/>
      <c r="H517" s="794"/>
    </row>
    <row r="518" spans="5:8" ht="12.75" customHeight="1" x14ac:dyDescent="0.25">
      <c r="E518" s="793"/>
      <c r="F518" s="793"/>
      <c r="G518" s="793"/>
      <c r="H518" s="794"/>
    </row>
    <row r="519" spans="5:8" ht="12.75" customHeight="1" x14ac:dyDescent="0.25">
      <c r="E519" s="793"/>
      <c r="F519" s="793"/>
      <c r="G519" s="793"/>
      <c r="H519" s="794"/>
    </row>
    <row r="520" spans="5:8" ht="12.75" customHeight="1" x14ac:dyDescent="0.25">
      <c r="E520" s="793"/>
      <c r="F520" s="793"/>
      <c r="G520" s="793"/>
      <c r="H520" s="794"/>
    </row>
    <row r="521" spans="5:8" ht="12.75" customHeight="1" x14ac:dyDescent="0.25">
      <c r="E521" s="793"/>
      <c r="F521" s="793"/>
      <c r="G521" s="793"/>
      <c r="H521" s="794"/>
    </row>
    <row r="522" spans="5:8" ht="12.75" customHeight="1" x14ac:dyDescent="0.25">
      <c r="E522" s="793"/>
      <c r="F522" s="793"/>
      <c r="G522" s="793"/>
      <c r="H522" s="794"/>
    </row>
    <row r="523" spans="5:8" ht="12.75" customHeight="1" x14ac:dyDescent="0.25">
      <c r="E523" s="793"/>
      <c r="F523" s="793"/>
      <c r="G523" s="793"/>
      <c r="H523" s="794"/>
    </row>
    <row r="524" spans="5:8" ht="12.75" customHeight="1" x14ac:dyDescent="0.25">
      <c r="E524" s="793"/>
      <c r="F524" s="793"/>
      <c r="G524" s="793"/>
      <c r="H524" s="794"/>
    </row>
    <row r="525" spans="5:8" ht="12.75" customHeight="1" x14ac:dyDescent="0.25">
      <c r="E525" s="793"/>
      <c r="F525" s="793"/>
      <c r="G525" s="793"/>
      <c r="H525" s="794"/>
    </row>
    <row r="526" spans="5:8" ht="12.75" customHeight="1" x14ac:dyDescent="0.25">
      <c r="E526" s="793"/>
      <c r="F526" s="793"/>
      <c r="G526" s="793"/>
      <c r="H526" s="794"/>
    </row>
    <row r="527" spans="5:8" ht="12.75" customHeight="1" x14ac:dyDescent="0.25">
      <c r="E527" s="793"/>
      <c r="F527" s="793"/>
      <c r="G527" s="793"/>
      <c r="H527" s="794"/>
    </row>
    <row r="528" spans="5:8" ht="12.75" customHeight="1" x14ac:dyDescent="0.25">
      <c r="E528" s="793"/>
      <c r="F528" s="793"/>
      <c r="G528" s="793"/>
      <c r="H528" s="794"/>
    </row>
    <row r="529" spans="5:8" ht="12.75" customHeight="1" x14ac:dyDescent="0.25">
      <c r="E529" s="793"/>
      <c r="F529" s="793"/>
      <c r="G529" s="793"/>
      <c r="H529" s="794"/>
    </row>
    <row r="530" spans="5:8" ht="12.75" customHeight="1" x14ac:dyDescent="0.25">
      <c r="E530" s="793"/>
      <c r="F530" s="793"/>
      <c r="G530" s="793"/>
      <c r="H530" s="794"/>
    </row>
    <row r="531" spans="5:8" ht="12.75" customHeight="1" x14ac:dyDescent="0.25">
      <c r="E531" s="793"/>
      <c r="F531" s="793"/>
      <c r="G531" s="793"/>
      <c r="H531" s="794"/>
    </row>
    <row r="532" spans="5:8" ht="12.75" customHeight="1" x14ac:dyDescent="0.25">
      <c r="E532" s="793"/>
      <c r="F532" s="793"/>
      <c r="G532" s="793"/>
      <c r="H532" s="794"/>
    </row>
    <row r="533" spans="5:8" ht="12.75" customHeight="1" x14ac:dyDescent="0.25">
      <c r="E533" s="793"/>
      <c r="F533" s="793"/>
      <c r="G533" s="793"/>
      <c r="H533" s="794"/>
    </row>
    <row r="534" spans="5:8" ht="12.75" customHeight="1" x14ac:dyDescent="0.25">
      <c r="E534" s="793"/>
      <c r="F534" s="793"/>
      <c r="G534" s="793"/>
      <c r="H534" s="794"/>
    </row>
    <row r="535" spans="5:8" ht="12.75" customHeight="1" x14ac:dyDescent="0.25">
      <c r="E535" s="793"/>
      <c r="F535" s="793"/>
      <c r="G535" s="793"/>
      <c r="H535" s="794"/>
    </row>
    <row r="536" spans="5:8" ht="12.75" customHeight="1" x14ac:dyDescent="0.25">
      <c r="E536" s="793"/>
      <c r="F536" s="793"/>
      <c r="G536" s="793"/>
      <c r="H536" s="794"/>
    </row>
    <row r="537" spans="5:8" ht="12.75" customHeight="1" x14ac:dyDescent="0.25">
      <c r="E537" s="793"/>
      <c r="F537" s="793"/>
      <c r="G537" s="793"/>
      <c r="H537" s="794"/>
    </row>
    <row r="538" spans="5:8" ht="12.75" customHeight="1" x14ac:dyDescent="0.25">
      <c r="E538" s="793"/>
      <c r="F538" s="793"/>
      <c r="G538" s="793"/>
      <c r="H538" s="794"/>
    </row>
    <row r="539" spans="5:8" ht="12.75" customHeight="1" x14ac:dyDescent="0.25">
      <c r="E539" s="793"/>
      <c r="F539" s="793"/>
      <c r="G539" s="793"/>
      <c r="H539" s="794"/>
    </row>
    <row r="540" spans="5:8" ht="12.75" customHeight="1" x14ac:dyDescent="0.25">
      <c r="E540" s="793"/>
      <c r="F540" s="793"/>
      <c r="G540" s="793"/>
      <c r="H540" s="794"/>
    </row>
    <row r="541" spans="5:8" ht="12.75" customHeight="1" x14ac:dyDescent="0.25">
      <c r="E541" s="793"/>
      <c r="F541" s="793"/>
      <c r="G541" s="793"/>
      <c r="H541" s="794"/>
    </row>
    <row r="542" spans="5:8" ht="12.75" customHeight="1" x14ac:dyDescent="0.25">
      <c r="E542" s="793"/>
      <c r="F542" s="793"/>
      <c r="G542" s="793"/>
      <c r="H542" s="794"/>
    </row>
    <row r="543" spans="5:8" ht="12.75" customHeight="1" x14ac:dyDescent="0.25">
      <c r="E543" s="793"/>
      <c r="F543" s="793"/>
      <c r="G543" s="793"/>
      <c r="H543" s="794"/>
    </row>
    <row r="544" spans="5:8" ht="12.75" customHeight="1" x14ac:dyDescent="0.25">
      <c r="E544" s="793"/>
      <c r="F544" s="793"/>
      <c r="G544" s="793"/>
      <c r="H544" s="794"/>
    </row>
    <row r="545" spans="5:8" ht="12.75" customHeight="1" x14ac:dyDescent="0.25">
      <c r="E545" s="793"/>
      <c r="F545" s="793"/>
      <c r="G545" s="793"/>
      <c r="H545" s="794"/>
    </row>
    <row r="546" spans="5:8" ht="12.75" customHeight="1" x14ac:dyDescent="0.25">
      <c r="E546" s="793"/>
      <c r="F546" s="793"/>
      <c r="G546" s="793"/>
      <c r="H546" s="794"/>
    </row>
    <row r="547" spans="5:8" ht="12.75" customHeight="1" x14ac:dyDescent="0.25">
      <c r="E547" s="793"/>
      <c r="F547" s="793"/>
      <c r="G547" s="793"/>
      <c r="H547" s="794"/>
    </row>
    <row r="548" spans="5:8" ht="12.75" customHeight="1" x14ac:dyDescent="0.25">
      <c r="E548" s="793"/>
      <c r="F548" s="793"/>
      <c r="G548" s="793"/>
      <c r="H548" s="794"/>
    </row>
    <row r="549" spans="5:8" ht="12.75" customHeight="1" x14ac:dyDescent="0.25">
      <c r="E549" s="793"/>
      <c r="F549" s="793"/>
      <c r="G549" s="793"/>
      <c r="H549" s="794"/>
    </row>
    <row r="550" spans="5:8" ht="12.75" customHeight="1" x14ac:dyDescent="0.25">
      <c r="E550" s="793"/>
      <c r="F550" s="793"/>
      <c r="G550" s="793"/>
      <c r="H550" s="794"/>
    </row>
    <row r="551" spans="5:8" ht="12.75" customHeight="1" x14ac:dyDescent="0.25">
      <c r="E551" s="793"/>
      <c r="F551" s="793"/>
      <c r="G551" s="793"/>
      <c r="H551" s="794"/>
    </row>
    <row r="552" spans="5:8" ht="12.75" customHeight="1" x14ac:dyDescent="0.25">
      <c r="E552" s="793"/>
      <c r="F552" s="793"/>
      <c r="G552" s="793"/>
      <c r="H552" s="794"/>
    </row>
    <row r="553" spans="5:8" ht="12.75" customHeight="1" x14ac:dyDescent="0.25">
      <c r="E553" s="793"/>
      <c r="F553" s="793"/>
      <c r="G553" s="793"/>
      <c r="H553" s="794"/>
    </row>
    <row r="554" spans="5:8" ht="12.75" customHeight="1" x14ac:dyDescent="0.25">
      <c r="E554" s="793"/>
      <c r="F554" s="793"/>
      <c r="G554" s="793"/>
      <c r="H554" s="794"/>
    </row>
    <row r="555" spans="5:8" ht="12.75" customHeight="1" x14ac:dyDescent="0.25">
      <c r="E555" s="793"/>
      <c r="F555" s="793"/>
      <c r="G555" s="793"/>
      <c r="H555" s="794"/>
    </row>
    <row r="556" spans="5:8" ht="12.75" customHeight="1" x14ac:dyDescent="0.25">
      <c r="E556" s="793"/>
      <c r="F556" s="793"/>
      <c r="G556" s="793"/>
      <c r="H556" s="794"/>
    </row>
    <row r="557" spans="5:8" ht="12.75" customHeight="1" x14ac:dyDescent="0.25">
      <c r="E557" s="793"/>
      <c r="F557" s="793"/>
      <c r="G557" s="793"/>
      <c r="H557" s="794"/>
    </row>
    <row r="558" spans="5:8" ht="12.75" customHeight="1" x14ac:dyDescent="0.25">
      <c r="E558" s="793"/>
      <c r="F558" s="793"/>
      <c r="G558" s="793"/>
      <c r="H558" s="794"/>
    </row>
    <row r="559" spans="5:8" ht="12.75" customHeight="1" x14ac:dyDescent="0.25">
      <c r="E559" s="793"/>
      <c r="F559" s="793"/>
      <c r="G559" s="793"/>
      <c r="H559" s="794"/>
    </row>
    <row r="560" spans="5:8" ht="12.75" customHeight="1" x14ac:dyDescent="0.25">
      <c r="E560" s="793"/>
      <c r="F560" s="793"/>
      <c r="G560" s="793"/>
      <c r="H560" s="794"/>
    </row>
    <row r="561" spans="5:8" ht="12.75" customHeight="1" x14ac:dyDescent="0.25">
      <c r="E561" s="793"/>
      <c r="F561" s="793"/>
      <c r="G561" s="793"/>
      <c r="H561" s="794"/>
    </row>
    <row r="562" spans="5:8" ht="12.75" customHeight="1" x14ac:dyDescent="0.25">
      <c r="E562" s="793"/>
      <c r="F562" s="793"/>
      <c r="G562" s="793"/>
      <c r="H562" s="794"/>
    </row>
    <row r="563" spans="5:8" ht="12.75" customHeight="1" x14ac:dyDescent="0.25">
      <c r="E563" s="793"/>
      <c r="F563" s="793"/>
      <c r="G563" s="793"/>
      <c r="H563" s="794"/>
    </row>
    <row r="564" spans="5:8" ht="12.75" customHeight="1" x14ac:dyDescent="0.25">
      <c r="E564" s="793"/>
      <c r="F564" s="793"/>
      <c r="G564" s="793"/>
      <c r="H564" s="794"/>
    </row>
    <row r="565" spans="5:8" ht="12.75" customHeight="1" x14ac:dyDescent="0.25">
      <c r="E565" s="793"/>
      <c r="F565" s="793"/>
      <c r="G565" s="793"/>
      <c r="H565" s="794"/>
    </row>
    <row r="566" spans="5:8" ht="12.75" customHeight="1" x14ac:dyDescent="0.25">
      <c r="E566" s="793"/>
      <c r="F566" s="793"/>
      <c r="G566" s="793"/>
      <c r="H566" s="794"/>
    </row>
    <row r="567" spans="5:8" ht="12.75" customHeight="1" x14ac:dyDescent="0.25">
      <c r="E567" s="793"/>
      <c r="F567" s="793"/>
      <c r="G567" s="793"/>
      <c r="H567" s="794"/>
    </row>
    <row r="568" spans="5:8" ht="12.75" customHeight="1" x14ac:dyDescent="0.25">
      <c r="E568" s="793"/>
      <c r="F568" s="793"/>
      <c r="G568" s="793"/>
      <c r="H568" s="794"/>
    </row>
    <row r="569" spans="5:8" ht="12.75" customHeight="1" x14ac:dyDescent="0.25">
      <c r="E569" s="793"/>
      <c r="F569" s="793"/>
      <c r="G569" s="793"/>
      <c r="H569" s="794"/>
    </row>
    <row r="570" spans="5:8" ht="12.75" customHeight="1" x14ac:dyDescent="0.25">
      <c r="E570" s="793"/>
      <c r="F570" s="793"/>
      <c r="G570" s="793"/>
      <c r="H570" s="794"/>
    </row>
    <row r="571" spans="5:8" ht="12.75" customHeight="1" x14ac:dyDescent="0.25">
      <c r="E571" s="793"/>
      <c r="F571" s="793"/>
      <c r="G571" s="793"/>
      <c r="H571" s="794"/>
    </row>
    <row r="572" spans="5:8" ht="12.75" customHeight="1" x14ac:dyDescent="0.25">
      <c r="E572" s="793"/>
      <c r="F572" s="793"/>
      <c r="G572" s="793"/>
      <c r="H572" s="794"/>
    </row>
    <row r="573" spans="5:8" ht="12.75" customHeight="1" x14ac:dyDescent="0.25">
      <c r="E573" s="793"/>
      <c r="F573" s="793"/>
      <c r="G573" s="793"/>
      <c r="H573" s="794"/>
    </row>
    <row r="574" spans="5:8" ht="12.75" customHeight="1" x14ac:dyDescent="0.25">
      <c r="E574" s="793"/>
      <c r="F574" s="793"/>
      <c r="G574" s="793"/>
      <c r="H574" s="794"/>
    </row>
    <row r="575" spans="5:8" ht="12.75" customHeight="1" x14ac:dyDescent="0.25">
      <c r="E575" s="793"/>
      <c r="F575" s="793"/>
      <c r="G575" s="793"/>
      <c r="H575" s="794"/>
    </row>
    <row r="576" spans="5:8" ht="12.75" customHeight="1" x14ac:dyDescent="0.25">
      <c r="E576" s="793"/>
      <c r="F576" s="793"/>
      <c r="G576" s="793"/>
      <c r="H576" s="794"/>
    </row>
    <row r="577" spans="5:8" ht="12.75" customHeight="1" x14ac:dyDescent="0.25">
      <c r="E577" s="793"/>
      <c r="F577" s="793"/>
      <c r="G577" s="793"/>
      <c r="H577" s="794"/>
    </row>
    <row r="578" spans="5:8" ht="12.75" customHeight="1" x14ac:dyDescent="0.25">
      <c r="E578" s="793"/>
      <c r="F578" s="793"/>
      <c r="G578" s="793"/>
      <c r="H578" s="794"/>
    </row>
    <row r="579" spans="5:8" ht="12.75" customHeight="1" x14ac:dyDescent="0.25">
      <c r="E579" s="793"/>
      <c r="F579" s="793"/>
      <c r="G579" s="793"/>
      <c r="H579" s="794"/>
    </row>
    <row r="580" spans="5:8" ht="12.75" customHeight="1" x14ac:dyDescent="0.25">
      <c r="E580" s="793"/>
      <c r="F580" s="793"/>
      <c r="G580" s="793"/>
      <c r="H580" s="794"/>
    </row>
    <row r="581" spans="5:8" ht="12.75" customHeight="1" x14ac:dyDescent="0.25">
      <c r="E581" s="793"/>
      <c r="F581" s="793"/>
      <c r="G581" s="793"/>
      <c r="H581" s="794"/>
    </row>
    <row r="582" spans="5:8" ht="12.75" customHeight="1" x14ac:dyDescent="0.25">
      <c r="E582" s="793"/>
      <c r="F582" s="793"/>
      <c r="G582" s="793"/>
      <c r="H582" s="794"/>
    </row>
    <row r="583" spans="5:8" ht="12.75" customHeight="1" x14ac:dyDescent="0.25">
      <c r="E583" s="793"/>
      <c r="F583" s="793"/>
      <c r="G583" s="793"/>
      <c r="H583" s="794"/>
    </row>
    <row r="584" spans="5:8" ht="12.75" customHeight="1" x14ac:dyDescent="0.25">
      <c r="E584" s="793"/>
      <c r="F584" s="793"/>
      <c r="G584" s="793"/>
      <c r="H584" s="794"/>
    </row>
    <row r="585" spans="5:8" ht="12.75" customHeight="1" x14ac:dyDescent="0.25">
      <c r="E585" s="793"/>
      <c r="F585" s="793"/>
      <c r="G585" s="793"/>
      <c r="H585" s="794"/>
    </row>
    <row r="586" spans="5:8" ht="12.75" customHeight="1" x14ac:dyDescent="0.25">
      <c r="E586" s="793"/>
      <c r="F586" s="793"/>
      <c r="G586" s="793"/>
      <c r="H586" s="794"/>
    </row>
    <row r="587" spans="5:8" ht="12.75" customHeight="1" x14ac:dyDescent="0.25">
      <c r="E587" s="793"/>
      <c r="F587" s="793"/>
      <c r="G587" s="793"/>
      <c r="H587" s="794"/>
    </row>
    <row r="588" spans="5:8" ht="12.75" customHeight="1" x14ac:dyDescent="0.25">
      <c r="E588" s="793"/>
      <c r="F588" s="793"/>
      <c r="G588" s="793"/>
      <c r="H588" s="794"/>
    </row>
    <row r="589" spans="5:8" ht="12.75" customHeight="1" x14ac:dyDescent="0.25">
      <c r="E589" s="793"/>
      <c r="F589" s="793"/>
      <c r="G589" s="793"/>
      <c r="H589" s="794"/>
    </row>
    <row r="590" spans="5:8" ht="12.75" customHeight="1" x14ac:dyDescent="0.25">
      <c r="E590" s="793"/>
      <c r="F590" s="793"/>
      <c r="G590" s="793"/>
      <c r="H590" s="794"/>
    </row>
    <row r="591" spans="5:8" ht="12.75" customHeight="1" x14ac:dyDescent="0.25">
      <c r="E591" s="793"/>
      <c r="F591" s="793"/>
      <c r="G591" s="793"/>
      <c r="H591" s="794"/>
    </row>
    <row r="592" spans="5:8" ht="12.75" customHeight="1" x14ac:dyDescent="0.25">
      <c r="E592" s="793"/>
      <c r="F592" s="793"/>
      <c r="G592" s="793"/>
      <c r="H592" s="794"/>
    </row>
    <row r="593" spans="5:8" ht="12.75" customHeight="1" x14ac:dyDescent="0.25">
      <c r="E593" s="793"/>
      <c r="F593" s="793"/>
      <c r="G593" s="793"/>
      <c r="H593" s="794"/>
    </row>
    <row r="594" spans="5:8" ht="12.75" customHeight="1" x14ac:dyDescent="0.25">
      <c r="E594" s="793"/>
      <c r="F594" s="793"/>
      <c r="G594" s="793"/>
      <c r="H594" s="794"/>
    </row>
    <row r="595" spans="5:8" ht="12.75" customHeight="1" x14ac:dyDescent="0.25">
      <c r="E595" s="793"/>
      <c r="F595" s="793"/>
      <c r="G595" s="793"/>
      <c r="H595" s="794"/>
    </row>
    <row r="596" spans="5:8" ht="12.75" customHeight="1" x14ac:dyDescent="0.25">
      <c r="E596" s="793"/>
      <c r="F596" s="793"/>
      <c r="G596" s="793"/>
      <c r="H596" s="794"/>
    </row>
    <row r="597" spans="5:8" ht="12.75" customHeight="1" x14ac:dyDescent="0.25">
      <c r="E597" s="793"/>
      <c r="F597" s="793"/>
      <c r="G597" s="793"/>
      <c r="H597" s="794"/>
    </row>
    <row r="598" spans="5:8" ht="12.75" customHeight="1" x14ac:dyDescent="0.25">
      <c r="E598" s="793"/>
      <c r="F598" s="793"/>
      <c r="G598" s="793"/>
      <c r="H598" s="794"/>
    </row>
    <row r="599" spans="5:8" ht="12.75" customHeight="1" x14ac:dyDescent="0.25">
      <c r="E599" s="793"/>
      <c r="F599" s="793"/>
      <c r="G599" s="793"/>
      <c r="H599" s="794"/>
    </row>
    <row r="600" spans="5:8" ht="12.75" customHeight="1" x14ac:dyDescent="0.25">
      <c r="E600" s="793"/>
      <c r="F600" s="793"/>
      <c r="G600" s="793"/>
      <c r="H600" s="794"/>
    </row>
    <row r="601" spans="5:8" ht="12.75" customHeight="1" x14ac:dyDescent="0.25">
      <c r="E601" s="793"/>
      <c r="F601" s="793"/>
      <c r="G601" s="793"/>
      <c r="H601" s="794"/>
    </row>
    <row r="602" spans="5:8" ht="12.75" customHeight="1" x14ac:dyDescent="0.25">
      <c r="E602" s="793"/>
      <c r="F602" s="793"/>
      <c r="G602" s="793"/>
      <c r="H602" s="794"/>
    </row>
    <row r="603" spans="5:8" ht="12.75" customHeight="1" x14ac:dyDescent="0.25">
      <c r="E603" s="793"/>
      <c r="F603" s="793"/>
      <c r="G603" s="793"/>
      <c r="H603" s="794"/>
    </row>
    <row r="604" spans="5:8" ht="12.75" customHeight="1" x14ac:dyDescent="0.25">
      <c r="E604" s="793"/>
      <c r="F604" s="793"/>
      <c r="G604" s="793"/>
      <c r="H604" s="794"/>
    </row>
    <row r="605" spans="5:8" ht="12.75" customHeight="1" x14ac:dyDescent="0.25">
      <c r="E605" s="793"/>
      <c r="F605" s="793"/>
      <c r="G605" s="793"/>
      <c r="H605" s="794"/>
    </row>
    <row r="606" spans="5:8" ht="12.75" customHeight="1" x14ac:dyDescent="0.25">
      <c r="E606" s="793"/>
      <c r="F606" s="793"/>
      <c r="G606" s="793"/>
      <c r="H606" s="794"/>
    </row>
    <row r="607" spans="5:8" ht="12.75" customHeight="1" x14ac:dyDescent="0.25">
      <c r="E607" s="793"/>
      <c r="F607" s="793"/>
      <c r="G607" s="793"/>
      <c r="H607" s="794"/>
    </row>
    <row r="608" spans="5:8" ht="12.75" customHeight="1" x14ac:dyDescent="0.25">
      <c r="E608" s="793"/>
      <c r="F608" s="793"/>
      <c r="G608" s="793"/>
      <c r="H608" s="794"/>
    </row>
    <row r="609" spans="5:8" ht="12.75" customHeight="1" x14ac:dyDescent="0.25">
      <c r="E609" s="793"/>
      <c r="F609" s="793"/>
      <c r="G609" s="793"/>
      <c r="H609" s="794"/>
    </row>
    <row r="610" spans="5:8" ht="12.75" customHeight="1" x14ac:dyDescent="0.25">
      <c r="E610" s="793"/>
      <c r="F610" s="793"/>
      <c r="G610" s="793"/>
      <c r="H610" s="794"/>
    </row>
    <row r="611" spans="5:8" ht="12.75" customHeight="1" x14ac:dyDescent="0.25">
      <c r="E611" s="793"/>
      <c r="F611" s="793"/>
      <c r="G611" s="793"/>
      <c r="H611" s="794"/>
    </row>
    <row r="612" spans="5:8" ht="12.75" customHeight="1" x14ac:dyDescent="0.25">
      <c r="E612" s="793"/>
      <c r="F612" s="793"/>
      <c r="G612" s="793"/>
      <c r="H612" s="794"/>
    </row>
    <row r="613" spans="5:8" ht="12.75" customHeight="1" x14ac:dyDescent="0.25">
      <c r="E613" s="793"/>
      <c r="F613" s="793"/>
      <c r="G613" s="793"/>
      <c r="H613" s="794"/>
    </row>
    <row r="614" spans="5:8" ht="12.75" customHeight="1" x14ac:dyDescent="0.25">
      <c r="E614" s="793"/>
      <c r="F614" s="793"/>
      <c r="G614" s="793"/>
      <c r="H614" s="794"/>
    </row>
    <row r="615" spans="5:8" ht="12.75" customHeight="1" x14ac:dyDescent="0.25">
      <c r="E615" s="793"/>
      <c r="F615" s="793"/>
      <c r="G615" s="793"/>
      <c r="H615" s="794"/>
    </row>
    <row r="616" spans="5:8" ht="12.75" customHeight="1" x14ac:dyDescent="0.25">
      <c r="E616" s="793"/>
      <c r="F616" s="793"/>
      <c r="G616" s="793"/>
      <c r="H616" s="794"/>
    </row>
    <row r="617" spans="5:8" ht="12.75" customHeight="1" x14ac:dyDescent="0.25">
      <c r="E617" s="793"/>
      <c r="F617" s="793"/>
      <c r="G617" s="793"/>
      <c r="H617" s="794"/>
    </row>
    <row r="618" spans="5:8" ht="12.75" customHeight="1" x14ac:dyDescent="0.25">
      <c r="E618" s="793"/>
      <c r="F618" s="793"/>
      <c r="G618" s="793"/>
      <c r="H618" s="794"/>
    </row>
    <row r="619" spans="5:8" ht="12.75" customHeight="1" x14ac:dyDescent="0.25">
      <c r="E619" s="793"/>
      <c r="F619" s="793"/>
      <c r="G619" s="793"/>
      <c r="H619" s="794"/>
    </row>
    <row r="620" spans="5:8" ht="12.75" customHeight="1" x14ac:dyDescent="0.25">
      <c r="E620" s="793"/>
      <c r="F620" s="793"/>
      <c r="G620" s="793"/>
      <c r="H620" s="794"/>
    </row>
    <row r="621" spans="5:8" ht="12.75" customHeight="1" x14ac:dyDescent="0.25">
      <c r="E621" s="793"/>
      <c r="F621" s="793"/>
      <c r="G621" s="793"/>
      <c r="H621" s="794"/>
    </row>
    <row r="622" spans="5:8" ht="12.75" customHeight="1" x14ac:dyDescent="0.25">
      <c r="E622" s="793"/>
      <c r="F622" s="793"/>
      <c r="G622" s="793"/>
      <c r="H622" s="794"/>
    </row>
    <row r="623" spans="5:8" ht="12.75" customHeight="1" x14ac:dyDescent="0.25">
      <c r="E623" s="793"/>
      <c r="F623" s="793"/>
      <c r="G623" s="793"/>
      <c r="H623" s="794"/>
    </row>
    <row r="624" spans="5:8" ht="12.75" customHeight="1" x14ac:dyDescent="0.25">
      <c r="E624" s="793"/>
      <c r="F624" s="793"/>
      <c r="G624" s="793"/>
      <c r="H624" s="794"/>
    </row>
    <row r="625" spans="5:8" ht="12.75" customHeight="1" x14ac:dyDescent="0.25">
      <c r="E625" s="793"/>
      <c r="F625" s="793"/>
      <c r="G625" s="793"/>
      <c r="H625" s="794"/>
    </row>
    <row r="626" spans="5:8" ht="12.75" customHeight="1" x14ac:dyDescent="0.25">
      <c r="E626" s="793"/>
      <c r="F626" s="793"/>
      <c r="G626" s="793"/>
      <c r="H626" s="794"/>
    </row>
    <row r="627" spans="5:8" ht="12.75" customHeight="1" x14ac:dyDescent="0.25">
      <c r="E627" s="793"/>
      <c r="F627" s="793"/>
      <c r="G627" s="793"/>
      <c r="H627" s="794"/>
    </row>
    <row r="628" spans="5:8" ht="12.75" customHeight="1" x14ac:dyDescent="0.25">
      <c r="E628" s="793"/>
      <c r="F628" s="793"/>
      <c r="G628" s="793"/>
      <c r="H628" s="794"/>
    </row>
    <row r="629" spans="5:8" ht="12.75" customHeight="1" x14ac:dyDescent="0.25">
      <c r="E629" s="793"/>
      <c r="F629" s="793"/>
      <c r="G629" s="793"/>
      <c r="H629" s="794"/>
    </row>
    <row r="630" spans="5:8" ht="12.75" customHeight="1" x14ac:dyDescent="0.25">
      <c r="E630" s="793"/>
      <c r="F630" s="793"/>
      <c r="G630" s="793"/>
      <c r="H630" s="794"/>
    </row>
    <row r="631" spans="5:8" ht="12.75" customHeight="1" x14ac:dyDescent="0.25">
      <c r="E631" s="793"/>
      <c r="F631" s="793"/>
      <c r="G631" s="793"/>
      <c r="H631" s="794"/>
    </row>
    <row r="632" spans="5:8" ht="12.75" customHeight="1" x14ac:dyDescent="0.25">
      <c r="E632" s="793"/>
      <c r="F632" s="793"/>
      <c r="G632" s="793"/>
      <c r="H632" s="794"/>
    </row>
    <row r="633" spans="5:8" ht="12.75" customHeight="1" x14ac:dyDescent="0.25">
      <c r="E633" s="793"/>
      <c r="F633" s="793"/>
      <c r="G633" s="793"/>
      <c r="H633" s="794"/>
    </row>
    <row r="634" spans="5:8" ht="12.75" customHeight="1" x14ac:dyDescent="0.25">
      <c r="E634" s="793"/>
      <c r="F634" s="793"/>
      <c r="G634" s="793"/>
      <c r="H634" s="794"/>
    </row>
    <row r="635" spans="5:8" ht="12.75" customHeight="1" x14ac:dyDescent="0.25"/>
    <row r="636" spans="5:8" ht="12.75" customHeight="1" x14ac:dyDescent="0.25"/>
    <row r="637" spans="5:8" ht="12.75" customHeight="1" x14ac:dyDescent="0.25"/>
    <row r="638" spans="5:8" ht="12.75" customHeight="1" x14ac:dyDescent="0.25"/>
    <row r="639" spans="5:8" ht="12.75" customHeight="1" x14ac:dyDescent="0.25"/>
    <row r="640" spans="5:8"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row r="1068" ht="12.75" customHeight="1" x14ac:dyDescent="0.25"/>
    <row r="1069" ht="12.75" customHeight="1" x14ac:dyDescent="0.25"/>
    <row r="1070" ht="12.75" customHeight="1" x14ac:dyDescent="0.25"/>
    <row r="1071" ht="12.75" customHeight="1" x14ac:dyDescent="0.25"/>
    <row r="1072" ht="12.75" customHeight="1" x14ac:dyDescent="0.25"/>
    <row r="1073" ht="12.75" customHeight="1" x14ac:dyDescent="0.25"/>
    <row r="1074" ht="12.75" customHeight="1" x14ac:dyDescent="0.25"/>
    <row r="1075" ht="12.75" customHeight="1" x14ac:dyDescent="0.25"/>
    <row r="1076" ht="12.75" customHeight="1" x14ac:dyDescent="0.25"/>
    <row r="1077" ht="12.75" customHeight="1" x14ac:dyDescent="0.25"/>
    <row r="1078" ht="12.75" customHeight="1" x14ac:dyDescent="0.25"/>
    <row r="1079" ht="12.75" customHeight="1" x14ac:dyDescent="0.25"/>
    <row r="1080" ht="12.75" customHeight="1" x14ac:dyDescent="0.25"/>
    <row r="1081" ht="12.75" customHeight="1" x14ac:dyDescent="0.25"/>
    <row r="1082" ht="12.75" customHeight="1" x14ac:dyDescent="0.25"/>
    <row r="1083" ht="12.75" customHeight="1" x14ac:dyDescent="0.25"/>
    <row r="1084" ht="12.75" customHeight="1" x14ac:dyDescent="0.25"/>
    <row r="1085" ht="12.75" customHeight="1" x14ac:dyDescent="0.25"/>
    <row r="1086" ht="12.75" customHeight="1" x14ac:dyDescent="0.25"/>
    <row r="1087" ht="12.75" customHeight="1" x14ac:dyDescent="0.25"/>
    <row r="1088" ht="12.75" customHeight="1" x14ac:dyDescent="0.25"/>
    <row r="1089" ht="12.75" customHeight="1" x14ac:dyDescent="0.25"/>
    <row r="1090" ht="12.75" customHeight="1" x14ac:dyDescent="0.25"/>
    <row r="1091" ht="12.75" customHeight="1" x14ac:dyDescent="0.25"/>
    <row r="1092" ht="12.75" customHeight="1" x14ac:dyDescent="0.25"/>
    <row r="1093" ht="12.75" customHeight="1" x14ac:dyDescent="0.25"/>
    <row r="1094" ht="12.75" customHeight="1" x14ac:dyDescent="0.25"/>
    <row r="1095" ht="12.75" customHeight="1" x14ac:dyDescent="0.25"/>
    <row r="1096" ht="12.75" customHeight="1" x14ac:dyDescent="0.25"/>
    <row r="1097" ht="12.75" customHeight="1" x14ac:dyDescent="0.25"/>
    <row r="1098" ht="12.75" customHeight="1" x14ac:dyDescent="0.25"/>
    <row r="1099" ht="12.75" customHeight="1" x14ac:dyDescent="0.25"/>
    <row r="1100" ht="12.75" customHeight="1" x14ac:dyDescent="0.25"/>
    <row r="1101" ht="12.75" customHeight="1" x14ac:dyDescent="0.25"/>
    <row r="1102" ht="12.75" customHeight="1" x14ac:dyDescent="0.25"/>
    <row r="1103" ht="12.75" customHeight="1" x14ac:dyDescent="0.25"/>
    <row r="1104" ht="12.75" customHeight="1" x14ac:dyDescent="0.25"/>
    <row r="1105" ht="12.75" customHeight="1" x14ac:dyDescent="0.25"/>
    <row r="1106" ht="12.75" customHeight="1" x14ac:dyDescent="0.25"/>
    <row r="1107" ht="12.75" customHeight="1" x14ac:dyDescent="0.25"/>
    <row r="1108" ht="12.75" customHeight="1" x14ac:dyDescent="0.25"/>
    <row r="1109" ht="12.75" customHeight="1" x14ac:dyDescent="0.25"/>
  </sheetData>
  <sheetProtection algorithmName="SHA-512" hashValue="Uyzuuatp/Lna9upaLl/yPresjFHHo1CINyOR/SefRfx+XJ2QRCFmk0ELxie46SNVO0p29AFM8zwgybdOK5aWaQ==" saltValue="s1eG34C3DEU355Whyxp5LQ==" spinCount="100000" sheet="1" autoFilter="0"/>
  <mergeCells count="85">
    <mergeCell ref="A1:B2"/>
    <mergeCell ref="E1:H2"/>
    <mergeCell ref="K1:M1"/>
    <mergeCell ref="N1:P1"/>
    <mergeCell ref="AD1:AE2"/>
    <mergeCell ref="AH1:AJ2"/>
    <mergeCell ref="AK1:AN3"/>
    <mergeCell ref="K2:M2"/>
    <mergeCell ref="N2:O17"/>
    <mergeCell ref="P2:P17"/>
    <mergeCell ref="A3:B3"/>
    <mergeCell ref="K3:M3"/>
    <mergeCell ref="AD3:AE3"/>
    <mergeCell ref="A6:A9"/>
    <mergeCell ref="B6:B9"/>
    <mergeCell ref="AD6:AD9"/>
    <mergeCell ref="AE6:AE9"/>
    <mergeCell ref="A10:A13"/>
    <mergeCell ref="B10:B13"/>
    <mergeCell ref="AD10:AD13"/>
    <mergeCell ref="AE10:AE13"/>
    <mergeCell ref="A14:A17"/>
    <mergeCell ref="B14:B17"/>
    <mergeCell ref="AD14:AD17"/>
    <mergeCell ref="AE14:AE17"/>
    <mergeCell ref="AD18:AD21"/>
    <mergeCell ref="AE18:AE21"/>
    <mergeCell ref="A22:A25"/>
    <mergeCell ref="B22:B25"/>
    <mergeCell ref="N22:P23"/>
    <mergeCell ref="AD22:AD25"/>
    <mergeCell ref="AE22:AE25"/>
    <mergeCell ref="A18:A21"/>
    <mergeCell ref="B18:B21"/>
    <mergeCell ref="N18:N21"/>
    <mergeCell ref="O18:O21"/>
    <mergeCell ref="P18:P21"/>
    <mergeCell ref="A26:A29"/>
    <mergeCell ref="B26:B29"/>
    <mergeCell ref="AD26:AD29"/>
    <mergeCell ref="AE26:AE29"/>
    <mergeCell ref="A30:A33"/>
    <mergeCell ref="B30:B33"/>
    <mergeCell ref="AD30:AD33"/>
    <mergeCell ref="AE30:AE33"/>
    <mergeCell ref="A34:A37"/>
    <mergeCell ref="B34:B37"/>
    <mergeCell ref="AD34:AD37"/>
    <mergeCell ref="AE34:AE37"/>
    <mergeCell ref="A70:A73"/>
    <mergeCell ref="B70:B73"/>
    <mergeCell ref="AD70:AD73"/>
    <mergeCell ref="AE70:AE73"/>
    <mergeCell ref="A74:A77"/>
    <mergeCell ref="B74:B77"/>
    <mergeCell ref="AD74:AD77"/>
    <mergeCell ref="AE74:AE77"/>
    <mergeCell ref="A78:A81"/>
    <mergeCell ref="B78:B81"/>
    <mergeCell ref="AD78:AD81"/>
    <mergeCell ref="AE78:AE81"/>
    <mergeCell ref="A82:A85"/>
    <mergeCell ref="B82:B85"/>
    <mergeCell ref="AD82:AD85"/>
    <mergeCell ref="AE82:AE85"/>
    <mergeCell ref="A86:A89"/>
    <mergeCell ref="B86:B89"/>
    <mergeCell ref="AD86:AD89"/>
    <mergeCell ref="AE86:AE89"/>
    <mergeCell ref="A90:A93"/>
    <mergeCell ref="B90:B93"/>
    <mergeCell ref="AD90:AD93"/>
    <mergeCell ref="AE90:AE93"/>
    <mergeCell ref="A94:A97"/>
    <mergeCell ref="B94:B97"/>
    <mergeCell ref="AD94:AD97"/>
    <mergeCell ref="AE94:AE97"/>
    <mergeCell ref="A98:A101"/>
    <mergeCell ref="B98:B101"/>
    <mergeCell ref="AD98:AD101"/>
    <mergeCell ref="AE98:AE101"/>
    <mergeCell ref="A102:A109"/>
    <mergeCell ref="B102:B109"/>
    <mergeCell ref="AD102:AD109"/>
    <mergeCell ref="AE102:AE109"/>
  </mergeCells>
  <conditionalFormatting sqref="E3:G65536">
    <cfRule type="cellIs" dxfId="100" priority="2" operator="equal">
      <formula>0</formula>
    </cfRule>
  </conditionalFormatting>
  <conditionalFormatting sqref="K4:K109">
    <cfRule type="cellIs" dxfId="99" priority="12" operator="between">
      <formula>8</formula>
      <formula>1</formula>
    </cfRule>
  </conditionalFormatting>
  <conditionalFormatting sqref="M4:M5 M30:M37 M44:M45 M52:M53 M60:M61 M68:M69 M94:M109">
    <cfRule type="cellIs" dxfId="98" priority="10" operator="equal">
      <formula>"BIT OLD MAYBE"</formula>
    </cfRule>
    <cfRule type="cellIs" dxfId="97" priority="11" operator="equal">
      <formula>"TOO YOUNG"</formula>
    </cfRule>
  </conditionalFormatting>
  <conditionalFormatting sqref="M4:M109">
    <cfRule type="cellIs" dxfId="96" priority="9" operator="equal">
      <formula>"OK"</formula>
    </cfRule>
  </conditionalFormatting>
  <conditionalFormatting sqref="M6:M29 M38:M43 M46:M51 M54:M59 M62:M67 M70:M93">
    <cfRule type="cellIs" dxfId="95" priority="13" operator="equal">
      <formula>"NOT ELIGIBLE"</formula>
    </cfRule>
    <cfRule type="cellIs" dxfId="94" priority="14" operator="equal">
      <formula>"TOO YOUNG"</formula>
    </cfRule>
  </conditionalFormatting>
  <conditionalFormatting sqref="N2">
    <cfRule type="cellIs" dxfId="93" priority="3" operator="greaterThan">
      <formula>0</formula>
    </cfRule>
  </conditionalFormatting>
  <conditionalFormatting sqref="N18:O21">
    <cfRule type="cellIs" dxfId="92" priority="6" operator="greaterThan">
      <formula>0</formula>
    </cfRule>
  </conditionalFormatting>
  <conditionalFormatting sqref="P2">
    <cfRule type="cellIs" dxfId="91" priority="7" operator="greaterThan">
      <formula>0</formula>
    </cfRule>
  </conditionalFormatting>
  <conditionalFormatting sqref="P18">
    <cfRule type="cellIs" dxfId="90" priority="5" operator="greaterThan">
      <formula>0</formula>
    </cfRule>
  </conditionalFormatting>
  <conditionalFormatting sqref="Q1:Q17 P2 Q22:Q23">
    <cfRule type="cellIs" dxfId="89" priority="4" operator="greaterThan">
      <formula>"A"</formula>
    </cfRule>
  </conditionalFormatting>
  <conditionalFormatting sqref="AH1:AJ1 AH3:AJ3 AH4:AO98 AK99:AO105 AH99:AJ109">
    <cfRule type="cellIs" dxfId="88" priority="8" operator="equal">
      <formula>0</formula>
    </cfRule>
  </conditionalFormatting>
  <dataValidations count="9">
    <dataValidation allowBlank="1" showInputMessage="1" showErrorMessage="1" promptTitle="DRAG &amp; DROP IS NOT PERMITTED" sqref="J4:J101" xr:uid="{00000000-0002-0000-0A00-000000000000}">
      <formula1>0</formula1>
      <formula2>0</formula2>
    </dataValidation>
    <dataValidation allowBlank="1" showInputMessage="1" showErrorMessage="1" promptTitle="IF EMPTY" prompt="Please add the row title GIVEN NAME in this box (See Left)" sqref="F3" xr:uid="{00000000-0002-0000-0A00-000001000000}">
      <formula1>0</formula1>
      <formula2>0</formula2>
    </dataValidation>
    <dataValidation allowBlank="1" showInputMessage="1" showErrorMessage="1" promptTitle="IF EMPTY" prompt="Please add the row title FAMILY NAME in this box (See Left)" sqref="G3" xr:uid="{00000000-0002-0000-0A00-000002000000}">
      <formula1>0</formula1>
      <formula2>0</formula2>
    </dataValidation>
    <dataValidation allowBlank="1" showInputMessage="1" showErrorMessage="1" promptTitle="IF EMPTY" prompt="Please add the row title ASA NO in this box (See Left)" sqref="E3" xr:uid="{00000000-0002-0000-0A00-000003000000}">
      <formula1>0</formula1>
      <formula2>0</formula2>
    </dataValidation>
    <dataValidation allowBlank="1" showInputMessage="1" showErrorMessage="1" promptTitle="IF EMPTY" prompt="Please add the row title D.O.B. in this box (See Left)" sqref="H3" xr:uid="{00000000-0002-0000-0A00-000004000000}">
      <formula1>0</formula1>
      <formula2>0</formula2>
    </dataValidation>
    <dataValidation allowBlank="1" showInputMessage="1" showErrorMessage="1" prompt="Enter the swimmers Family Name as registered with the ASA" sqref="G4 G30 G82" xr:uid="{00000000-0002-0000-0A00-000005000000}">
      <formula1>0</formula1>
      <formula2>0</formula2>
    </dataValidation>
    <dataValidation allowBlank="1" showInputMessage="1" showErrorMessage="1" prompt="Enter the Swimmers Given name (1st Name) as registered with the ASA_x000a_" sqref="F4 F30 F82" xr:uid="{00000000-0002-0000-0A00-000006000000}">
      <formula1>0</formula1>
      <formula2>0</formula2>
    </dataValidation>
    <dataValidation allowBlank="1" showInputMessage="1" showErrorMessage="1" prompt="Enter the Swimmers Date of birth.  Day, Month, Year  _x000a_ie 21/11/2011" sqref="H4 H52" xr:uid="{00000000-0002-0000-0A00-000007000000}">
      <formula1>0</formula1>
      <formula2>0</formula2>
    </dataValidation>
    <dataValidation allowBlank="1" showInputMessage="1" showErrorMessage="1" error="You must now &quot;undo&quot; drag and drop" sqref="F5:H5 F31:G31 H53 F83:G83" xr:uid="{00000000-0002-0000-0A00-000008000000}">
      <formula1>0</formula1>
      <formula2>0</formula2>
    </dataValidation>
  </dataValidations>
  <hyperlinks>
    <hyperlink ref="N18" location="'Gala Setup'!G2" display="Gala Setup" xr:uid="{00000000-0004-0000-0A00-000000000000}"/>
    <hyperlink ref="O18" location="Recording!C26" display="Gala Recording" xr:uid="{00000000-0004-0000-0A00-000001000000}"/>
    <hyperlink ref="P18" location="'Lane Timer sheets'!D1" display="Lane Timer Sheets" xr:uid="{00000000-0004-0000-0A00-000002000000}"/>
  </hyperlinks>
  <pageMargins left="0.75" right="0.75" top="1" bottom="1" header="0.511811023622047" footer="0.511811023622047"/>
  <pageSetup paperSize="9" scale="5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1109"/>
  <sheetViews>
    <sheetView showRowColHeaders="0" zoomScale="80" zoomScaleNormal="80" workbookViewId="0">
      <selection activeCell="E9" sqref="E9"/>
    </sheetView>
  </sheetViews>
  <sheetFormatPr defaultColWidth="8.6640625" defaultRowHeight="13.2" x14ac:dyDescent="0.25"/>
  <cols>
    <col min="1" max="1" width="4.5546875" customWidth="1"/>
    <col min="2" max="2" width="31.88671875" customWidth="1"/>
    <col min="3" max="3" width="4.5546875" hidden="1" customWidth="1"/>
    <col min="4" max="4" width="9.6640625" hidden="1" customWidth="1"/>
    <col min="5" max="5" width="9.88671875" style="130" customWidth="1"/>
    <col min="6" max="6" width="23.6640625" style="130" customWidth="1"/>
    <col min="7" max="7" width="33.88671875" style="130" customWidth="1"/>
    <col min="8" max="8" width="12.109375" style="698" customWidth="1"/>
    <col min="9" max="10" width="12.109375" hidden="1" customWidth="1"/>
    <col min="11" max="11" width="10.6640625" customWidth="1"/>
    <col min="12" max="12" width="4.5546875" hidden="1" customWidth="1"/>
    <col min="13" max="13" width="17.6640625" customWidth="1"/>
    <col min="14" max="15" width="14.6640625" style="134" customWidth="1"/>
    <col min="16" max="16" width="29.6640625" style="134" customWidth="1"/>
    <col min="17" max="17" width="8.33203125" style="134" customWidth="1"/>
    <col min="18" max="29" width="8.88671875" style="134" customWidth="1"/>
    <col min="30" max="30" width="4.5546875" style="699" customWidth="1"/>
    <col min="31" max="31" width="26" style="700" customWidth="1"/>
    <col min="32" max="32" width="2.33203125" hidden="1" customWidth="1"/>
    <col min="33" max="33" width="3.6640625" hidden="1" customWidth="1"/>
    <col min="34" max="34" width="9.88671875" customWidth="1"/>
    <col min="35" max="35" width="23.6640625" customWidth="1"/>
    <col min="36" max="36" width="34.33203125" customWidth="1"/>
    <col min="41" max="41" width="9.109375" customWidth="1"/>
    <col min="42" max="42" width="23.6640625" customWidth="1"/>
    <col min="43" max="43" width="10.44140625" hidden="1" customWidth="1"/>
  </cols>
  <sheetData>
    <row r="1" spans="1:43" ht="42.75" customHeight="1" x14ac:dyDescent="0.25">
      <c r="A1" s="1267" t="s">
        <v>4621</v>
      </c>
      <c r="B1" s="1267"/>
      <c r="C1" s="701"/>
      <c r="D1" s="702"/>
      <c r="E1" s="1268" t="s">
        <v>4865</v>
      </c>
      <c r="F1" s="1268"/>
      <c r="G1" s="1268"/>
      <c r="H1" s="1268"/>
      <c r="I1" s="703"/>
      <c r="J1" s="704"/>
      <c r="K1" s="1269" t="s">
        <v>4623</v>
      </c>
      <c r="L1" s="1269"/>
      <c r="M1" s="1269"/>
      <c r="N1" s="1270" t="s">
        <v>4624</v>
      </c>
      <c r="O1" s="1270"/>
      <c r="P1" s="1270"/>
      <c r="Q1" s="705"/>
      <c r="AD1" s="1271" t="str">
        <f>'Team 1'!AD1</f>
        <v>TEAM NAME</v>
      </c>
      <c r="AE1" s="1271"/>
      <c r="AF1" s="706"/>
      <c r="AG1" s="707"/>
      <c r="AH1" s="1262" t="str">
        <f>E1</f>
        <v>BRAINTREE &amp; BOCKING</v>
      </c>
      <c r="AI1" s="1262"/>
      <c r="AJ1" s="1262"/>
      <c r="AK1" s="1263"/>
      <c r="AL1" s="1263"/>
      <c r="AM1" s="1263"/>
      <c r="AN1" s="1263"/>
      <c r="AO1" s="708"/>
    </row>
    <row r="2" spans="1:43" ht="42.75" customHeight="1" x14ac:dyDescent="0.25">
      <c r="A2" s="1267"/>
      <c r="B2" s="1267"/>
      <c r="C2" s="709"/>
      <c r="D2" s="710"/>
      <c r="E2" s="1268"/>
      <c r="F2" s="1268"/>
      <c r="G2" s="1268"/>
      <c r="H2" s="1268"/>
      <c r="I2" s="711"/>
      <c r="J2" s="712"/>
      <c r="K2" s="1264">
        <f ca="1">DATE(YEAR(NOW()),12,31)</f>
        <v>45291</v>
      </c>
      <c r="L2" s="1264"/>
      <c r="M2" s="1264"/>
      <c r="N2" s="1265" t="s">
        <v>4866</v>
      </c>
      <c r="O2" s="1265"/>
      <c r="P2" s="1266" t="s">
        <v>4627</v>
      </c>
      <c r="Q2" s="705"/>
      <c r="AD2" s="1271"/>
      <c r="AE2" s="1271"/>
      <c r="AF2" s="713"/>
      <c r="AG2" s="714"/>
      <c r="AH2" s="1262"/>
      <c r="AI2" s="1262"/>
      <c r="AJ2" s="1262"/>
      <c r="AK2" s="1263"/>
      <c r="AL2" s="1263"/>
      <c r="AM2" s="1263"/>
      <c r="AN2" s="1263"/>
      <c r="AO2" s="708"/>
      <c r="AP2" s="708"/>
    </row>
    <row r="3" spans="1:43" ht="46.5" customHeight="1" x14ac:dyDescent="0.25">
      <c r="A3" s="1260" t="s">
        <v>43</v>
      </c>
      <c r="B3" s="1260"/>
      <c r="C3" s="715"/>
      <c r="D3" s="716"/>
      <c r="E3" s="717" t="s">
        <v>4628</v>
      </c>
      <c r="F3" s="718" t="s">
        <v>4629</v>
      </c>
      <c r="G3" s="718" t="s">
        <v>4630</v>
      </c>
      <c r="H3" s="795" t="s">
        <v>4631</v>
      </c>
      <c r="I3" s="720"/>
      <c r="J3" s="721"/>
      <c r="K3" s="1261" t="s">
        <v>4632</v>
      </c>
      <c r="L3" s="1261"/>
      <c r="M3" s="1261"/>
      <c r="N3" s="1265"/>
      <c r="O3" s="1265"/>
      <c r="P3" s="1266"/>
      <c r="Q3" s="705"/>
      <c r="AD3" s="1244"/>
      <c r="AE3" s="1244"/>
      <c r="AF3" s="723"/>
      <c r="AG3" s="724"/>
      <c r="AH3" s="725" t="str">
        <f>'Team 1'!AH3</f>
        <v>SE No</v>
      </c>
      <c r="AI3" s="726" t="s">
        <v>4629</v>
      </c>
      <c r="AJ3" s="726" t="s">
        <v>4630</v>
      </c>
      <c r="AK3" s="1263"/>
      <c r="AL3" s="1263"/>
      <c r="AM3" s="1263"/>
      <c r="AN3" s="1263"/>
      <c r="AO3" s="726"/>
      <c r="AQ3">
        <v>8</v>
      </c>
    </row>
    <row r="4" spans="1:43" ht="20.25" customHeight="1" x14ac:dyDescent="0.25">
      <c r="A4" s="727">
        <v>1</v>
      </c>
      <c r="B4" s="728" t="s">
        <v>4634</v>
      </c>
      <c r="C4" s="728" t="s">
        <v>4635</v>
      </c>
      <c r="D4" s="729">
        <f>IF('Gala Setup'!J$9="100M",29,IF('Gala Setup'!J$9="200M",16))</f>
        <v>16</v>
      </c>
      <c r="E4" s="730">
        <v>1292692</v>
      </c>
      <c r="F4" s="731" t="s">
        <v>4867</v>
      </c>
      <c r="G4" s="731" t="s">
        <v>4868</v>
      </c>
      <c r="H4" s="732">
        <v>39407</v>
      </c>
      <c r="I4" s="733" t="str">
        <f t="shared" ref="I4:I35" si="0">CONCATENATE(F4," ",G4)</f>
        <v>Isabelle Talbot</v>
      </c>
      <c r="J4" s="734" t="str">
        <f t="shared" ref="J4:J35" si="1">CONCATENATE(G4,",",F4)</f>
        <v>Talbot,Isabelle</v>
      </c>
      <c r="K4" s="735">
        <f t="shared" ref="K4:K35" ca="1" si="2">IF(K$2=0,0,IF(AQ4=0,0,IF(COUNTBLANK(AQ4)=1,"",YEAR(K$2)-YEAR(AQ4)-IF(DATE(YEAR(K$2),MONTH(AQ4),DAY(4638))&gt;K$2,1,0))))</f>
        <v>16</v>
      </c>
      <c r="L4" s="736" t="str">
        <f t="shared" ref="L4:L35" si="3">(TEXT(H4,"DDMMYY"))</f>
        <v>211107</v>
      </c>
      <c r="M4" s="737" t="str">
        <f ca="1">IF(K4=0,0,IF(K4&lt;9,"TOO YOUNG",IF(K4&lt;60,"OK","BIT OLD MAYBE")))</f>
        <v>OK</v>
      </c>
      <c r="N4" s="1265"/>
      <c r="O4" s="1265"/>
      <c r="P4" s="1266"/>
      <c r="Q4" s="705"/>
      <c r="AD4" s="722">
        <f t="shared" ref="AD4:AE6" si="4">A4</f>
        <v>1</v>
      </c>
      <c r="AE4" s="738" t="str">
        <f t="shared" si="4"/>
        <v>FEMALE 16+  200M  IM</v>
      </c>
      <c r="AF4" s="440" t="s">
        <v>4635</v>
      </c>
      <c r="AG4" s="739">
        <v>16</v>
      </c>
      <c r="AH4" s="740">
        <f t="shared" ref="AH4:AH35" si="5">E4</f>
        <v>1292692</v>
      </c>
      <c r="AI4" s="740" t="str">
        <f t="shared" ref="AI4:AI35" si="6">F4</f>
        <v>Isabelle</v>
      </c>
      <c r="AJ4" s="740" t="str">
        <f t="shared" ref="AJ4:AJ35" si="7">G4</f>
        <v>Talbot</v>
      </c>
      <c r="AK4" s="740"/>
      <c r="AL4" s="740"/>
      <c r="AM4" s="740"/>
      <c r="AN4" s="740"/>
      <c r="AO4" s="740"/>
      <c r="AQ4" s="741">
        <f t="shared" ref="AQ4:AQ35" ca="1" si="8">INDIRECT(ADDRESS(ROW(),AQ$3))</f>
        <v>39407</v>
      </c>
    </row>
    <row r="5" spans="1:43" ht="20.25" customHeight="1" x14ac:dyDescent="0.25">
      <c r="A5" s="727">
        <v>2</v>
      </c>
      <c r="B5" s="742" t="s">
        <v>4638</v>
      </c>
      <c r="C5" s="742" t="s">
        <v>328</v>
      </c>
      <c r="D5" s="729">
        <f>IF('Gala Setup'!J$9="100M",29,IF('Gala Setup'!J$9="200M",16))</f>
        <v>16</v>
      </c>
      <c r="E5" s="730">
        <v>1306503</v>
      </c>
      <c r="F5" s="731" t="s">
        <v>4661</v>
      </c>
      <c r="G5" s="731" t="s">
        <v>4869</v>
      </c>
      <c r="H5" s="732">
        <v>39477</v>
      </c>
      <c r="I5" s="733" t="str">
        <f t="shared" si="0"/>
        <v>Albert Orley</v>
      </c>
      <c r="J5" s="734" t="str">
        <f t="shared" si="1"/>
        <v>Orley,Albert</v>
      </c>
      <c r="K5" s="735">
        <f t="shared" ca="1" si="2"/>
        <v>15</v>
      </c>
      <c r="L5" s="736" t="str">
        <f t="shared" si="3"/>
        <v>300108</v>
      </c>
      <c r="M5" s="743" t="str">
        <f ca="1">IF(K5=0,0,IF(K5&lt;9,"TOO YOUNG",IF(K5&lt;60,"OK","BIT OLD MAYBE")))</f>
        <v>OK</v>
      </c>
      <c r="N5" s="1265"/>
      <c r="O5" s="1265"/>
      <c r="P5" s="1266"/>
      <c r="Q5" s="705"/>
      <c r="AD5" s="722">
        <f t="shared" si="4"/>
        <v>2</v>
      </c>
      <c r="AE5" s="738" t="str">
        <f t="shared" si="4"/>
        <v>OPEN/MALE 16+ 200M  IM</v>
      </c>
      <c r="AF5" s="443" t="s">
        <v>328</v>
      </c>
      <c r="AG5" s="744">
        <v>16</v>
      </c>
      <c r="AH5" s="740">
        <f t="shared" si="5"/>
        <v>1306503</v>
      </c>
      <c r="AI5" s="740" t="str">
        <f t="shared" si="6"/>
        <v>Albert</v>
      </c>
      <c r="AJ5" s="740" t="str">
        <f t="shared" si="7"/>
        <v>Orley</v>
      </c>
      <c r="AK5" s="740"/>
      <c r="AL5" s="740"/>
      <c r="AM5" s="740"/>
      <c r="AN5" s="740"/>
      <c r="AO5" s="740"/>
      <c r="AQ5" s="741">
        <f t="shared" ca="1" si="8"/>
        <v>39477</v>
      </c>
    </row>
    <row r="6" spans="1:43" ht="20.25" customHeight="1" x14ac:dyDescent="0.25">
      <c r="A6" s="1254">
        <v>3</v>
      </c>
      <c r="B6" s="1255" t="s">
        <v>4641</v>
      </c>
      <c r="C6" s="746"/>
      <c r="D6" s="747"/>
      <c r="E6" s="730">
        <v>1606480</v>
      </c>
      <c r="F6" s="731" t="s">
        <v>4870</v>
      </c>
      <c r="G6" s="731" t="s">
        <v>4871</v>
      </c>
      <c r="H6" s="732">
        <v>41816</v>
      </c>
      <c r="I6" s="733" t="str">
        <f t="shared" si="0"/>
        <v>Layla Cook</v>
      </c>
      <c r="J6" s="734" t="str">
        <f t="shared" si="1"/>
        <v>Cook,Layla</v>
      </c>
      <c r="K6" s="735">
        <f t="shared" ca="1" si="2"/>
        <v>9</v>
      </c>
      <c r="L6" s="736" t="str">
        <f t="shared" si="3"/>
        <v>260614</v>
      </c>
      <c r="M6" s="748" t="str">
        <f t="shared" ref="M6:M13" ca="1" si="9">IF(K6=0,0,IF(K6&lt;9,"TOO YOUNG",IF(K6&lt;12,"OK","NOT ELIGIBLE")))</f>
        <v>OK</v>
      </c>
      <c r="N6" s="1265"/>
      <c r="O6" s="1265"/>
      <c r="P6" s="1266"/>
      <c r="Q6" s="705"/>
      <c r="AD6" s="1244">
        <f t="shared" si="4"/>
        <v>3</v>
      </c>
      <c r="AE6" s="1245" t="str">
        <f t="shared" si="4"/>
        <v>FEMALE 9/11 4 X 50M
FREESTYLE RELAY</v>
      </c>
      <c r="AF6" s="749"/>
      <c r="AG6" s="750"/>
      <c r="AH6" s="740">
        <f t="shared" si="5"/>
        <v>1606480</v>
      </c>
      <c r="AI6" s="740" t="str">
        <f t="shared" si="6"/>
        <v>Layla</v>
      </c>
      <c r="AJ6" s="740" t="str">
        <f t="shared" si="7"/>
        <v>Cook</v>
      </c>
      <c r="AK6" s="740"/>
      <c r="AL6" s="740"/>
      <c r="AM6" s="740"/>
      <c r="AN6" s="740"/>
      <c r="AO6" s="740"/>
      <c r="AQ6" s="741">
        <f t="shared" ca="1" si="8"/>
        <v>41816</v>
      </c>
    </row>
    <row r="7" spans="1:43" ht="20.25" customHeight="1" x14ac:dyDescent="0.25">
      <c r="A7" s="1254"/>
      <c r="B7" s="1255"/>
      <c r="C7" s="751"/>
      <c r="D7" s="752"/>
      <c r="E7" s="730">
        <v>1622761</v>
      </c>
      <c r="F7" s="731" t="s">
        <v>4872</v>
      </c>
      <c r="G7" s="731" t="s">
        <v>4741</v>
      </c>
      <c r="H7" s="732">
        <v>41247</v>
      </c>
      <c r="I7" s="733" t="str">
        <f t="shared" si="0"/>
        <v>Megan Alexander</v>
      </c>
      <c r="J7" s="734" t="str">
        <f t="shared" si="1"/>
        <v>Alexander,Megan</v>
      </c>
      <c r="K7" s="735">
        <f t="shared" ca="1" si="2"/>
        <v>11</v>
      </c>
      <c r="L7" s="736" t="str">
        <f t="shared" si="3"/>
        <v>041212</v>
      </c>
      <c r="M7" s="748" t="str">
        <f t="shared" ca="1" si="9"/>
        <v>OK</v>
      </c>
      <c r="N7" s="1265"/>
      <c r="O7" s="1265"/>
      <c r="P7" s="1266"/>
      <c r="Q7" s="705"/>
      <c r="AD7" s="1244"/>
      <c r="AE7" s="1245"/>
      <c r="AF7" s="753"/>
      <c r="AG7" s="754"/>
      <c r="AH7" s="740">
        <f t="shared" si="5"/>
        <v>1622761</v>
      </c>
      <c r="AI7" s="740" t="str">
        <f t="shared" si="6"/>
        <v>Megan</v>
      </c>
      <c r="AJ7" s="740" t="str">
        <f t="shared" si="7"/>
        <v>Alexander</v>
      </c>
      <c r="AK7" s="740"/>
      <c r="AL7" s="740"/>
      <c r="AM7" s="740"/>
      <c r="AN7" s="740"/>
      <c r="AO7" s="740"/>
      <c r="AQ7" s="741">
        <f t="shared" ca="1" si="8"/>
        <v>41247</v>
      </c>
    </row>
    <row r="8" spans="1:43" ht="20.25" customHeight="1" x14ac:dyDescent="0.25">
      <c r="A8" s="1254"/>
      <c r="B8" s="1255"/>
      <c r="C8" s="751"/>
      <c r="D8" s="752"/>
      <c r="E8" s="730">
        <v>1577783</v>
      </c>
      <c r="F8" s="731" t="s">
        <v>4873</v>
      </c>
      <c r="G8" s="731" t="s">
        <v>4874</v>
      </c>
      <c r="H8" s="732">
        <v>41540</v>
      </c>
      <c r="I8" s="733" t="str">
        <f t="shared" si="0"/>
        <v>Caoife Long</v>
      </c>
      <c r="J8" s="734" t="str">
        <f t="shared" si="1"/>
        <v>Long,Caoife</v>
      </c>
      <c r="K8" s="735">
        <f t="shared" ca="1" si="2"/>
        <v>10</v>
      </c>
      <c r="L8" s="736" t="str">
        <f t="shared" si="3"/>
        <v>230913</v>
      </c>
      <c r="M8" s="748" t="str">
        <f t="shared" ca="1" si="9"/>
        <v>OK</v>
      </c>
      <c r="N8" s="1265"/>
      <c r="O8" s="1265"/>
      <c r="P8" s="1266"/>
      <c r="Q8" s="705"/>
      <c r="AD8" s="1244"/>
      <c r="AE8" s="1245"/>
      <c r="AF8" s="753"/>
      <c r="AG8" s="754"/>
      <c r="AH8" s="740">
        <f t="shared" si="5"/>
        <v>1577783</v>
      </c>
      <c r="AI8" s="740" t="str">
        <f t="shared" si="6"/>
        <v>Caoife</v>
      </c>
      <c r="AJ8" s="740" t="str">
        <f t="shared" si="7"/>
        <v>Long</v>
      </c>
      <c r="AK8" s="740"/>
      <c r="AL8" s="740"/>
      <c r="AM8" s="740"/>
      <c r="AN8" s="740"/>
      <c r="AO8" s="740"/>
      <c r="AQ8" s="741">
        <f t="shared" ca="1" si="8"/>
        <v>41540</v>
      </c>
    </row>
    <row r="9" spans="1:43" ht="20.25" customHeight="1" x14ac:dyDescent="0.25">
      <c r="A9" s="1254"/>
      <c r="B9" s="1255"/>
      <c r="C9" s="751"/>
      <c r="D9" s="752"/>
      <c r="E9" s="730">
        <v>1527055</v>
      </c>
      <c r="F9" s="731" t="s">
        <v>4875</v>
      </c>
      <c r="G9" s="731" t="s">
        <v>4716</v>
      </c>
      <c r="H9" s="732">
        <v>41482</v>
      </c>
      <c r="I9" s="733" t="str">
        <f t="shared" si="0"/>
        <v>Maisie Cooper</v>
      </c>
      <c r="J9" s="734" t="str">
        <f t="shared" si="1"/>
        <v>Cooper,Maisie</v>
      </c>
      <c r="K9" s="735">
        <f t="shared" ca="1" si="2"/>
        <v>10</v>
      </c>
      <c r="L9" s="736" t="str">
        <f t="shared" si="3"/>
        <v>270713</v>
      </c>
      <c r="M9" s="748" t="str">
        <f t="shared" ca="1" si="9"/>
        <v>OK</v>
      </c>
      <c r="N9" s="1265"/>
      <c r="O9" s="1265"/>
      <c r="P9" s="1266"/>
      <c r="Q9" s="705"/>
      <c r="AD9" s="1244"/>
      <c r="AE9" s="1245"/>
      <c r="AF9" s="753"/>
      <c r="AG9" s="754"/>
      <c r="AH9" s="740">
        <f t="shared" si="5"/>
        <v>1527055</v>
      </c>
      <c r="AI9" s="740" t="str">
        <f t="shared" si="6"/>
        <v>Maisie</v>
      </c>
      <c r="AJ9" s="740" t="str">
        <f t="shared" si="7"/>
        <v>Cooper</v>
      </c>
      <c r="AK9" s="740"/>
      <c r="AL9" s="740"/>
      <c r="AM9" s="740"/>
      <c r="AN9" s="740"/>
      <c r="AO9" s="740"/>
      <c r="AQ9" s="741">
        <f t="shared" ca="1" si="8"/>
        <v>41482</v>
      </c>
    </row>
    <row r="10" spans="1:43" ht="20.25" customHeight="1" x14ac:dyDescent="0.25">
      <c r="A10" s="1254">
        <v>4</v>
      </c>
      <c r="B10" s="1255" t="s">
        <v>4650</v>
      </c>
      <c r="C10" s="746"/>
      <c r="D10" s="747"/>
      <c r="E10" s="730">
        <v>1598082</v>
      </c>
      <c r="F10" s="731" t="s">
        <v>4876</v>
      </c>
      <c r="G10" s="731" t="s">
        <v>4877</v>
      </c>
      <c r="H10" s="732">
        <v>41008</v>
      </c>
      <c r="I10" s="733" t="str">
        <f t="shared" si="0"/>
        <v>Mohammed Malek</v>
      </c>
      <c r="J10" s="734" t="str">
        <f t="shared" si="1"/>
        <v>Malek,Mohammed</v>
      </c>
      <c r="K10" s="735">
        <f t="shared" ca="1" si="2"/>
        <v>11</v>
      </c>
      <c r="L10" s="736" t="str">
        <f t="shared" si="3"/>
        <v>090412</v>
      </c>
      <c r="M10" s="748" t="str">
        <f t="shared" ca="1" si="9"/>
        <v>OK</v>
      </c>
      <c r="N10" s="1265"/>
      <c r="O10" s="1265"/>
      <c r="P10" s="1266"/>
      <c r="Q10" s="705"/>
      <c r="AD10" s="1244">
        <f>A10</f>
        <v>4</v>
      </c>
      <c r="AE10" s="1245" t="str">
        <f>B10</f>
        <v>OPEN/MALE 9/11 4 X50M
FREESTYLE RELAY</v>
      </c>
      <c r="AF10" s="749"/>
      <c r="AG10" s="750"/>
      <c r="AH10" s="740">
        <f t="shared" si="5"/>
        <v>1598082</v>
      </c>
      <c r="AI10" s="740" t="str">
        <f t="shared" si="6"/>
        <v>Mohammed</v>
      </c>
      <c r="AJ10" s="740" t="str">
        <f t="shared" si="7"/>
        <v>Malek</v>
      </c>
      <c r="AK10" s="740"/>
      <c r="AL10" s="740"/>
      <c r="AM10" s="740"/>
      <c r="AN10" s="740"/>
      <c r="AO10" s="740"/>
      <c r="AQ10" s="741">
        <f t="shared" ca="1" si="8"/>
        <v>41008</v>
      </c>
    </row>
    <row r="11" spans="1:43" ht="20.25" customHeight="1" x14ac:dyDescent="0.25">
      <c r="A11" s="1254"/>
      <c r="B11" s="1255"/>
      <c r="C11" s="751"/>
      <c r="D11" s="752"/>
      <c r="E11" s="730">
        <v>1652331</v>
      </c>
      <c r="F11" s="731" t="s">
        <v>4878</v>
      </c>
      <c r="G11" s="731" t="s">
        <v>4879</v>
      </c>
      <c r="H11" s="732">
        <v>41549</v>
      </c>
      <c r="I11" s="733" t="str">
        <f t="shared" si="0"/>
        <v>Myron Young</v>
      </c>
      <c r="J11" s="734" t="str">
        <f t="shared" si="1"/>
        <v>Young,Myron</v>
      </c>
      <c r="K11" s="735">
        <f t="shared" ca="1" si="2"/>
        <v>10</v>
      </c>
      <c r="L11" s="736" t="str">
        <f t="shared" si="3"/>
        <v>021013</v>
      </c>
      <c r="M11" s="748" t="str">
        <f t="shared" ca="1" si="9"/>
        <v>OK</v>
      </c>
      <c r="N11" s="1265"/>
      <c r="O11" s="1265"/>
      <c r="P11" s="1266"/>
      <c r="Q11" s="705"/>
      <c r="AD11" s="1244"/>
      <c r="AE11" s="1245"/>
      <c r="AF11" s="753"/>
      <c r="AG11" s="754"/>
      <c r="AH11" s="740">
        <f t="shared" si="5"/>
        <v>1652331</v>
      </c>
      <c r="AI11" s="740" t="str">
        <f t="shared" si="6"/>
        <v>Myron</v>
      </c>
      <c r="AJ11" s="740" t="str">
        <f t="shared" si="7"/>
        <v>Young</v>
      </c>
      <c r="AK11" s="740"/>
      <c r="AL11" s="740"/>
      <c r="AM11" s="740"/>
      <c r="AN11" s="740"/>
      <c r="AO11" s="740"/>
      <c r="AQ11" s="741">
        <f t="shared" ca="1" si="8"/>
        <v>41549</v>
      </c>
    </row>
    <row r="12" spans="1:43" ht="20.25" customHeight="1" x14ac:dyDescent="0.25">
      <c r="A12" s="1254"/>
      <c r="B12" s="1255"/>
      <c r="C12" s="751"/>
      <c r="D12" s="752"/>
      <c r="E12" s="730">
        <v>1615752</v>
      </c>
      <c r="F12" s="731" t="s">
        <v>4880</v>
      </c>
      <c r="G12" s="731" t="s">
        <v>4881</v>
      </c>
      <c r="H12" s="732">
        <v>41034</v>
      </c>
      <c r="I12" s="733" t="str">
        <f t="shared" si="0"/>
        <v>Hayden Whele</v>
      </c>
      <c r="J12" s="734" t="str">
        <f t="shared" si="1"/>
        <v>Whele,Hayden</v>
      </c>
      <c r="K12" s="735">
        <f t="shared" ca="1" si="2"/>
        <v>11</v>
      </c>
      <c r="L12" s="736" t="str">
        <f t="shared" si="3"/>
        <v>050512</v>
      </c>
      <c r="M12" s="748" t="str">
        <f t="shared" ca="1" si="9"/>
        <v>OK</v>
      </c>
      <c r="N12" s="1265"/>
      <c r="O12" s="1265"/>
      <c r="P12" s="1266"/>
      <c r="Q12" s="705"/>
      <c r="AD12" s="1244"/>
      <c r="AE12" s="1245"/>
      <c r="AF12" s="753"/>
      <c r="AG12" s="754"/>
      <c r="AH12" s="740">
        <f t="shared" si="5"/>
        <v>1615752</v>
      </c>
      <c r="AI12" s="740" t="str">
        <f t="shared" si="6"/>
        <v>Hayden</v>
      </c>
      <c r="AJ12" s="740" t="str">
        <f t="shared" si="7"/>
        <v>Whele</v>
      </c>
      <c r="AK12" s="740"/>
      <c r="AL12" s="740"/>
      <c r="AM12" s="740"/>
      <c r="AN12" s="740"/>
      <c r="AO12" s="740"/>
      <c r="AQ12" s="741">
        <f t="shared" ca="1" si="8"/>
        <v>41034</v>
      </c>
    </row>
    <row r="13" spans="1:43" ht="20.25" customHeight="1" x14ac:dyDescent="0.25">
      <c r="A13" s="1254"/>
      <c r="B13" s="1255"/>
      <c r="C13" s="751"/>
      <c r="D13" s="752"/>
      <c r="E13" s="730">
        <v>1496506</v>
      </c>
      <c r="F13" s="731" t="s">
        <v>4882</v>
      </c>
      <c r="G13" s="731" t="s">
        <v>4883</v>
      </c>
      <c r="H13" s="732">
        <v>41044</v>
      </c>
      <c r="I13" s="733" t="str">
        <f t="shared" si="0"/>
        <v>Braden Barnacle</v>
      </c>
      <c r="J13" s="734" t="str">
        <f t="shared" si="1"/>
        <v>Barnacle,Braden</v>
      </c>
      <c r="K13" s="735">
        <f t="shared" ca="1" si="2"/>
        <v>11</v>
      </c>
      <c r="L13" s="736" t="str">
        <f t="shared" si="3"/>
        <v>150512</v>
      </c>
      <c r="M13" s="748" t="str">
        <f t="shared" ca="1" si="9"/>
        <v>OK</v>
      </c>
      <c r="N13" s="1265"/>
      <c r="O13" s="1265"/>
      <c r="P13" s="1266"/>
      <c r="Q13" s="705"/>
      <c r="AD13" s="1244"/>
      <c r="AE13" s="1245"/>
      <c r="AF13" s="753"/>
      <c r="AG13" s="754"/>
      <c r="AH13" s="740">
        <f t="shared" si="5"/>
        <v>1496506</v>
      </c>
      <c r="AI13" s="740" t="str">
        <f t="shared" si="6"/>
        <v>Braden</v>
      </c>
      <c r="AJ13" s="740" t="str">
        <f t="shared" si="7"/>
        <v>Barnacle</v>
      </c>
      <c r="AK13" s="740"/>
      <c r="AL13" s="740"/>
      <c r="AM13" s="740"/>
      <c r="AN13" s="740"/>
      <c r="AO13" s="740"/>
      <c r="AQ13" s="741">
        <f t="shared" ca="1" si="8"/>
        <v>41044</v>
      </c>
    </row>
    <row r="14" spans="1:43" ht="20.25" customHeight="1" x14ac:dyDescent="0.25">
      <c r="A14" s="1252">
        <v>5</v>
      </c>
      <c r="B14" s="1253" t="s">
        <v>4651</v>
      </c>
      <c r="C14" s="756"/>
      <c r="D14" s="757"/>
      <c r="E14" s="730">
        <v>1468756</v>
      </c>
      <c r="F14" s="731" t="s">
        <v>4884</v>
      </c>
      <c r="G14" s="731" t="s">
        <v>4885</v>
      </c>
      <c r="H14" s="732">
        <v>40253</v>
      </c>
      <c r="I14" s="733" t="str">
        <f t="shared" si="0"/>
        <v>Orlagh Northgrave</v>
      </c>
      <c r="J14" s="734" t="str">
        <f t="shared" si="1"/>
        <v>Northgrave,Orlagh</v>
      </c>
      <c r="K14" s="735">
        <f t="shared" ca="1" si="2"/>
        <v>13</v>
      </c>
      <c r="L14" s="736" t="str">
        <f t="shared" si="3"/>
        <v>160310</v>
      </c>
      <c r="M14" s="748" t="str">
        <f t="shared" ref="M14:M21" ca="1" si="10">IF(K14=0,0,IF(K14&lt;9,"TOO YOUNG",IF(K14&lt;14,"OK","NOT ELIGIBLE")))</f>
        <v>OK</v>
      </c>
      <c r="N14" s="1265"/>
      <c r="O14" s="1265"/>
      <c r="P14" s="1266"/>
      <c r="Q14" s="705"/>
      <c r="AD14" s="1244">
        <f>A14</f>
        <v>5</v>
      </c>
      <c r="AE14" s="1245" t="str">
        <f>B14</f>
        <v>FEMALE 13/U 4 X 50M
MEDLEY RELAY</v>
      </c>
      <c r="AF14" s="749"/>
      <c r="AG14" s="750"/>
      <c r="AH14" s="740">
        <f t="shared" si="5"/>
        <v>1468756</v>
      </c>
      <c r="AI14" s="740" t="str">
        <f t="shared" si="6"/>
        <v>Orlagh</v>
      </c>
      <c r="AJ14" s="740" t="str">
        <f t="shared" si="7"/>
        <v>Northgrave</v>
      </c>
      <c r="AK14" s="740"/>
      <c r="AL14" s="740"/>
      <c r="AM14" s="740"/>
      <c r="AN14" s="740"/>
      <c r="AO14" s="740"/>
      <c r="AQ14" s="741">
        <f t="shared" ca="1" si="8"/>
        <v>40253</v>
      </c>
    </row>
    <row r="15" spans="1:43" ht="20.25" customHeight="1" x14ac:dyDescent="0.25">
      <c r="A15" s="1252"/>
      <c r="B15" s="1253"/>
      <c r="C15" s="758"/>
      <c r="D15" s="759"/>
      <c r="E15" s="730">
        <v>1439864</v>
      </c>
      <c r="F15" s="731" t="s">
        <v>4867</v>
      </c>
      <c r="G15" s="731" t="s">
        <v>4886</v>
      </c>
      <c r="H15" s="732">
        <v>40550</v>
      </c>
      <c r="I15" s="733" t="str">
        <f t="shared" si="0"/>
        <v>Isabelle Reeve</v>
      </c>
      <c r="J15" s="734" t="str">
        <f t="shared" si="1"/>
        <v>Reeve,Isabelle</v>
      </c>
      <c r="K15" s="735">
        <f t="shared" ca="1" si="2"/>
        <v>12</v>
      </c>
      <c r="L15" s="736" t="str">
        <f t="shared" si="3"/>
        <v>070111</v>
      </c>
      <c r="M15" s="748" t="str">
        <f t="shared" ca="1" si="10"/>
        <v>OK</v>
      </c>
      <c r="N15" s="1265"/>
      <c r="O15" s="1265"/>
      <c r="P15" s="1266"/>
      <c r="Q15" s="705"/>
      <c r="AD15" s="1244"/>
      <c r="AE15" s="1245"/>
      <c r="AF15" s="753"/>
      <c r="AG15" s="754"/>
      <c r="AH15" s="740">
        <f t="shared" si="5"/>
        <v>1439864</v>
      </c>
      <c r="AI15" s="740" t="str">
        <f t="shared" si="6"/>
        <v>Isabelle</v>
      </c>
      <c r="AJ15" s="740" t="str">
        <f t="shared" si="7"/>
        <v>Reeve</v>
      </c>
      <c r="AK15" s="740"/>
      <c r="AL15" s="740"/>
      <c r="AM15" s="740"/>
      <c r="AN15" s="740"/>
      <c r="AO15" s="740"/>
      <c r="AQ15" s="741">
        <f t="shared" ca="1" si="8"/>
        <v>40550</v>
      </c>
    </row>
    <row r="16" spans="1:43" ht="20.25" customHeight="1" x14ac:dyDescent="0.25">
      <c r="A16" s="1252"/>
      <c r="B16" s="1253"/>
      <c r="C16" s="758"/>
      <c r="D16" s="759"/>
      <c r="E16" s="730">
        <v>1487099</v>
      </c>
      <c r="F16" s="731" t="s">
        <v>4887</v>
      </c>
      <c r="G16" s="731" t="s">
        <v>4888</v>
      </c>
      <c r="H16" s="732">
        <v>40446</v>
      </c>
      <c r="I16" s="733" t="str">
        <f t="shared" si="0"/>
        <v>Aimee Baker</v>
      </c>
      <c r="J16" s="734" t="str">
        <f t="shared" si="1"/>
        <v>Baker,Aimee</v>
      </c>
      <c r="K16" s="735">
        <f t="shared" ca="1" si="2"/>
        <v>13</v>
      </c>
      <c r="L16" s="736" t="str">
        <f t="shared" si="3"/>
        <v>250910</v>
      </c>
      <c r="M16" s="748" t="str">
        <f t="shared" ca="1" si="10"/>
        <v>OK</v>
      </c>
      <c r="N16" s="1265"/>
      <c r="O16" s="1265"/>
      <c r="P16" s="1266"/>
      <c r="Q16" s="705"/>
      <c r="AD16" s="1244"/>
      <c r="AE16" s="1245"/>
      <c r="AF16" s="753"/>
      <c r="AG16" s="754"/>
      <c r="AH16" s="740">
        <f t="shared" si="5"/>
        <v>1487099</v>
      </c>
      <c r="AI16" s="740" t="str">
        <f t="shared" si="6"/>
        <v>Aimee</v>
      </c>
      <c r="AJ16" s="740" t="str">
        <f t="shared" si="7"/>
        <v>Baker</v>
      </c>
      <c r="AK16" s="740"/>
      <c r="AL16" s="740"/>
      <c r="AM16" s="740"/>
      <c r="AN16" s="740"/>
      <c r="AO16" s="740"/>
      <c r="AQ16" s="741">
        <f t="shared" ca="1" si="8"/>
        <v>40446</v>
      </c>
    </row>
    <row r="17" spans="1:43" ht="20.25" customHeight="1" x14ac:dyDescent="0.25">
      <c r="A17" s="1252"/>
      <c r="B17" s="1253"/>
      <c r="C17" s="758"/>
      <c r="D17" s="759"/>
      <c r="E17" s="730">
        <v>1433823</v>
      </c>
      <c r="F17" s="731" t="s">
        <v>4889</v>
      </c>
      <c r="G17" s="731" t="s">
        <v>4890</v>
      </c>
      <c r="H17" s="732">
        <v>40224</v>
      </c>
      <c r="I17" s="733" t="str">
        <f t="shared" si="0"/>
        <v>Kayla Paxton</v>
      </c>
      <c r="J17" s="734" t="str">
        <f t="shared" si="1"/>
        <v>Paxton,Kayla</v>
      </c>
      <c r="K17" s="735">
        <f t="shared" ca="1" si="2"/>
        <v>13</v>
      </c>
      <c r="L17" s="736" t="str">
        <f t="shared" si="3"/>
        <v>150210</v>
      </c>
      <c r="M17" s="748" t="str">
        <f t="shared" ca="1" si="10"/>
        <v>OK</v>
      </c>
      <c r="N17" s="1265"/>
      <c r="O17" s="1265"/>
      <c r="P17" s="1266"/>
      <c r="Q17" s="705"/>
      <c r="AD17" s="1244"/>
      <c r="AE17" s="1245"/>
      <c r="AF17" s="753"/>
      <c r="AG17" s="754"/>
      <c r="AH17" s="740">
        <f t="shared" si="5"/>
        <v>1433823</v>
      </c>
      <c r="AI17" s="740" t="str">
        <f t="shared" si="6"/>
        <v>Kayla</v>
      </c>
      <c r="AJ17" s="740" t="str">
        <f t="shared" si="7"/>
        <v>Paxton</v>
      </c>
      <c r="AK17" s="740"/>
      <c r="AL17" s="740"/>
      <c r="AM17" s="740"/>
      <c r="AN17" s="740"/>
      <c r="AO17" s="740"/>
      <c r="AQ17" s="741">
        <f t="shared" ca="1" si="8"/>
        <v>40224</v>
      </c>
    </row>
    <row r="18" spans="1:43" ht="20.25" customHeight="1" x14ac:dyDescent="0.25">
      <c r="A18" s="1252">
        <v>6</v>
      </c>
      <c r="B18" s="1253" t="s">
        <v>4660</v>
      </c>
      <c r="C18" s="756"/>
      <c r="D18" s="757"/>
      <c r="E18" s="730">
        <v>1606486</v>
      </c>
      <c r="F18" s="731" t="s">
        <v>4891</v>
      </c>
      <c r="G18" s="731" t="s">
        <v>4892</v>
      </c>
      <c r="H18" s="732">
        <v>40237</v>
      </c>
      <c r="I18" s="733" t="str">
        <f t="shared" si="0"/>
        <v>Liam Hurst</v>
      </c>
      <c r="J18" s="734" t="str">
        <f t="shared" si="1"/>
        <v>Hurst,Liam</v>
      </c>
      <c r="K18" s="735">
        <f t="shared" ca="1" si="2"/>
        <v>13</v>
      </c>
      <c r="L18" s="736" t="str">
        <f t="shared" si="3"/>
        <v>280210</v>
      </c>
      <c r="M18" s="748" t="str">
        <f t="shared" ca="1" si="10"/>
        <v>OK</v>
      </c>
      <c r="N18" s="1258" t="s">
        <v>4319</v>
      </c>
      <c r="O18" s="1258" t="s">
        <v>4320</v>
      </c>
      <c r="P18" s="1259" t="s">
        <v>4663</v>
      </c>
      <c r="R18" s="760"/>
      <c r="S18" s="760"/>
      <c r="AD18" s="1244">
        <f>A18</f>
        <v>6</v>
      </c>
      <c r="AE18" s="1245" t="str">
        <f>B18</f>
        <v>OPEN/MALE 13/U 4 X 50M
MEDLEY RELAY</v>
      </c>
      <c r="AF18" s="749"/>
      <c r="AG18" s="750"/>
      <c r="AH18" s="740">
        <f t="shared" si="5"/>
        <v>1606486</v>
      </c>
      <c r="AI18" s="740" t="str">
        <f t="shared" si="6"/>
        <v>Liam</v>
      </c>
      <c r="AJ18" s="740" t="str">
        <f t="shared" si="7"/>
        <v>Hurst</v>
      </c>
      <c r="AK18" s="740"/>
      <c r="AL18" s="740"/>
      <c r="AM18" s="740"/>
      <c r="AN18" s="740"/>
      <c r="AO18" s="740"/>
      <c r="AQ18" s="741">
        <f t="shared" ca="1" si="8"/>
        <v>40237</v>
      </c>
    </row>
    <row r="19" spans="1:43" ht="20.25" customHeight="1" x14ac:dyDescent="0.25">
      <c r="A19" s="1252"/>
      <c r="B19" s="1253"/>
      <c r="C19" s="758"/>
      <c r="D19" s="759"/>
      <c r="E19" s="730">
        <v>1526606</v>
      </c>
      <c r="F19" s="731" t="s">
        <v>4893</v>
      </c>
      <c r="G19" s="731" t="s">
        <v>4894</v>
      </c>
      <c r="H19" s="732">
        <v>40618</v>
      </c>
      <c r="I19" s="733" t="str">
        <f t="shared" si="0"/>
        <v>Bradley Rawlinson</v>
      </c>
      <c r="J19" s="734" t="str">
        <f t="shared" si="1"/>
        <v>Rawlinson,Bradley</v>
      </c>
      <c r="K19" s="735">
        <f t="shared" ca="1" si="2"/>
        <v>12</v>
      </c>
      <c r="L19" s="736" t="str">
        <f t="shared" si="3"/>
        <v>160311</v>
      </c>
      <c r="M19" s="748" t="str">
        <f t="shared" ca="1" si="10"/>
        <v>OK</v>
      </c>
      <c r="N19" s="1258"/>
      <c r="O19" s="1258"/>
      <c r="P19" s="1259"/>
      <c r="R19" s="760"/>
      <c r="S19" s="760"/>
      <c r="AD19" s="1244"/>
      <c r="AE19" s="1245"/>
      <c r="AF19" s="753"/>
      <c r="AG19" s="754"/>
      <c r="AH19" s="740">
        <f t="shared" si="5"/>
        <v>1526606</v>
      </c>
      <c r="AI19" s="740" t="str">
        <f t="shared" si="6"/>
        <v>Bradley</v>
      </c>
      <c r="AJ19" s="740" t="str">
        <f t="shared" si="7"/>
        <v>Rawlinson</v>
      </c>
      <c r="AK19" s="740"/>
      <c r="AL19" s="740"/>
      <c r="AM19" s="740"/>
      <c r="AN19" s="740"/>
      <c r="AO19" s="740"/>
      <c r="AQ19" s="741">
        <f t="shared" ca="1" si="8"/>
        <v>40618</v>
      </c>
    </row>
    <row r="20" spans="1:43" ht="20.25" customHeight="1" x14ac:dyDescent="0.25">
      <c r="A20" s="1252"/>
      <c r="B20" s="1253"/>
      <c r="C20" s="758"/>
      <c r="D20" s="759"/>
      <c r="E20" s="730">
        <v>1515673</v>
      </c>
      <c r="F20" s="731" t="s">
        <v>4895</v>
      </c>
      <c r="G20" s="731" t="s">
        <v>4896</v>
      </c>
      <c r="H20" s="732">
        <v>40846</v>
      </c>
      <c r="I20" s="733" t="str">
        <f t="shared" si="0"/>
        <v>Poyraz Akbiyik</v>
      </c>
      <c r="J20" s="734" t="str">
        <f t="shared" si="1"/>
        <v>Akbiyik,Poyraz</v>
      </c>
      <c r="K20" s="735">
        <f t="shared" ca="1" si="2"/>
        <v>12</v>
      </c>
      <c r="L20" s="736" t="str">
        <f t="shared" si="3"/>
        <v>301011</v>
      </c>
      <c r="M20" s="748" t="str">
        <f t="shared" ca="1" si="10"/>
        <v>OK</v>
      </c>
      <c r="N20" s="1258"/>
      <c r="O20" s="1258"/>
      <c r="P20" s="1259"/>
      <c r="R20" s="760"/>
      <c r="S20" s="760"/>
      <c r="AD20" s="1244"/>
      <c r="AE20" s="1245"/>
      <c r="AF20" s="753"/>
      <c r="AG20" s="754"/>
      <c r="AH20" s="740">
        <f t="shared" si="5"/>
        <v>1515673</v>
      </c>
      <c r="AI20" s="740" t="str">
        <f t="shared" si="6"/>
        <v>Poyraz</v>
      </c>
      <c r="AJ20" s="740" t="str">
        <f t="shared" si="7"/>
        <v>Akbiyik</v>
      </c>
      <c r="AK20" s="740"/>
      <c r="AL20" s="740"/>
      <c r="AM20" s="740"/>
      <c r="AN20" s="740"/>
      <c r="AO20" s="740"/>
      <c r="AQ20" s="741">
        <f t="shared" ca="1" si="8"/>
        <v>40846</v>
      </c>
    </row>
    <row r="21" spans="1:43" ht="20.25" customHeight="1" x14ac:dyDescent="0.25">
      <c r="A21" s="1252"/>
      <c r="B21" s="1253"/>
      <c r="C21" s="758"/>
      <c r="D21" s="759"/>
      <c r="E21" s="730">
        <v>1610518</v>
      </c>
      <c r="F21" s="731" t="s">
        <v>4897</v>
      </c>
      <c r="G21" s="731" t="s">
        <v>4772</v>
      </c>
      <c r="H21" s="732">
        <v>40614</v>
      </c>
      <c r="I21" s="733" t="str">
        <f t="shared" si="0"/>
        <v>Benjamin Holland</v>
      </c>
      <c r="J21" s="734" t="str">
        <f t="shared" si="1"/>
        <v>Holland,Benjamin</v>
      </c>
      <c r="K21" s="735">
        <f t="shared" ca="1" si="2"/>
        <v>12</v>
      </c>
      <c r="L21" s="736" t="str">
        <f t="shared" si="3"/>
        <v>120311</v>
      </c>
      <c r="M21" s="748" t="str">
        <f t="shared" ca="1" si="10"/>
        <v>OK</v>
      </c>
      <c r="N21" s="1258"/>
      <c r="O21" s="1258"/>
      <c r="P21" s="1259"/>
      <c r="R21" s="760"/>
      <c r="S21" s="760"/>
      <c r="AD21" s="1244"/>
      <c r="AE21" s="1245"/>
      <c r="AF21" s="753"/>
      <c r="AG21" s="754"/>
      <c r="AH21" s="740">
        <f t="shared" si="5"/>
        <v>1610518</v>
      </c>
      <c r="AI21" s="740" t="str">
        <f t="shared" si="6"/>
        <v>Benjamin</v>
      </c>
      <c r="AJ21" s="740" t="str">
        <f t="shared" si="7"/>
        <v>Holland</v>
      </c>
      <c r="AK21" s="740"/>
      <c r="AL21" s="740"/>
      <c r="AM21" s="740"/>
      <c r="AN21" s="740"/>
      <c r="AO21" s="740"/>
      <c r="AQ21" s="741">
        <f t="shared" ca="1" si="8"/>
        <v>40614</v>
      </c>
    </row>
    <row r="22" spans="1:43" ht="20.25" customHeight="1" x14ac:dyDescent="0.25">
      <c r="A22" s="1256">
        <v>7</v>
      </c>
      <c r="B22" s="1249" t="s">
        <v>4667</v>
      </c>
      <c r="C22" s="761"/>
      <c r="D22" s="762"/>
      <c r="E22" s="730">
        <v>1402790</v>
      </c>
      <c r="F22" s="731" t="s">
        <v>4898</v>
      </c>
      <c r="G22" s="731" t="s">
        <v>4886</v>
      </c>
      <c r="H22" s="732">
        <v>39733</v>
      </c>
      <c r="I22" s="733" t="str">
        <f t="shared" si="0"/>
        <v>Esmee Reeve</v>
      </c>
      <c r="J22" s="734" t="str">
        <f t="shared" si="1"/>
        <v>Reeve,Esmee</v>
      </c>
      <c r="K22" s="735">
        <f t="shared" ca="1" si="2"/>
        <v>15</v>
      </c>
      <c r="L22" s="736" t="str">
        <f t="shared" si="3"/>
        <v>121008</v>
      </c>
      <c r="M22" s="748" t="str">
        <f t="shared" ref="M22:M29" ca="1" si="11">IF(K22=0,0,IF(K22&lt;9,"TOO YOUNG",IF(K22&lt;16,"OK","NOT ELIGIBLE")))</f>
        <v>OK</v>
      </c>
      <c r="N22" s="1257" t="str">
        <f>'Gala Setup'!S4</f>
        <v>NASL.2023 V6</v>
      </c>
      <c r="O22" s="1257"/>
      <c r="P22" s="1257"/>
      <c r="Q22" s="705"/>
      <c r="AD22" s="1244">
        <f>A22</f>
        <v>7</v>
      </c>
      <c r="AE22" s="1245" t="str">
        <f>B22</f>
        <v>FEMALE 15/U 4 X 50M
FREESTYLE RELAY</v>
      </c>
      <c r="AF22" s="749"/>
      <c r="AG22" s="750"/>
      <c r="AH22" s="740">
        <f t="shared" si="5"/>
        <v>1402790</v>
      </c>
      <c r="AI22" s="740" t="str">
        <f t="shared" si="6"/>
        <v>Esmee</v>
      </c>
      <c r="AJ22" s="740" t="str">
        <f t="shared" si="7"/>
        <v>Reeve</v>
      </c>
      <c r="AK22" s="740"/>
      <c r="AL22" s="740"/>
      <c r="AM22" s="740"/>
      <c r="AN22" s="740"/>
      <c r="AO22" s="740"/>
      <c r="AQ22" s="741">
        <f t="shared" ca="1" si="8"/>
        <v>39733</v>
      </c>
    </row>
    <row r="23" spans="1:43" ht="20.25" customHeight="1" x14ac:dyDescent="0.25">
      <c r="A23" s="1256"/>
      <c r="B23" s="1249"/>
      <c r="C23" s="763"/>
      <c r="D23" s="764"/>
      <c r="E23" s="730">
        <v>1292690</v>
      </c>
      <c r="F23" s="731" t="s">
        <v>4899</v>
      </c>
      <c r="G23" s="731" t="s">
        <v>4888</v>
      </c>
      <c r="H23" s="732">
        <v>39470</v>
      </c>
      <c r="I23" s="733" t="str">
        <f t="shared" si="0"/>
        <v>Francesca Baker</v>
      </c>
      <c r="J23" s="734" t="str">
        <f t="shared" si="1"/>
        <v>Baker,Francesca</v>
      </c>
      <c r="K23" s="735">
        <f t="shared" ca="1" si="2"/>
        <v>15</v>
      </c>
      <c r="L23" s="736" t="str">
        <f t="shared" si="3"/>
        <v>230108</v>
      </c>
      <c r="M23" s="748" t="str">
        <f t="shared" ca="1" si="11"/>
        <v>OK</v>
      </c>
      <c r="N23" s="1257"/>
      <c r="O23" s="1257"/>
      <c r="P23" s="1257"/>
      <c r="Q23" s="705"/>
      <c r="AD23" s="1244"/>
      <c r="AE23" s="1245"/>
      <c r="AF23" s="753"/>
      <c r="AG23" s="754"/>
      <c r="AH23" s="740">
        <f t="shared" si="5"/>
        <v>1292690</v>
      </c>
      <c r="AI23" s="740" t="str">
        <f t="shared" si="6"/>
        <v>Francesca</v>
      </c>
      <c r="AJ23" s="740" t="str">
        <f t="shared" si="7"/>
        <v>Baker</v>
      </c>
      <c r="AK23" s="740"/>
      <c r="AL23" s="740"/>
      <c r="AM23" s="740"/>
      <c r="AN23" s="740"/>
      <c r="AO23" s="740"/>
      <c r="AQ23" s="741">
        <f t="shared" ca="1" si="8"/>
        <v>39470</v>
      </c>
    </row>
    <row r="24" spans="1:43" ht="20.25" customHeight="1" x14ac:dyDescent="0.25">
      <c r="A24" s="1256"/>
      <c r="B24" s="1249"/>
      <c r="C24" s="763"/>
      <c r="D24" s="764"/>
      <c r="E24" s="730">
        <v>1351223</v>
      </c>
      <c r="F24" s="731" t="s">
        <v>4900</v>
      </c>
      <c r="G24" s="731" t="s">
        <v>4901</v>
      </c>
      <c r="H24" s="732">
        <v>39507</v>
      </c>
      <c r="I24" s="733" t="str">
        <f t="shared" si="0"/>
        <v>Hollie Heighes</v>
      </c>
      <c r="J24" s="734" t="str">
        <f t="shared" si="1"/>
        <v>Heighes,Hollie</v>
      </c>
      <c r="K24" s="735">
        <f t="shared" ca="1" si="2"/>
        <v>15</v>
      </c>
      <c r="L24" s="736" t="str">
        <f t="shared" si="3"/>
        <v>290208</v>
      </c>
      <c r="M24" s="748" t="str">
        <f t="shared" ca="1" si="11"/>
        <v>OK</v>
      </c>
      <c r="N24" s="765"/>
      <c r="Q24" s="765"/>
      <c r="AD24" s="1244"/>
      <c r="AE24" s="1245"/>
      <c r="AF24" s="753"/>
      <c r="AG24" s="754"/>
      <c r="AH24" s="740">
        <f t="shared" si="5"/>
        <v>1351223</v>
      </c>
      <c r="AI24" s="740" t="str">
        <f t="shared" si="6"/>
        <v>Hollie</v>
      </c>
      <c r="AJ24" s="740" t="str">
        <f t="shared" si="7"/>
        <v>Heighes</v>
      </c>
      <c r="AK24" s="740"/>
      <c r="AL24" s="740"/>
      <c r="AM24" s="740"/>
      <c r="AN24" s="740"/>
      <c r="AO24" s="740"/>
      <c r="AQ24" s="741">
        <f t="shared" ca="1" si="8"/>
        <v>39507</v>
      </c>
    </row>
    <row r="25" spans="1:43" ht="20.25" customHeight="1" x14ac:dyDescent="0.25">
      <c r="A25" s="1256"/>
      <c r="B25" s="1249"/>
      <c r="C25" s="763"/>
      <c r="D25" s="764"/>
      <c r="E25" s="730">
        <v>1338793</v>
      </c>
      <c r="F25" s="731" t="s">
        <v>4784</v>
      </c>
      <c r="G25" s="731" t="s">
        <v>4902</v>
      </c>
      <c r="H25" s="732">
        <v>39596</v>
      </c>
      <c r="I25" s="733" t="str">
        <f t="shared" si="0"/>
        <v>Mia Macklin</v>
      </c>
      <c r="J25" s="734" t="str">
        <f t="shared" si="1"/>
        <v>Macklin,Mia</v>
      </c>
      <c r="K25" s="735">
        <f t="shared" ca="1" si="2"/>
        <v>15</v>
      </c>
      <c r="L25" s="736" t="str">
        <f t="shared" si="3"/>
        <v>280508</v>
      </c>
      <c r="M25" s="748" t="str">
        <f t="shared" ca="1" si="11"/>
        <v>OK</v>
      </c>
      <c r="N25" s="765"/>
      <c r="Q25" s="765"/>
      <c r="AD25" s="1244"/>
      <c r="AE25" s="1245"/>
      <c r="AF25" s="753"/>
      <c r="AG25" s="754"/>
      <c r="AH25" s="740">
        <f t="shared" si="5"/>
        <v>1338793</v>
      </c>
      <c r="AI25" s="740" t="str">
        <f t="shared" si="6"/>
        <v>Mia</v>
      </c>
      <c r="AJ25" s="740" t="str">
        <f t="shared" si="7"/>
        <v>Macklin</v>
      </c>
      <c r="AK25" s="740"/>
      <c r="AL25" s="740"/>
      <c r="AM25" s="740"/>
      <c r="AN25" s="740"/>
      <c r="AO25" s="740"/>
      <c r="AQ25" s="741">
        <f t="shared" ca="1" si="8"/>
        <v>39596</v>
      </c>
    </row>
    <row r="26" spans="1:43" ht="20.25" customHeight="1" x14ac:dyDescent="0.25">
      <c r="A26" s="1256">
        <v>8</v>
      </c>
      <c r="B26" s="1249" t="s">
        <v>4676</v>
      </c>
      <c r="C26" s="761"/>
      <c r="D26" s="762"/>
      <c r="E26" s="730">
        <v>1306503</v>
      </c>
      <c r="F26" s="731" t="s">
        <v>4661</v>
      </c>
      <c r="G26" s="731" t="s">
        <v>4869</v>
      </c>
      <c r="H26" s="732">
        <v>39477</v>
      </c>
      <c r="I26" s="733" t="str">
        <f t="shared" si="0"/>
        <v>Albert Orley</v>
      </c>
      <c r="J26" s="734" t="str">
        <f t="shared" si="1"/>
        <v>Orley,Albert</v>
      </c>
      <c r="K26" s="735">
        <f t="shared" ca="1" si="2"/>
        <v>15</v>
      </c>
      <c r="L26" s="736" t="str">
        <f t="shared" si="3"/>
        <v>300108</v>
      </c>
      <c r="M26" s="766" t="str">
        <f t="shared" ca="1" si="11"/>
        <v>OK</v>
      </c>
      <c r="N26" s="767"/>
      <c r="AD26" s="1244">
        <f>A26</f>
        <v>8</v>
      </c>
      <c r="AE26" s="1245" t="str">
        <f>B26</f>
        <v>OPEN/MALE 15/U 4 X 50M
FREESTYLE RELAY</v>
      </c>
      <c r="AF26" s="749"/>
      <c r="AG26" s="750"/>
      <c r="AH26" s="740">
        <f t="shared" si="5"/>
        <v>1306503</v>
      </c>
      <c r="AI26" s="740" t="str">
        <f t="shared" si="6"/>
        <v>Albert</v>
      </c>
      <c r="AJ26" s="740" t="str">
        <f t="shared" si="7"/>
        <v>Orley</v>
      </c>
      <c r="AK26" s="740"/>
      <c r="AL26" s="740"/>
      <c r="AM26" s="740"/>
      <c r="AN26" s="740"/>
      <c r="AO26" s="740"/>
      <c r="AQ26" s="741">
        <f t="shared" ca="1" si="8"/>
        <v>39477</v>
      </c>
    </row>
    <row r="27" spans="1:43" ht="20.25" customHeight="1" x14ac:dyDescent="0.25">
      <c r="A27" s="1256"/>
      <c r="B27" s="1249"/>
      <c r="C27" s="763"/>
      <c r="D27" s="764"/>
      <c r="E27" s="730">
        <v>1333316</v>
      </c>
      <c r="F27" s="731" t="s">
        <v>4903</v>
      </c>
      <c r="G27" s="731" t="s">
        <v>4904</v>
      </c>
      <c r="H27" s="732">
        <v>39483</v>
      </c>
      <c r="I27" s="733" t="str">
        <f t="shared" si="0"/>
        <v>Nathaniel Coburn</v>
      </c>
      <c r="J27" s="734" t="str">
        <f t="shared" si="1"/>
        <v>Coburn,Nathaniel</v>
      </c>
      <c r="K27" s="735">
        <f t="shared" ca="1" si="2"/>
        <v>15</v>
      </c>
      <c r="L27" s="736" t="str">
        <f t="shared" si="3"/>
        <v>050208</v>
      </c>
      <c r="M27" s="766" t="str">
        <f t="shared" ca="1" si="11"/>
        <v>OK</v>
      </c>
      <c r="N27" s="767"/>
      <c r="AD27" s="1244"/>
      <c r="AE27" s="1245"/>
      <c r="AF27" s="753"/>
      <c r="AG27" s="754"/>
      <c r="AH27" s="740">
        <f t="shared" si="5"/>
        <v>1333316</v>
      </c>
      <c r="AI27" s="740" t="str">
        <f t="shared" si="6"/>
        <v>Nathaniel</v>
      </c>
      <c r="AJ27" s="740" t="str">
        <f t="shared" si="7"/>
        <v>Coburn</v>
      </c>
      <c r="AK27" s="740"/>
      <c r="AL27" s="740"/>
      <c r="AM27" s="740"/>
      <c r="AN27" s="740"/>
      <c r="AO27" s="740"/>
      <c r="AQ27" s="741">
        <f t="shared" ca="1" si="8"/>
        <v>39483</v>
      </c>
    </row>
    <row r="28" spans="1:43" ht="20.25" customHeight="1" x14ac:dyDescent="0.25">
      <c r="A28" s="1256"/>
      <c r="B28" s="1249"/>
      <c r="C28" s="763"/>
      <c r="D28" s="764"/>
      <c r="E28" s="730">
        <v>1337901</v>
      </c>
      <c r="F28" s="731" t="s">
        <v>4744</v>
      </c>
      <c r="G28" s="731" t="s">
        <v>4905</v>
      </c>
      <c r="H28" s="732">
        <v>39601</v>
      </c>
      <c r="I28" s="733" t="str">
        <f t="shared" si="0"/>
        <v>Daniel Pirie</v>
      </c>
      <c r="J28" s="734" t="str">
        <f t="shared" si="1"/>
        <v>Pirie,Daniel</v>
      </c>
      <c r="K28" s="735">
        <f t="shared" ca="1" si="2"/>
        <v>15</v>
      </c>
      <c r="L28" s="736" t="str">
        <f t="shared" si="3"/>
        <v>020608</v>
      </c>
      <c r="M28" s="766" t="str">
        <f t="shared" ca="1" si="11"/>
        <v>OK</v>
      </c>
      <c r="N28" s="767"/>
      <c r="AD28" s="1244"/>
      <c r="AE28" s="1245"/>
      <c r="AF28" s="753"/>
      <c r="AG28" s="754"/>
      <c r="AH28" s="740">
        <f t="shared" si="5"/>
        <v>1337901</v>
      </c>
      <c r="AI28" s="740" t="str">
        <f t="shared" si="6"/>
        <v>Daniel</v>
      </c>
      <c r="AJ28" s="740" t="str">
        <f t="shared" si="7"/>
        <v>Pirie</v>
      </c>
      <c r="AK28" s="740"/>
      <c r="AL28" s="740"/>
      <c r="AM28" s="740"/>
      <c r="AN28" s="740"/>
      <c r="AO28" s="740"/>
      <c r="AQ28" s="741">
        <f t="shared" ca="1" si="8"/>
        <v>39601</v>
      </c>
    </row>
    <row r="29" spans="1:43" ht="20.25" customHeight="1" x14ac:dyDescent="0.25">
      <c r="A29" s="1256"/>
      <c r="B29" s="1249"/>
      <c r="C29" s="763"/>
      <c r="D29" s="764"/>
      <c r="E29" s="730">
        <v>1328032</v>
      </c>
      <c r="F29" s="731" t="s">
        <v>4906</v>
      </c>
      <c r="G29" s="731" t="s">
        <v>4907</v>
      </c>
      <c r="H29" s="732">
        <v>39822</v>
      </c>
      <c r="I29" s="733" t="str">
        <f t="shared" si="0"/>
        <v>Joshua Parker</v>
      </c>
      <c r="J29" s="734" t="str">
        <f t="shared" si="1"/>
        <v>Parker,Joshua</v>
      </c>
      <c r="K29" s="735">
        <f t="shared" ca="1" si="2"/>
        <v>14</v>
      </c>
      <c r="L29" s="736" t="str">
        <f t="shared" si="3"/>
        <v>090109</v>
      </c>
      <c r="M29" s="766" t="str">
        <f t="shared" ca="1" si="11"/>
        <v>OK</v>
      </c>
      <c r="N29" s="767"/>
      <c r="AD29" s="1244"/>
      <c r="AE29" s="1245"/>
      <c r="AF29" s="753"/>
      <c r="AG29" s="754"/>
      <c r="AH29" s="740">
        <f t="shared" si="5"/>
        <v>1328032</v>
      </c>
      <c r="AI29" s="740" t="str">
        <f t="shared" si="6"/>
        <v>Joshua</v>
      </c>
      <c r="AJ29" s="740" t="str">
        <f t="shared" si="7"/>
        <v>Parker</v>
      </c>
      <c r="AK29" s="740"/>
      <c r="AL29" s="740"/>
      <c r="AM29" s="740"/>
      <c r="AN29" s="740"/>
      <c r="AO29" s="740"/>
      <c r="AQ29" s="741">
        <f t="shared" ca="1" si="8"/>
        <v>39822</v>
      </c>
    </row>
    <row r="30" spans="1:43" ht="20.25" customHeight="1" x14ac:dyDescent="0.25">
      <c r="A30" s="1250">
        <v>9</v>
      </c>
      <c r="B30" s="1251" t="s">
        <v>4681</v>
      </c>
      <c r="C30" s="768"/>
      <c r="D30" s="769"/>
      <c r="E30" s="730">
        <v>1292692</v>
      </c>
      <c r="F30" s="731" t="s">
        <v>4867</v>
      </c>
      <c r="G30" s="731" t="s">
        <v>4868</v>
      </c>
      <c r="H30" s="732">
        <v>39407</v>
      </c>
      <c r="I30" s="733" t="str">
        <f t="shared" si="0"/>
        <v>Isabelle Talbot</v>
      </c>
      <c r="J30" s="734" t="str">
        <f t="shared" si="1"/>
        <v>Talbot,Isabelle</v>
      </c>
      <c r="K30" s="735">
        <f t="shared" ca="1" si="2"/>
        <v>16</v>
      </c>
      <c r="L30" s="736" t="str">
        <f t="shared" si="3"/>
        <v>211107</v>
      </c>
      <c r="M30" s="770" t="str">
        <f t="shared" ref="M30:M37" ca="1" si="12">IF(K30=0,0,IF(K30&lt;9,"TOO YOUNG",IF(K30&lt;60,"OK","BIT OLD MAYBE")))</f>
        <v>OK</v>
      </c>
      <c r="N30" s="767"/>
      <c r="AD30" s="1244">
        <f>A30</f>
        <v>9</v>
      </c>
      <c r="AE30" s="1245" t="str">
        <f>B30</f>
        <v>FEMALE 16+ 4 X 50M
MEDLEY RELAY</v>
      </c>
      <c r="AF30" s="749"/>
      <c r="AG30" s="750"/>
      <c r="AH30" s="740">
        <f t="shared" si="5"/>
        <v>1292692</v>
      </c>
      <c r="AI30" s="740" t="str">
        <f t="shared" si="6"/>
        <v>Isabelle</v>
      </c>
      <c r="AJ30" s="740" t="str">
        <f t="shared" si="7"/>
        <v>Talbot</v>
      </c>
      <c r="AK30" s="740"/>
      <c r="AL30" s="740"/>
      <c r="AM30" s="740"/>
      <c r="AN30" s="740"/>
      <c r="AO30" s="740"/>
      <c r="AQ30" s="741">
        <f t="shared" ca="1" si="8"/>
        <v>39407</v>
      </c>
    </row>
    <row r="31" spans="1:43" ht="20.25" customHeight="1" x14ac:dyDescent="0.25">
      <c r="A31" s="1250"/>
      <c r="B31" s="1251"/>
      <c r="C31" s="771"/>
      <c r="D31" s="772"/>
      <c r="E31" s="730">
        <v>1135673</v>
      </c>
      <c r="F31" s="731" t="s">
        <v>4908</v>
      </c>
      <c r="G31" s="731" t="s">
        <v>4909</v>
      </c>
      <c r="H31" s="732">
        <v>38719</v>
      </c>
      <c r="I31" s="733" t="str">
        <f t="shared" si="0"/>
        <v>Marcie Aley</v>
      </c>
      <c r="J31" s="734" t="str">
        <f t="shared" si="1"/>
        <v>Aley,Marcie</v>
      </c>
      <c r="K31" s="735">
        <f t="shared" ca="1" si="2"/>
        <v>17</v>
      </c>
      <c r="L31" s="736" t="str">
        <f t="shared" si="3"/>
        <v>020106</v>
      </c>
      <c r="M31" s="770" t="str">
        <f t="shared" ca="1" si="12"/>
        <v>OK</v>
      </c>
      <c r="N31" s="767"/>
      <c r="AD31" s="1244"/>
      <c r="AE31" s="1245"/>
      <c r="AF31" s="753"/>
      <c r="AG31" s="754"/>
      <c r="AH31" s="740">
        <f t="shared" si="5"/>
        <v>1135673</v>
      </c>
      <c r="AI31" s="740" t="str">
        <f t="shared" si="6"/>
        <v>Marcie</v>
      </c>
      <c r="AJ31" s="740" t="str">
        <f t="shared" si="7"/>
        <v>Aley</v>
      </c>
      <c r="AK31" s="740"/>
      <c r="AL31" s="740"/>
      <c r="AM31" s="740"/>
      <c r="AN31" s="740"/>
      <c r="AO31" s="740"/>
      <c r="AQ31" s="741">
        <f t="shared" ca="1" si="8"/>
        <v>38719</v>
      </c>
    </row>
    <row r="32" spans="1:43" ht="20.25" customHeight="1" x14ac:dyDescent="0.25">
      <c r="A32" s="1250"/>
      <c r="B32" s="1251"/>
      <c r="C32" s="771"/>
      <c r="D32" s="772"/>
      <c r="E32" s="730">
        <v>1289971</v>
      </c>
      <c r="F32" s="731" t="s">
        <v>4910</v>
      </c>
      <c r="G32" s="731" t="s">
        <v>4911</v>
      </c>
      <c r="H32" s="732">
        <v>39217</v>
      </c>
      <c r="I32" s="733" t="str">
        <f t="shared" si="0"/>
        <v>Kathryn Edwards</v>
      </c>
      <c r="J32" s="734" t="str">
        <f t="shared" si="1"/>
        <v>Edwards,Kathryn</v>
      </c>
      <c r="K32" s="735">
        <f t="shared" ca="1" si="2"/>
        <v>16</v>
      </c>
      <c r="L32" s="736" t="str">
        <f t="shared" si="3"/>
        <v>150507</v>
      </c>
      <c r="M32" s="770" t="str">
        <f t="shared" ca="1" si="12"/>
        <v>OK</v>
      </c>
      <c r="N32" s="767"/>
      <c r="AD32" s="1244"/>
      <c r="AE32" s="1245"/>
      <c r="AF32" s="753"/>
      <c r="AG32" s="754"/>
      <c r="AH32" s="740">
        <f t="shared" si="5"/>
        <v>1289971</v>
      </c>
      <c r="AI32" s="740" t="str">
        <f t="shared" si="6"/>
        <v>Kathryn</v>
      </c>
      <c r="AJ32" s="740" t="str">
        <f t="shared" si="7"/>
        <v>Edwards</v>
      </c>
      <c r="AK32" s="740"/>
      <c r="AL32" s="740"/>
      <c r="AM32" s="740"/>
      <c r="AN32" s="740"/>
      <c r="AO32" s="740"/>
      <c r="AQ32" s="741">
        <f t="shared" ca="1" si="8"/>
        <v>39217</v>
      </c>
    </row>
    <row r="33" spans="1:43" ht="20.25" customHeight="1" x14ac:dyDescent="0.25">
      <c r="A33" s="1250"/>
      <c r="B33" s="1251"/>
      <c r="C33" s="771"/>
      <c r="D33" s="772"/>
      <c r="E33" s="730">
        <v>1344898</v>
      </c>
      <c r="F33" s="731" t="s">
        <v>4912</v>
      </c>
      <c r="G33" s="731" t="s">
        <v>4913</v>
      </c>
      <c r="H33" s="732">
        <v>38610</v>
      </c>
      <c r="I33" s="733" t="str">
        <f t="shared" si="0"/>
        <v>Lily Threadgold</v>
      </c>
      <c r="J33" s="734" t="str">
        <f t="shared" si="1"/>
        <v>Threadgold,Lily</v>
      </c>
      <c r="K33" s="735">
        <f t="shared" ca="1" si="2"/>
        <v>18</v>
      </c>
      <c r="L33" s="736" t="str">
        <f t="shared" si="3"/>
        <v>150905</v>
      </c>
      <c r="M33" s="770" t="str">
        <f t="shared" ca="1" si="12"/>
        <v>OK</v>
      </c>
      <c r="N33" s="767"/>
      <c r="AD33" s="1244"/>
      <c r="AE33" s="1245"/>
      <c r="AF33" s="753"/>
      <c r="AG33" s="754"/>
      <c r="AH33" s="740">
        <f t="shared" si="5"/>
        <v>1344898</v>
      </c>
      <c r="AI33" s="740" t="str">
        <f t="shared" si="6"/>
        <v>Lily</v>
      </c>
      <c r="AJ33" s="740" t="str">
        <f t="shared" si="7"/>
        <v>Threadgold</v>
      </c>
      <c r="AK33" s="740"/>
      <c r="AL33" s="740"/>
      <c r="AM33" s="740"/>
      <c r="AN33" s="740"/>
      <c r="AO33" s="740"/>
      <c r="AQ33" s="741">
        <f t="shared" ca="1" si="8"/>
        <v>38610</v>
      </c>
    </row>
    <row r="34" spans="1:43" ht="20.25" customHeight="1" x14ac:dyDescent="0.25">
      <c r="A34" s="1250">
        <v>10</v>
      </c>
      <c r="B34" s="1251" t="s">
        <v>4687</v>
      </c>
      <c r="C34" s="768"/>
      <c r="D34" s="769"/>
      <c r="E34" s="730">
        <v>1292412</v>
      </c>
      <c r="F34" s="731" t="s">
        <v>4914</v>
      </c>
      <c r="G34" s="731" t="s">
        <v>4915</v>
      </c>
      <c r="H34" s="732">
        <v>38796</v>
      </c>
      <c r="I34" s="733" t="str">
        <f t="shared" si="0"/>
        <v>Jamie Hartnup</v>
      </c>
      <c r="J34" s="734" t="str">
        <f t="shared" si="1"/>
        <v>Hartnup,Jamie</v>
      </c>
      <c r="K34" s="735">
        <f t="shared" ca="1" si="2"/>
        <v>17</v>
      </c>
      <c r="L34" s="736" t="str">
        <f t="shared" si="3"/>
        <v>200306</v>
      </c>
      <c r="M34" s="770" t="str">
        <f t="shared" ca="1" si="12"/>
        <v>OK</v>
      </c>
      <c r="N34" s="767"/>
      <c r="AD34" s="1244">
        <f>A34</f>
        <v>10</v>
      </c>
      <c r="AE34" s="1245" t="str">
        <f>B34</f>
        <v>OPEN/MALE 16+ 4 X 50M
MEDLEY RELAY</v>
      </c>
      <c r="AF34" s="749"/>
      <c r="AG34" s="750"/>
      <c r="AH34" s="740">
        <f t="shared" si="5"/>
        <v>1292412</v>
      </c>
      <c r="AI34" s="740" t="str">
        <f t="shared" si="6"/>
        <v>Jamie</v>
      </c>
      <c r="AJ34" s="740" t="str">
        <f t="shared" si="7"/>
        <v>Hartnup</v>
      </c>
      <c r="AK34" s="740"/>
      <c r="AL34" s="740"/>
      <c r="AM34" s="740"/>
      <c r="AN34" s="740"/>
      <c r="AO34" s="740"/>
      <c r="AQ34" s="741">
        <f t="shared" ca="1" si="8"/>
        <v>38796</v>
      </c>
    </row>
    <row r="35" spans="1:43" ht="20.25" customHeight="1" x14ac:dyDescent="0.25">
      <c r="A35" s="1250"/>
      <c r="B35" s="1251"/>
      <c r="C35" s="771"/>
      <c r="D35" s="772"/>
      <c r="E35" s="730">
        <v>1255059</v>
      </c>
      <c r="F35" s="731" t="s">
        <v>4916</v>
      </c>
      <c r="G35" s="731" t="s">
        <v>4917</v>
      </c>
      <c r="H35" s="732">
        <v>39023</v>
      </c>
      <c r="I35" s="733" t="str">
        <f t="shared" si="0"/>
        <v>Robert Elliston</v>
      </c>
      <c r="J35" s="734" t="str">
        <f t="shared" si="1"/>
        <v>Elliston,Robert</v>
      </c>
      <c r="K35" s="735">
        <f t="shared" ca="1" si="2"/>
        <v>17</v>
      </c>
      <c r="L35" s="736" t="str">
        <f t="shared" si="3"/>
        <v>021106</v>
      </c>
      <c r="M35" s="770" t="str">
        <f t="shared" ca="1" si="12"/>
        <v>OK</v>
      </c>
      <c r="AD35" s="1244"/>
      <c r="AE35" s="1245"/>
      <c r="AF35" s="753"/>
      <c r="AG35" s="754"/>
      <c r="AH35" s="740">
        <f t="shared" si="5"/>
        <v>1255059</v>
      </c>
      <c r="AI35" s="740" t="str">
        <f t="shared" si="6"/>
        <v>Robert</v>
      </c>
      <c r="AJ35" s="740" t="str">
        <f t="shared" si="7"/>
        <v>Elliston</v>
      </c>
      <c r="AK35" s="740"/>
      <c r="AL35" s="740"/>
      <c r="AM35" s="740"/>
      <c r="AN35" s="740"/>
      <c r="AO35" s="740"/>
      <c r="AQ35" s="741">
        <f t="shared" ca="1" si="8"/>
        <v>39023</v>
      </c>
    </row>
    <row r="36" spans="1:43" ht="20.25" customHeight="1" x14ac:dyDescent="0.25">
      <c r="A36" s="1250"/>
      <c r="B36" s="1251"/>
      <c r="C36" s="771"/>
      <c r="D36" s="772"/>
      <c r="E36" s="730">
        <v>1307366</v>
      </c>
      <c r="F36" s="731" t="s">
        <v>4734</v>
      </c>
      <c r="G36" s="731" t="s">
        <v>4918</v>
      </c>
      <c r="H36" s="732">
        <v>38105</v>
      </c>
      <c r="I36" s="733" t="str">
        <f t="shared" ref="I36:I67" si="13">CONCATENATE(F36," ",G36)</f>
        <v>Oliver Murray</v>
      </c>
      <c r="J36" s="734" t="str">
        <f t="shared" ref="J36:J67" si="14">CONCATENATE(G36,",",F36)</f>
        <v>Murray,Oliver</v>
      </c>
      <c r="K36" s="735">
        <f t="shared" ref="K36:K67" ca="1" si="15">IF(K$2=0,0,IF(AQ36=0,0,IF(COUNTBLANK(AQ36)=1,"",YEAR(K$2)-YEAR(AQ36)-IF(DATE(YEAR(K$2),MONTH(AQ36),DAY(4638))&gt;K$2,1,0))))</f>
        <v>19</v>
      </c>
      <c r="L36" s="736" t="str">
        <f t="shared" ref="L36:L67" si="16">(TEXT(H36,"DDMMYY"))</f>
        <v>280404</v>
      </c>
      <c r="M36" s="770" t="str">
        <f t="shared" ca="1" si="12"/>
        <v>OK</v>
      </c>
      <c r="AD36" s="1244"/>
      <c r="AE36" s="1245"/>
      <c r="AF36" s="753"/>
      <c r="AG36" s="754"/>
      <c r="AH36" s="740">
        <f t="shared" ref="AH36:AH67" si="17">E36</f>
        <v>1307366</v>
      </c>
      <c r="AI36" s="740" t="str">
        <f t="shared" ref="AI36:AI67" si="18">F36</f>
        <v>Oliver</v>
      </c>
      <c r="AJ36" s="740" t="str">
        <f t="shared" ref="AJ36:AJ67" si="19">G36</f>
        <v>Murray</v>
      </c>
      <c r="AK36" s="740"/>
      <c r="AL36" s="740"/>
      <c r="AM36" s="740"/>
      <c r="AN36" s="740"/>
      <c r="AO36" s="740"/>
      <c r="AQ36" s="741">
        <f t="shared" ref="AQ36:AQ67" ca="1" si="20">INDIRECT(ADDRESS(ROW(),AQ$3))</f>
        <v>38105</v>
      </c>
    </row>
    <row r="37" spans="1:43" ht="20.25" customHeight="1" x14ac:dyDescent="0.25">
      <c r="A37" s="1250"/>
      <c r="B37" s="1251"/>
      <c r="C37" s="771"/>
      <c r="D37" s="772"/>
      <c r="E37" s="730">
        <v>1255043</v>
      </c>
      <c r="F37" s="731" t="s">
        <v>4748</v>
      </c>
      <c r="G37" s="731" t="s">
        <v>4919</v>
      </c>
      <c r="H37" s="732">
        <v>38448</v>
      </c>
      <c r="I37" s="733" t="str">
        <f t="shared" si="13"/>
        <v>Matthew Pack</v>
      </c>
      <c r="J37" s="734" t="str">
        <f t="shared" si="14"/>
        <v>Pack,Matthew</v>
      </c>
      <c r="K37" s="735">
        <f t="shared" ca="1" si="15"/>
        <v>18</v>
      </c>
      <c r="L37" s="736" t="str">
        <f t="shared" si="16"/>
        <v>060405</v>
      </c>
      <c r="M37" s="770" t="str">
        <f t="shared" ca="1" si="12"/>
        <v>OK</v>
      </c>
      <c r="AD37" s="1244"/>
      <c r="AE37" s="1245"/>
      <c r="AF37" s="753"/>
      <c r="AG37" s="754"/>
      <c r="AH37" s="740">
        <f t="shared" si="17"/>
        <v>1255043</v>
      </c>
      <c r="AI37" s="740" t="str">
        <f t="shared" si="18"/>
        <v>Matthew</v>
      </c>
      <c r="AJ37" s="740" t="str">
        <f t="shared" si="19"/>
        <v>Pack</v>
      </c>
      <c r="AK37" s="740"/>
      <c r="AL37" s="740"/>
      <c r="AM37" s="740"/>
      <c r="AN37" s="740"/>
      <c r="AO37" s="740"/>
      <c r="AQ37" s="741">
        <f t="shared" ca="1" si="20"/>
        <v>38448</v>
      </c>
    </row>
    <row r="38" spans="1:43" ht="20.25" customHeight="1" x14ac:dyDescent="0.25">
      <c r="A38" s="745">
        <v>11</v>
      </c>
      <c r="B38" s="773" t="s">
        <v>4339</v>
      </c>
      <c r="C38" s="774" t="s">
        <v>4635</v>
      </c>
      <c r="D38" s="775">
        <v>13</v>
      </c>
      <c r="E38" s="730">
        <v>1527055</v>
      </c>
      <c r="F38" s="731" t="s">
        <v>4875</v>
      </c>
      <c r="G38" s="731" t="s">
        <v>4716</v>
      </c>
      <c r="H38" s="732">
        <v>41482</v>
      </c>
      <c r="I38" s="733" t="str">
        <f t="shared" si="13"/>
        <v>Maisie Cooper</v>
      </c>
      <c r="J38" s="734" t="str">
        <f t="shared" si="14"/>
        <v>Cooper,Maisie</v>
      </c>
      <c r="K38" s="735">
        <f t="shared" ca="1" si="15"/>
        <v>10</v>
      </c>
      <c r="L38" s="736" t="str">
        <f t="shared" si="16"/>
        <v>270713</v>
      </c>
      <c r="M38" s="766" t="str">
        <f ca="1">IF(K38=0,0,IF(K38&lt;10,"TOO YOUNG",IF(K38&lt;12,"OK","NOT ELIGIBLE")))</f>
        <v>OK</v>
      </c>
      <c r="AD38" s="722">
        <f t="shared" ref="AD38:AD70" si="21">A38</f>
        <v>11</v>
      </c>
      <c r="AE38" s="443" t="str">
        <f t="shared" ref="AE38:AE70" si="22">B38</f>
        <v>Female 10/11 50m Backstroke</v>
      </c>
      <c r="AF38" s="440" t="s">
        <v>4635</v>
      </c>
      <c r="AG38" s="739">
        <v>13</v>
      </c>
      <c r="AH38" s="740">
        <f t="shared" si="17"/>
        <v>1527055</v>
      </c>
      <c r="AI38" s="740" t="str">
        <f t="shared" si="18"/>
        <v>Maisie</v>
      </c>
      <c r="AJ38" s="740" t="str">
        <f t="shared" si="19"/>
        <v>Cooper</v>
      </c>
      <c r="AK38" s="740"/>
      <c r="AL38" s="740"/>
      <c r="AM38" s="740"/>
      <c r="AN38" s="740"/>
      <c r="AO38" s="740"/>
      <c r="AQ38" s="741">
        <f t="shared" ca="1" si="20"/>
        <v>41482</v>
      </c>
    </row>
    <row r="39" spans="1:43" ht="20.25" customHeight="1" x14ac:dyDescent="0.25">
      <c r="A39" s="745">
        <v>12</v>
      </c>
      <c r="B39" s="773" t="s">
        <v>4340</v>
      </c>
      <c r="C39" s="774" t="s">
        <v>328</v>
      </c>
      <c r="D39" s="775">
        <v>13</v>
      </c>
      <c r="E39" s="730">
        <v>1652331</v>
      </c>
      <c r="F39" s="731" t="s">
        <v>4878</v>
      </c>
      <c r="G39" s="731" t="s">
        <v>4879</v>
      </c>
      <c r="H39" s="732">
        <v>41549</v>
      </c>
      <c r="I39" s="733" t="str">
        <f t="shared" si="13"/>
        <v>Myron Young</v>
      </c>
      <c r="J39" s="734" t="str">
        <f t="shared" si="14"/>
        <v>Young,Myron</v>
      </c>
      <c r="K39" s="735">
        <f t="shared" ca="1" si="15"/>
        <v>10</v>
      </c>
      <c r="L39" s="736" t="str">
        <f t="shared" si="16"/>
        <v>021013</v>
      </c>
      <c r="M39" s="766" t="str">
        <f ca="1">IF(K39=0,0,IF(K39&lt;10,"TOO YOUNG",IF(K39&lt;12,"OK","NOT ELIGIBLE")))</f>
        <v>OK</v>
      </c>
      <c r="AD39" s="722">
        <f t="shared" si="21"/>
        <v>12</v>
      </c>
      <c r="AE39" s="443" t="str">
        <f t="shared" si="22"/>
        <v>Open/Male 10/11 50m Backstroke</v>
      </c>
      <c r="AF39" s="440" t="s">
        <v>328</v>
      </c>
      <c r="AG39" s="739">
        <v>13</v>
      </c>
      <c r="AH39" s="740">
        <f t="shared" si="17"/>
        <v>1652331</v>
      </c>
      <c r="AI39" s="740" t="str">
        <f t="shared" si="18"/>
        <v>Myron</v>
      </c>
      <c r="AJ39" s="740" t="str">
        <f t="shared" si="19"/>
        <v>Young</v>
      </c>
      <c r="AK39" s="740"/>
      <c r="AL39" s="740"/>
      <c r="AM39" s="740"/>
      <c r="AN39" s="740"/>
      <c r="AO39" s="740"/>
      <c r="AQ39" s="741">
        <f t="shared" ca="1" si="20"/>
        <v>41549</v>
      </c>
    </row>
    <row r="40" spans="1:43" ht="20.25" customHeight="1" x14ac:dyDescent="0.25">
      <c r="A40" s="755">
        <v>13</v>
      </c>
      <c r="B40" s="776" t="s">
        <v>4341</v>
      </c>
      <c r="C40" s="777" t="s">
        <v>4635</v>
      </c>
      <c r="D40" s="778">
        <v>8</v>
      </c>
      <c r="E40" s="730">
        <v>1439864</v>
      </c>
      <c r="F40" s="731" t="s">
        <v>4867</v>
      </c>
      <c r="G40" s="731" t="s">
        <v>4886</v>
      </c>
      <c r="H40" s="732">
        <v>40550</v>
      </c>
      <c r="I40" s="733" t="str">
        <f t="shared" si="13"/>
        <v>Isabelle Reeve</v>
      </c>
      <c r="J40" s="734" t="str">
        <f t="shared" si="14"/>
        <v>Reeve,Isabelle</v>
      </c>
      <c r="K40" s="735">
        <f t="shared" ca="1" si="15"/>
        <v>12</v>
      </c>
      <c r="L40" s="736" t="str">
        <f t="shared" si="16"/>
        <v>070111</v>
      </c>
      <c r="M40" s="766" t="str">
        <f ca="1">IF(K40=0,0,IF(K40&lt;9,"TOO YOUNG",IF(K40&lt;14,"OK","NOT ELIGIBLE")))</f>
        <v>OK</v>
      </c>
      <c r="AD40" s="722">
        <f t="shared" si="21"/>
        <v>13</v>
      </c>
      <c r="AE40" s="443" t="str">
        <f t="shared" si="22"/>
        <v>Female 13/U 100m Breaststroke</v>
      </c>
      <c r="AF40" s="440" t="s">
        <v>4635</v>
      </c>
      <c r="AG40" s="739">
        <v>8</v>
      </c>
      <c r="AH40" s="740">
        <f t="shared" si="17"/>
        <v>1439864</v>
      </c>
      <c r="AI40" s="740" t="str">
        <f t="shared" si="18"/>
        <v>Isabelle</v>
      </c>
      <c r="AJ40" s="740" t="str">
        <f t="shared" si="19"/>
        <v>Reeve</v>
      </c>
      <c r="AK40" s="740"/>
      <c r="AL40" s="740"/>
      <c r="AM40" s="740"/>
      <c r="AN40" s="740"/>
      <c r="AO40" s="740"/>
      <c r="AQ40" s="741">
        <f t="shared" ca="1" si="20"/>
        <v>40550</v>
      </c>
    </row>
    <row r="41" spans="1:43" ht="20.25" customHeight="1" x14ac:dyDescent="0.25">
      <c r="A41" s="755">
        <v>14</v>
      </c>
      <c r="B41" s="776" t="s">
        <v>4342</v>
      </c>
      <c r="C41" s="777" t="s">
        <v>328</v>
      </c>
      <c r="D41" s="778">
        <v>8</v>
      </c>
      <c r="E41" s="730">
        <v>1526606</v>
      </c>
      <c r="F41" s="731" t="s">
        <v>4893</v>
      </c>
      <c r="G41" s="731" t="s">
        <v>4894</v>
      </c>
      <c r="H41" s="732">
        <v>40618</v>
      </c>
      <c r="I41" s="733" t="str">
        <f t="shared" si="13"/>
        <v>Bradley Rawlinson</v>
      </c>
      <c r="J41" s="734" t="str">
        <f t="shared" si="14"/>
        <v>Rawlinson,Bradley</v>
      </c>
      <c r="K41" s="735">
        <f t="shared" ca="1" si="15"/>
        <v>12</v>
      </c>
      <c r="L41" s="736" t="str">
        <f t="shared" si="16"/>
        <v>160311</v>
      </c>
      <c r="M41" s="766" t="str">
        <f ca="1">IF(K41=0,0,IF(K41&lt;9,"TOO YOUNG",IF(K41&lt;14,"OK","NOT ELIGIBLE")))</f>
        <v>OK</v>
      </c>
      <c r="AD41" s="722">
        <f t="shared" si="21"/>
        <v>14</v>
      </c>
      <c r="AE41" s="443" t="str">
        <f t="shared" si="22"/>
        <v>Open/Male 13/U 100m Breaststroke</v>
      </c>
      <c r="AF41" s="440" t="s">
        <v>328</v>
      </c>
      <c r="AG41" s="739">
        <v>8</v>
      </c>
      <c r="AH41" s="740">
        <f t="shared" si="17"/>
        <v>1526606</v>
      </c>
      <c r="AI41" s="740" t="str">
        <f t="shared" si="18"/>
        <v>Bradley</v>
      </c>
      <c r="AJ41" s="740" t="str">
        <f t="shared" si="19"/>
        <v>Rawlinson</v>
      </c>
      <c r="AK41" s="740"/>
      <c r="AL41" s="740"/>
      <c r="AM41" s="740"/>
      <c r="AN41" s="740"/>
      <c r="AO41" s="740"/>
      <c r="AQ41" s="741">
        <f t="shared" ca="1" si="20"/>
        <v>40618</v>
      </c>
    </row>
    <row r="42" spans="1:43" ht="20.25" customHeight="1" x14ac:dyDescent="0.25">
      <c r="A42" s="779">
        <v>15</v>
      </c>
      <c r="B42" s="780" t="s">
        <v>4343</v>
      </c>
      <c r="C42" s="781" t="s">
        <v>4635</v>
      </c>
      <c r="D42" s="782">
        <v>14</v>
      </c>
      <c r="E42" s="730">
        <v>1351223</v>
      </c>
      <c r="F42" s="731" t="s">
        <v>4900</v>
      </c>
      <c r="G42" s="731" t="s">
        <v>4901</v>
      </c>
      <c r="H42" s="732">
        <v>39507</v>
      </c>
      <c r="I42" s="733" t="str">
        <f t="shared" si="13"/>
        <v>Hollie Heighes</v>
      </c>
      <c r="J42" s="734" t="str">
        <f t="shared" si="14"/>
        <v>Heighes,Hollie</v>
      </c>
      <c r="K42" s="735">
        <f t="shared" ca="1" si="15"/>
        <v>15</v>
      </c>
      <c r="L42" s="736" t="str">
        <f t="shared" si="16"/>
        <v>290208</v>
      </c>
      <c r="M42" s="766" t="str">
        <f ca="1">IF(K42=0,0,IF(K42&lt;9,"TOO YOUNG",IF(K42&lt;16,"OK","NOT ELIGIBLE")))</f>
        <v>OK</v>
      </c>
      <c r="AD42" s="722">
        <f t="shared" si="21"/>
        <v>15</v>
      </c>
      <c r="AE42" s="443" t="str">
        <f t="shared" si="22"/>
        <v>Female 15/U 100m Backstroke</v>
      </c>
      <c r="AF42" s="440" t="s">
        <v>4635</v>
      </c>
      <c r="AG42" s="739">
        <v>14</v>
      </c>
      <c r="AH42" s="740">
        <f t="shared" si="17"/>
        <v>1351223</v>
      </c>
      <c r="AI42" s="740" t="str">
        <f t="shared" si="18"/>
        <v>Hollie</v>
      </c>
      <c r="AJ42" s="740" t="str">
        <f t="shared" si="19"/>
        <v>Heighes</v>
      </c>
      <c r="AK42" s="740"/>
      <c r="AL42" s="740"/>
      <c r="AM42" s="740"/>
      <c r="AN42" s="740"/>
      <c r="AO42" s="740"/>
      <c r="AQ42" s="741">
        <f t="shared" ca="1" si="20"/>
        <v>39507</v>
      </c>
    </row>
    <row r="43" spans="1:43" ht="20.25" customHeight="1" x14ac:dyDescent="0.25">
      <c r="A43" s="779">
        <v>16</v>
      </c>
      <c r="B43" s="780" t="s">
        <v>4694</v>
      </c>
      <c r="C43" s="781" t="s">
        <v>328</v>
      </c>
      <c r="D43" s="782">
        <v>14</v>
      </c>
      <c r="E43" s="730">
        <v>1306503</v>
      </c>
      <c r="F43" s="731" t="s">
        <v>4661</v>
      </c>
      <c r="G43" s="731" t="s">
        <v>4869</v>
      </c>
      <c r="H43" s="732">
        <v>39477</v>
      </c>
      <c r="I43" s="733" t="str">
        <f t="shared" si="13"/>
        <v>Albert Orley</v>
      </c>
      <c r="J43" s="734" t="str">
        <f t="shared" si="14"/>
        <v>Orley,Albert</v>
      </c>
      <c r="K43" s="735">
        <f t="shared" ca="1" si="15"/>
        <v>15</v>
      </c>
      <c r="L43" s="736" t="str">
        <f t="shared" si="16"/>
        <v>300108</v>
      </c>
      <c r="M43" s="766" t="str">
        <f ca="1">IF(K43=0,0,IF(K43&lt;9,"TOO YOUNG",IF(K43&lt;16,"OK","NOT ELIGIBLE")))</f>
        <v>OK</v>
      </c>
      <c r="AD43" s="722">
        <f t="shared" si="21"/>
        <v>16</v>
      </c>
      <c r="AE43" s="443" t="str">
        <f t="shared" si="22"/>
        <v>Open/Male 15/U 100m Backstroke</v>
      </c>
      <c r="AF43" s="440" t="s">
        <v>328</v>
      </c>
      <c r="AG43" s="739">
        <v>14</v>
      </c>
      <c r="AH43" s="740">
        <f t="shared" si="17"/>
        <v>1306503</v>
      </c>
      <c r="AI43" s="740" t="str">
        <f t="shared" si="18"/>
        <v>Albert</v>
      </c>
      <c r="AJ43" s="740" t="str">
        <f t="shared" si="19"/>
        <v>Orley</v>
      </c>
      <c r="AK43" s="740"/>
      <c r="AL43" s="740"/>
      <c r="AM43" s="740"/>
      <c r="AN43" s="740"/>
      <c r="AO43" s="740"/>
      <c r="AQ43" s="741">
        <f t="shared" ca="1" si="20"/>
        <v>39477</v>
      </c>
    </row>
    <row r="44" spans="1:43" ht="20.25" customHeight="1" x14ac:dyDescent="0.25">
      <c r="A44" s="727">
        <v>17</v>
      </c>
      <c r="B44" s="742" t="s">
        <v>4345</v>
      </c>
      <c r="C44" s="728" t="s">
        <v>4635</v>
      </c>
      <c r="D44" s="729">
        <v>11</v>
      </c>
      <c r="E44" s="730">
        <v>1289971</v>
      </c>
      <c r="F44" s="731" t="s">
        <v>4910</v>
      </c>
      <c r="G44" s="731" t="s">
        <v>4911</v>
      </c>
      <c r="H44" s="732">
        <v>39217</v>
      </c>
      <c r="I44" s="733" t="str">
        <f t="shared" si="13"/>
        <v>Kathryn Edwards</v>
      </c>
      <c r="J44" s="734" t="str">
        <f t="shared" si="14"/>
        <v>Edwards,Kathryn</v>
      </c>
      <c r="K44" s="735">
        <f t="shared" ca="1" si="15"/>
        <v>16</v>
      </c>
      <c r="L44" s="736" t="str">
        <f t="shared" si="16"/>
        <v>150507</v>
      </c>
      <c r="M44" s="770" t="str">
        <f ca="1">IF(K44=0,0,IF(K44&lt;9,"TOO YOUNG",IF(K44&lt;60,"OK","BIT OLD MAYBE")))</f>
        <v>OK</v>
      </c>
      <c r="AD44" s="722">
        <f t="shared" si="21"/>
        <v>17</v>
      </c>
      <c r="AE44" s="443" t="str">
        <f t="shared" si="22"/>
        <v>Female 16+ 100m Butterfly</v>
      </c>
      <c r="AF44" s="440" t="s">
        <v>4635</v>
      </c>
      <c r="AG44" s="739">
        <v>11</v>
      </c>
      <c r="AH44" s="740">
        <f t="shared" si="17"/>
        <v>1289971</v>
      </c>
      <c r="AI44" s="740" t="str">
        <f t="shared" si="18"/>
        <v>Kathryn</v>
      </c>
      <c r="AJ44" s="740" t="str">
        <f t="shared" si="19"/>
        <v>Edwards</v>
      </c>
      <c r="AK44" s="740"/>
      <c r="AL44" s="740"/>
      <c r="AM44" s="740"/>
      <c r="AN44" s="740"/>
      <c r="AO44" s="740"/>
      <c r="AQ44" s="741">
        <f t="shared" ca="1" si="20"/>
        <v>39217</v>
      </c>
    </row>
    <row r="45" spans="1:43" ht="20.25" customHeight="1" x14ac:dyDescent="0.25">
      <c r="A45" s="727">
        <v>18</v>
      </c>
      <c r="B45" s="742" t="s">
        <v>4346</v>
      </c>
      <c r="C45" s="728" t="s">
        <v>328</v>
      </c>
      <c r="D45" s="729">
        <v>11</v>
      </c>
      <c r="E45" s="730">
        <v>1214426</v>
      </c>
      <c r="F45" s="731" t="s">
        <v>4744</v>
      </c>
      <c r="G45" s="731" t="s">
        <v>4907</v>
      </c>
      <c r="H45" s="732">
        <v>38824</v>
      </c>
      <c r="I45" s="733" t="str">
        <f t="shared" si="13"/>
        <v>Daniel Parker</v>
      </c>
      <c r="J45" s="734" t="str">
        <f t="shared" si="14"/>
        <v>Parker,Daniel</v>
      </c>
      <c r="K45" s="735">
        <f t="shared" ca="1" si="15"/>
        <v>17</v>
      </c>
      <c r="L45" s="736" t="str">
        <f t="shared" si="16"/>
        <v>170406</v>
      </c>
      <c r="M45" s="770" t="str">
        <f ca="1">IF(K45=0,0,IF(K45&lt;9,"TOO YOUNG",IF(K45&lt;60,"OK","BIT OLD MAYBE")))</f>
        <v>OK</v>
      </c>
      <c r="AD45" s="722">
        <f t="shared" si="21"/>
        <v>18</v>
      </c>
      <c r="AE45" s="443" t="str">
        <f t="shared" si="22"/>
        <v>Open/Male 16+ 100m Butterfly</v>
      </c>
      <c r="AF45" s="440" t="s">
        <v>328</v>
      </c>
      <c r="AG45" s="739">
        <v>11</v>
      </c>
      <c r="AH45" s="740">
        <f t="shared" si="17"/>
        <v>1214426</v>
      </c>
      <c r="AI45" s="740" t="str">
        <f t="shared" si="18"/>
        <v>Daniel</v>
      </c>
      <c r="AJ45" s="740" t="str">
        <f t="shared" si="19"/>
        <v>Parker</v>
      </c>
      <c r="AK45" s="740"/>
      <c r="AL45" s="740"/>
      <c r="AM45" s="740"/>
      <c r="AN45" s="740"/>
      <c r="AO45" s="740"/>
      <c r="AQ45" s="741">
        <f t="shared" ca="1" si="20"/>
        <v>38824</v>
      </c>
    </row>
    <row r="46" spans="1:43" ht="20.25" customHeight="1" x14ac:dyDescent="0.25">
      <c r="A46" s="745">
        <v>19</v>
      </c>
      <c r="B46" s="773" t="s">
        <v>4347</v>
      </c>
      <c r="C46" s="774" t="s">
        <v>4635</v>
      </c>
      <c r="D46" s="775">
        <v>10</v>
      </c>
      <c r="E46" s="730">
        <v>1577783</v>
      </c>
      <c r="F46" s="731" t="s">
        <v>4873</v>
      </c>
      <c r="G46" s="731" t="s">
        <v>4874</v>
      </c>
      <c r="H46" s="732">
        <v>41540</v>
      </c>
      <c r="I46" s="733" t="str">
        <f t="shared" si="13"/>
        <v>Caoife Long</v>
      </c>
      <c r="J46" s="734" t="str">
        <f t="shared" si="14"/>
        <v>Long,Caoife</v>
      </c>
      <c r="K46" s="735">
        <f t="shared" ca="1" si="15"/>
        <v>10</v>
      </c>
      <c r="L46" s="736" t="str">
        <f t="shared" si="16"/>
        <v>230913</v>
      </c>
      <c r="M46" s="766" t="str">
        <f ca="1">IF(K46=0,0,IF(K46&lt;10,"TOO YOUNG",IF(K46&lt;12,"OK","NOT ELIGIBLE")))</f>
        <v>OK</v>
      </c>
      <c r="AD46" s="722">
        <f t="shared" si="21"/>
        <v>19</v>
      </c>
      <c r="AE46" s="443" t="str">
        <f t="shared" si="22"/>
        <v>Female 10/11 50m Butterfly</v>
      </c>
      <c r="AF46" s="440" t="s">
        <v>4635</v>
      </c>
      <c r="AG46" s="739">
        <v>10</v>
      </c>
      <c r="AH46" s="740">
        <f t="shared" si="17"/>
        <v>1577783</v>
      </c>
      <c r="AI46" s="740" t="str">
        <f t="shared" si="18"/>
        <v>Caoife</v>
      </c>
      <c r="AJ46" s="740" t="str">
        <f t="shared" si="19"/>
        <v>Long</v>
      </c>
      <c r="AK46" s="740"/>
      <c r="AL46" s="740"/>
      <c r="AM46" s="740"/>
      <c r="AN46" s="740"/>
      <c r="AO46" s="740"/>
      <c r="AQ46" s="741">
        <f t="shared" ca="1" si="20"/>
        <v>41540</v>
      </c>
    </row>
    <row r="47" spans="1:43" ht="20.25" customHeight="1" x14ac:dyDescent="0.25">
      <c r="A47" s="745">
        <v>20</v>
      </c>
      <c r="B47" s="773" t="s">
        <v>4348</v>
      </c>
      <c r="C47" s="774" t="s">
        <v>328</v>
      </c>
      <c r="D47" s="775">
        <v>10</v>
      </c>
      <c r="E47" s="730">
        <v>1652331</v>
      </c>
      <c r="F47" s="731" t="s">
        <v>4878</v>
      </c>
      <c r="G47" s="731" t="s">
        <v>4879</v>
      </c>
      <c r="H47" s="732">
        <v>41549</v>
      </c>
      <c r="I47" s="733" t="str">
        <f t="shared" si="13"/>
        <v>Myron Young</v>
      </c>
      <c r="J47" s="734" t="str">
        <f t="shared" si="14"/>
        <v>Young,Myron</v>
      </c>
      <c r="K47" s="735">
        <f t="shared" ca="1" si="15"/>
        <v>10</v>
      </c>
      <c r="L47" s="736" t="str">
        <f t="shared" si="16"/>
        <v>021013</v>
      </c>
      <c r="M47" s="766" t="str">
        <f ca="1">IF(K47=0,0,IF(K47&lt;10,"TOO YOUNG",IF(K47&lt;12,"OK","NOT ELIGIBLE")))</f>
        <v>OK</v>
      </c>
      <c r="AD47" s="722">
        <f t="shared" si="21"/>
        <v>20</v>
      </c>
      <c r="AE47" s="443" t="str">
        <f t="shared" si="22"/>
        <v>Open/Male 10/11 50m Butterfly</v>
      </c>
      <c r="AF47" s="440" t="s">
        <v>328</v>
      </c>
      <c r="AG47" s="739">
        <v>10</v>
      </c>
      <c r="AH47" s="740">
        <f t="shared" si="17"/>
        <v>1652331</v>
      </c>
      <c r="AI47" s="740" t="str">
        <f t="shared" si="18"/>
        <v>Myron</v>
      </c>
      <c r="AJ47" s="740" t="str">
        <f t="shared" si="19"/>
        <v>Young</v>
      </c>
      <c r="AK47" s="740"/>
      <c r="AL47" s="740"/>
      <c r="AM47" s="740"/>
      <c r="AN47" s="740"/>
      <c r="AO47" s="740"/>
      <c r="AQ47" s="741">
        <f t="shared" ca="1" si="20"/>
        <v>41549</v>
      </c>
    </row>
    <row r="48" spans="1:43" ht="20.25" customHeight="1" x14ac:dyDescent="0.25">
      <c r="A48" s="755">
        <v>21</v>
      </c>
      <c r="B48" s="776" t="s">
        <v>4349</v>
      </c>
      <c r="C48" s="777" t="s">
        <v>4635</v>
      </c>
      <c r="D48" s="778">
        <v>14</v>
      </c>
      <c r="E48" s="730">
        <v>1468756</v>
      </c>
      <c r="F48" s="731" t="s">
        <v>4884</v>
      </c>
      <c r="G48" s="731" t="s">
        <v>4885</v>
      </c>
      <c r="H48" s="732">
        <v>40253</v>
      </c>
      <c r="I48" s="733" t="str">
        <f t="shared" si="13"/>
        <v>Orlagh Northgrave</v>
      </c>
      <c r="J48" s="734" t="str">
        <f t="shared" si="14"/>
        <v>Northgrave,Orlagh</v>
      </c>
      <c r="K48" s="735">
        <f t="shared" ca="1" si="15"/>
        <v>13</v>
      </c>
      <c r="L48" s="736" t="str">
        <f t="shared" si="16"/>
        <v>160310</v>
      </c>
      <c r="M48" s="766" t="str">
        <f ca="1">IF(K48=0,0,IF(K48&lt;9,"TOO YOUNG",IF(K48&lt;14,"OK","NOT ELIGIBLE")))</f>
        <v>OK</v>
      </c>
      <c r="AD48" s="722">
        <f t="shared" si="21"/>
        <v>21</v>
      </c>
      <c r="AE48" s="443" t="str">
        <f t="shared" si="22"/>
        <v>Female 13/U 100m Backstroke</v>
      </c>
      <c r="AF48" s="440" t="s">
        <v>4635</v>
      </c>
      <c r="AG48" s="739">
        <v>14</v>
      </c>
      <c r="AH48" s="740">
        <f t="shared" si="17"/>
        <v>1468756</v>
      </c>
      <c r="AI48" s="740" t="str">
        <f t="shared" si="18"/>
        <v>Orlagh</v>
      </c>
      <c r="AJ48" s="740" t="str">
        <f t="shared" si="19"/>
        <v>Northgrave</v>
      </c>
      <c r="AK48" s="740"/>
      <c r="AL48" s="740"/>
      <c r="AM48" s="740"/>
      <c r="AN48" s="740"/>
      <c r="AO48" s="740"/>
      <c r="AQ48" s="741">
        <f t="shared" ca="1" si="20"/>
        <v>40253</v>
      </c>
    </row>
    <row r="49" spans="1:43" ht="20.25" customHeight="1" x14ac:dyDescent="0.25">
      <c r="A49" s="755">
        <v>22</v>
      </c>
      <c r="B49" s="776" t="s">
        <v>4350</v>
      </c>
      <c r="C49" s="777" t="s">
        <v>328</v>
      </c>
      <c r="D49" s="778">
        <v>14</v>
      </c>
      <c r="E49" s="730">
        <v>1606486</v>
      </c>
      <c r="F49" s="731" t="s">
        <v>4891</v>
      </c>
      <c r="G49" s="731" t="s">
        <v>4892</v>
      </c>
      <c r="H49" s="732">
        <v>40237</v>
      </c>
      <c r="I49" s="733" t="str">
        <f t="shared" si="13"/>
        <v>Liam Hurst</v>
      </c>
      <c r="J49" s="734" t="str">
        <f t="shared" si="14"/>
        <v>Hurst,Liam</v>
      </c>
      <c r="K49" s="735">
        <f t="shared" ca="1" si="15"/>
        <v>13</v>
      </c>
      <c r="L49" s="736" t="str">
        <f t="shared" si="16"/>
        <v>280210</v>
      </c>
      <c r="M49" s="766" t="str">
        <f ca="1">IF(K49=0,0,IF(K49&lt;9,"TOO YOUNG",IF(K49&lt;14,"OK","NOT ELIGIBLE")))</f>
        <v>OK</v>
      </c>
      <c r="AD49" s="722">
        <f t="shared" si="21"/>
        <v>22</v>
      </c>
      <c r="AE49" s="443" t="str">
        <f t="shared" si="22"/>
        <v>Open/Male 13/U 100m Backstroke</v>
      </c>
      <c r="AF49" s="440" t="s">
        <v>328</v>
      </c>
      <c r="AG49" s="739">
        <v>14</v>
      </c>
      <c r="AH49" s="740">
        <f t="shared" si="17"/>
        <v>1606486</v>
      </c>
      <c r="AI49" s="740" t="str">
        <f t="shared" si="18"/>
        <v>Liam</v>
      </c>
      <c r="AJ49" s="740" t="str">
        <f t="shared" si="19"/>
        <v>Hurst</v>
      </c>
      <c r="AK49" s="740"/>
      <c r="AL49" s="740"/>
      <c r="AM49" s="740"/>
      <c r="AN49" s="740"/>
      <c r="AO49" s="740"/>
      <c r="AQ49" s="741">
        <f t="shared" ca="1" si="20"/>
        <v>40237</v>
      </c>
    </row>
    <row r="50" spans="1:43" ht="20.25" customHeight="1" x14ac:dyDescent="0.25">
      <c r="A50" s="779">
        <v>23</v>
      </c>
      <c r="B50" s="780" t="s">
        <v>4351</v>
      </c>
      <c r="C50" s="781" t="s">
        <v>4635</v>
      </c>
      <c r="D50" s="782">
        <v>11</v>
      </c>
      <c r="E50" s="730">
        <v>1338793</v>
      </c>
      <c r="F50" s="731" t="s">
        <v>4784</v>
      </c>
      <c r="G50" s="731" t="s">
        <v>4902</v>
      </c>
      <c r="H50" s="732">
        <v>39596</v>
      </c>
      <c r="I50" s="733" t="str">
        <f t="shared" si="13"/>
        <v>Mia Macklin</v>
      </c>
      <c r="J50" s="734" t="str">
        <f t="shared" si="14"/>
        <v>Macklin,Mia</v>
      </c>
      <c r="K50" s="735">
        <f t="shared" ca="1" si="15"/>
        <v>15</v>
      </c>
      <c r="L50" s="736" t="str">
        <f t="shared" si="16"/>
        <v>280508</v>
      </c>
      <c r="M50" s="766" t="str">
        <f ca="1">IF(K50=0,0,IF(K50&lt;9,"TOO YOUNG",IF(K50&lt;16,"OK","NOT ELIGIBLE")))</f>
        <v>OK</v>
      </c>
      <c r="AD50" s="722">
        <f t="shared" si="21"/>
        <v>23</v>
      </c>
      <c r="AE50" s="443" t="str">
        <f t="shared" si="22"/>
        <v>Female 15/U 100m Butterfly</v>
      </c>
      <c r="AF50" s="440" t="s">
        <v>4635</v>
      </c>
      <c r="AG50" s="739">
        <v>11</v>
      </c>
      <c r="AH50" s="740">
        <f t="shared" si="17"/>
        <v>1338793</v>
      </c>
      <c r="AI50" s="740" t="str">
        <f t="shared" si="18"/>
        <v>Mia</v>
      </c>
      <c r="AJ50" s="740" t="str">
        <f t="shared" si="19"/>
        <v>Macklin</v>
      </c>
      <c r="AK50" s="740"/>
      <c r="AL50" s="740"/>
      <c r="AM50" s="740"/>
      <c r="AN50" s="740"/>
      <c r="AO50" s="740"/>
      <c r="AQ50" s="741">
        <f t="shared" ca="1" si="20"/>
        <v>39596</v>
      </c>
    </row>
    <row r="51" spans="1:43" ht="20.25" customHeight="1" x14ac:dyDescent="0.25">
      <c r="A51" s="779">
        <v>24</v>
      </c>
      <c r="B51" s="780" t="s">
        <v>4697</v>
      </c>
      <c r="C51" s="781" t="s">
        <v>328</v>
      </c>
      <c r="D51" s="782">
        <v>11</v>
      </c>
      <c r="E51" s="730">
        <v>1328032</v>
      </c>
      <c r="F51" s="731" t="s">
        <v>4906</v>
      </c>
      <c r="G51" s="731" t="s">
        <v>4907</v>
      </c>
      <c r="H51" s="732">
        <v>39822</v>
      </c>
      <c r="I51" s="733" t="str">
        <f t="shared" si="13"/>
        <v>Joshua Parker</v>
      </c>
      <c r="J51" s="734" t="str">
        <f t="shared" si="14"/>
        <v>Parker,Joshua</v>
      </c>
      <c r="K51" s="735">
        <f t="shared" ca="1" si="15"/>
        <v>14</v>
      </c>
      <c r="L51" s="736" t="str">
        <f t="shared" si="16"/>
        <v>090109</v>
      </c>
      <c r="M51" s="766" t="str">
        <f ca="1">IF(K51=0,0,IF(K51&lt;9,"TOO YOUNG",IF(K51&lt;16,"OK","NOT ELIGIBLE")))</f>
        <v>OK</v>
      </c>
      <c r="AD51" s="722">
        <f t="shared" si="21"/>
        <v>24</v>
      </c>
      <c r="AE51" s="443" t="str">
        <f t="shared" si="22"/>
        <v>Open/Male 15/U 100m Butterfly</v>
      </c>
      <c r="AF51" s="440" t="s">
        <v>328</v>
      </c>
      <c r="AG51" s="739">
        <v>11</v>
      </c>
      <c r="AH51" s="740">
        <f t="shared" si="17"/>
        <v>1328032</v>
      </c>
      <c r="AI51" s="740" t="str">
        <f t="shared" si="18"/>
        <v>Joshua</v>
      </c>
      <c r="AJ51" s="740" t="str">
        <f t="shared" si="19"/>
        <v>Parker</v>
      </c>
      <c r="AK51" s="740"/>
      <c r="AL51" s="740"/>
      <c r="AM51" s="740"/>
      <c r="AN51" s="740"/>
      <c r="AO51" s="740"/>
      <c r="AQ51" s="741">
        <f t="shared" ca="1" si="20"/>
        <v>39822</v>
      </c>
    </row>
    <row r="52" spans="1:43" ht="20.25" customHeight="1" x14ac:dyDescent="0.25">
      <c r="A52" s="727">
        <v>25</v>
      </c>
      <c r="B52" s="742" t="s">
        <v>4353</v>
      </c>
      <c r="C52" s="728" t="s">
        <v>4635</v>
      </c>
      <c r="D52" s="729">
        <v>14</v>
      </c>
      <c r="E52" s="730">
        <v>1292692</v>
      </c>
      <c r="F52" s="731" t="s">
        <v>4867</v>
      </c>
      <c r="G52" s="731" t="s">
        <v>4868</v>
      </c>
      <c r="H52" s="732">
        <v>39407</v>
      </c>
      <c r="I52" s="733" t="str">
        <f t="shared" si="13"/>
        <v>Isabelle Talbot</v>
      </c>
      <c r="J52" s="734" t="str">
        <f t="shared" si="14"/>
        <v>Talbot,Isabelle</v>
      </c>
      <c r="K52" s="735">
        <f t="shared" ca="1" si="15"/>
        <v>16</v>
      </c>
      <c r="L52" s="736" t="str">
        <f t="shared" si="16"/>
        <v>211107</v>
      </c>
      <c r="M52" s="770" t="str">
        <f ca="1">IF(K52=0,0,IF(K52&lt;9,"TOO YOUNG",IF(K52&lt;60,"OK","BIT OLD MAYBE")))</f>
        <v>OK</v>
      </c>
      <c r="AD52" s="722">
        <f t="shared" si="21"/>
        <v>25</v>
      </c>
      <c r="AE52" s="443" t="str">
        <f t="shared" si="22"/>
        <v>Female 16+ 100m Backstroke</v>
      </c>
      <c r="AF52" s="440" t="s">
        <v>4635</v>
      </c>
      <c r="AG52" s="739">
        <v>14</v>
      </c>
      <c r="AH52" s="740">
        <f t="shared" si="17"/>
        <v>1292692</v>
      </c>
      <c r="AI52" s="740" t="str">
        <f t="shared" si="18"/>
        <v>Isabelle</v>
      </c>
      <c r="AJ52" s="740" t="str">
        <f t="shared" si="19"/>
        <v>Talbot</v>
      </c>
      <c r="AK52" s="740"/>
      <c r="AL52" s="740"/>
      <c r="AM52" s="740"/>
      <c r="AN52" s="740"/>
      <c r="AO52" s="740"/>
      <c r="AQ52" s="741">
        <f t="shared" ca="1" si="20"/>
        <v>39407</v>
      </c>
    </row>
    <row r="53" spans="1:43" ht="20.25" customHeight="1" x14ac:dyDescent="0.25">
      <c r="A53" s="727">
        <v>26</v>
      </c>
      <c r="B53" s="742" t="s">
        <v>4698</v>
      </c>
      <c r="C53" s="728" t="s">
        <v>328</v>
      </c>
      <c r="D53" s="729">
        <v>14</v>
      </c>
      <c r="E53" s="730">
        <v>1292412</v>
      </c>
      <c r="F53" s="731" t="s">
        <v>4914</v>
      </c>
      <c r="G53" s="731" t="s">
        <v>4915</v>
      </c>
      <c r="H53" s="732">
        <v>38796</v>
      </c>
      <c r="I53" s="733" t="str">
        <f t="shared" si="13"/>
        <v>Jamie Hartnup</v>
      </c>
      <c r="J53" s="734" t="str">
        <f t="shared" si="14"/>
        <v>Hartnup,Jamie</v>
      </c>
      <c r="K53" s="735">
        <f t="shared" ca="1" si="15"/>
        <v>17</v>
      </c>
      <c r="L53" s="736" t="str">
        <f t="shared" si="16"/>
        <v>200306</v>
      </c>
      <c r="M53" s="770" t="str">
        <f ca="1">IF(K53=0,0,IF(K53&lt;9,"TOO YOUNG",IF(K53&lt;60,"OK","BIT OLD MAYBE")))</f>
        <v>OK</v>
      </c>
      <c r="AD53" s="722">
        <f t="shared" si="21"/>
        <v>26</v>
      </c>
      <c r="AE53" s="443" t="str">
        <f t="shared" si="22"/>
        <v>Open/Male 16+100m Backstroke</v>
      </c>
      <c r="AF53" s="440" t="s">
        <v>328</v>
      </c>
      <c r="AG53" s="739">
        <v>14</v>
      </c>
      <c r="AH53" s="740">
        <f t="shared" si="17"/>
        <v>1292412</v>
      </c>
      <c r="AI53" s="740" t="str">
        <f t="shared" si="18"/>
        <v>Jamie</v>
      </c>
      <c r="AJ53" s="740" t="str">
        <f t="shared" si="19"/>
        <v>Hartnup</v>
      </c>
      <c r="AK53" s="740"/>
      <c r="AL53" s="740"/>
      <c r="AM53" s="740"/>
      <c r="AN53" s="740"/>
      <c r="AO53" s="740"/>
      <c r="AQ53" s="741">
        <f t="shared" ca="1" si="20"/>
        <v>38796</v>
      </c>
    </row>
    <row r="54" spans="1:43" ht="20.25" customHeight="1" x14ac:dyDescent="0.25">
      <c r="A54" s="745">
        <v>27</v>
      </c>
      <c r="B54" s="773" t="s">
        <v>4355</v>
      </c>
      <c r="C54" s="774" t="s">
        <v>4635</v>
      </c>
      <c r="D54" s="775">
        <v>7</v>
      </c>
      <c r="E54" s="730">
        <v>1577783</v>
      </c>
      <c r="F54" s="731" t="s">
        <v>4873</v>
      </c>
      <c r="G54" s="731" t="s">
        <v>4874</v>
      </c>
      <c r="H54" s="732">
        <v>41540</v>
      </c>
      <c r="I54" s="733" t="str">
        <f t="shared" si="13"/>
        <v>Caoife Long</v>
      </c>
      <c r="J54" s="734" t="str">
        <f t="shared" si="14"/>
        <v>Long,Caoife</v>
      </c>
      <c r="K54" s="735">
        <f t="shared" ca="1" si="15"/>
        <v>10</v>
      </c>
      <c r="L54" s="736" t="str">
        <f t="shared" si="16"/>
        <v>230913</v>
      </c>
      <c r="M54" s="766" t="str">
        <f ca="1">IF(K54=0,0,IF(K54&lt;10,"TOO YOUNG",IF(K54&lt;12,"OK","NOT ELIGIBLE")))</f>
        <v>OK</v>
      </c>
      <c r="AD54" s="722">
        <f t="shared" si="21"/>
        <v>27</v>
      </c>
      <c r="AE54" s="443" t="str">
        <f t="shared" si="22"/>
        <v>Female 10/11 50m Breaststroke</v>
      </c>
      <c r="AF54" s="440" t="s">
        <v>4635</v>
      </c>
      <c r="AG54" s="739">
        <v>7</v>
      </c>
      <c r="AH54" s="740">
        <f t="shared" si="17"/>
        <v>1577783</v>
      </c>
      <c r="AI54" s="740" t="str">
        <f t="shared" si="18"/>
        <v>Caoife</v>
      </c>
      <c r="AJ54" s="740" t="str">
        <f t="shared" si="19"/>
        <v>Long</v>
      </c>
      <c r="AK54" s="740"/>
      <c r="AL54" s="740"/>
      <c r="AM54" s="740"/>
      <c r="AN54" s="740"/>
      <c r="AO54" s="740"/>
      <c r="AQ54" s="741">
        <f t="shared" ca="1" si="20"/>
        <v>41540</v>
      </c>
    </row>
    <row r="55" spans="1:43" ht="20.25" customHeight="1" x14ac:dyDescent="0.25">
      <c r="A55" s="745">
        <v>28</v>
      </c>
      <c r="B55" s="773" t="s">
        <v>4356</v>
      </c>
      <c r="C55" s="774" t="s">
        <v>328</v>
      </c>
      <c r="D55" s="775">
        <v>7</v>
      </c>
      <c r="E55" s="730">
        <v>1496506</v>
      </c>
      <c r="F55" s="731" t="s">
        <v>4882</v>
      </c>
      <c r="G55" s="731" t="s">
        <v>4883</v>
      </c>
      <c r="H55" s="732">
        <v>41044</v>
      </c>
      <c r="I55" s="733" t="str">
        <f t="shared" si="13"/>
        <v>Braden Barnacle</v>
      </c>
      <c r="J55" s="734" t="str">
        <f t="shared" si="14"/>
        <v>Barnacle,Braden</v>
      </c>
      <c r="K55" s="735">
        <f t="shared" ca="1" si="15"/>
        <v>11</v>
      </c>
      <c r="L55" s="736" t="str">
        <f t="shared" si="16"/>
        <v>150512</v>
      </c>
      <c r="M55" s="766" t="str">
        <f ca="1">IF(K55=0,0,IF(K55&lt;10,"TOO YOUNG",IF(K55&lt;12,"OK","NOT ELIGIBLE")))</f>
        <v>OK</v>
      </c>
      <c r="AD55" s="722">
        <f t="shared" si="21"/>
        <v>28</v>
      </c>
      <c r="AE55" s="443" t="str">
        <f t="shared" si="22"/>
        <v>Open/Male 10/11 50m Breaststroke</v>
      </c>
      <c r="AF55" s="440" t="s">
        <v>328</v>
      </c>
      <c r="AG55" s="739">
        <v>7</v>
      </c>
      <c r="AH55" s="740">
        <f t="shared" si="17"/>
        <v>1496506</v>
      </c>
      <c r="AI55" s="740" t="str">
        <f t="shared" si="18"/>
        <v>Braden</v>
      </c>
      <c r="AJ55" s="740" t="str">
        <f t="shared" si="19"/>
        <v>Barnacle</v>
      </c>
      <c r="AK55" s="740"/>
      <c r="AL55" s="740"/>
      <c r="AM55" s="740"/>
      <c r="AN55" s="740"/>
      <c r="AO55" s="740"/>
      <c r="AQ55" s="741">
        <f t="shared" ca="1" si="20"/>
        <v>41044</v>
      </c>
    </row>
    <row r="56" spans="1:43" ht="20.25" customHeight="1" x14ac:dyDescent="0.25">
      <c r="A56" s="755">
        <v>29</v>
      </c>
      <c r="B56" s="776" t="s">
        <v>4357</v>
      </c>
      <c r="C56" s="777" t="s">
        <v>4635</v>
      </c>
      <c r="D56" s="778">
        <v>11</v>
      </c>
      <c r="E56" s="730">
        <v>1487099</v>
      </c>
      <c r="F56" s="731" t="s">
        <v>4887</v>
      </c>
      <c r="G56" s="731" t="s">
        <v>4888</v>
      </c>
      <c r="H56" s="732">
        <v>40446</v>
      </c>
      <c r="I56" s="733" t="str">
        <f t="shared" si="13"/>
        <v>Aimee Baker</v>
      </c>
      <c r="J56" s="734" t="str">
        <f t="shared" si="14"/>
        <v>Baker,Aimee</v>
      </c>
      <c r="K56" s="735">
        <f t="shared" ca="1" si="15"/>
        <v>13</v>
      </c>
      <c r="L56" s="736" t="str">
        <f t="shared" si="16"/>
        <v>250910</v>
      </c>
      <c r="M56" s="766" t="str">
        <f ca="1">IF(K56=0,0,IF(K56&lt;9,"TOO YOUNG",IF(K56&lt;14,"OK","NOT ELIGIBLE")))</f>
        <v>OK</v>
      </c>
      <c r="AD56" s="722">
        <f t="shared" si="21"/>
        <v>29</v>
      </c>
      <c r="AE56" s="443" t="str">
        <f t="shared" si="22"/>
        <v>Female 13/U 100m Butterfly</v>
      </c>
      <c r="AF56" s="440" t="s">
        <v>4635</v>
      </c>
      <c r="AG56" s="739">
        <v>11</v>
      </c>
      <c r="AH56" s="740">
        <f t="shared" si="17"/>
        <v>1487099</v>
      </c>
      <c r="AI56" s="740" t="str">
        <f t="shared" si="18"/>
        <v>Aimee</v>
      </c>
      <c r="AJ56" s="740" t="str">
        <f t="shared" si="19"/>
        <v>Baker</v>
      </c>
      <c r="AK56" s="740"/>
      <c r="AL56" s="740"/>
      <c r="AM56" s="740"/>
      <c r="AN56" s="740"/>
      <c r="AO56" s="740"/>
      <c r="AQ56" s="741">
        <f t="shared" ca="1" si="20"/>
        <v>40446</v>
      </c>
    </row>
    <row r="57" spans="1:43" ht="20.25" customHeight="1" x14ac:dyDescent="0.25">
      <c r="A57" s="755">
        <v>30</v>
      </c>
      <c r="B57" s="776" t="s">
        <v>4358</v>
      </c>
      <c r="C57" s="777" t="s">
        <v>328</v>
      </c>
      <c r="D57" s="778">
        <v>11</v>
      </c>
      <c r="E57" s="730">
        <v>1515673</v>
      </c>
      <c r="F57" s="731" t="s">
        <v>4895</v>
      </c>
      <c r="G57" s="731" t="s">
        <v>4896</v>
      </c>
      <c r="H57" s="732">
        <v>40846</v>
      </c>
      <c r="I57" s="733" t="str">
        <f t="shared" si="13"/>
        <v>Poyraz Akbiyik</v>
      </c>
      <c r="J57" s="734" t="str">
        <f t="shared" si="14"/>
        <v>Akbiyik,Poyraz</v>
      </c>
      <c r="K57" s="735">
        <f t="shared" ca="1" si="15"/>
        <v>12</v>
      </c>
      <c r="L57" s="736" t="str">
        <f t="shared" si="16"/>
        <v>301011</v>
      </c>
      <c r="M57" s="766" t="str">
        <f ca="1">IF(K57=0,0,IF(K57&lt;9,"TOO YOUNG",IF(K57&lt;14,"OK","NOT ELIGIBLE")))</f>
        <v>OK</v>
      </c>
      <c r="AD57" s="722">
        <f t="shared" si="21"/>
        <v>30</v>
      </c>
      <c r="AE57" s="443" t="str">
        <f t="shared" si="22"/>
        <v>Open/Male 13/U 100m Butterfly</v>
      </c>
      <c r="AF57" s="440" t="s">
        <v>328</v>
      </c>
      <c r="AG57" s="739">
        <v>11</v>
      </c>
      <c r="AH57" s="740">
        <f t="shared" si="17"/>
        <v>1515673</v>
      </c>
      <c r="AI57" s="740" t="str">
        <f t="shared" si="18"/>
        <v>Poyraz</v>
      </c>
      <c r="AJ57" s="740" t="str">
        <f t="shared" si="19"/>
        <v>Akbiyik</v>
      </c>
      <c r="AK57" s="740"/>
      <c r="AL57" s="740"/>
      <c r="AM57" s="740"/>
      <c r="AN57" s="740"/>
      <c r="AO57" s="740"/>
      <c r="AQ57" s="741">
        <f t="shared" ca="1" si="20"/>
        <v>40846</v>
      </c>
    </row>
    <row r="58" spans="1:43" ht="20.25" customHeight="1" x14ac:dyDescent="0.25">
      <c r="A58" s="779">
        <v>31</v>
      </c>
      <c r="B58" s="780" t="s">
        <v>4359</v>
      </c>
      <c r="C58" s="781" t="s">
        <v>4635</v>
      </c>
      <c r="D58" s="782">
        <v>2</v>
      </c>
      <c r="E58" s="730">
        <v>1338793</v>
      </c>
      <c r="F58" s="731" t="s">
        <v>4784</v>
      </c>
      <c r="G58" s="731" t="s">
        <v>4902</v>
      </c>
      <c r="H58" s="732">
        <v>39596</v>
      </c>
      <c r="I58" s="733" t="str">
        <f t="shared" si="13"/>
        <v>Mia Macklin</v>
      </c>
      <c r="J58" s="734" t="str">
        <f t="shared" si="14"/>
        <v>Macklin,Mia</v>
      </c>
      <c r="K58" s="735">
        <f t="shared" ca="1" si="15"/>
        <v>15</v>
      </c>
      <c r="L58" s="736" t="str">
        <f t="shared" si="16"/>
        <v>280508</v>
      </c>
      <c r="M58" s="766" t="str">
        <f ca="1">IF(K58=0,0,IF(K58&lt;9,"TOO YOUNG",IF(K58&lt;16,"OK","NOT ELIGIBLE")))</f>
        <v>OK</v>
      </c>
      <c r="AD58" s="722">
        <f t="shared" si="21"/>
        <v>31</v>
      </c>
      <c r="AE58" s="443" t="str">
        <f t="shared" si="22"/>
        <v>Female 15/U 100m Freestyle</v>
      </c>
      <c r="AF58" s="440" t="s">
        <v>4635</v>
      </c>
      <c r="AG58" s="739">
        <v>2</v>
      </c>
      <c r="AH58" s="740">
        <f t="shared" si="17"/>
        <v>1338793</v>
      </c>
      <c r="AI58" s="740" t="str">
        <f t="shared" si="18"/>
        <v>Mia</v>
      </c>
      <c r="AJ58" s="740" t="str">
        <f t="shared" si="19"/>
        <v>Macklin</v>
      </c>
      <c r="AK58" s="740"/>
      <c r="AL58" s="740"/>
      <c r="AM58" s="740"/>
      <c r="AN58" s="740"/>
      <c r="AO58" s="740"/>
      <c r="AQ58" s="741">
        <f t="shared" ca="1" si="20"/>
        <v>39596</v>
      </c>
    </row>
    <row r="59" spans="1:43" ht="20.25" customHeight="1" x14ac:dyDescent="0.25">
      <c r="A59" s="779">
        <v>32</v>
      </c>
      <c r="B59" s="780" t="s">
        <v>4360</v>
      </c>
      <c r="C59" s="781" t="s">
        <v>328</v>
      </c>
      <c r="D59" s="782">
        <v>2</v>
      </c>
      <c r="E59" s="730">
        <v>1328032</v>
      </c>
      <c r="F59" s="731" t="s">
        <v>4906</v>
      </c>
      <c r="G59" s="731" t="s">
        <v>4907</v>
      </c>
      <c r="H59" s="732">
        <v>39822</v>
      </c>
      <c r="I59" s="733" t="str">
        <f t="shared" si="13"/>
        <v>Joshua Parker</v>
      </c>
      <c r="J59" s="734" t="str">
        <f t="shared" si="14"/>
        <v>Parker,Joshua</v>
      </c>
      <c r="K59" s="735">
        <f t="shared" ca="1" si="15"/>
        <v>14</v>
      </c>
      <c r="L59" s="736" t="str">
        <f t="shared" si="16"/>
        <v>090109</v>
      </c>
      <c r="M59" s="766" t="str">
        <f ca="1">IF(K59=0,0,IF(K59&lt;9,"TOO YOUNG",IF(K59&lt;16,"OK","NOT ELIGIBLE")))</f>
        <v>OK</v>
      </c>
      <c r="AD59" s="722">
        <f t="shared" si="21"/>
        <v>32</v>
      </c>
      <c r="AE59" s="443" t="str">
        <f t="shared" si="22"/>
        <v>Open/Male 15/U 100m Freestyle</v>
      </c>
      <c r="AF59" s="440" t="s">
        <v>328</v>
      </c>
      <c r="AG59" s="739">
        <v>2</v>
      </c>
      <c r="AH59" s="740">
        <f t="shared" si="17"/>
        <v>1328032</v>
      </c>
      <c r="AI59" s="740" t="str">
        <f t="shared" si="18"/>
        <v>Joshua</v>
      </c>
      <c r="AJ59" s="740" t="str">
        <f t="shared" si="19"/>
        <v>Parker</v>
      </c>
      <c r="AK59" s="740"/>
      <c r="AL59" s="740"/>
      <c r="AM59" s="740"/>
      <c r="AN59" s="740"/>
      <c r="AO59" s="740"/>
      <c r="AQ59" s="741">
        <f t="shared" ca="1" si="20"/>
        <v>39822</v>
      </c>
    </row>
    <row r="60" spans="1:43" ht="20.25" customHeight="1" x14ac:dyDescent="0.25">
      <c r="A60" s="727">
        <v>33</v>
      </c>
      <c r="B60" s="742" t="s">
        <v>4361</v>
      </c>
      <c r="C60" s="742" t="s">
        <v>4635</v>
      </c>
      <c r="D60" s="783">
        <v>8</v>
      </c>
      <c r="E60" s="730">
        <v>1135673</v>
      </c>
      <c r="F60" s="731" t="s">
        <v>4908</v>
      </c>
      <c r="G60" s="731" t="s">
        <v>4909</v>
      </c>
      <c r="H60" s="732">
        <v>38719</v>
      </c>
      <c r="I60" s="733" t="str">
        <f t="shared" si="13"/>
        <v>Marcie Aley</v>
      </c>
      <c r="J60" s="734" t="str">
        <f t="shared" si="14"/>
        <v>Aley,Marcie</v>
      </c>
      <c r="K60" s="735">
        <f t="shared" ca="1" si="15"/>
        <v>17</v>
      </c>
      <c r="L60" s="736" t="str">
        <f t="shared" si="16"/>
        <v>020106</v>
      </c>
      <c r="M60" s="770" t="str">
        <f ca="1">IF(K60=0,0,IF(K60&lt;9,"TOO YOUNG",IF(K60&lt;60,"OK","BIT OLD MAYBE")))</f>
        <v>OK</v>
      </c>
      <c r="AD60" s="722">
        <f t="shared" si="21"/>
        <v>33</v>
      </c>
      <c r="AE60" s="443" t="str">
        <f t="shared" si="22"/>
        <v>Female 16+ 100m Breaststroke</v>
      </c>
      <c r="AF60" s="443" t="s">
        <v>4635</v>
      </c>
      <c r="AG60" s="744">
        <v>9</v>
      </c>
      <c r="AH60" s="740">
        <f t="shared" si="17"/>
        <v>1135673</v>
      </c>
      <c r="AI60" s="740" t="str">
        <f t="shared" si="18"/>
        <v>Marcie</v>
      </c>
      <c r="AJ60" s="740" t="str">
        <f t="shared" si="19"/>
        <v>Aley</v>
      </c>
      <c r="AK60" s="740"/>
      <c r="AL60" s="740"/>
      <c r="AM60" s="740"/>
      <c r="AN60" s="740"/>
      <c r="AO60" s="740"/>
      <c r="AQ60" s="741">
        <f t="shared" ca="1" si="20"/>
        <v>38719</v>
      </c>
    </row>
    <row r="61" spans="1:43" ht="20.25" customHeight="1" x14ac:dyDescent="0.25">
      <c r="A61" s="727">
        <v>34</v>
      </c>
      <c r="B61" s="742" t="s">
        <v>4362</v>
      </c>
      <c r="C61" s="742" t="s">
        <v>328</v>
      </c>
      <c r="D61" s="783">
        <v>8</v>
      </c>
      <c r="E61" s="730">
        <v>1255059</v>
      </c>
      <c r="F61" s="731" t="s">
        <v>4916</v>
      </c>
      <c r="G61" s="731" t="s">
        <v>4917</v>
      </c>
      <c r="H61" s="732">
        <v>39023</v>
      </c>
      <c r="I61" s="733" t="str">
        <f t="shared" si="13"/>
        <v>Robert Elliston</v>
      </c>
      <c r="J61" s="734" t="str">
        <f t="shared" si="14"/>
        <v>Elliston,Robert</v>
      </c>
      <c r="K61" s="735">
        <f t="shared" ca="1" si="15"/>
        <v>17</v>
      </c>
      <c r="L61" s="736" t="str">
        <f t="shared" si="16"/>
        <v>021106</v>
      </c>
      <c r="M61" s="770" t="str">
        <f ca="1">IF(K61=0,0,IF(K61&lt;9,"TOO YOUNG",IF(K61&lt;60,"OK","BIT OLD MAYBE")))</f>
        <v>OK</v>
      </c>
      <c r="AD61" s="722">
        <f t="shared" si="21"/>
        <v>34</v>
      </c>
      <c r="AE61" s="443" t="str">
        <f t="shared" si="22"/>
        <v>Open/Male 16+ 100m Breaststroke</v>
      </c>
      <c r="AF61" s="443" t="s">
        <v>328</v>
      </c>
      <c r="AG61" s="744">
        <v>9</v>
      </c>
      <c r="AH61" s="740">
        <f t="shared" si="17"/>
        <v>1255059</v>
      </c>
      <c r="AI61" s="740" t="str">
        <f t="shared" si="18"/>
        <v>Robert</v>
      </c>
      <c r="AJ61" s="740" t="str">
        <f t="shared" si="19"/>
        <v>Elliston</v>
      </c>
      <c r="AK61" s="740"/>
      <c r="AL61" s="740"/>
      <c r="AM61" s="740"/>
      <c r="AN61" s="740"/>
      <c r="AO61" s="740"/>
      <c r="AQ61" s="741">
        <f t="shared" ca="1" si="20"/>
        <v>39023</v>
      </c>
    </row>
    <row r="62" spans="1:43" ht="20.25" customHeight="1" x14ac:dyDescent="0.25">
      <c r="A62" s="745">
        <v>35</v>
      </c>
      <c r="B62" s="773" t="s">
        <v>4363</v>
      </c>
      <c r="C62" s="774" t="s">
        <v>4635</v>
      </c>
      <c r="D62" s="775">
        <v>1</v>
      </c>
      <c r="E62" s="730">
        <v>1527055</v>
      </c>
      <c r="F62" s="731" t="s">
        <v>4875</v>
      </c>
      <c r="G62" s="731" t="s">
        <v>4716</v>
      </c>
      <c r="H62" s="732">
        <v>41482</v>
      </c>
      <c r="I62" s="733" t="str">
        <f t="shared" si="13"/>
        <v>Maisie Cooper</v>
      </c>
      <c r="J62" s="734" t="str">
        <f t="shared" si="14"/>
        <v>Cooper,Maisie</v>
      </c>
      <c r="K62" s="735">
        <f t="shared" ca="1" si="15"/>
        <v>10</v>
      </c>
      <c r="L62" s="736" t="str">
        <f t="shared" si="16"/>
        <v>270713</v>
      </c>
      <c r="M62" s="766" t="str">
        <f ca="1">IF(K62=0,0,IF(K62&lt;10,"TOO YOUNG",IF(K62&lt;12,"OK","NOT ELIGIBLE")))</f>
        <v>OK</v>
      </c>
      <c r="AD62" s="722">
        <f t="shared" si="21"/>
        <v>35</v>
      </c>
      <c r="AE62" s="443" t="str">
        <f t="shared" si="22"/>
        <v>Female 10/11 50m Freestyle</v>
      </c>
      <c r="AF62" s="440" t="s">
        <v>4635</v>
      </c>
      <c r="AG62" s="739">
        <v>1</v>
      </c>
      <c r="AH62" s="740">
        <f t="shared" si="17"/>
        <v>1527055</v>
      </c>
      <c r="AI62" s="740" t="str">
        <f t="shared" si="18"/>
        <v>Maisie</v>
      </c>
      <c r="AJ62" s="740" t="str">
        <f t="shared" si="19"/>
        <v>Cooper</v>
      </c>
      <c r="AK62" s="740"/>
      <c r="AL62" s="740"/>
      <c r="AM62" s="740"/>
      <c r="AN62" s="740"/>
      <c r="AO62" s="740"/>
      <c r="AQ62" s="741">
        <f t="shared" ca="1" si="20"/>
        <v>41482</v>
      </c>
    </row>
    <row r="63" spans="1:43" ht="20.25" customHeight="1" x14ac:dyDescent="0.25">
      <c r="A63" s="745">
        <v>36</v>
      </c>
      <c r="B63" s="773" t="s">
        <v>4699</v>
      </c>
      <c r="C63" s="774" t="s">
        <v>328</v>
      </c>
      <c r="D63" s="775">
        <v>1</v>
      </c>
      <c r="E63" s="730">
        <v>1496506</v>
      </c>
      <c r="F63" s="731" t="s">
        <v>4882</v>
      </c>
      <c r="G63" s="731" t="s">
        <v>4883</v>
      </c>
      <c r="H63" s="732">
        <v>41044</v>
      </c>
      <c r="I63" s="733" t="str">
        <f t="shared" si="13"/>
        <v>Braden Barnacle</v>
      </c>
      <c r="J63" s="734" t="str">
        <f t="shared" si="14"/>
        <v>Barnacle,Braden</v>
      </c>
      <c r="K63" s="735">
        <f t="shared" ca="1" si="15"/>
        <v>11</v>
      </c>
      <c r="L63" s="736" t="str">
        <f t="shared" si="16"/>
        <v>150512</v>
      </c>
      <c r="M63" s="766" t="str">
        <f ca="1">IF(K63=0,0,IF(K63&lt;10,"TOO YOUNG",IF(K63&lt;12,"OK","NOT ELIGIBLE")))</f>
        <v>OK</v>
      </c>
      <c r="AD63" s="722">
        <f t="shared" si="21"/>
        <v>36</v>
      </c>
      <c r="AE63" s="443" t="str">
        <f t="shared" si="22"/>
        <v>Open/Male 10/11 50m Freestyle</v>
      </c>
      <c r="AF63" s="440" t="s">
        <v>328</v>
      </c>
      <c r="AG63" s="739">
        <v>1</v>
      </c>
      <c r="AH63" s="740">
        <f t="shared" si="17"/>
        <v>1496506</v>
      </c>
      <c r="AI63" s="740" t="str">
        <f t="shared" si="18"/>
        <v>Braden</v>
      </c>
      <c r="AJ63" s="740" t="str">
        <f t="shared" si="19"/>
        <v>Barnacle</v>
      </c>
      <c r="AK63" s="740"/>
      <c r="AL63" s="740"/>
      <c r="AM63" s="740"/>
      <c r="AN63" s="740"/>
      <c r="AO63" s="740"/>
      <c r="AQ63" s="741">
        <f t="shared" ca="1" si="20"/>
        <v>41044</v>
      </c>
    </row>
    <row r="64" spans="1:43" ht="20.25" customHeight="1" x14ac:dyDescent="0.25">
      <c r="A64" s="755">
        <v>37</v>
      </c>
      <c r="B64" s="776" t="s">
        <v>4365</v>
      </c>
      <c r="C64" s="777" t="s">
        <v>4635</v>
      </c>
      <c r="D64" s="778">
        <v>2</v>
      </c>
      <c r="E64" s="730">
        <v>1487099</v>
      </c>
      <c r="F64" s="731" t="s">
        <v>4887</v>
      </c>
      <c r="G64" s="731" t="s">
        <v>4888</v>
      </c>
      <c r="H64" s="732">
        <v>40446</v>
      </c>
      <c r="I64" s="733" t="str">
        <f t="shared" si="13"/>
        <v>Aimee Baker</v>
      </c>
      <c r="J64" s="734" t="str">
        <f t="shared" si="14"/>
        <v>Baker,Aimee</v>
      </c>
      <c r="K64" s="735">
        <f t="shared" ca="1" si="15"/>
        <v>13</v>
      </c>
      <c r="L64" s="736" t="str">
        <f t="shared" si="16"/>
        <v>250910</v>
      </c>
      <c r="M64" s="766" t="str">
        <f ca="1">IF(K64=0,0,IF(K64&lt;9,"TOO YOUNG",IF(K64&lt;14,"OK","NOT ELIGIBLE")))</f>
        <v>OK</v>
      </c>
      <c r="AD64" s="722">
        <f t="shared" si="21"/>
        <v>37</v>
      </c>
      <c r="AE64" s="443" t="str">
        <f t="shared" si="22"/>
        <v>Female 13/U 100m Freestyle</v>
      </c>
      <c r="AF64" s="440" t="s">
        <v>4635</v>
      </c>
      <c r="AG64" s="739">
        <v>2</v>
      </c>
      <c r="AH64" s="740">
        <f t="shared" si="17"/>
        <v>1487099</v>
      </c>
      <c r="AI64" s="740" t="str">
        <f t="shared" si="18"/>
        <v>Aimee</v>
      </c>
      <c r="AJ64" s="740" t="str">
        <f t="shared" si="19"/>
        <v>Baker</v>
      </c>
      <c r="AK64" s="740"/>
      <c r="AL64" s="740"/>
      <c r="AM64" s="740"/>
      <c r="AN64" s="740"/>
      <c r="AO64" s="740"/>
      <c r="AQ64" s="741">
        <f t="shared" ca="1" si="20"/>
        <v>40446</v>
      </c>
    </row>
    <row r="65" spans="1:43" ht="20.25" customHeight="1" x14ac:dyDescent="0.25">
      <c r="A65" s="755">
        <v>38</v>
      </c>
      <c r="B65" s="776" t="s">
        <v>4366</v>
      </c>
      <c r="C65" s="777" t="s">
        <v>328</v>
      </c>
      <c r="D65" s="778">
        <v>2</v>
      </c>
      <c r="E65" s="730">
        <v>1598082</v>
      </c>
      <c r="F65" s="731" t="s">
        <v>4876</v>
      </c>
      <c r="G65" s="731" t="s">
        <v>4877</v>
      </c>
      <c r="H65" s="732">
        <v>41008</v>
      </c>
      <c r="I65" s="733" t="str">
        <f t="shared" si="13"/>
        <v>Mohammed Malek</v>
      </c>
      <c r="J65" s="734" t="str">
        <f t="shared" si="14"/>
        <v>Malek,Mohammed</v>
      </c>
      <c r="K65" s="735">
        <f t="shared" ca="1" si="15"/>
        <v>11</v>
      </c>
      <c r="L65" s="736" t="str">
        <f t="shared" si="16"/>
        <v>090412</v>
      </c>
      <c r="M65" s="766" t="str">
        <f ca="1">IF(K65=0,0,IF(K65&lt;9,"TOO YOUNG",IF(K65&lt;14,"OK","NOT ELIGIBLE")))</f>
        <v>OK</v>
      </c>
      <c r="AD65" s="722">
        <f t="shared" si="21"/>
        <v>38</v>
      </c>
      <c r="AE65" s="443" t="str">
        <f t="shared" si="22"/>
        <v>Open/Male 13/U 100m Freestyle</v>
      </c>
      <c r="AF65" s="440" t="s">
        <v>328</v>
      </c>
      <c r="AG65" s="739">
        <v>2</v>
      </c>
      <c r="AH65" s="740">
        <f t="shared" si="17"/>
        <v>1598082</v>
      </c>
      <c r="AI65" s="740" t="str">
        <f t="shared" si="18"/>
        <v>Mohammed</v>
      </c>
      <c r="AJ65" s="740" t="str">
        <f t="shared" si="19"/>
        <v>Malek</v>
      </c>
      <c r="AK65" s="740"/>
      <c r="AL65" s="740"/>
      <c r="AM65" s="740"/>
      <c r="AN65" s="740"/>
      <c r="AO65" s="740"/>
      <c r="AQ65" s="741">
        <f t="shared" ca="1" si="20"/>
        <v>41008</v>
      </c>
    </row>
    <row r="66" spans="1:43" ht="20.25" customHeight="1" x14ac:dyDescent="0.25">
      <c r="A66" s="779">
        <v>39</v>
      </c>
      <c r="B66" s="780" t="s">
        <v>4367</v>
      </c>
      <c r="C66" s="781" t="s">
        <v>4635</v>
      </c>
      <c r="D66" s="782">
        <v>8</v>
      </c>
      <c r="E66" s="730">
        <v>1351223</v>
      </c>
      <c r="F66" s="731" t="s">
        <v>4900</v>
      </c>
      <c r="G66" s="731" t="s">
        <v>4901</v>
      </c>
      <c r="H66" s="732">
        <v>39507</v>
      </c>
      <c r="I66" s="733" t="str">
        <f t="shared" si="13"/>
        <v>Hollie Heighes</v>
      </c>
      <c r="J66" s="734" t="str">
        <f t="shared" si="14"/>
        <v>Heighes,Hollie</v>
      </c>
      <c r="K66" s="735">
        <f t="shared" ca="1" si="15"/>
        <v>15</v>
      </c>
      <c r="L66" s="736" t="str">
        <f t="shared" si="16"/>
        <v>290208</v>
      </c>
      <c r="M66" s="766" t="str">
        <f ca="1">IF(K66=0,0,IF(K66&lt;9,"TOO YOUNG",IF(K66&lt;16,"OK","NOT ELIGIBLE")))</f>
        <v>OK</v>
      </c>
      <c r="AD66" s="722">
        <f t="shared" si="21"/>
        <v>39</v>
      </c>
      <c r="AE66" s="443" t="str">
        <f t="shared" si="22"/>
        <v>Female 15/U 100m Breaststroke</v>
      </c>
      <c r="AF66" s="440" t="s">
        <v>4635</v>
      </c>
      <c r="AG66" s="739">
        <v>9</v>
      </c>
      <c r="AH66" s="740">
        <f t="shared" si="17"/>
        <v>1351223</v>
      </c>
      <c r="AI66" s="740" t="str">
        <f t="shared" si="18"/>
        <v>Hollie</v>
      </c>
      <c r="AJ66" s="740" t="str">
        <f t="shared" si="19"/>
        <v>Heighes</v>
      </c>
      <c r="AK66" s="740"/>
      <c r="AL66" s="740"/>
      <c r="AM66" s="740"/>
      <c r="AN66" s="740"/>
      <c r="AO66" s="740"/>
      <c r="AQ66" s="741">
        <f t="shared" ca="1" si="20"/>
        <v>39507</v>
      </c>
    </row>
    <row r="67" spans="1:43" ht="20.25" customHeight="1" x14ac:dyDescent="0.25">
      <c r="A67" s="779">
        <v>40</v>
      </c>
      <c r="B67" s="780" t="s">
        <v>4368</v>
      </c>
      <c r="C67" s="781" t="s">
        <v>328</v>
      </c>
      <c r="D67" s="782">
        <v>8</v>
      </c>
      <c r="E67" s="730">
        <v>1333316</v>
      </c>
      <c r="F67" s="731" t="s">
        <v>4903</v>
      </c>
      <c r="G67" s="731" t="s">
        <v>4904</v>
      </c>
      <c r="H67" s="732">
        <v>39483</v>
      </c>
      <c r="I67" s="733" t="str">
        <f t="shared" si="13"/>
        <v>Nathaniel Coburn</v>
      </c>
      <c r="J67" s="734" t="str">
        <f t="shared" si="14"/>
        <v>Coburn,Nathaniel</v>
      </c>
      <c r="K67" s="735">
        <f t="shared" ca="1" si="15"/>
        <v>15</v>
      </c>
      <c r="L67" s="736" t="str">
        <f t="shared" si="16"/>
        <v>050208</v>
      </c>
      <c r="M67" s="766" t="str">
        <f ca="1">IF(K67=0,0,IF(K67&lt;9,"TOO YOUNG",IF(K67&lt;16,"OK","NOT ELIGIBLE")))</f>
        <v>OK</v>
      </c>
      <c r="AD67" s="722">
        <f t="shared" si="21"/>
        <v>40</v>
      </c>
      <c r="AE67" s="443" t="str">
        <f t="shared" si="22"/>
        <v>Open/Male 15/U 100m Breaststroke</v>
      </c>
      <c r="AF67" s="440" t="s">
        <v>328</v>
      </c>
      <c r="AG67" s="739">
        <v>9</v>
      </c>
      <c r="AH67" s="740">
        <f t="shared" si="17"/>
        <v>1333316</v>
      </c>
      <c r="AI67" s="740" t="str">
        <f t="shared" si="18"/>
        <v>Nathaniel</v>
      </c>
      <c r="AJ67" s="740" t="str">
        <f t="shared" si="19"/>
        <v>Coburn</v>
      </c>
      <c r="AK67" s="740"/>
      <c r="AL67" s="740"/>
      <c r="AM67" s="740"/>
      <c r="AN67" s="740"/>
      <c r="AO67" s="740"/>
      <c r="AQ67" s="741">
        <f t="shared" ca="1" si="20"/>
        <v>39483</v>
      </c>
    </row>
    <row r="68" spans="1:43" ht="20.25" customHeight="1" x14ac:dyDescent="0.25">
      <c r="A68" s="727">
        <v>41</v>
      </c>
      <c r="B68" s="742" t="s">
        <v>4369</v>
      </c>
      <c r="C68" s="728" t="s">
        <v>4635</v>
      </c>
      <c r="D68" s="729">
        <v>2</v>
      </c>
      <c r="E68" s="730">
        <v>1344898</v>
      </c>
      <c r="F68" s="731" t="s">
        <v>4912</v>
      </c>
      <c r="G68" s="731" t="s">
        <v>4913</v>
      </c>
      <c r="H68" s="732">
        <v>38610</v>
      </c>
      <c r="I68" s="733" t="str">
        <f t="shared" ref="I68:I101" si="23">CONCATENATE(F68," ",G68)</f>
        <v>Lily Threadgold</v>
      </c>
      <c r="J68" s="734" t="str">
        <f t="shared" ref="J68:J101" si="24">CONCATENATE(G68,",",F68)</f>
        <v>Threadgold,Lily</v>
      </c>
      <c r="K68" s="735">
        <f t="shared" ref="K68:K99" ca="1" si="25">IF(K$2=0,0,IF(AQ68=0,0,IF(COUNTBLANK(AQ68)=1,"",YEAR(K$2)-YEAR(AQ68)-IF(DATE(YEAR(K$2),MONTH(AQ68),DAY(4638))&gt;K$2,1,0))))</f>
        <v>18</v>
      </c>
      <c r="L68" s="736" t="str">
        <f t="shared" ref="L68:L99" si="26">(TEXT(H68,"DDMMYY"))</f>
        <v>150905</v>
      </c>
      <c r="M68" s="770" t="str">
        <f ca="1">IF(K68=0,0,IF(K68&lt;9,"TOO YOUNG",IF(K68&lt;60,"OK","BIT OLD MAYBE")))</f>
        <v>OK</v>
      </c>
      <c r="AD68" s="722">
        <f t="shared" si="21"/>
        <v>41</v>
      </c>
      <c r="AE68" s="443" t="str">
        <f t="shared" si="22"/>
        <v>Female 16+ 100m Freestyle</v>
      </c>
      <c r="AF68" s="440" t="s">
        <v>4635</v>
      </c>
      <c r="AG68" s="739">
        <v>2</v>
      </c>
      <c r="AH68" s="740">
        <f t="shared" ref="AH68:AH99" si="27">E68</f>
        <v>1344898</v>
      </c>
      <c r="AI68" s="740" t="str">
        <f t="shared" ref="AI68:AI99" si="28">F68</f>
        <v>Lily</v>
      </c>
      <c r="AJ68" s="740" t="str">
        <f t="shared" ref="AJ68:AJ99" si="29">G68</f>
        <v>Threadgold</v>
      </c>
      <c r="AK68" s="740"/>
      <c r="AL68" s="740"/>
      <c r="AM68" s="740"/>
      <c r="AN68" s="740"/>
      <c r="AO68" s="740"/>
      <c r="AQ68" s="741">
        <f t="shared" ref="AQ68:AQ99" ca="1" si="30">INDIRECT(ADDRESS(ROW(),AQ$3))</f>
        <v>38610</v>
      </c>
    </row>
    <row r="69" spans="1:43" ht="20.25" customHeight="1" x14ac:dyDescent="0.25">
      <c r="A69" s="727">
        <v>42</v>
      </c>
      <c r="B69" s="742" t="s">
        <v>4370</v>
      </c>
      <c r="C69" s="728" t="s">
        <v>328</v>
      </c>
      <c r="D69" s="729">
        <v>2</v>
      </c>
      <c r="E69" s="730">
        <v>1255059</v>
      </c>
      <c r="F69" s="731" t="s">
        <v>4916</v>
      </c>
      <c r="G69" s="731" t="s">
        <v>4917</v>
      </c>
      <c r="H69" s="732">
        <v>39023</v>
      </c>
      <c r="I69" s="733" t="str">
        <f t="shared" si="23"/>
        <v>Robert Elliston</v>
      </c>
      <c r="J69" s="734" t="str">
        <f t="shared" si="24"/>
        <v>Elliston,Robert</v>
      </c>
      <c r="K69" s="735">
        <f t="shared" ca="1" si="25"/>
        <v>17</v>
      </c>
      <c r="L69" s="736" t="str">
        <f t="shared" si="26"/>
        <v>021106</v>
      </c>
      <c r="M69" s="770" t="str">
        <f ca="1">IF(K69=0,0,IF(K69&lt;9,"TOO YOUNG",IF(K69&lt;60,"OK","BIT OLD MAYBE")))</f>
        <v>OK</v>
      </c>
      <c r="AD69" s="722">
        <f t="shared" si="21"/>
        <v>42</v>
      </c>
      <c r="AE69" s="443" t="str">
        <f t="shared" si="22"/>
        <v>Open/Male 16+ 100m Freestyle</v>
      </c>
      <c r="AF69" s="440" t="s">
        <v>328</v>
      </c>
      <c r="AG69" s="739">
        <v>2</v>
      </c>
      <c r="AH69" s="740">
        <f t="shared" si="27"/>
        <v>1255059</v>
      </c>
      <c r="AI69" s="740" t="str">
        <f t="shared" si="28"/>
        <v>Robert</v>
      </c>
      <c r="AJ69" s="740" t="str">
        <f t="shared" si="29"/>
        <v>Elliston</v>
      </c>
      <c r="AK69" s="740"/>
      <c r="AL69" s="740"/>
      <c r="AM69" s="740"/>
      <c r="AN69" s="740"/>
      <c r="AO69" s="740"/>
      <c r="AQ69" s="741">
        <f t="shared" ca="1" si="30"/>
        <v>39023</v>
      </c>
    </row>
    <row r="70" spans="1:43" ht="20.25" customHeight="1" x14ac:dyDescent="0.25">
      <c r="A70" s="1254">
        <v>43</v>
      </c>
      <c r="B70" s="1255" t="s">
        <v>4700</v>
      </c>
      <c r="C70" s="746"/>
      <c r="D70" s="747"/>
      <c r="E70" s="730">
        <v>1606480</v>
      </c>
      <c r="F70" s="731" t="s">
        <v>4870</v>
      </c>
      <c r="G70" s="731" t="s">
        <v>4871</v>
      </c>
      <c r="H70" s="732">
        <v>41816</v>
      </c>
      <c r="I70" s="733" t="str">
        <f t="shared" si="23"/>
        <v>Layla Cook</v>
      </c>
      <c r="J70" s="734" t="str">
        <f t="shared" si="24"/>
        <v>Cook,Layla</v>
      </c>
      <c r="K70" s="735">
        <f t="shared" ca="1" si="25"/>
        <v>9</v>
      </c>
      <c r="L70" s="736" t="str">
        <f t="shared" si="26"/>
        <v>260614</v>
      </c>
      <c r="M70" s="766" t="str">
        <f t="shared" ref="M70:M77" ca="1" si="31">IF(K70=0,0,IF(K70&lt;9,"TOO YOUNG",IF(K70&lt;12,"OK","NOT ELIGIBLE")))</f>
        <v>OK</v>
      </c>
      <c r="AD70" s="1244">
        <f t="shared" si="21"/>
        <v>43</v>
      </c>
      <c r="AE70" s="1245" t="str">
        <f t="shared" si="22"/>
        <v>FEMALE 9/11 4 X 50M
MEDLEY RELAY</v>
      </c>
      <c r="AF70" s="749"/>
      <c r="AG70" s="750"/>
      <c r="AH70" s="740">
        <f t="shared" si="27"/>
        <v>1606480</v>
      </c>
      <c r="AI70" s="740" t="str">
        <f t="shared" si="28"/>
        <v>Layla</v>
      </c>
      <c r="AJ70" s="740" t="str">
        <f t="shared" si="29"/>
        <v>Cook</v>
      </c>
      <c r="AK70" s="740"/>
      <c r="AL70" s="740"/>
      <c r="AM70" s="740"/>
      <c r="AN70" s="740"/>
      <c r="AO70" s="740"/>
      <c r="AQ70" s="741">
        <f t="shared" ca="1" si="30"/>
        <v>41816</v>
      </c>
    </row>
    <row r="71" spans="1:43" ht="20.25" customHeight="1" x14ac:dyDescent="0.25">
      <c r="A71" s="1254"/>
      <c r="B71" s="1255"/>
      <c r="C71" s="751"/>
      <c r="D71" s="752"/>
      <c r="E71" s="730">
        <v>1527055</v>
      </c>
      <c r="F71" s="731" t="s">
        <v>4875</v>
      </c>
      <c r="G71" s="731" t="s">
        <v>4716</v>
      </c>
      <c r="H71" s="732">
        <v>41482</v>
      </c>
      <c r="I71" s="733" t="str">
        <f t="shared" si="23"/>
        <v>Maisie Cooper</v>
      </c>
      <c r="J71" s="734" t="str">
        <f t="shared" si="24"/>
        <v>Cooper,Maisie</v>
      </c>
      <c r="K71" s="735">
        <f t="shared" ca="1" si="25"/>
        <v>10</v>
      </c>
      <c r="L71" s="736" t="str">
        <f t="shared" si="26"/>
        <v>270713</v>
      </c>
      <c r="M71" s="766" t="str">
        <f t="shared" ca="1" si="31"/>
        <v>OK</v>
      </c>
      <c r="AD71" s="1244"/>
      <c r="AE71" s="1245"/>
      <c r="AF71" s="753"/>
      <c r="AG71" s="754"/>
      <c r="AH71" s="740">
        <f t="shared" si="27"/>
        <v>1527055</v>
      </c>
      <c r="AI71" s="740" t="str">
        <f t="shared" si="28"/>
        <v>Maisie</v>
      </c>
      <c r="AJ71" s="740" t="str">
        <f t="shared" si="29"/>
        <v>Cooper</v>
      </c>
      <c r="AK71" s="740"/>
      <c r="AL71" s="740"/>
      <c r="AM71" s="740"/>
      <c r="AN71" s="740"/>
      <c r="AO71" s="740"/>
      <c r="AQ71" s="741">
        <f t="shared" ca="1" si="30"/>
        <v>41482</v>
      </c>
    </row>
    <row r="72" spans="1:43" ht="20.25" customHeight="1" x14ac:dyDescent="0.25">
      <c r="A72" s="1254"/>
      <c r="B72" s="1255"/>
      <c r="C72" s="751"/>
      <c r="D72" s="752"/>
      <c r="E72" s="730">
        <v>1577783</v>
      </c>
      <c r="F72" s="731" t="s">
        <v>4873</v>
      </c>
      <c r="G72" s="731" t="s">
        <v>4874</v>
      </c>
      <c r="H72" s="732">
        <v>41540</v>
      </c>
      <c r="I72" s="733" t="str">
        <f t="shared" si="23"/>
        <v>Caoife Long</v>
      </c>
      <c r="J72" s="734" t="str">
        <f t="shared" si="24"/>
        <v>Long,Caoife</v>
      </c>
      <c r="K72" s="735">
        <f t="shared" ca="1" si="25"/>
        <v>10</v>
      </c>
      <c r="L72" s="736" t="str">
        <f t="shared" si="26"/>
        <v>230913</v>
      </c>
      <c r="M72" s="766" t="str">
        <f t="shared" ca="1" si="31"/>
        <v>OK</v>
      </c>
      <c r="AD72" s="1244"/>
      <c r="AE72" s="1245"/>
      <c r="AF72" s="753"/>
      <c r="AG72" s="754"/>
      <c r="AH72" s="740">
        <f t="shared" si="27"/>
        <v>1577783</v>
      </c>
      <c r="AI72" s="740" t="str">
        <f t="shared" si="28"/>
        <v>Caoife</v>
      </c>
      <c r="AJ72" s="740" t="str">
        <f t="shared" si="29"/>
        <v>Long</v>
      </c>
      <c r="AK72" s="740"/>
      <c r="AL72" s="740"/>
      <c r="AM72" s="740"/>
      <c r="AN72" s="740"/>
      <c r="AO72" s="740"/>
      <c r="AQ72" s="741">
        <f t="shared" ca="1" si="30"/>
        <v>41540</v>
      </c>
    </row>
    <row r="73" spans="1:43" ht="20.25" customHeight="1" x14ac:dyDescent="0.25">
      <c r="A73" s="1254"/>
      <c r="B73" s="1255"/>
      <c r="C73" s="751"/>
      <c r="D73" s="752"/>
      <c r="E73" s="730">
        <v>1622761</v>
      </c>
      <c r="F73" s="731" t="s">
        <v>4872</v>
      </c>
      <c r="G73" s="731" t="s">
        <v>4741</v>
      </c>
      <c r="H73" s="732">
        <v>41247</v>
      </c>
      <c r="I73" s="733" t="str">
        <f t="shared" si="23"/>
        <v>Megan Alexander</v>
      </c>
      <c r="J73" s="734" t="str">
        <f t="shared" si="24"/>
        <v>Alexander,Megan</v>
      </c>
      <c r="K73" s="735">
        <f t="shared" ca="1" si="25"/>
        <v>11</v>
      </c>
      <c r="L73" s="736" t="str">
        <f t="shared" si="26"/>
        <v>041212</v>
      </c>
      <c r="M73" s="766" t="str">
        <f t="shared" ca="1" si="31"/>
        <v>OK</v>
      </c>
      <c r="AD73" s="1244"/>
      <c r="AE73" s="1245"/>
      <c r="AF73" s="753"/>
      <c r="AG73" s="754"/>
      <c r="AH73" s="740">
        <f t="shared" si="27"/>
        <v>1622761</v>
      </c>
      <c r="AI73" s="740" t="str">
        <f t="shared" si="28"/>
        <v>Megan</v>
      </c>
      <c r="AJ73" s="740" t="str">
        <f t="shared" si="29"/>
        <v>Alexander</v>
      </c>
      <c r="AK73" s="740"/>
      <c r="AL73" s="740"/>
      <c r="AM73" s="740"/>
      <c r="AN73" s="740"/>
      <c r="AO73" s="740"/>
      <c r="AQ73" s="741">
        <f t="shared" ca="1" si="30"/>
        <v>41247</v>
      </c>
    </row>
    <row r="74" spans="1:43" ht="20.25" customHeight="1" x14ac:dyDescent="0.25">
      <c r="A74" s="1254">
        <v>44</v>
      </c>
      <c r="B74" s="1255" t="s">
        <v>4701</v>
      </c>
      <c r="C74" s="746"/>
      <c r="D74" s="747"/>
      <c r="E74" s="730">
        <v>1652331</v>
      </c>
      <c r="F74" s="731" t="s">
        <v>4878</v>
      </c>
      <c r="G74" s="731" t="s">
        <v>4879</v>
      </c>
      <c r="H74" s="732">
        <v>41549</v>
      </c>
      <c r="I74" s="733" t="str">
        <f t="shared" si="23"/>
        <v>Myron Young</v>
      </c>
      <c r="J74" s="734" t="str">
        <f t="shared" si="24"/>
        <v>Young,Myron</v>
      </c>
      <c r="K74" s="735">
        <f t="shared" ca="1" si="25"/>
        <v>10</v>
      </c>
      <c r="L74" s="736" t="str">
        <f t="shared" si="26"/>
        <v>021013</v>
      </c>
      <c r="M74" s="766" t="str">
        <f t="shared" ca="1" si="31"/>
        <v>OK</v>
      </c>
      <c r="AD74" s="1244">
        <f>A74</f>
        <v>44</v>
      </c>
      <c r="AE74" s="1245" t="str">
        <f>B74</f>
        <v>OPEN/MALE 9/11 4 X 50M
MEDLEY RELAY</v>
      </c>
      <c r="AF74" s="749"/>
      <c r="AG74" s="750"/>
      <c r="AH74" s="740">
        <f t="shared" si="27"/>
        <v>1652331</v>
      </c>
      <c r="AI74" s="740" t="str">
        <f t="shared" si="28"/>
        <v>Myron</v>
      </c>
      <c r="AJ74" s="740" t="str">
        <f t="shared" si="29"/>
        <v>Young</v>
      </c>
      <c r="AK74" s="740"/>
      <c r="AL74" s="740"/>
      <c r="AM74" s="740"/>
      <c r="AN74" s="740"/>
      <c r="AO74" s="740"/>
      <c r="AQ74" s="741">
        <f t="shared" ca="1" si="30"/>
        <v>41549</v>
      </c>
    </row>
    <row r="75" spans="1:43" ht="20.25" customHeight="1" x14ac:dyDescent="0.25">
      <c r="A75" s="1254"/>
      <c r="B75" s="1255"/>
      <c r="C75" s="751"/>
      <c r="D75" s="752"/>
      <c r="E75" s="730">
        <v>1496506</v>
      </c>
      <c r="F75" s="731" t="s">
        <v>4882</v>
      </c>
      <c r="G75" s="731" t="s">
        <v>4883</v>
      </c>
      <c r="H75" s="732">
        <v>41044</v>
      </c>
      <c r="I75" s="733" t="str">
        <f t="shared" si="23"/>
        <v>Braden Barnacle</v>
      </c>
      <c r="J75" s="734" t="str">
        <f t="shared" si="24"/>
        <v>Barnacle,Braden</v>
      </c>
      <c r="K75" s="735">
        <f t="shared" ca="1" si="25"/>
        <v>11</v>
      </c>
      <c r="L75" s="736" t="str">
        <f t="shared" si="26"/>
        <v>150512</v>
      </c>
      <c r="M75" s="766" t="str">
        <f t="shared" ca="1" si="31"/>
        <v>OK</v>
      </c>
      <c r="AD75" s="1244"/>
      <c r="AE75" s="1245"/>
      <c r="AF75" s="753"/>
      <c r="AG75" s="754"/>
      <c r="AH75" s="740">
        <f t="shared" si="27"/>
        <v>1496506</v>
      </c>
      <c r="AI75" s="740" t="str">
        <f t="shared" si="28"/>
        <v>Braden</v>
      </c>
      <c r="AJ75" s="740" t="str">
        <f t="shared" si="29"/>
        <v>Barnacle</v>
      </c>
      <c r="AK75" s="740"/>
      <c r="AL75" s="740"/>
      <c r="AM75" s="740"/>
      <c r="AN75" s="740"/>
      <c r="AO75" s="740"/>
      <c r="AQ75" s="741">
        <f t="shared" ca="1" si="30"/>
        <v>41044</v>
      </c>
    </row>
    <row r="76" spans="1:43" ht="20.25" customHeight="1" x14ac:dyDescent="0.25">
      <c r="A76" s="1254"/>
      <c r="B76" s="1255"/>
      <c r="C76" s="751"/>
      <c r="D76" s="752"/>
      <c r="E76" s="730">
        <v>1598082</v>
      </c>
      <c r="F76" s="731" t="s">
        <v>4876</v>
      </c>
      <c r="G76" s="731" t="s">
        <v>4877</v>
      </c>
      <c r="H76" s="732">
        <v>41008</v>
      </c>
      <c r="I76" s="733" t="str">
        <f t="shared" si="23"/>
        <v>Mohammed Malek</v>
      </c>
      <c r="J76" s="734" t="str">
        <f t="shared" si="24"/>
        <v>Malek,Mohammed</v>
      </c>
      <c r="K76" s="735">
        <f t="shared" ca="1" si="25"/>
        <v>11</v>
      </c>
      <c r="L76" s="736" t="str">
        <f t="shared" si="26"/>
        <v>090412</v>
      </c>
      <c r="M76" s="766" t="str">
        <f t="shared" ca="1" si="31"/>
        <v>OK</v>
      </c>
      <c r="AD76" s="1244"/>
      <c r="AE76" s="1245"/>
      <c r="AF76" s="753"/>
      <c r="AG76" s="754"/>
      <c r="AH76" s="740">
        <f t="shared" si="27"/>
        <v>1598082</v>
      </c>
      <c r="AI76" s="740" t="str">
        <f t="shared" si="28"/>
        <v>Mohammed</v>
      </c>
      <c r="AJ76" s="740" t="str">
        <f t="shared" si="29"/>
        <v>Malek</v>
      </c>
      <c r="AK76" s="740"/>
      <c r="AL76" s="740"/>
      <c r="AM76" s="740"/>
      <c r="AN76" s="740"/>
      <c r="AO76" s="740"/>
      <c r="AQ76" s="741">
        <f t="shared" ca="1" si="30"/>
        <v>41008</v>
      </c>
    </row>
    <row r="77" spans="1:43" ht="20.25" customHeight="1" x14ac:dyDescent="0.25">
      <c r="A77" s="1254"/>
      <c r="B77" s="1255"/>
      <c r="C77" s="751"/>
      <c r="D77" s="752"/>
      <c r="E77" s="730">
        <v>1615752</v>
      </c>
      <c r="F77" s="731" t="s">
        <v>4880</v>
      </c>
      <c r="G77" s="731" t="s">
        <v>4881</v>
      </c>
      <c r="H77" s="732">
        <v>41034</v>
      </c>
      <c r="I77" s="733" t="str">
        <f t="shared" si="23"/>
        <v>Hayden Whele</v>
      </c>
      <c r="J77" s="734" t="str">
        <f t="shared" si="24"/>
        <v>Whele,Hayden</v>
      </c>
      <c r="K77" s="735">
        <f t="shared" ca="1" si="25"/>
        <v>11</v>
      </c>
      <c r="L77" s="736" t="str">
        <f t="shared" si="26"/>
        <v>050512</v>
      </c>
      <c r="M77" s="766" t="str">
        <f t="shared" ca="1" si="31"/>
        <v>OK</v>
      </c>
      <c r="AD77" s="1244"/>
      <c r="AE77" s="1245"/>
      <c r="AF77" s="753"/>
      <c r="AG77" s="754"/>
      <c r="AH77" s="740">
        <f t="shared" si="27"/>
        <v>1615752</v>
      </c>
      <c r="AI77" s="740" t="str">
        <f t="shared" si="28"/>
        <v>Hayden</v>
      </c>
      <c r="AJ77" s="740" t="str">
        <f t="shared" si="29"/>
        <v>Whele</v>
      </c>
      <c r="AK77" s="740"/>
      <c r="AL77" s="740"/>
      <c r="AM77" s="740"/>
      <c r="AN77" s="740"/>
      <c r="AO77" s="740"/>
      <c r="AQ77" s="741">
        <f t="shared" ca="1" si="30"/>
        <v>41034</v>
      </c>
    </row>
    <row r="78" spans="1:43" ht="20.25" customHeight="1" x14ac:dyDescent="0.25">
      <c r="A78" s="1252">
        <v>45</v>
      </c>
      <c r="B78" s="1253" t="s">
        <v>4702</v>
      </c>
      <c r="C78" s="756"/>
      <c r="D78" s="757"/>
      <c r="E78" s="730">
        <v>1439864</v>
      </c>
      <c r="F78" s="731" t="s">
        <v>4867</v>
      </c>
      <c r="G78" s="731" t="s">
        <v>4886</v>
      </c>
      <c r="H78" s="732">
        <v>40550</v>
      </c>
      <c r="I78" s="733" t="str">
        <f t="shared" si="23"/>
        <v>Isabelle Reeve</v>
      </c>
      <c r="J78" s="734" t="str">
        <f t="shared" si="24"/>
        <v>Reeve,Isabelle</v>
      </c>
      <c r="K78" s="735">
        <f t="shared" ca="1" si="25"/>
        <v>12</v>
      </c>
      <c r="L78" s="736" t="str">
        <f t="shared" si="26"/>
        <v>070111</v>
      </c>
      <c r="M78" s="766" t="str">
        <f t="shared" ref="M78:M85" ca="1" si="32">IF(K78=0,0,IF(K78&lt;9,"TOO YOUNG",IF(K78&lt;14,"OK","NOT ELIGIBLE")))</f>
        <v>OK</v>
      </c>
      <c r="AD78" s="1244">
        <f>A78</f>
        <v>45</v>
      </c>
      <c r="AE78" s="1245" t="str">
        <f>B78</f>
        <v>FEMALE 13/U 4 X 50M
FREESTYLE RELAY</v>
      </c>
      <c r="AF78" s="749"/>
      <c r="AG78" s="750"/>
      <c r="AH78" s="740">
        <f t="shared" si="27"/>
        <v>1439864</v>
      </c>
      <c r="AI78" s="740" t="str">
        <f t="shared" si="28"/>
        <v>Isabelle</v>
      </c>
      <c r="AJ78" s="740" t="str">
        <f t="shared" si="29"/>
        <v>Reeve</v>
      </c>
      <c r="AK78" s="740"/>
      <c r="AL78" s="740"/>
      <c r="AM78" s="740"/>
      <c r="AN78" s="740"/>
      <c r="AO78" s="740"/>
      <c r="AQ78" s="741">
        <f t="shared" ca="1" si="30"/>
        <v>40550</v>
      </c>
    </row>
    <row r="79" spans="1:43" ht="20.25" customHeight="1" x14ac:dyDescent="0.25">
      <c r="A79" s="1252"/>
      <c r="B79" s="1253"/>
      <c r="C79" s="758"/>
      <c r="D79" s="759"/>
      <c r="E79" s="730">
        <v>1468756</v>
      </c>
      <c r="F79" s="731" t="s">
        <v>4884</v>
      </c>
      <c r="G79" s="731" t="s">
        <v>4885</v>
      </c>
      <c r="H79" s="732">
        <v>40253</v>
      </c>
      <c r="I79" s="733" t="str">
        <f t="shared" si="23"/>
        <v>Orlagh Northgrave</v>
      </c>
      <c r="J79" s="734" t="str">
        <f t="shared" si="24"/>
        <v>Northgrave,Orlagh</v>
      </c>
      <c r="K79" s="735">
        <f t="shared" ca="1" si="25"/>
        <v>13</v>
      </c>
      <c r="L79" s="736" t="str">
        <f t="shared" si="26"/>
        <v>160310</v>
      </c>
      <c r="M79" s="766" t="str">
        <f t="shared" ca="1" si="32"/>
        <v>OK</v>
      </c>
      <c r="AD79" s="1244"/>
      <c r="AE79" s="1245"/>
      <c r="AF79" s="753"/>
      <c r="AG79" s="754"/>
      <c r="AH79" s="740">
        <f t="shared" si="27"/>
        <v>1468756</v>
      </c>
      <c r="AI79" s="740" t="str">
        <f t="shared" si="28"/>
        <v>Orlagh</v>
      </c>
      <c r="AJ79" s="740" t="str">
        <f t="shared" si="29"/>
        <v>Northgrave</v>
      </c>
      <c r="AK79" s="740"/>
      <c r="AL79" s="740"/>
      <c r="AM79" s="740"/>
      <c r="AN79" s="740"/>
      <c r="AO79" s="740"/>
      <c r="AQ79" s="741">
        <f t="shared" ca="1" si="30"/>
        <v>40253</v>
      </c>
    </row>
    <row r="80" spans="1:43" ht="20.25" customHeight="1" x14ac:dyDescent="0.25">
      <c r="A80" s="1252"/>
      <c r="B80" s="1253"/>
      <c r="C80" s="758"/>
      <c r="D80" s="759"/>
      <c r="E80" s="730">
        <v>1433823</v>
      </c>
      <c r="F80" s="731" t="s">
        <v>4889</v>
      </c>
      <c r="G80" s="731" t="s">
        <v>4890</v>
      </c>
      <c r="H80" s="732">
        <v>40224</v>
      </c>
      <c r="I80" s="733" t="str">
        <f t="shared" si="23"/>
        <v>Kayla Paxton</v>
      </c>
      <c r="J80" s="734" t="str">
        <f t="shared" si="24"/>
        <v>Paxton,Kayla</v>
      </c>
      <c r="K80" s="735">
        <f t="shared" ca="1" si="25"/>
        <v>13</v>
      </c>
      <c r="L80" s="736" t="str">
        <f t="shared" si="26"/>
        <v>150210</v>
      </c>
      <c r="M80" s="766" t="str">
        <f t="shared" ca="1" si="32"/>
        <v>OK</v>
      </c>
      <c r="AD80" s="1244"/>
      <c r="AE80" s="1245"/>
      <c r="AF80" s="753"/>
      <c r="AG80" s="754"/>
      <c r="AH80" s="740">
        <f t="shared" si="27"/>
        <v>1433823</v>
      </c>
      <c r="AI80" s="740" t="str">
        <f t="shared" si="28"/>
        <v>Kayla</v>
      </c>
      <c r="AJ80" s="740" t="str">
        <f t="shared" si="29"/>
        <v>Paxton</v>
      </c>
      <c r="AK80" s="740"/>
      <c r="AL80" s="740"/>
      <c r="AM80" s="740"/>
      <c r="AN80" s="740"/>
      <c r="AO80" s="740"/>
      <c r="AQ80" s="741">
        <f t="shared" ca="1" si="30"/>
        <v>40224</v>
      </c>
    </row>
    <row r="81" spans="1:43" ht="20.25" customHeight="1" x14ac:dyDescent="0.25">
      <c r="A81" s="1252"/>
      <c r="B81" s="1253"/>
      <c r="C81" s="758"/>
      <c r="D81" s="759"/>
      <c r="E81" s="730">
        <v>1487099</v>
      </c>
      <c r="F81" s="731" t="s">
        <v>4887</v>
      </c>
      <c r="G81" s="731" t="s">
        <v>4888</v>
      </c>
      <c r="H81" s="732">
        <v>40446</v>
      </c>
      <c r="I81" s="733" t="str">
        <f t="shared" si="23"/>
        <v>Aimee Baker</v>
      </c>
      <c r="J81" s="734" t="str">
        <f t="shared" si="24"/>
        <v>Baker,Aimee</v>
      </c>
      <c r="K81" s="735">
        <f t="shared" ca="1" si="25"/>
        <v>13</v>
      </c>
      <c r="L81" s="736" t="str">
        <f t="shared" si="26"/>
        <v>250910</v>
      </c>
      <c r="M81" s="766" t="str">
        <f t="shared" ca="1" si="32"/>
        <v>OK</v>
      </c>
      <c r="AD81" s="1244"/>
      <c r="AE81" s="1245"/>
      <c r="AF81" s="753"/>
      <c r="AG81" s="754"/>
      <c r="AH81" s="740">
        <f t="shared" si="27"/>
        <v>1487099</v>
      </c>
      <c r="AI81" s="740" t="str">
        <f t="shared" si="28"/>
        <v>Aimee</v>
      </c>
      <c r="AJ81" s="740" t="str">
        <f t="shared" si="29"/>
        <v>Baker</v>
      </c>
      <c r="AK81" s="740"/>
      <c r="AL81" s="740"/>
      <c r="AM81" s="740"/>
      <c r="AN81" s="740"/>
      <c r="AO81" s="740"/>
      <c r="AQ81" s="741">
        <f t="shared" ca="1" si="30"/>
        <v>40446</v>
      </c>
    </row>
    <row r="82" spans="1:43" ht="20.25" customHeight="1" x14ac:dyDescent="0.25">
      <c r="A82" s="1252">
        <v>46</v>
      </c>
      <c r="B82" s="1253" t="s">
        <v>4703</v>
      </c>
      <c r="C82" s="756"/>
      <c r="D82" s="757"/>
      <c r="E82" s="730">
        <v>1526606</v>
      </c>
      <c r="F82" s="731" t="s">
        <v>4893</v>
      </c>
      <c r="G82" s="731" t="s">
        <v>4894</v>
      </c>
      <c r="H82" s="732">
        <v>40618</v>
      </c>
      <c r="I82" s="733" t="str">
        <f t="shared" si="23"/>
        <v>Bradley Rawlinson</v>
      </c>
      <c r="J82" s="734" t="str">
        <f t="shared" si="24"/>
        <v>Rawlinson,Bradley</v>
      </c>
      <c r="K82" s="735">
        <f t="shared" ca="1" si="25"/>
        <v>12</v>
      </c>
      <c r="L82" s="736" t="str">
        <f t="shared" si="26"/>
        <v>160311</v>
      </c>
      <c r="M82" s="766" t="str">
        <f t="shared" ca="1" si="32"/>
        <v>OK</v>
      </c>
      <c r="AD82" s="1244">
        <f>A82</f>
        <v>46</v>
      </c>
      <c r="AE82" s="1245" t="str">
        <f>B82</f>
        <v>OPEN/MALE 13/U 4 X 50M
FREESTYLE RELAY</v>
      </c>
      <c r="AF82" s="749"/>
      <c r="AG82" s="750"/>
      <c r="AH82" s="740">
        <f t="shared" si="27"/>
        <v>1526606</v>
      </c>
      <c r="AI82" s="740" t="str">
        <f t="shared" si="28"/>
        <v>Bradley</v>
      </c>
      <c r="AJ82" s="740" t="str">
        <f t="shared" si="29"/>
        <v>Rawlinson</v>
      </c>
      <c r="AK82" s="740"/>
      <c r="AL82" s="740"/>
      <c r="AM82" s="740"/>
      <c r="AN82" s="740"/>
      <c r="AO82" s="740"/>
      <c r="AQ82" s="741">
        <f t="shared" ca="1" si="30"/>
        <v>40618</v>
      </c>
    </row>
    <row r="83" spans="1:43" ht="20.25" customHeight="1" x14ac:dyDescent="0.25">
      <c r="A83" s="1252"/>
      <c r="B83" s="1253"/>
      <c r="C83" s="758"/>
      <c r="D83" s="759"/>
      <c r="E83" s="730">
        <v>1610518</v>
      </c>
      <c r="F83" s="731" t="s">
        <v>4897</v>
      </c>
      <c r="G83" s="731" t="s">
        <v>4772</v>
      </c>
      <c r="H83" s="732">
        <v>40614</v>
      </c>
      <c r="I83" s="733" t="str">
        <f t="shared" si="23"/>
        <v>Benjamin Holland</v>
      </c>
      <c r="J83" s="734" t="str">
        <f t="shared" si="24"/>
        <v>Holland,Benjamin</v>
      </c>
      <c r="K83" s="735">
        <f t="shared" ca="1" si="25"/>
        <v>12</v>
      </c>
      <c r="L83" s="736" t="str">
        <f t="shared" si="26"/>
        <v>120311</v>
      </c>
      <c r="M83" s="766" t="str">
        <f t="shared" ca="1" si="32"/>
        <v>OK</v>
      </c>
      <c r="AD83" s="1244"/>
      <c r="AE83" s="1245"/>
      <c r="AF83" s="753"/>
      <c r="AG83" s="754"/>
      <c r="AH83" s="740">
        <f t="shared" si="27"/>
        <v>1610518</v>
      </c>
      <c r="AI83" s="740" t="str">
        <f t="shared" si="28"/>
        <v>Benjamin</v>
      </c>
      <c r="AJ83" s="740" t="str">
        <f t="shared" si="29"/>
        <v>Holland</v>
      </c>
      <c r="AK83" s="740"/>
      <c r="AL83" s="740"/>
      <c r="AM83" s="740"/>
      <c r="AN83" s="740"/>
      <c r="AO83" s="740"/>
      <c r="AQ83" s="741">
        <f t="shared" ca="1" si="30"/>
        <v>40614</v>
      </c>
    </row>
    <row r="84" spans="1:43" ht="20.25" customHeight="1" x14ac:dyDescent="0.25">
      <c r="A84" s="1252"/>
      <c r="B84" s="1253"/>
      <c r="C84" s="758"/>
      <c r="D84" s="759"/>
      <c r="E84" s="730">
        <v>1606486</v>
      </c>
      <c r="F84" s="731" t="s">
        <v>4891</v>
      </c>
      <c r="G84" s="731" t="s">
        <v>4892</v>
      </c>
      <c r="H84" s="732">
        <v>40237</v>
      </c>
      <c r="I84" s="733" t="str">
        <f t="shared" si="23"/>
        <v>Liam Hurst</v>
      </c>
      <c r="J84" s="734" t="str">
        <f t="shared" si="24"/>
        <v>Hurst,Liam</v>
      </c>
      <c r="K84" s="735">
        <f t="shared" ca="1" si="25"/>
        <v>13</v>
      </c>
      <c r="L84" s="736" t="str">
        <f t="shared" si="26"/>
        <v>280210</v>
      </c>
      <c r="M84" s="766" t="str">
        <f t="shared" ca="1" si="32"/>
        <v>OK</v>
      </c>
      <c r="AD84" s="1244"/>
      <c r="AE84" s="1245"/>
      <c r="AF84" s="753"/>
      <c r="AG84" s="754"/>
      <c r="AH84" s="740">
        <f t="shared" si="27"/>
        <v>1606486</v>
      </c>
      <c r="AI84" s="740" t="str">
        <f t="shared" si="28"/>
        <v>Liam</v>
      </c>
      <c r="AJ84" s="740" t="str">
        <f t="shared" si="29"/>
        <v>Hurst</v>
      </c>
      <c r="AK84" s="740"/>
      <c r="AL84" s="740"/>
      <c r="AM84" s="740"/>
      <c r="AN84" s="740"/>
      <c r="AO84" s="740"/>
      <c r="AQ84" s="741">
        <f t="shared" ca="1" si="30"/>
        <v>40237</v>
      </c>
    </row>
    <row r="85" spans="1:43" ht="20.25" customHeight="1" x14ac:dyDescent="0.25">
      <c r="A85" s="1252"/>
      <c r="B85" s="1253"/>
      <c r="C85" s="758"/>
      <c r="D85" s="759"/>
      <c r="E85" s="730">
        <v>1515673</v>
      </c>
      <c r="F85" s="731" t="s">
        <v>4895</v>
      </c>
      <c r="G85" s="731" t="s">
        <v>4896</v>
      </c>
      <c r="H85" s="732">
        <v>40846</v>
      </c>
      <c r="I85" s="733" t="str">
        <f t="shared" si="23"/>
        <v>Poyraz Akbiyik</v>
      </c>
      <c r="J85" s="734" t="str">
        <f t="shared" si="24"/>
        <v>Akbiyik,Poyraz</v>
      </c>
      <c r="K85" s="735">
        <f t="shared" ca="1" si="25"/>
        <v>12</v>
      </c>
      <c r="L85" s="736" t="str">
        <f t="shared" si="26"/>
        <v>301011</v>
      </c>
      <c r="M85" s="766" t="str">
        <f t="shared" ca="1" si="32"/>
        <v>OK</v>
      </c>
      <c r="AD85" s="1244"/>
      <c r="AE85" s="1245"/>
      <c r="AF85" s="753"/>
      <c r="AG85" s="754"/>
      <c r="AH85" s="740">
        <f t="shared" si="27"/>
        <v>1515673</v>
      </c>
      <c r="AI85" s="740" t="str">
        <f t="shared" si="28"/>
        <v>Poyraz</v>
      </c>
      <c r="AJ85" s="740" t="str">
        <f t="shared" si="29"/>
        <v>Akbiyik</v>
      </c>
      <c r="AK85" s="740"/>
      <c r="AL85" s="740"/>
      <c r="AM85" s="740"/>
      <c r="AN85" s="740"/>
      <c r="AO85" s="740"/>
      <c r="AQ85" s="741">
        <f t="shared" ca="1" si="30"/>
        <v>40846</v>
      </c>
    </row>
    <row r="86" spans="1:43" ht="20.25" customHeight="1" x14ac:dyDescent="0.25">
      <c r="A86" s="1248">
        <v>47</v>
      </c>
      <c r="B86" s="1249" t="s">
        <v>4704</v>
      </c>
      <c r="C86" s="761"/>
      <c r="D86" s="762"/>
      <c r="E86" s="730">
        <v>1351223</v>
      </c>
      <c r="F86" s="731" t="s">
        <v>4900</v>
      </c>
      <c r="G86" s="731" t="s">
        <v>4901</v>
      </c>
      <c r="H86" s="732">
        <v>39507</v>
      </c>
      <c r="I86" s="733" t="str">
        <f t="shared" si="23"/>
        <v>Hollie Heighes</v>
      </c>
      <c r="J86" s="734" t="str">
        <f t="shared" si="24"/>
        <v>Heighes,Hollie</v>
      </c>
      <c r="K86" s="735">
        <f t="shared" ca="1" si="25"/>
        <v>15</v>
      </c>
      <c r="L86" s="736" t="str">
        <f t="shared" si="26"/>
        <v>290208</v>
      </c>
      <c r="M86" s="766" t="str">
        <f t="shared" ref="M86:M93" ca="1" si="33">IF(K86=0,0,IF(K86&lt;9,"TOO YOUNG",IF(K86&lt;16,"OK","NOT ELIGIBLE")))</f>
        <v>OK</v>
      </c>
      <c r="AD86" s="1244">
        <f>A86</f>
        <v>47</v>
      </c>
      <c r="AE86" s="1245" t="str">
        <f>B86</f>
        <v>FEMALE 15/U 4 X 50M
MEDLEY RELAY</v>
      </c>
      <c r="AF86" s="749"/>
      <c r="AG86" s="750"/>
      <c r="AH86" s="740">
        <f t="shared" si="27"/>
        <v>1351223</v>
      </c>
      <c r="AI86" s="740" t="str">
        <f t="shared" si="28"/>
        <v>Hollie</v>
      </c>
      <c r="AJ86" s="740" t="str">
        <f t="shared" si="29"/>
        <v>Heighes</v>
      </c>
      <c r="AK86" s="740"/>
      <c r="AL86" s="740"/>
      <c r="AM86" s="740"/>
      <c r="AN86" s="740"/>
      <c r="AO86" s="740"/>
      <c r="AQ86" s="741">
        <f t="shared" ca="1" si="30"/>
        <v>39507</v>
      </c>
    </row>
    <row r="87" spans="1:43" ht="20.25" customHeight="1" x14ac:dyDescent="0.25">
      <c r="A87" s="1248"/>
      <c r="B87" s="1249"/>
      <c r="C87" s="763"/>
      <c r="D87" s="764"/>
      <c r="E87" s="730">
        <v>1402790</v>
      </c>
      <c r="F87" s="731" t="s">
        <v>4898</v>
      </c>
      <c r="G87" s="731" t="s">
        <v>4886</v>
      </c>
      <c r="H87" s="732">
        <v>39733</v>
      </c>
      <c r="I87" s="733" t="str">
        <f t="shared" si="23"/>
        <v>Esmee Reeve</v>
      </c>
      <c r="J87" s="734" t="str">
        <f t="shared" si="24"/>
        <v>Reeve,Esmee</v>
      </c>
      <c r="K87" s="735">
        <f t="shared" ca="1" si="25"/>
        <v>15</v>
      </c>
      <c r="L87" s="736" t="str">
        <f t="shared" si="26"/>
        <v>121008</v>
      </c>
      <c r="M87" s="766" t="str">
        <f t="shared" ca="1" si="33"/>
        <v>OK</v>
      </c>
      <c r="AD87" s="1244"/>
      <c r="AE87" s="1245"/>
      <c r="AF87" s="753"/>
      <c r="AG87" s="754"/>
      <c r="AH87" s="740">
        <f t="shared" si="27"/>
        <v>1402790</v>
      </c>
      <c r="AI87" s="740" t="str">
        <f t="shared" si="28"/>
        <v>Esmee</v>
      </c>
      <c r="AJ87" s="740" t="str">
        <f t="shared" si="29"/>
        <v>Reeve</v>
      </c>
      <c r="AK87" s="740"/>
      <c r="AL87" s="740"/>
      <c r="AM87" s="740"/>
      <c r="AN87" s="740"/>
      <c r="AO87" s="740"/>
      <c r="AQ87" s="741">
        <f t="shared" ca="1" si="30"/>
        <v>39733</v>
      </c>
    </row>
    <row r="88" spans="1:43" ht="20.25" customHeight="1" x14ac:dyDescent="0.25">
      <c r="A88" s="1248"/>
      <c r="B88" s="1249"/>
      <c r="C88" s="763"/>
      <c r="D88" s="764"/>
      <c r="E88" s="730">
        <v>1338793</v>
      </c>
      <c r="F88" s="731" t="s">
        <v>4784</v>
      </c>
      <c r="G88" s="731" t="s">
        <v>4902</v>
      </c>
      <c r="H88" s="732">
        <v>39596</v>
      </c>
      <c r="I88" s="733" t="str">
        <f t="shared" si="23"/>
        <v>Mia Macklin</v>
      </c>
      <c r="J88" s="734" t="str">
        <f t="shared" si="24"/>
        <v>Macklin,Mia</v>
      </c>
      <c r="K88" s="735">
        <f t="shared" ca="1" si="25"/>
        <v>15</v>
      </c>
      <c r="L88" s="736" t="str">
        <f t="shared" si="26"/>
        <v>280508</v>
      </c>
      <c r="M88" s="766" t="str">
        <f t="shared" ca="1" si="33"/>
        <v>OK</v>
      </c>
      <c r="AD88" s="1244"/>
      <c r="AE88" s="1245"/>
      <c r="AF88" s="753"/>
      <c r="AG88" s="754"/>
      <c r="AH88" s="740">
        <f t="shared" si="27"/>
        <v>1338793</v>
      </c>
      <c r="AI88" s="740" t="str">
        <f t="shared" si="28"/>
        <v>Mia</v>
      </c>
      <c r="AJ88" s="740" t="str">
        <f t="shared" si="29"/>
        <v>Macklin</v>
      </c>
      <c r="AK88" s="740"/>
      <c r="AL88" s="740"/>
      <c r="AM88" s="740"/>
      <c r="AN88" s="740"/>
      <c r="AO88" s="740"/>
      <c r="AQ88" s="741">
        <f t="shared" ca="1" si="30"/>
        <v>39596</v>
      </c>
    </row>
    <row r="89" spans="1:43" ht="20.25" customHeight="1" x14ac:dyDescent="0.25">
      <c r="A89" s="1248"/>
      <c r="B89" s="1249"/>
      <c r="C89" s="763"/>
      <c r="D89" s="764"/>
      <c r="E89" s="730">
        <v>1292690</v>
      </c>
      <c r="F89" s="731" t="s">
        <v>4899</v>
      </c>
      <c r="G89" s="731" t="s">
        <v>4888</v>
      </c>
      <c r="H89" s="732">
        <v>39470</v>
      </c>
      <c r="I89" s="733" t="str">
        <f t="shared" si="23"/>
        <v>Francesca Baker</v>
      </c>
      <c r="J89" s="734" t="str">
        <f t="shared" si="24"/>
        <v>Baker,Francesca</v>
      </c>
      <c r="K89" s="735">
        <f t="shared" ca="1" si="25"/>
        <v>15</v>
      </c>
      <c r="L89" s="736" t="str">
        <f t="shared" si="26"/>
        <v>230108</v>
      </c>
      <c r="M89" s="766" t="str">
        <f t="shared" ca="1" si="33"/>
        <v>OK</v>
      </c>
      <c r="AD89" s="1244"/>
      <c r="AE89" s="1245"/>
      <c r="AF89" s="753"/>
      <c r="AG89" s="754"/>
      <c r="AH89" s="740">
        <f t="shared" si="27"/>
        <v>1292690</v>
      </c>
      <c r="AI89" s="740" t="str">
        <f t="shared" si="28"/>
        <v>Francesca</v>
      </c>
      <c r="AJ89" s="740" t="str">
        <f t="shared" si="29"/>
        <v>Baker</v>
      </c>
      <c r="AK89" s="740"/>
      <c r="AL89" s="740"/>
      <c r="AM89" s="740"/>
      <c r="AN89" s="740"/>
      <c r="AO89" s="740"/>
      <c r="AQ89" s="741">
        <f t="shared" ca="1" si="30"/>
        <v>39470</v>
      </c>
    </row>
    <row r="90" spans="1:43" ht="20.25" customHeight="1" x14ac:dyDescent="0.25">
      <c r="A90" s="1248">
        <v>48</v>
      </c>
      <c r="B90" s="1249" t="s">
        <v>4705</v>
      </c>
      <c r="C90" s="761"/>
      <c r="D90" s="762"/>
      <c r="E90" s="730">
        <v>1306503</v>
      </c>
      <c r="F90" s="731" t="s">
        <v>4661</v>
      </c>
      <c r="G90" s="731" t="s">
        <v>4869</v>
      </c>
      <c r="H90" s="732">
        <v>39477</v>
      </c>
      <c r="I90" s="733" t="str">
        <f t="shared" si="23"/>
        <v>Albert Orley</v>
      </c>
      <c r="J90" s="734" t="str">
        <f t="shared" si="24"/>
        <v>Orley,Albert</v>
      </c>
      <c r="K90" s="735">
        <f t="shared" ca="1" si="25"/>
        <v>15</v>
      </c>
      <c r="L90" s="736" t="str">
        <f t="shared" si="26"/>
        <v>300108</v>
      </c>
      <c r="M90" s="766" t="str">
        <f t="shared" ca="1" si="33"/>
        <v>OK</v>
      </c>
      <c r="AD90" s="1244">
        <f>A90</f>
        <v>48</v>
      </c>
      <c r="AE90" s="1245" t="str">
        <f>B90</f>
        <v>OPEN/MALE 15/U 4 X 50M
MEDLEY RELAY</v>
      </c>
      <c r="AF90" s="749"/>
      <c r="AG90" s="750"/>
      <c r="AH90" s="740">
        <f t="shared" si="27"/>
        <v>1306503</v>
      </c>
      <c r="AI90" s="740" t="str">
        <f t="shared" si="28"/>
        <v>Albert</v>
      </c>
      <c r="AJ90" s="740" t="str">
        <f t="shared" si="29"/>
        <v>Orley</v>
      </c>
      <c r="AK90" s="740"/>
      <c r="AL90" s="740"/>
      <c r="AM90" s="740"/>
      <c r="AN90" s="740"/>
      <c r="AO90" s="740"/>
      <c r="AQ90" s="741">
        <f t="shared" ca="1" si="30"/>
        <v>39477</v>
      </c>
    </row>
    <row r="91" spans="1:43" ht="20.25" customHeight="1" x14ac:dyDescent="0.25">
      <c r="A91" s="1248"/>
      <c r="B91" s="1249"/>
      <c r="C91" s="763"/>
      <c r="D91" s="764"/>
      <c r="E91" s="730">
        <v>1333316</v>
      </c>
      <c r="F91" s="731" t="s">
        <v>4903</v>
      </c>
      <c r="G91" s="731" t="s">
        <v>4904</v>
      </c>
      <c r="H91" s="732">
        <v>39483</v>
      </c>
      <c r="I91" s="733" t="str">
        <f t="shared" si="23"/>
        <v>Nathaniel Coburn</v>
      </c>
      <c r="J91" s="734" t="str">
        <f t="shared" si="24"/>
        <v>Coburn,Nathaniel</v>
      </c>
      <c r="K91" s="735">
        <f t="shared" ca="1" si="25"/>
        <v>15</v>
      </c>
      <c r="L91" s="736" t="str">
        <f t="shared" si="26"/>
        <v>050208</v>
      </c>
      <c r="M91" s="766" t="str">
        <f t="shared" ca="1" si="33"/>
        <v>OK</v>
      </c>
      <c r="AD91" s="1244"/>
      <c r="AE91" s="1245"/>
      <c r="AF91" s="753"/>
      <c r="AG91" s="754"/>
      <c r="AH91" s="740">
        <f t="shared" si="27"/>
        <v>1333316</v>
      </c>
      <c r="AI91" s="740" t="str">
        <f t="shared" si="28"/>
        <v>Nathaniel</v>
      </c>
      <c r="AJ91" s="740" t="str">
        <f t="shared" si="29"/>
        <v>Coburn</v>
      </c>
      <c r="AK91" s="740"/>
      <c r="AL91" s="740"/>
      <c r="AM91" s="740"/>
      <c r="AN91" s="740"/>
      <c r="AO91" s="740"/>
      <c r="AQ91" s="741">
        <f t="shared" ca="1" si="30"/>
        <v>39483</v>
      </c>
    </row>
    <row r="92" spans="1:43" ht="20.25" customHeight="1" x14ac:dyDescent="0.25">
      <c r="A92" s="1248"/>
      <c r="B92" s="1249"/>
      <c r="C92" s="763"/>
      <c r="D92" s="764"/>
      <c r="E92" s="730">
        <v>1328032</v>
      </c>
      <c r="F92" s="731" t="s">
        <v>4906</v>
      </c>
      <c r="G92" s="731" t="s">
        <v>4907</v>
      </c>
      <c r="H92" s="732">
        <v>39822</v>
      </c>
      <c r="I92" s="733" t="str">
        <f t="shared" si="23"/>
        <v>Joshua Parker</v>
      </c>
      <c r="J92" s="734" t="str">
        <f t="shared" si="24"/>
        <v>Parker,Joshua</v>
      </c>
      <c r="K92" s="735">
        <f t="shared" ca="1" si="25"/>
        <v>14</v>
      </c>
      <c r="L92" s="736" t="str">
        <f t="shared" si="26"/>
        <v>090109</v>
      </c>
      <c r="M92" s="766" t="str">
        <f t="shared" ca="1" si="33"/>
        <v>OK</v>
      </c>
      <c r="AD92" s="1244"/>
      <c r="AE92" s="1245"/>
      <c r="AF92" s="753"/>
      <c r="AG92" s="754"/>
      <c r="AH92" s="740">
        <f t="shared" si="27"/>
        <v>1328032</v>
      </c>
      <c r="AI92" s="740" t="str">
        <f t="shared" si="28"/>
        <v>Joshua</v>
      </c>
      <c r="AJ92" s="740" t="str">
        <f t="shared" si="29"/>
        <v>Parker</v>
      </c>
      <c r="AK92" s="740"/>
      <c r="AL92" s="740"/>
      <c r="AM92" s="740"/>
      <c r="AN92" s="740"/>
      <c r="AO92" s="740"/>
      <c r="AQ92" s="741">
        <f t="shared" ca="1" si="30"/>
        <v>39822</v>
      </c>
    </row>
    <row r="93" spans="1:43" ht="20.25" customHeight="1" x14ac:dyDescent="0.25">
      <c r="A93" s="1248"/>
      <c r="B93" s="1249"/>
      <c r="C93" s="763"/>
      <c r="D93" s="764"/>
      <c r="E93" s="730">
        <v>1337901</v>
      </c>
      <c r="F93" s="731" t="s">
        <v>4744</v>
      </c>
      <c r="G93" s="731" t="s">
        <v>4905</v>
      </c>
      <c r="H93" s="732">
        <v>39601</v>
      </c>
      <c r="I93" s="733" t="str">
        <f t="shared" si="23"/>
        <v>Daniel Pirie</v>
      </c>
      <c r="J93" s="734" t="str">
        <f t="shared" si="24"/>
        <v>Pirie,Daniel</v>
      </c>
      <c r="K93" s="735">
        <f t="shared" ca="1" si="25"/>
        <v>15</v>
      </c>
      <c r="L93" s="736" t="str">
        <f t="shared" si="26"/>
        <v>020608</v>
      </c>
      <c r="M93" s="766" t="str">
        <f t="shared" ca="1" si="33"/>
        <v>OK</v>
      </c>
      <c r="AD93" s="1244"/>
      <c r="AE93" s="1245"/>
      <c r="AF93" s="753"/>
      <c r="AG93" s="754"/>
      <c r="AH93" s="740">
        <f t="shared" si="27"/>
        <v>1337901</v>
      </c>
      <c r="AI93" s="740" t="str">
        <f t="shared" si="28"/>
        <v>Daniel</v>
      </c>
      <c r="AJ93" s="740" t="str">
        <f t="shared" si="29"/>
        <v>Pirie</v>
      </c>
      <c r="AK93" s="740"/>
      <c r="AL93" s="740"/>
      <c r="AM93" s="740"/>
      <c r="AN93" s="740"/>
      <c r="AO93" s="740"/>
      <c r="AQ93" s="741">
        <f t="shared" ca="1" si="30"/>
        <v>39601</v>
      </c>
    </row>
    <row r="94" spans="1:43" ht="20.25" customHeight="1" x14ac:dyDescent="0.25">
      <c r="A94" s="1250">
        <v>49</v>
      </c>
      <c r="B94" s="1251" t="s">
        <v>4706</v>
      </c>
      <c r="C94" s="768"/>
      <c r="D94" s="769"/>
      <c r="E94" s="731">
        <v>1344898</v>
      </c>
      <c r="F94" s="731" t="s">
        <v>4912</v>
      </c>
      <c r="G94" s="731" t="s">
        <v>4913</v>
      </c>
      <c r="H94" s="732">
        <v>38610</v>
      </c>
      <c r="I94" s="733" t="str">
        <f t="shared" si="23"/>
        <v>Lily Threadgold</v>
      </c>
      <c r="J94" s="734" t="str">
        <f t="shared" si="24"/>
        <v>Threadgold,Lily</v>
      </c>
      <c r="K94" s="735">
        <f t="shared" ca="1" si="25"/>
        <v>18</v>
      </c>
      <c r="L94" s="736" t="str">
        <f t="shared" si="26"/>
        <v>150905</v>
      </c>
      <c r="M94" s="770" t="str">
        <f t="shared" ref="M94:M109" ca="1" si="34">IF(K94=0,0,IF(K94&lt;9,"TOO YOUNG",IF(K94&lt;60,"OK","BIT OLD MAYBE")))</f>
        <v>OK</v>
      </c>
      <c r="AD94" s="1244">
        <f>A94</f>
        <v>49</v>
      </c>
      <c r="AE94" s="1245" t="str">
        <f>B94</f>
        <v>FEMALE 16+4 X 50M
FREESTYLE RELAY</v>
      </c>
      <c r="AF94" s="749"/>
      <c r="AG94" s="750"/>
      <c r="AH94" s="740">
        <f t="shared" si="27"/>
        <v>1344898</v>
      </c>
      <c r="AI94" s="740" t="str">
        <f t="shared" si="28"/>
        <v>Lily</v>
      </c>
      <c r="AJ94" s="740" t="str">
        <f t="shared" si="29"/>
        <v>Threadgold</v>
      </c>
      <c r="AK94" s="740"/>
      <c r="AL94" s="740"/>
      <c r="AM94" s="740"/>
      <c r="AN94" s="740"/>
      <c r="AO94" s="740"/>
      <c r="AQ94" s="741">
        <f t="shared" ca="1" si="30"/>
        <v>38610</v>
      </c>
    </row>
    <row r="95" spans="1:43" ht="20.25" customHeight="1" x14ac:dyDescent="0.25">
      <c r="A95" s="1250"/>
      <c r="B95" s="1251"/>
      <c r="C95" s="771"/>
      <c r="D95" s="772"/>
      <c r="E95" s="730">
        <v>1289971</v>
      </c>
      <c r="F95" s="731" t="s">
        <v>4910</v>
      </c>
      <c r="G95" s="731" t="s">
        <v>4911</v>
      </c>
      <c r="H95" s="732">
        <v>39217</v>
      </c>
      <c r="I95" s="733" t="str">
        <f t="shared" si="23"/>
        <v>Kathryn Edwards</v>
      </c>
      <c r="J95" s="734" t="str">
        <f t="shared" si="24"/>
        <v>Edwards,Kathryn</v>
      </c>
      <c r="K95" s="735">
        <f t="shared" ca="1" si="25"/>
        <v>16</v>
      </c>
      <c r="L95" s="736" t="str">
        <f t="shared" si="26"/>
        <v>150507</v>
      </c>
      <c r="M95" s="770" t="str">
        <f t="shared" ca="1" si="34"/>
        <v>OK</v>
      </c>
      <c r="AD95" s="1244"/>
      <c r="AE95" s="1245"/>
      <c r="AF95" s="753"/>
      <c r="AG95" s="754"/>
      <c r="AH95" s="740">
        <f t="shared" si="27"/>
        <v>1289971</v>
      </c>
      <c r="AI95" s="740" t="str">
        <f t="shared" si="28"/>
        <v>Kathryn</v>
      </c>
      <c r="AJ95" s="740" t="str">
        <f t="shared" si="29"/>
        <v>Edwards</v>
      </c>
      <c r="AK95" s="740"/>
      <c r="AL95" s="740"/>
      <c r="AM95" s="740"/>
      <c r="AN95" s="740"/>
      <c r="AO95" s="740"/>
      <c r="AQ95" s="741">
        <f t="shared" ca="1" si="30"/>
        <v>39217</v>
      </c>
    </row>
    <row r="96" spans="1:43" ht="20.25" customHeight="1" x14ac:dyDescent="0.25">
      <c r="A96" s="1250"/>
      <c r="B96" s="1251"/>
      <c r="C96" s="771"/>
      <c r="D96" s="772"/>
      <c r="E96" s="730">
        <v>1135673</v>
      </c>
      <c r="F96" s="731" t="s">
        <v>4908</v>
      </c>
      <c r="G96" s="731" t="s">
        <v>4909</v>
      </c>
      <c r="H96" s="732">
        <v>38719</v>
      </c>
      <c r="I96" s="733" t="str">
        <f t="shared" si="23"/>
        <v>Marcie Aley</v>
      </c>
      <c r="J96" s="734" t="str">
        <f t="shared" si="24"/>
        <v>Aley,Marcie</v>
      </c>
      <c r="K96" s="735">
        <f t="shared" ca="1" si="25"/>
        <v>17</v>
      </c>
      <c r="L96" s="736" t="str">
        <f t="shared" si="26"/>
        <v>020106</v>
      </c>
      <c r="M96" s="770" t="str">
        <f t="shared" ca="1" si="34"/>
        <v>OK</v>
      </c>
      <c r="AD96" s="1244"/>
      <c r="AE96" s="1245"/>
      <c r="AF96" s="753"/>
      <c r="AG96" s="754"/>
      <c r="AH96" s="740">
        <f t="shared" si="27"/>
        <v>1135673</v>
      </c>
      <c r="AI96" s="740" t="str">
        <f t="shared" si="28"/>
        <v>Marcie</v>
      </c>
      <c r="AJ96" s="740" t="str">
        <f t="shared" si="29"/>
        <v>Aley</v>
      </c>
      <c r="AK96" s="740"/>
      <c r="AL96" s="740"/>
      <c r="AM96" s="740"/>
      <c r="AN96" s="740"/>
      <c r="AO96" s="740"/>
      <c r="AQ96" s="741">
        <f t="shared" ca="1" si="30"/>
        <v>38719</v>
      </c>
    </row>
    <row r="97" spans="1:43" ht="20.25" customHeight="1" x14ac:dyDescent="0.25">
      <c r="A97" s="1250"/>
      <c r="B97" s="1251"/>
      <c r="C97" s="771"/>
      <c r="D97" s="772"/>
      <c r="E97" s="730">
        <v>1292692</v>
      </c>
      <c r="F97" s="731" t="s">
        <v>4867</v>
      </c>
      <c r="G97" s="731" t="s">
        <v>4868</v>
      </c>
      <c r="H97" s="732">
        <v>39407</v>
      </c>
      <c r="I97" s="733" t="str">
        <f t="shared" si="23"/>
        <v>Isabelle Talbot</v>
      </c>
      <c r="J97" s="734" t="str">
        <f t="shared" si="24"/>
        <v>Talbot,Isabelle</v>
      </c>
      <c r="K97" s="735">
        <f t="shared" ca="1" si="25"/>
        <v>16</v>
      </c>
      <c r="L97" s="736" t="str">
        <f t="shared" si="26"/>
        <v>211107</v>
      </c>
      <c r="M97" s="770" t="str">
        <f t="shared" ca="1" si="34"/>
        <v>OK</v>
      </c>
      <c r="AD97" s="1244"/>
      <c r="AE97" s="1245"/>
      <c r="AF97" s="753"/>
      <c r="AG97" s="754"/>
      <c r="AH97" s="740">
        <f t="shared" si="27"/>
        <v>1292692</v>
      </c>
      <c r="AI97" s="740" t="str">
        <f t="shared" si="28"/>
        <v>Isabelle</v>
      </c>
      <c r="AJ97" s="740" t="str">
        <f t="shared" si="29"/>
        <v>Talbot</v>
      </c>
      <c r="AK97" s="740"/>
      <c r="AL97" s="740"/>
      <c r="AM97" s="740"/>
      <c r="AN97" s="740"/>
      <c r="AO97" s="740"/>
      <c r="AQ97" s="741">
        <f t="shared" ca="1" si="30"/>
        <v>39407</v>
      </c>
    </row>
    <row r="98" spans="1:43" ht="20.25" customHeight="1" x14ac:dyDescent="0.25">
      <c r="A98" s="1242">
        <v>50</v>
      </c>
      <c r="B98" s="1243" t="s">
        <v>4707</v>
      </c>
      <c r="C98" s="768"/>
      <c r="D98" s="769"/>
      <c r="E98" s="730">
        <v>1255043</v>
      </c>
      <c r="F98" s="731" t="s">
        <v>4748</v>
      </c>
      <c r="G98" s="731" t="s">
        <v>4919</v>
      </c>
      <c r="H98" s="732">
        <v>38448</v>
      </c>
      <c r="I98" s="733" t="str">
        <f t="shared" si="23"/>
        <v>Matthew Pack</v>
      </c>
      <c r="J98" s="734" t="str">
        <f t="shared" si="24"/>
        <v>Pack,Matthew</v>
      </c>
      <c r="K98" s="735">
        <f t="shared" ca="1" si="25"/>
        <v>18</v>
      </c>
      <c r="L98" s="736" t="str">
        <f t="shared" si="26"/>
        <v>060405</v>
      </c>
      <c r="M98" s="770" t="str">
        <f t="shared" ca="1" si="34"/>
        <v>OK</v>
      </c>
      <c r="AD98" s="1244">
        <f>A98</f>
        <v>50</v>
      </c>
      <c r="AE98" s="1245" t="str">
        <f>B98</f>
        <v>OPEN/MALE 16+4 X 50M
FREESTYLE RELAY</v>
      </c>
      <c r="AF98" s="749"/>
      <c r="AG98" s="750"/>
      <c r="AH98" s="740">
        <f t="shared" si="27"/>
        <v>1255043</v>
      </c>
      <c r="AI98" s="740" t="str">
        <f t="shared" si="28"/>
        <v>Matthew</v>
      </c>
      <c r="AJ98" s="740" t="str">
        <f t="shared" si="29"/>
        <v>Pack</v>
      </c>
      <c r="AK98" s="740"/>
      <c r="AL98" s="740"/>
      <c r="AM98" s="740"/>
      <c r="AN98" s="740"/>
      <c r="AO98" s="740"/>
      <c r="AQ98" s="741">
        <f t="shared" ca="1" si="30"/>
        <v>38448</v>
      </c>
    </row>
    <row r="99" spans="1:43" ht="20.25" customHeight="1" x14ac:dyDescent="0.25">
      <c r="A99" s="1242"/>
      <c r="B99" s="1243"/>
      <c r="C99" s="771"/>
      <c r="D99" s="772"/>
      <c r="E99" s="730">
        <v>1307366</v>
      </c>
      <c r="F99" s="731" t="s">
        <v>4734</v>
      </c>
      <c r="G99" s="731" t="s">
        <v>4918</v>
      </c>
      <c r="H99" s="732">
        <v>38105</v>
      </c>
      <c r="I99" s="733" t="str">
        <f t="shared" si="23"/>
        <v>Oliver Murray</v>
      </c>
      <c r="J99" s="734" t="str">
        <f t="shared" si="24"/>
        <v>Murray,Oliver</v>
      </c>
      <c r="K99" s="735">
        <f t="shared" ca="1" si="25"/>
        <v>19</v>
      </c>
      <c r="L99" s="736" t="str">
        <f t="shared" si="26"/>
        <v>280404</v>
      </c>
      <c r="M99" s="770" t="str">
        <f t="shared" ca="1" si="34"/>
        <v>OK</v>
      </c>
      <c r="AD99" s="1244"/>
      <c r="AE99" s="1245"/>
      <c r="AF99" s="753"/>
      <c r="AG99" s="754"/>
      <c r="AH99" s="740">
        <f t="shared" si="27"/>
        <v>1307366</v>
      </c>
      <c r="AI99" s="740" t="str">
        <f t="shared" si="28"/>
        <v>Oliver</v>
      </c>
      <c r="AJ99" s="740" t="str">
        <f t="shared" si="29"/>
        <v>Murray</v>
      </c>
      <c r="AK99" s="740"/>
      <c r="AL99" s="740"/>
      <c r="AM99" s="740"/>
      <c r="AN99" s="740"/>
      <c r="AO99" s="740"/>
      <c r="AQ99" s="741">
        <f t="shared" ca="1" si="30"/>
        <v>38105</v>
      </c>
    </row>
    <row r="100" spans="1:43" ht="20.25" customHeight="1" x14ac:dyDescent="0.25">
      <c r="A100" s="1242"/>
      <c r="B100" s="1243"/>
      <c r="C100" s="771"/>
      <c r="D100" s="772"/>
      <c r="E100" s="730">
        <v>1214426</v>
      </c>
      <c r="F100" s="731" t="s">
        <v>4744</v>
      </c>
      <c r="G100" s="731" t="s">
        <v>4907</v>
      </c>
      <c r="H100" s="732">
        <v>38824</v>
      </c>
      <c r="I100" s="733" t="str">
        <f t="shared" si="23"/>
        <v>Daniel Parker</v>
      </c>
      <c r="J100" s="734" t="str">
        <f t="shared" si="24"/>
        <v>Parker,Daniel</v>
      </c>
      <c r="K100" s="735">
        <f t="shared" ref="K100:K109" ca="1" si="35">IF(K$2=0,0,IF(AQ100=0,0,IF(COUNTBLANK(AQ100)=1,"",YEAR(K$2)-YEAR(AQ100)-IF(DATE(YEAR(K$2),MONTH(AQ100),DAY(4638))&gt;K$2,1,0))))</f>
        <v>17</v>
      </c>
      <c r="L100" s="736" t="str">
        <f t="shared" ref="L100:L109" si="36">(TEXT(H100,"DDMMYY"))</f>
        <v>170406</v>
      </c>
      <c r="M100" s="770" t="str">
        <f t="shared" ca="1" si="34"/>
        <v>OK</v>
      </c>
      <c r="AD100" s="1244"/>
      <c r="AE100" s="1245"/>
      <c r="AF100" s="753"/>
      <c r="AG100" s="754"/>
      <c r="AH100" s="740">
        <f t="shared" ref="AH100:AH109" si="37">E100</f>
        <v>1214426</v>
      </c>
      <c r="AI100" s="740" t="str">
        <f t="shared" ref="AI100:AI109" si="38">F100</f>
        <v>Daniel</v>
      </c>
      <c r="AJ100" s="740" t="str">
        <f t="shared" ref="AJ100:AJ109" si="39">G100</f>
        <v>Parker</v>
      </c>
      <c r="AK100" s="740"/>
      <c r="AL100" s="740"/>
      <c r="AM100" s="740"/>
      <c r="AN100" s="740"/>
      <c r="AO100" s="740"/>
      <c r="AQ100" s="741">
        <f t="shared" ref="AQ100:AQ109" ca="1" si="40">INDIRECT(ADDRESS(ROW(),AQ$3))</f>
        <v>38824</v>
      </c>
    </row>
    <row r="101" spans="1:43" ht="20.25" customHeight="1" x14ac:dyDescent="0.25">
      <c r="A101" s="1242"/>
      <c r="B101" s="1243"/>
      <c r="C101" s="771"/>
      <c r="D101" s="772"/>
      <c r="E101" s="730">
        <v>1292412</v>
      </c>
      <c r="F101" s="731" t="s">
        <v>4914</v>
      </c>
      <c r="G101" s="731" t="s">
        <v>4915</v>
      </c>
      <c r="H101" s="732">
        <v>38796</v>
      </c>
      <c r="I101" s="733" t="str">
        <f t="shared" si="23"/>
        <v>Jamie Hartnup</v>
      </c>
      <c r="J101" s="734" t="str">
        <f t="shared" si="24"/>
        <v>Hartnup,Jamie</v>
      </c>
      <c r="K101" s="735">
        <f t="shared" ca="1" si="35"/>
        <v>17</v>
      </c>
      <c r="L101" s="736" t="str">
        <f t="shared" si="36"/>
        <v>200306</v>
      </c>
      <c r="M101" s="770" t="str">
        <f t="shared" ca="1" si="34"/>
        <v>OK</v>
      </c>
      <c r="AD101" s="1244"/>
      <c r="AE101" s="1245"/>
      <c r="AF101" s="753"/>
      <c r="AG101" s="754"/>
      <c r="AH101" s="740">
        <f t="shared" si="37"/>
        <v>1292412</v>
      </c>
      <c r="AI101" s="740" t="str">
        <f t="shared" si="38"/>
        <v>Jamie</v>
      </c>
      <c r="AJ101" s="740" t="str">
        <f t="shared" si="39"/>
        <v>Hartnup</v>
      </c>
      <c r="AK101" s="740"/>
      <c r="AL101" s="740"/>
      <c r="AM101" s="740"/>
      <c r="AN101" s="740"/>
      <c r="AO101" s="740"/>
      <c r="AQ101" s="741">
        <f t="shared" ca="1" si="40"/>
        <v>38796</v>
      </c>
    </row>
    <row r="102" spans="1:43" ht="20.25" customHeight="1" x14ac:dyDescent="0.25">
      <c r="A102" s="1246">
        <v>51</v>
      </c>
      <c r="B102" s="1247" t="s">
        <v>4708</v>
      </c>
      <c r="C102" s="20"/>
      <c r="D102" s="784"/>
      <c r="E102" s="730">
        <v>1402790</v>
      </c>
      <c r="F102" s="731" t="s">
        <v>4898</v>
      </c>
      <c r="G102" s="731" t="s">
        <v>4886</v>
      </c>
      <c r="H102" s="732">
        <v>39733</v>
      </c>
      <c r="I102" s="785"/>
      <c r="J102" s="785"/>
      <c r="K102" s="735">
        <f t="shared" ca="1" si="35"/>
        <v>15</v>
      </c>
      <c r="L102" s="736" t="str">
        <f t="shared" si="36"/>
        <v>121008</v>
      </c>
      <c r="M102" s="770" t="str">
        <f t="shared" ca="1" si="34"/>
        <v>OK</v>
      </c>
      <c r="AD102" s="1244">
        <f>A102</f>
        <v>51</v>
      </c>
      <c r="AE102" s="1245" t="str">
        <f>B102</f>
        <v>SQUADRON RELAY 8 X 50M
1 MALE &amp; 1 FEMALE FROM EACH AGE GROUP
SWIM IN ANY ORDER</v>
      </c>
      <c r="AF102" s="786"/>
      <c r="AG102" s="787"/>
      <c r="AH102" s="740">
        <f t="shared" si="37"/>
        <v>1402790</v>
      </c>
      <c r="AI102" s="740" t="str">
        <f t="shared" si="38"/>
        <v>Esmee</v>
      </c>
      <c r="AJ102" s="740" t="str">
        <f t="shared" si="39"/>
        <v>Reeve</v>
      </c>
      <c r="AK102" s="740"/>
      <c r="AL102" s="740"/>
      <c r="AM102" s="740"/>
      <c r="AN102" s="740"/>
      <c r="AO102" s="740"/>
      <c r="AQ102" s="741">
        <f t="shared" ca="1" si="40"/>
        <v>39733</v>
      </c>
    </row>
    <row r="103" spans="1:43" ht="20.25" customHeight="1" x14ac:dyDescent="0.25">
      <c r="A103" s="1246"/>
      <c r="B103" s="1247"/>
      <c r="C103" s="20"/>
      <c r="D103" s="784"/>
      <c r="E103" s="730">
        <v>1622761</v>
      </c>
      <c r="F103" s="731" t="s">
        <v>4872</v>
      </c>
      <c r="G103" s="731" t="s">
        <v>4741</v>
      </c>
      <c r="H103" s="732">
        <v>41247</v>
      </c>
      <c r="I103" s="785"/>
      <c r="J103" s="785"/>
      <c r="K103" s="735">
        <f t="shared" ca="1" si="35"/>
        <v>11</v>
      </c>
      <c r="L103" s="736" t="str">
        <f t="shared" si="36"/>
        <v>041212</v>
      </c>
      <c r="M103" s="770" t="str">
        <f t="shared" ca="1" si="34"/>
        <v>OK</v>
      </c>
      <c r="AD103" s="1244"/>
      <c r="AE103" s="1245"/>
      <c r="AF103" s="786"/>
      <c r="AG103" s="787"/>
      <c r="AH103" s="740">
        <f t="shared" si="37"/>
        <v>1622761</v>
      </c>
      <c r="AI103" s="740" t="str">
        <f t="shared" si="38"/>
        <v>Megan</v>
      </c>
      <c r="AJ103" s="740" t="str">
        <f t="shared" si="39"/>
        <v>Alexander</v>
      </c>
      <c r="AK103" s="740"/>
      <c r="AL103" s="740"/>
      <c r="AM103" s="740"/>
      <c r="AN103" s="740"/>
      <c r="AO103" s="740"/>
      <c r="AQ103" s="741">
        <f t="shared" ca="1" si="40"/>
        <v>41247</v>
      </c>
    </row>
    <row r="104" spans="1:43" ht="20.25" customHeight="1" x14ac:dyDescent="0.25">
      <c r="A104" s="1246"/>
      <c r="B104" s="1247"/>
      <c r="C104" s="20"/>
      <c r="D104" s="784"/>
      <c r="E104" s="730">
        <v>1515673</v>
      </c>
      <c r="F104" s="731" t="s">
        <v>4895</v>
      </c>
      <c r="G104" s="731" t="s">
        <v>4896</v>
      </c>
      <c r="H104" s="732">
        <v>40846</v>
      </c>
      <c r="I104" s="785"/>
      <c r="J104" s="785"/>
      <c r="K104" s="735">
        <f t="shared" ca="1" si="35"/>
        <v>12</v>
      </c>
      <c r="L104" s="736" t="str">
        <f t="shared" si="36"/>
        <v>301011</v>
      </c>
      <c r="M104" s="770" t="str">
        <f t="shared" ca="1" si="34"/>
        <v>OK</v>
      </c>
      <c r="AD104" s="1244"/>
      <c r="AE104" s="1245"/>
      <c r="AF104" s="786"/>
      <c r="AG104" s="787"/>
      <c r="AH104" s="740">
        <f t="shared" si="37"/>
        <v>1515673</v>
      </c>
      <c r="AI104" s="740" t="str">
        <f t="shared" si="38"/>
        <v>Poyraz</v>
      </c>
      <c r="AJ104" s="740" t="str">
        <f t="shared" si="39"/>
        <v>Akbiyik</v>
      </c>
      <c r="AK104" s="740"/>
      <c r="AL104" s="740"/>
      <c r="AM104" s="740"/>
      <c r="AN104" s="740"/>
      <c r="AO104" s="740"/>
      <c r="AQ104" s="741">
        <f t="shared" ca="1" si="40"/>
        <v>40846</v>
      </c>
    </row>
    <row r="105" spans="1:43" ht="20.25" customHeight="1" x14ac:dyDescent="0.25">
      <c r="A105" s="1246"/>
      <c r="B105" s="1247"/>
      <c r="C105" s="20"/>
      <c r="D105" s="784"/>
      <c r="E105" s="730">
        <v>1496506</v>
      </c>
      <c r="F105" s="731" t="s">
        <v>4882</v>
      </c>
      <c r="G105" s="731" t="s">
        <v>4883</v>
      </c>
      <c r="H105" s="732">
        <v>41044</v>
      </c>
      <c r="I105" s="785"/>
      <c r="J105" s="785"/>
      <c r="K105" s="735">
        <f t="shared" ca="1" si="35"/>
        <v>11</v>
      </c>
      <c r="L105" s="736" t="str">
        <f t="shared" si="36"/>
        <v>150512</v>
      </c>
      <c r="M105" s="770" t="str">
        <f t="shared" ca="1" si="34"/>
        <v>OK</v>
      </c>
      <c r="AD105" s="1244"/>
      <c r="AE105" s="1245"/>
      <c r="AF105" s="786"/>
      <c r="AG105" s="787"/>
      <c r="AH105" s="740">
        <f t="shared" si="37"/>
        <v>1496506</v>
      </c>
      <c r="AI105" s="740" t="str">
        <f t="shared" si="38"/>
        <v>Braden</v>
      </c>
      <c r="AJ105" s="740" t="str">
        <f t="shared" si="39"/>
        <v>Barnacle</v>
      </c>
      <c r="AK105" s="740"/>
      <c r="AL105" s="740"/>
      <c r="AM105" s="740"/>
      <c r="AN105" s="740"/>
      <c r="AO105" s="740"/>
      <c r="AQ105" s="741">
        <f t="shared" ca="1" si="40"/>
        <v>41044</v>
      </c>
    </row>
    <row r="106" spans="1:43" ht="20.25" customHeight="1" x14ac:dyDescent="0.25">
      <c r="A106" s="1246"/>
      <c r="B106" s="1247"/>
      <c r="E106" s="730">
        <v>1344898</v>
      </c>
      <c r="F106" s="731" t="s">
        <v>4912</v>
      </c>
      <c r="G106" s="731" t="s">
        <v>4913</v>
      </c>
      <c r="H106" s="732">
        <v>38610</v>
      </c>
      <c r="I106" s="785"/>
      <c r="J106" s="785"/>
      <c r="K106" s="735">
        <f t="shared" ca="1" si="35"/>
        <v>18</v>
      </c>
      <c r="L106" s="736" t="str">
        <f t="shared" si="36"/>
        <v>150905</v>
      </c>
      <c r="M106" s="770" t="str">
        <f t="shared" ca="1" si="34"/>
        <v>OK</v>
      </c>
      <c r="AD106" s="1244"/>
      <c r="AE106" s="1245"/>
      <c r="AH106" s="740">
        <f t="shared" si="37"/>
        <v>1344898</v>
      </c>
      <c r="AI106" s="740" t="str">
        <f t="shared" si="38"/>
        <v>Lily</v>
      </c>
      <c r="AJ106" s="740" t="str">
        <f t="shared" si="39"/>
        <v>Threadgold</v>
      </c>
      <c r="AK106" s="211"/>
      <c r="AL106" s="211"/>
      <c r="AM106" s="211"/>
      <c r="AN106" s="211"/>
      <c r="AO106" s="211"/>
      <c r="AQ106" s="741">
        <f t="shared" ca="1" si="40"/>
        <v>38610</v>
      </c>
    </row>
    <row r="107" spans="1:43" ht="20.25" customHeight="1" x14ac:dyDescent="0.25">
      <c r="A107" s="1246"/>
      <c r="B107" s="1247"/>
      <c r="E107" s="730">
        <v>1433823</v>
      </c>
      <c r="F107" s="731" t="s">
        <v>4889</v>
      </c>
      <c r="G107" s="731" t="s">
        <v>4890</v>
      </c>
      <c r="H107" s="732">
        <v>40224</v>
      </c>
      <c r="I107" s="785"/>
      <c r="J107" s="785"/>
      <c r="K107" s="735">
        <f t="shared" ca="1" si="35"/>
        <v>13</v>
      </c>
      <c r="L107" s="736" t="str">
        <f t="shared" si="36"/>
        <v>150210</v>
      </c>
      <c r="M107" s="770" t="str">
        <f t="shared" ca="1" si="34"/>
        <v>OK</v>
      </c>
      <c r="AD107" s="1244"/>
      <c r="AE107" s="1245"/>
      <c r="AH107" s="740">
        <f t="shared" si="37"/>
        <v>1433823</v>
      </c>
      <c r="AI107" s="740" t="str">
        <f t="shared" si="38"/>
        <v>Kayla</v>
      </c>
      <c r="AJ107" s="740" t="str">
        <f t="shared" si="39"/>
        <v>Paxton</v>
      </c>
      <c r="AK107" s="211"/>
      <c r="AL107" s="211"/>
      <c r="AM107" s="211"/>
      <c r="AN107" s="211"/>
      <c r="AO107" s="211"/>
      <c r="AQ107" s="741">
        <f t="shared" ca="1" si="40"/>
        <v>40224</v>
      </c>
    </row>
    <row r="108" spans="1:43" ht="20.25" customHeight="1" x14ac:dyDescent="0.25">
      <c r="A108" s="1246"/>
      <c r="B108" s="1247"/>
      <c r="E108" s="730">
        <v>1337901</v>
      </c>
      <c r="F108" s="731" t="s">
        <v>4744</v>
      </c>
      <c r="G108" s="731" t="s">
        <v>4905</v>
      </c>
      <c r="H108" s="732">
        <v>39601</v>
      </c>
      <c r="I108" s="785"/>
      <c r="J108" s="785"/>
      <c r="K108" s="735">
        <f t="shared" ca="1" si="35"/>
        <v>15</v>
      </c>
      <c r="L108" s="736" t="str">
        <f t="shared" si="36"/>
        <v>020608</v>
      </c>
      <c r="M108" s="770" t="str">
        <f t="shared" ca="1" si="34"/>
        <v>OK</v>
      </c>
      <c r="AD108" s="1244"/>
      <c r="AE108" s="1245"/>
      <c r="AH108" s="740">
        <f t="shared" si="37"/>
        <v>1337901</v>
      </c>
      <c r="AI108" s="740" t="str">
        <f t="shared" si="38"/>
        <v>Daniel</v>
      </c>
      <c r="AJ108" s="740" t="str">
        <f t="shared" si="39"/>
        <v>Pirie</v>
      </c>
      <c r="AK108" s="211"/>
      <c r="AL108" s="211"/>
      <c r="AM108" s="211"/>
      <c r="AN108" s="211"/>
      <c r="AO108" s="211"/>
      <c r="AQ108" s="741">
        <f t="shared" ca="1" si="40"/>
        <v>39601</v>
      </c>
    </row>
    <row r="109" spans="1:43" ht="20.25" customHeight="1" x14ac:dyDescent="0.25">
      <c r="A109" s="1246"/>
      <c r="B109" s="1247"/>
      <c r="E109" s="730">
        <v>1255059</v>
      </c>
      <c r="F109" s="731" t="s">
        <v>4916</v>
      </c>
      <c r="G109" s="731" t="s">
        <v>4917</v>
      </c>
      <c r="H109" s="732">
        <v>39023</v>
      </c>
      <c r="I109" s="785"/>
      <c r="J109" s="785"/>
      <c r="K109" s="735">
        <f t="shared" ca="1" si="35"/>
        <v>17</v>
      </c>
      <c r="L109" s="736" t="str">
        <f t="shared" si="36"/>
        <v>021106</v>
      </c>
      <c r="M109" s="770" t="str">
        <f t="shared" ca="1" si="34"/>
        <v>OK</v>
      </c>
      <c r="AD109" s="1244"/>
      <c r="AE109" s="1245"/>
      <c r="AH109" s="740">
        <f t="shared" si="37"/>
        <v>1255059</v>
      </c>
      <c r="AI109" s="740" t="str">
        <f t="shared" si="38"/>
        <v>Robert</v>
      </c>
      <c r="AJ109" s="740" t="str">
        <f t="shared" si="39"/>
        <v>Elliston</v>
      </c>
      <c r="AK109" s="211"/>
      <c r="AL109" s="211"/>
      <c r="AM109" s="211"/>
      <c r="AN109" s="211"/>
      <c r="AO109" s="211"/>
      <c r="AQ109" s="741">
        <f t="shared" ca="1" si="40"/>
        <v>39023</v>
      </c>
    </row>
    <row r="110" spans="1:43" s="134" customFormat="1" ht="9" customHeight="1" x14ac:dyDescent="0.25">
      <c r="E110" s="788"/>
      <c r="F110" s="789"/>
      <c r="G110" s="789"/>
      <c r="H110" s="790"/>
      <c r="AD110" s="791"/>
      <c r="AE110" s="792"/>
    </row>
    <row r="111" spans="1:43" s="134" customFormat="1" ht="9" customHeight="1" x14ac:dyDescent="0.25">
      <c r="E111" s="788"/>
      <c r="F111" s="789"/>
      <c r="G111" s="789"/>
      <c r="H111" s="790"/>
      <c r="AD111" s="791"/>
      <c r="AE111" s="792"/>
    </row>
    <row r="112" spans="1:43" s="134" customFormat="1" ht="9" customHeight="1" x14ac:dyDescent="0.25">
      <c r="E112" s="788"/>
      <c r="F112" s="789"/>
      <c r="G112" s="789"/>
      <c r="H112" s="790"/>
      <c r="AD112" s="791"/>
      <c r="AE112" s="792"/>
    </row>
    <row r="113" spans="5:31" s="134" customFormat="1" ht="9" customHeight="1" x14ac:dyDescent="0.25">
      <c r="E113" s="788"/>
      <c r="F113" s="789"/>
      <c r="G113" s="789"/>
      <c r="H113" s="790"/>
      <c r="AD113" s="791"/>
      <c r="AE113" s="792"/>
    </row>
    <row r="114" spans="5:31" s="134" customFormat="1" ht="9" customHeight="1" x14ac:dyDescent="0.25">
      <c r="E114" s="788"/>
      <c r="F114" s="789"/>
      <c r="G114" s="789"/>
      <c r="H114" s="790"/>
      <c r="AD114" s="791"/>
      <c r="AE114" s="792"/>
    </row>
    <row r="115" spans="5:31" s="134" customFormat="1" ht="9" customHeight="1" x14ac:dyDescent="0.25">
      <c r="E115" s="788"/>
      <c r="F115" s="789"/>
      <c r="G115" s="789"/>
      <c r="H115" s="790"/>
      <c r="AD115" s="791"/>
      <c r="AE115" s="792"/>
    </row>
    <row r="116" spans="5:31" s="134" customFormat="1" ht="9" customHeight="1" x14ac:dyDescent="0.25">
      <c r="E116" s="788"/>
      <c r="F116" s="789"/>
      <c r="G116" s="789"/>
      <c r="H116" s="790"/>
      <c r="AD116" s="791"/>
      <c r="AE116" s="792"/>
    </row>
    <row r="117" spans="5:31" s="134" customFormat="1" ht="9" customHeight="1" x14ac:dyDescent="0.25">
      <c r="E117" s="788"/>
      <c r="F117" s="789"/>
      <c r="G117" s="789"/>
      <c r="H117" s="790"/>
      <c r="AD117" s="791"/>
      <c r="AE117" s="792"/>
    </row>
    <row r="118" spans="5:31" s="134" customFormat="1" ht="9" customHeight="1" x14ac:dyDescent="0.25">
      <c r="E118" s="788"/>
      <c r="F118" s="789"/>
      <c r="G118" s="789"/>
      <c r="H118" s="790"/>
      <c r="AD118" s="791"/>
      <c r="AE118" s="792"/>
    </row>
    <row r="119" spans="5:31" s="134" customFormat="1" ht="9" customHeight="1" x14ac:dyDescent="0.25">
      <c r="E119" s="788"/>
      <c r="F119" s="789"/>
      <c r="G119" s="789"/>
      <c r="H119" s="790"/>
      <c r="AD119" s="791"/>
      <c r="AE119" s="792"/>
    </row>
    <row r="120" spans="5:31" s="134" customFormat="1" ht="9" customHeight="1" x14ac:dyDescent="0.25">
      <c r="E120" s="788"/>
      <c r="F120" s="789"/>
      <c r="G120" s="789"/>
      <c r="H120" s="790"/>
      <c r="AD120" s="791"/>
      <c r="AE120" s="792"/>
    </row>
    <row r="121" spans="5:31" s="134" customFormat="1" ht="9" customHeight="1" x14ac:dyDescent="0.25">
      <c r="E121" s="788"/>
      <c r="F121" s="789"/>
      <c r="G121" s="789"/>
      <c r="H121" s="790"/>
      <c r="AD121" s="791"/>
      <c r="AE121" s="792"/>
    </row>
    <row r="122" spans="5:31" s="134" customFormat="1" ht="9" customHeight="1" x14ac:dyDescent="0.25">
      <c r="E122" s="788"/>
      <c r="F122" s="789"/>
      <c r="G122" s="789"/>
      <c r="H122" s="790"/>
      <c r="AD122" s="791"/>
      <c r="AE122" s="792"/>
    </row>
    <row r="123" spans="5:31" s="134" customFormat="1" ht="9" customHeight="1" x14ac:dyDescent="0.25">
      <c r="E123" s="788"/>
      <c r="F123" s="789"/>
      <c r="G123" s="789"/>
      <c r="H123" s="790"/>
      <c r="AD123" s="791"/>
      <c r="AE123" s="792"/>
    </row>
    <row r="124" spans="5:31" s="134" customFormat="1" ht="9" customHeight="1" x14ac:dyDescent="0.25">
      <c r="E124" s="788"/>
      <c r="F124" s="789"/>
      <c r="G124" s="789"/>
      <c r="H124" s="790"/>
      <c r="AD124" s="791"/>
      <c r="AE124" s="792"/>
    </row>
    <row r="125" spans="5:31" s="134" customFormat="1" ht="9" customHeight="1" x14ac:dyDescent="0.25">
      <c r="E125" s="788"/>
      <c r="F125" s="789"/>
      <c r="G125" s="789"/>
      <c r="H125" s="790"/>
      <c r="AD125" s="791"/>
      <c r="AE125" s="792"/>
    </row>
    <row r="126" spans="5:31" s="134" customFormat="1" ht="9" customHeight="1" x14ac:dyDescent="0.25">
      <c r="E126" s="788"/>
      <c r="F126" s="789"/>
      <c r="G126" s="789"/>
      <c r="H126" s="790"/>
      <c r="AD126" s="791"/>
      <c r="AE126" s="792"/>
    </row>
    <row r="127" spans="5:31" s="134" customFormat="1" ht="9" customHeight="1" x14ac:dyDescent="0.25">
      <c r="E127" s="788"/>
      <c r="F127" s="789"/>
      <c r="G127" s="789"/>
      <c r="H127" s="790"/>
      <c r="AD127" s="791"/>
      <c r="AE127" s="792"/>
    </row>
    <row r="128" spans="5:31" s="134" customFormat="1" ht="9" customHeight="1" x14ac:dyDescent="0.25">
      <c r="E128" s="788"/>
      <c r="F128" s="789"/>
      <c r="G128" s="789"/>
      <c r="H128" s="790"/>
      <c r="AD128" s="791"/>
      <c r="AE128" s="792"/>
    </row>
    <row r="129" spans="5:31" s="134" customFormat="1" ht="9" customHeight="1" x14ac:dyDescent="0.25">
      <c r="E129" s="788"/>
      <c r="F129" s="789"/>
      <c r="G129" s="789"/>
      <c r="H129" s="790"/>
      <c r="AD129" s="791"/>
      <c r="AE129" s="792"/>
    </row>
    <row r="130" spans="5:31" s="134" customFormat="1" ht="9" customHeight="1" x14ac:dyDescent="0.25">
      <c r="E130" s="788"/>
      <c r="F130" s="789"/>
      <c r="G130" s="789"/>
      <c r="H130" s="790"/>
      <c r="AD130" s="791"/>
      <c r="AE130" s="792"/>
    </row>
    <row r="131" spans="5:31" s="134" customFormat="1" ht="9" customHeight="1" x14ac:dyDescent="0.25">
      <c r="E131" s="788"/>
      <c r="F131" s="789"/>
      <c r="G131" s="789"/>
      <c r="H131" s="790"/>
      <c r="AD131" s="791"/>
      <c r="AE131" s="792"/>
    </row>
    <row r="132" spans="5:31" s="134" customFormat="1" ht="9" customHeight="1" x14ac:dyDescent="0.25">
      <c r="E132" s="788"/>
      <c r="F132" s="789"/>
      <c r="G132" s="789"/>
      <c r="H132" s="790"/>
      <c r="AD132" s="791"/>
      <c r="AE132" s="792"/>
    </row>
    <row r="133" spans="5:31" s="134" customFormat="1" ht="9" customHeight="1" x14ac:dyDescent="0.25">
      <c r="E133" s="788"/>
      <c r="F133" s="789"/>
      <c r="G133" s="789"/>
      <c r="H133" s="790"/>
      <c r="AD133" s="791"/>
      <c r="AE133" s="792"/>
    </row>
    <row r="134" spans="5:31" s="134" customFormat="1" ht="9" customHeight="1" x14ac:dyDescent="0.25">
      <c r="E134" s="788"/>
      <c r="F134" s="789"/>
      <c r="G134" s="789"/>
      <c r="H134" s="790"/>
      <c r="AD134" s="791"/>
      <c r="AE134" s="792"/>
    </row>
    <row r="135" spans="5:31" s="134" customFormat="1" ht="9" customHeight="1" x14ac:dyDescent="0.25">
      <c r="E135" s="788"/>
      <c r="F135" s="789"/>
      <c r="G135" s="789"/>
      <c r="H135" s="790"/>
      <c r="AD135" s="791"/>
      <c r="AE135" s="792"/>
    </row>
    <row r="136" spans="5:31" s="134" customFormat="1" ht="9" customHeight="1" x14ac:dyDescent="0.25">
      <c r="E136" s="788"/>
      <c r="F136" s="789"/>
      <c r="G136" s="789"/>
      <c r="H136" s="790"/>
      <c r="AD136" s="791"/>
      <c r="AE136" s="792"/>
    </row>
    <row r="137" spans="5:31" s="134" customFormat="1" ht="9" customHeight="1" x14ac:dyDescent="0.25">
      <c r="E137" s="788"/>
      <c r="F137" s="789"/>
      <c r="G137" s="789"/>
      <c r="H137" s="790"/>
      <c r="AD137" s="791"/>
      <c r="AE137" s="792"/>
    </row>
    <row r="138" spans="5:31" s="134" customFormat="1" ht="9" customHeight="1" x14ac:dyDescent="0.25">
      <c r="E138" s="788"/>
      <c r="F138" s="789"/>
      <c r="G138" s="789"/>
      <c r="H138" s="790"/>
      <c r="AD138" s="791"/>
      <c r="AE138" s="792"/>
    </row>
    <row r="139" spans="5:31" s="134" customFormat="1" ht="9" customHeight="1" x14ac:dyDescent="0.25">
      <c r="E139" s="788"/>
      <c r="F139" s="789"/>
      <c r="G139" s="789"/>
      <c r="H139" s="790"/>
      <c r="AD139" s="791"/>
      <c r="AE139" s="792"/>
    </row>
    <row r="140" spans="5:31" s="134" customFormat="1" ht="9" customHeight="1" x14ac:dyDescent="0.25">
      <c r="E140" s="788"/>
      <c r="F140" s="789"/>
      <c r="G140" s="789"/>
      <c r="H140" s="790"/>
      <c r="AD140" s="791"/>
      <c r="AE140" s="792"/>
    </row>
    <row r="141" spans="5:31" s="134" customFormat="1" ht="9" customHeight="1" x14ac:dyDescent="0.25">
      <c r="E141" s="789"/>
      <c r="F141" s="789"/>
      <c r="G141" s="789"/>
      <c r="H141" s="790"/>
      <c r="AD141" s="791"/>
      <c r="AE141" s="792"/>
    </row>
    <row r="142" spans="5:31" s="134" customFormat="1" ht="9" customHeight="1" x14ac:dyDescent="0.25">
      <c r="E142" s="789"/>
      <c r="F142" s="789"/>
      <c r="G142" s="789"/>
      <c r="H142" s="790"/>
      <c r="AD142" s="791"/>
      <c r="AE142" s="792"/>
    </row>
    <row r="143" spans="5:31" s="134" customFormat="1" ht="9" customHeight="1" x14ac:dyDescent="0.25">
      <c r="E143" s="789"/>
      <c r="F143" s="789"/>
      <c r="G143" s="789"/>
      <c r="H143" s="790"/>
      <c r="AD143" s="791"/>
      <c r="AE143" s="792"/>
    </row>
    <row r="144" spans="5:31" s="134" customFormat="1" ht="9" customHeight="1" x14ac:dyDescent="0.25">
      <c r="E144" s="789"/>
      <c r="F144" s="789"/>
      <c r="G144" s="789"/>
      <c r="H144" s="790"/>
      <c r="AD144" s="791"/>
      <c r="AE144" s="792"/>
    </row>
    <row r="145" spans="5:31" s="134" customFormat="1" ht="9" customHeight="1" x14ac:dyDescent="0.25">
      <c r="E145" s="789"/>
      <c r="F145" s="789"/>
      <c r="G145" s="789"/>
      <c r="H145" s="790"/>
      <c r="AD145" s="791"/>
      <c r="AE145" s="792"/>
    </row>
    <row r="146" spans="5:31" s="134" customFormat="1" ht="9" customHeight="1" x14ac:dyDescent="0.25">
      <c r="E146" s="789"/>
      <c r="F146" s="789"/>
      <c r="G146" s="789"/>
      <c r="H146" s="790"/>
      <c r="AD146" s="791"/>
      <c r="AE146" s="792"/>
    </row>
    <row r="147" spans="5:31" s="134" customFormat="1" ht="9" customHeight="1" x14ac:dyDescent="0.25">
      <c r="E147" s="789"/>
      <c r="F147" s="789"/>
      <c r="G147" s="789"/>
      <c r="H147" s="790"/>
      <c r="AD147" s="791"/>
      <c r="AE147" s="792"/>
    </row>
    <row r="148" spans="5:31" s="134" customFormat="1" ht="9" customHeight="1" x14ac:dyDescent="0.25">
      <c r="E148" s="789"/>
      <c r="F148" s="789"/>
      <c r="G148" s="789"/>
      <c r="H148" s="790"/>
      <c r="AD148" s="791"/>
      <c r="AE148" s="792"/>
    </row>
    <row r="149" spans="5:31" s="134" customFormat="1" ht="9" customHeight="1" x14ac:dyDescent="0.25">
      <c r="E149" s="789"/>
      <c r="F149" s="789"/>
      <c r="G149" s="789"/>
      <c r="H149" s="790"/>
      <c r="AD149" s="791"/>
      <c r="AE149" s="792"/>
    </row>
    <row r="150" spans="5:31" s="134" customFormat="1" ht="9" customHeight="1" x14ac:dyDescent="0.25">
      <c r="E150" s="789"/>
      <c r="F150" s="789"/>
      <c r="G150" s="789"/>
      <c r="H150" s="790"/>
      <c r="AD150" s="791"/>
      <c r="AE150" s="792"/>
    </row>
    <row r="151" spans="5:31" s="134" customFormat="1" ht="9" customHeight="1" x14ac:dyDescent="0.25">
      <c r="E151" s="789"/>
      <c r="F151" s="789"/>
      <c r="G151" s="789"/>
      <c r="H151" s="790"/>
      <c r="AD151" s="791"/>
      <c r="AE151" s="792"/>
    </row>
    <row r="152" spans="5:31" s="134" customFormat="1" ht="9" customHeight="1" x14ac:dyDescent="0.25">
      <c r="E152" s="789"/>
      <c r="F152" s="789"/>
      <c r="G152" s="789"/>
      <c r="H152" s="790"/>
      <c r="AD152" s="791"/>
      <c r="AE152" s="792"/>
    </row>
    <row r="153" spans="5:31" s="134" customFormat="1" ht="9" customHeight="1" x14ac:dyDescent="0.25">
      <c r="E153" s="789"/>
      <c r="F153" s="789"/>
      <c r="G153" s="789"/>
      <c r="H153" s="790"/>
      <c r="AD153" s="791"/>
      <c r="AE153" s="792"/>
    </row>
    <row r="154" spans="5:31" s="134" customFormat="1" ht="9" customHeight="1" x14ac:dyDescent="0.25">
      <c r="E154" s="789"/>
      <c r="F154" s="789"/>
      <c r="G154" s="789"/>
      <c r="H154" s="790"/>
      <c r="AD154" s="791"/>
      <c r="AE154" s="792"/>
    </row>
    <row r="155" spans="5:31" s="134" customFormat="1" ht="9" customHeight="1" x14ac:dyDescent="0.25">
      <c r="E155" s="789"/>
      <c r="F155" s="789"/>
      <c r="G155" s="789"/>
      <c r="H155" s="790"/>
      <c r="AD155" s="791"/>
      <c r="AE155" s="792"/>
    </row>
    <row r="156" spans="5:31" s="134" customFormat="1" ht="9" customHeight="1" x14ac:dyDescent="0.25">
      <c r="E156" s="789"/>
      <c r="F156" s="789"/>
      <c r="G156" s="789"/>
      <c r="H156" s="790"/>
      <c r="AD156" s="791"/>
      <c r="AE156" s="792"/>
    </row>
    <row r="157" spans="5:31" s="134" customFormat="1" ht="9" customHeight="1" x14ac:dyDescent="0.25">
      <c r="E157" s="789"/>
      <c r="F157" s="789"/>
      <c r="G157" s="789"/>
      <c r="H157" s="790"/>
      <c r="AD157" s="791"/>
      <c r="AE157" s="792"/>
    </row>
    <row r="158" spans="5:31" s="134" customFormat="1" ht="9" customHeight="1" x14ac:dyDescent="0.25">
      <c r="E158" s="789"/>
      <c r="F158" s="789"/>
      <c r="G158" s="789"/>
      <c r="H158" s="790"/>
      <c r="AD158" s="791"/>
      <c r="AE158" s="792"/>
    </row>
    <row r="159" spans="5:31" s="134" customFormat="1" ht="9" customHeight="1" x14ac:dyDescent="0.25">
      <c r="E159" s="789"/>
      <c r="F159" s="789"/>
      <c r="G159" s="789"/>
      <c r="H159" s="790"/>
      <c r="AD159" s="791"/>
      <c r="AE159" s="792"/>
    </row>
    <row r="160" spans="5:31" s="134" customFormat="1" ht="9" customHeight="1" x14ac:dyDescent="0.25">
      <c r="E160" s="789"/>
      <c r="F160" s="789"/>
      <c r="G160" s="789"/>
      <c r="H160" s="790"/>
      <c r="AD160" s="791"/>
      <c r="AE160" s="792"/>
    </row>
    <row r="161" spans="5:31" s="134" customFormat="1" ht="9" customHeight="1" x14ac:dyDescent="0.25">
      <c r="E161" s="789"/>
      <c r="F161" s="789"/>
      <c r="G161" s="789"/>
      <c r="H161" s="790"/>
      <c r="AD161" s="791"/>
      <c r="AE161" s="792"/>
    </row>
    <row r="162" spans="5:31" s="134" customFormat="1" ht="9" customHeight="1" x14ac:dyDescent="0.25">
      <c r="E162" s="789"/>
      <c r="F162" s="789"/>
      <c r="G162" s="789"/>
      <c r="H162" s="790"/>
      <c r="AD162" s="791"/>
      <c r="AE162" s="792"/>
    </row>
    <row r="163" spans="5:31" s="134" customFormat="1" ht="9" customHeight="1" x14ac:dyDescent="0.25">
      <c r="E163" s="789"/>
      <c r="F163" s="789"/>
      <c r="G163" s="789"/>
      <c r="H163" s="790"/>
      <c r="AD163" s="791"/>
      <c r="AE163" s="792"/>
    </row>
    <row r="164" spans="5:31" s="134" customFormat="1" ht="9" customHeight="1" x14ac:dyDescent="0.25">
      <c r="E164" s="789"/>
      <c r="F164" s="789"/>
      <c r="G164" s="789"/>
      <c r="H164" s="790"/>
      <c r="AD164" s="791"/>
      <c r="AE164" s="792"/>
    </row>
    <row r="165" spans="5:31" s="134" customFormat="1" ht="9" customHeight="1" x14ac:dyDescent="0.25">
      <c r="E165" s="789"/>
      <c r="F165" s="789"/>
      <c r="G165" s="789"/>
      <c r="H165" s="790"/>
      <c r="AD165" s="791"/>
      <c r="AE165" s="792"/>
    </row>
    <row r="166" spans="5:31" s="134" customFormat="1" ht="9" customHeight="1" x14ac:dyDescent="0.25">
      <c r="E166" s="789"/>
      <c r="F166" s="789"/>
      <c r="G166" s="789"/>
      <c r="H166" s="790"/>
      <c r="AD166" s="791"/>
      <c r="AE166" s="792"/>
    </row>
    <row r="167" spans="5:31" s="134" customFormat="1" ht="9" customHeight="1" x14ac:dyDescent="0.25">
      <c r="E167" s="789"/>
      <c r="F167" s="789"/>
      <c r="G167" s="789"/>
      <c r="H167" s="790"/>
      <c r="AD167" s="791"/>
      <c r="AE167" s="792"/>
    </row>
    <row r="168" spans="5:31" s="134" customFormat="1" ht="9" customHeight="1" x14ac:dyDescent="0.25">
      <c r="E168" s="789"/>
      <c r="F168" s="789"/>
      <c r="G168" s="789"/>
      <c r="H168" s="790"/>
      <c r="AD168" s="791"/>
      <c r="AE168" s="792"/>
    </row>
    <row r="169" spans="5:31" s="134" customFormat="1" ht="9" customHeight="1" x14ac:dyDescent="0.25">
      <c r="E169" s="789"/>
      <c r="F169" s="789"/>
      <c r="G169" s="789"/>
      <c r="H169" s="790"/>
      <c r="AD169" s="791"/>
      <c r="AE169" s="792"/>
    </row>
    <row r="170" spans="5:31" s="134" customFormat="1" ht="9" customHeight="1" x14ac:dyDescent="0.25">
      <c r="E170" s="789"/>
      <c r="F170" s="789"/>
      <c r="G170" s="789"/>
      <c r="H170" s="790"/>
      <c r="AD170" s="791"/>
      <c r="AE170" s="792"/>
    </row>
    <row r="171" spans="5:31" s="134" customFormat="1" ht="9" customHeight="1" x14ac:dyDescent="0.25">
      <c r="E171" s="789"/>
      <c r="F171" s="789"/>
      <c r="G171" s="789"/>
      <c r="H171" s="790"/>
      <c r="AD171" s="791"/>
      <c r="AE171" s="792"/>
    </row>
    <row r="172" spans="5:31" s="134" customFormat="1" ht="9" customHeight="1" x14ac:dyDescent="0.25">
      <c r="E172" s="789"/>
      <c r="F172" s="789"/>
      <c r="G172" s="789"/>
      <c r="H172" s="790"/>
      <c r="AD172" s="791"/>
      <c r="AE172" s="792"/>
    </row>
    <row r="173" spans="5:31" s="134" customFormat="1" ht="9" customHeight="1" x14ac:dyDescent="0.25">
      <c r="E173" s="789"/>
      <c r="F173" s="789"/>
      <c r="G173" s="789"/>
      <c r="H173" s="790"/>
      <c r="AD173" s="791"/>
      <c r="AE173" s="792"/>
    </row>
    <row r="174" spans="5:31" s="134" customFormat="1" ht="9" customHeight="1" x14ac:dyDescent="0.25">
      <c r="E174" s="789"/>
      <c r="F174" s="789"/>
      <c r="G174" s="789"/>
      <c r="H174" s="790"/>
      <c r="AD174" s="791"/>
      <c r="AE174" s="792"/>
    </row>
    <row r="175" spans="5:31" s="134" customFormat="1" ht="9" customHeight="1" x14ac:dyDescent="0.25">
      <c r="E175" s="789"/>
      <c r="F175" s="789"/>
      <c r="G175" s="789"/>
      <c r="H175" s="790"/>
      <c r="AD175" s="791"/>
      <c r="AE175" s="792"/>
    </row>
    <row r="176" spans="5:31" s="134" customFormat="1" ht="9" customHeight="1" x14ac:dyDescent="0.25">
      <c r="E176" s="789"/>
      <c r="F176" s="789"/>
      <c r="G176" s="789"/>
      <c r="H176" s="790"/>
      <c r="AD176" s="791"/>
      <c r="AE176" s="792"/>
    </row>
    <row r="177" spans="5:31" s="134" customFormat="1" ht="9" customHeight="1" x14ac:dyDescent="0.25">
      <c r="E177" s="789"/>
      <c r="F177" s="789"/>
      <c r="G177" s="789"/>
      <c r="H177" s="790"/>
      <c r="AD177" s="791"/>
      <c r="AE177" s="792"/>
    </row>
    <row r="178" spans="5:31" s="134" customFormat="1" ht="9" customHeight="1" x14ac:dyDescent="0.25">
      <c r="E178" s="789"/>
      <c r="F178" s="789"/>
      <c r="G178" s="789"/>
      <c r="H178" s="790"/>
      <c r="AD178" s="791"/>
      <c r="AE178" s="792"/>
    </row>
    <row r="179" spans="5:31" s="134" customFormat="1" ht="9" customHeight="1" x14ac:dyDescent="0.25">
      <c r="E179" s="789"/>
      <c r="F179" s="789"/>
      <c r="G179" s="789"/>
      <c r="H179" s="790"/>
      <c r="AD179" s="791"/>
      <c r="AE179" s="792"/>
    </row>
    <row r="180" spans="5:31" s="134" customFormat="1" ht="9" customHeight="1" x14ac:dyDescent="0.25">
      <c r="E180" s="789"/>
      <c r="F180" s="789"/>
      <c r="G180" s="789"/>
      <c r="H180" s="790"/>
      <c r="AD180" s="791"/>
      <c r="AE180" s="792"/>
    </row>
    <row r="181" spans="5:31" s="134" customFormat="1" ht="9" customHeight="1" x14ac:dyDescent="0.25">
      <c r="E181" s="789"/>
      <c r="F181" s="789"/>
      <c r="G181" s="789"/>
      <c r="H181" s="790"/>
      <c r="AD181" s="791"/>
      <c r="AE181" s="792"/>
    </row>
    <row r="182" spans="5:31" s="134" customFormat="1" ht="9" customHeight="1" x14ac:dyDescent="0.25">
      <c r="E182" s="789"/>
      <c r="F182" s="789"/>
      <c r="G182" s="789"/>
      <c r="H182" s="790"/>
      <c r="AD182" s="791"/>
      <c r="AE182" s="792"/>
    </row>
    <row r="183" spans="5:31" s="134" customFormat="1" ht="9" customHeight="1" x14ac:dyDescent="0.25">
      <c r="E183" s="789"/>
      <c r="F183" s="789"/>
      <c r="G183" s="789"/>
      <c r="H183" s="790"/>
      <c r="AD183" s="791"/>
      <c r="AE183" s="792"/>
    </row>
    <row r="184" spans="5:31" s="134" customFormat="1" ht="9" customHeight="1" x14ac:dyDescent="0.25">
      <c r="E184" s="789"/>
      <c r="F184" s="789"/>
      <c r="G184" s="789"/>
      <c r="H184" s="790"/>
      <c r="AD184" s="791"/>
      <c r="AE184" s="792"/>
    </row>
    <row r="185" spans="5:31" s="134" customFormat="1" ht="9" customHeight="1" x14ac:dyDescent="0.25">
      <c r="E185" s="789"/>
      <c r="F185" s="789"/>
      <c r="G185" s="789"/>
      <c r="H185" s="790"/>
      <c r="AD185" s="791"/>
      <c r="AE185" s="792"/>
    </row>
    <row r="186" spans="5:31" s="134" customFormat="1" ht="9" customHeight="1" x14ac:dyDescent="0.25">
      <c r="E186" s="789"/>
      <c r="F186" s="789"/>
      <c r="G186" s="789"/>
      <c r="H186" s="790"/>
      <c r="AD186" s="791"/>
      <c r="AE186" s="792"/>
    </row>
    <row r="187" spans="5:31" s="134" customFormat="1" ht="9" customHeight="1" x14ac:dyDescent="0.25">
      <c r="E187" s="789"/>
      <c r="F187" s="789"/>
      <c r="G187" s="789"/>
      <c r="H187" s="790"/>
      <c r="AD187" s="791"/>
      <c r="AE187" s="792"/>
    </row>
    <row r="188" spans="5:31" s="134" customFormat="1" ht="9" customHeight="1" x14ac:dyDescent="0.25">
      <c r="E188" s="789"/>
      <c r="F188" s="789"/>
      <c r="G188" s="789"/>
      <c r="H188" s="790"/>
      <c r="AD188" s="791"/>
      <c r="AE188" s="792"/>
    </row>
    <row r="189" spans="5:31" s="134" customFormat="1" ht="9" customHeight="1" x14ac:dyDescent="0.25">
      <c r="E189" s="789"/>
      <c r="F189" s="789"/>
      <c r="G189" s="789"/>
      <c r="H189" s="790"/>
      <c r="AD189" s="791"/>
      <c r="AE189" s="792"/>
    </row>
    <row r="190" spans="5:31" s="134" customFormat="1" ht="9" customHeight="1" x14ac:dyDescent="0.25">
      <c r="E190" s="789"/>
      <c r="F190" s="789"/>
      <c r="G190" s="789"/>
      <c r="H190" s="790"/>
      <c r="AD190" s="791"/>
      <c r="AE190" s="792"/>
    </row>
    <row r="191" spans="5:31" s="134" customFormat="1" ht="9" customHeight="1" x14ac:dyDescent="0.25">
      <c r="E191" s="789"/>
      <c r="F191" s="789"/>
      <c r="G191" s="789"/>
      <c r="H191" s="790"/>
      <c r="AD191" s="791"/>
      <c r="AE191" s="792"/>
    </row>
    <row r="192" spans="5:31" s="134" customFormat="1" ht="9" customHeight="1" x14ac:dyDescent="0.25">
      <c r="E192" s="789"/>
      <c r="F192" s="789"/>
      <c r="G192" s="789"/>
      <c r="H192" s="790"/>
      <c r="AD192" s="791"/>
      <c r="AE192" s="792"/>
    </row>
    <row r="193" spans="5:31" s="134" customFormat="1" ht="9" customHeight="1" x14ac:dyDescent="0.25">
      <c r="E193" s="789"/>
      <c r="F193" s="789"/>
      <c r="G193" s="789"/>
      <c r="H193" s="790"/>
      <c r="AD193" s="791"/>
      <c r="AE193" s="792"/>
    </row>
    <row r="194" spans="5:31" s="134" customFormat="1" ht="9" customHeight="1" x14ac:dyDescent="0.25">
      <c r="E194" s="789"/>
      <c r="F194" s="789"/>
      <c r="G194" s="789"/>
      <c r="H194" s="790"/>
      <c r="AD194" s="791"/>
      <c r="AE194" s="792"/>
    </row>
    <row r="195" spans="5:31" s="134" customFormat="1" ht="9" customHeight="1" x14ac:dyDescent="0.25">
      <c r="E195" s="789"/>
      <c r="F195" s="789"/>
      <c r="G195" s="789"/>
      <c r="H195" s="790"/>
      <c r="AD195" s="791"/>
      <c r="AE195" s="792"/>
    </row>
    <row r="196" spans="5:31" s="134" customFormat="1" ht="9" customHeight="1" x14ac:dyDescent="0.25">
      <c r="E196" s="789"/>
      <c r="F196" s="789"/>
      <c r="G196" s="789"/>
      <c r="H196" s="790"/>
      <c r="AD196" s="791"/>
      <c r="AE196" s="792"/>
    </row>
    <row r="197" spans="5:31" s="134" customFormat="1" ht="9" customHeight="1" x14ac:dyDescent="0.25">
      <c r="E197" s="789"/>
      <c r="F197" s="789"/>
      <c r="G197" s="789"/>
      <c r="H197" s="790"/>
      <c r="AD197" s="791"/>
      <c r="AE197" s="792"/>
    </row>
    <row r="198" spans="5:31" s="134" customFormat="1" ht="9" customHeight="1" x14ac:dyDescent="0.25">
      <c r="E198" s="789"/>
      <c r="F198" s="789"/>
      <c r="G198" s="789"/>
      <c r="H198" s="790"/>
      <c r="AD198" s="791"/>
      <c r="AE198" s="792"/>
    </row>
    <row r="199" spans="5:31" s="134" customFormat="1" ht="9" customHeight="1" x14ac:dyDescent="0.25">
      <c r="E199" s="789"/>
      <c r="F199" s="789"/>
      <c r="G199" s="789"/>
      <c r="H199" s="790"/>
      <c r="AD199" s="791"/>
      <c r="AE199" s="792"/>
    </row>
    <row r="200" spans="5:31" s="134" customFormat="1" ht="3" customHeight="1" x14ac:dyDescent="0.25">
      <c r="E200" s="789"/>
      <c r="F200" s="789"/>
      <c r="G200" s="789"/>
      <c r="H200" s="790"/>
      <c r="AD200" s="791"/>
      <c r="AE200" s="792"/>
    </row>
    <row r="201" spans="5:31" s="134" customFormat="1" ht="3" customHeight="1" x14ac:dyDescent="0.25">
      <c r="E201" s="789"/>
      <c r="F201" s="789"/>
      <c r="G201" s="789"/>
      <c r="H201" s="790"/>
      <c r="AD201" s="791"/>
      <c r="AE201" s="792"/>
    </row>
    <row r="202" spans="5:31" s="134" customFormat="1" ht="3" customHeight="1" x14ac:dyDescent="0.25">
      <c r="E202" s="789"/>
      <c r="F202" s="789"/>
      <c r="G202" s="789"/>
      <c r="H202" s="790"/>
      <c r="AD202" s="791"/>
      <c r="AE202" s="792"/>
    </row>
    <row r="203" spans="5:31" s="134" customFormat="1" ht="3" customHeight="1" x14ac:dyDescent="0.25">
      <c r="E203" s="789"/>
      <c r="F203" s="789"/>
      <c r="G203" s="789"/>
      <c r="H203" s="790"/>
      <c r="AD203" s="791"/>
      <c r="AE203" s="792"/>
    </row>
    <row r="204" spans="5:31" s="134" customFormat="1" ht="3" customHeight="1" x14ac:dyDescent="0.25">
      <c r="E204" s="789"/>
      <c r="F204" s="789"/>
      <c r="G204" s="789"/>
      <c r="H204" s="790"/>
      <c r="AD204" s="791"/>
      <c r="AE204" s="792"/>
    </row>
    <row r="205" spans="5:31" s="134" customFormat="1" ht="3" customHeight="1" x14ac:dyDescent="0.25">
      <c r="E205" s="789"/>
      <c r="F205" s="789"/>
      <c r="G205" s="789"/>
      <c r="H205" s="790"/>
      <c r="AD205" s="791"/>
      <c r="AE205" s="792"/>
    </row>
    <row r="206" spans="5:31" s="134" customFormat="1" ht="3" customHeight="1" x14ac:dyDescent="0.25">
      <c r="E206" s="789"/>
      <c r="F206" s="789"/>
      <c r="G206" s="789"/>
      <c r="H206" s="790"/>
      <c r="AD206" s="791"/>
      <c r="AE206" s="792"/>
    </row>
    <row r="207" spans="5:31" s="134" customFormat="1" ht="3" customHeight="1" x14ac:dyDescent="0.25">
      <c r="E207" s="789"/>
      <c r="F207" s="789"/>
      <c r="G207" s="789"/>
      <c r="H207" s="790"/>
      <c r="AD207" s="791"/>
      <c r="AE207" s="792"/>
    </row>
    <row r="208" spans="5:31" s="134" customFormat="1" ht="3" customHeight="1" x14ac:dyDescent="0.25">
      <c r="E208" s="789"/>
      <c r="F208" s="789"/>
      <c r="G208" s="789"/>
      <c r="H208" s="790"/>
      <c r="AD208" s="791"/>
      <c r="AE208" s="792"/>
    </row>
    <row r="209" spans="5:31" s="134" customFormat="1" ht="3" customHeight="1" x14ac:dyDescent="0.25">
      <c r="E209" s="789"/>
      <c r="F209" s="789"/>
      <c r="G209" s="789"/>
      <c r="H209" s="790"/>
      <c r="AD209" s="791"/>
      <c r="AE209" s="792"/>
    </row>
    <row r="210" spans="5:31" s="134" customFormat="1" ht="3" customHeight="1" x14ac:dyDescent="0.25">
      <c r="E210" s="789"/>
      <c r="F210" s="789"/>
      <c r="G210" s="789"/>
      <c r="H210" s="790"/>
      <c r="AD210" s="791"/>
      <c r="AE210" s="792"/>
    </row>
    <row r="211" spans="5:31" s="134" customFormat="1" ht="3" customHeight="1" x14ac:dyDescent="0.25">
      <c r="E211" s="789"/>
      <c r="F211" s="789"/>
      <c r="G211" s="789"/>
      <c r="H211" s="790"/>
      <c r="AD211" s="791"/>
      <c r="AE211" s="792"/>
    </row>
    <row r="212" spans="5:31" s="134" customFormat="1" ht="3" customHeight="1" x14ac:dyDescent="0.25">
      <c r="E212" s="789"/>
      <c r="F212" s="789"/>
      <c r="G212" s="789"/>
      <c r="H212" s="790"/>
      <c r="AD212" s="791"/>
      <c r="AE212" s="792"/>
    </row>
    <row r="213" spans="5:31" s="134" customFormat="1" ht="3" customHeight="1" x14ac:dyDescent="0.25">
      <c r="E213" s="789"/>
      <c r="F213" s="789"/>
      <c r="G213" s="789"/>
      <c r="H213" s="790"/>
      <c r="AD213" s="791"/>
      <c r="AE213" s="792"/>
    </row>
    <row r="214" spans="5:31" s="134" customFormat="1" ht="3" customHeight="1" x14ac:dyDescent="0.25">
      <c r="E214" s="789"/>
      <c r="F214" s="789"/>
      <c r="G214" s="789"/>
      <c r="H214" s="790"/>
      <c r="AD214" s="791"/>
      <c r="AE214" s="792"/>
    </row>
    <row r="215" spans="5:31" s="134" customFormat="1" ht="3" customHeight="1" x14ac:dyDescent="0.25">
      <c r="E215" s="789"/>
      <c r="F215" s="789"/>
      <c r="G215" s="789"/>
      <c r="H215" s="790"/>
      <c r="AD215" s="791"/>
      <c r="AE215" s="792"/>
    </row>
    <row r="216" spans="5:31" s="134" customFormat="1" ht="3" customHeight="1" x14ac:dyDescent="0.25">
      <c r="E216" s="789"/>
      <c r="F216" s="789"/>
      <c r="G216" s="789"/>
      <c r="H216" s="790"/>
      <c r="AD216" s="791"/>
      <c r="AE216" s="792"/>
    </row>
    <row r="217" spans="5:31" s="134" customFormat="1" ht="3" customHeight="1" x14ac:dyDescent="0.25">
      <c r="E217" s="789"/>
      <c r="F217" s="789"/>
      <c r="G217" s="789"/>
      <c r="H217" s="790"/>
      <c r="AD217" s="791"/>
      <c r="AE217" s="792"/>
    </row>
    <row r="218" spans="5:31" s="134" customFormat="1" ht="3" customHeight="1" x14ac:dyDescent="0.25">
      <c r="E218" s="789"/>
      <c r="F218" s="789"/>
      <c r="G218" s="789"/>
      <c r="H218" s="790"/>
      <c r="AD218" s="791"/>
      <c r="AE218" s="792"/>
    </row>
    <row r="219" spans="5:31" s="134" customFormat="1" ht="3" customHeight="1" x14ac:dyDescent="0.25">
      <c r="E219" s="789"/>
      <c r="F219" s="789"/>
      <c r="G219" s="789"/>
      <c r="H219" s="790"/>
      <c r="AD219" s="791"/>
      <c r="AE219" s="792"/>
    </row>
    <row r="220" spans="5:31" s="134" customFormat="1" ht="3" customHeight="1" x14ac:dyDescent="0.25">
      <c r="E220" s="789"/>
      <c r="F220" s="789"/>
      <c r="G220" s="789"/>
      <c r="H220" s="790"/>
      <c r="AD220" s="791"/>
      <c r="AE220" s="792"/>
    </row>
    <row r="221" spans="5:31" s="134" customFormat="1" ht="3" customHeight="1" x14ac:dyDescent="0.25">
      <c r="E221" s="789"/>
      <c r="F221" s="789"/>
      <c r="G221" s="789"/>
      <c r="H221" s="790"/>
      <c r="AD221" s="791"/>
      <c r="AE221" s="792"/>
    </row>
    <row r="222" spans="5:31" s="134" customFormat="1" ht="3" customHeight="1" x14ac:dyDescent="0.25">
      <c r="E222" s="789"/>
      <c r="F222" s="789"/>
      <c r="G222" s="789"/>
      <c r="H222" s="790"/>
      <c r="AD222" s="791"/>
      <c r="AE222" s="792"/>
    </row>
    <row r="223" spans="5:31" s="134" customFormat="1" ht="3" customHeight="1" x14ac:dyDescent="0.25">
      <c r="E223" s="789"/>
      <c r="F223" s="789"/>
      <c r="G223" s="789"/>
      <c r="H223" s="790"/>
      <c r="AD223" s="791"/>
      <c r="AE223" s="792"/>
    </row>
    <row r="224" spans="5:31" s="134" customFormat="1" ht="3" customHeight="1" x14ac:dyDescent="0.25">
      <c r="E224" s="789"/>
      <c r="F224" s="789"/>
      <c r="G224" s="789"/>
      <c r="H224" s="790"/>
      <c r="AD224" s="791"/>
      <c r="AE224" s="792"/>
    </row>
    <row r="225" spans="5:31" s="134" customFormat="1" ht="3" customHeight="1" x14ac:dyDescent="0.25">
      <c r="E225" s="789"/>
      <c r="F225" s="789"/>
      <c r="G225" s="789"/>
      <c r="H225" s="790"/>
      <c r="AD225" s="791"/>
      <c r="AE225" s="792"/>
    </row>
    <row r="226" spans="5:31" s="134" customFormat="1" ht="3" customHeight="1" x14ac:dyDescent="0.25">
      <c r="E226" s="789"/>
      <c r="F226" s="789"/>
      <c r="G226" s="789"/>
      <c r="H226" s="790"/>
      <c r="AD226" s="791"/>
      <c r="AE226" s="792"/>
    </row>
    <row r="227" spans="5:31" s="134" customFormat="1" ht="3" customHeight="1" x14ac:dyDescent="0.25">
      <c r="E227" s="789"/>
      <c r="F227" s="789"/>
      <c r="G227" s="789"/>
      <c r="H227" s="790"/>
      <c r="AD227" s="791"/>
      <c r="AE227" s="792"/>
    </row>
    <row r="228" spans="5:31" s="134" customFormat="1" ht="3" customHeight="1" x14ac:dyDescent="0.25">
      <c r="E228" s="789"/>
      <c r="F228" s="789"/>
      <c r="G228" s="789"/>
      <c r="H228" s="790"/>
      <c r="AD228" s="791"/>
      <c r="AE228" s="792"/>
    </row>
    <row r="229" spans="5:31" s="134" customFormat="1" ht="3" customHeight="1" x14ac:dyDescent="0.25">
      <c r="E229" s="789"/>
      <c r="F229" s="789"/>
      <c r="G229" s="789"/>
      <c r="H229" s="790"/>
      <c r="AD229" s="791"/>
      <c r="AE229" s="792"/>
    </row>
    <row r="230" spans="5:31" s="134" customFormat="1" ht="3" customHeight="1" x14ac:dyDescent="0.25">
      <c r="E230" s="789"/>
      <c r="F230" s="789"/>
      <c r="G230" s="789"/>
      <c r="H230" s="790"/>
      <c r="AD230" s="791"/>
      <c r="AE230" s="792"/>
    </row>
    <row r="231" spans="5:31" s="134" customFormat="1" ht="3" customHeight="1" x14ac:dyDescent="0.25">
      <c r="E231" s="789"/>
      <c r="F231" s="789"/>
      <c r="G231" s="789"/>
      <c r="H231" s="790"/>
      <c r="AD231" s="791"/>
      <c r="AE231" s="792"/>
    </row>
    <row r="232" spans="5:31" s="134" customFormat="1" ht="3" customHeight="1" x14ac:dyDescent="0.25">
      <c r="E232" s="789"/>
      <c r="F232" s="789"/>
      <c r="G232" s="789"/>
      <c r="H232" s="790"/>
      <c r="AD232" s="791"/>
      <c r="AE232" s="792"/>
    </row>
    <row r="233" spans="5:31" s="134" customFormat="1" ht="3" customHeight="1" x14ac:dyDescent="0.25">
      <c r="E233" s="789"/>
      <c r="F233" s="789"/>
      <c r="G233" s="789"/>
      <c r="H233" s="790"/>
      <c r="AD233" s="791"/>
      <c r="AE233" s="792"/>
    </row>
    <row r="234" spans="5:31" s="134" customFormat="1" ht="3" customHeight="1" x14ac:dyDescent="0.25">
      <c r="E234" s="789"/>
      <c r="F234" s="789"/>
      <c r="G234" s="789"/>
      <c r="H234" s="790"/>
      <c r="AD234" s="791"/>
      <c r="AE234" s="792"/>
    </row>
    <row r="235" spans="5:31" s="134" customFormat="1" ht="3" customHeight="1" x14ac:dyDescent="0.25">
      <c r="E235" s="789"/>
      <c r="F235" s="789"/>
      <c r="G235" s="789"/>
      <c r="H235" s="790"/>
      <c r="AD235" s="791"/>
      <c r="AE235" s="792"/>
    </row>
    <row r="236" spans="5:31" s="134" customFormat="1" ht="3" customHeight="1" x14ac:dyDescent="0.25">
      <c r="E236" s="789"/>
      <c r="F236" s="789"/>
      <c r="G236" s="789"/>
      <c r="H236" s="790"/>
      <c r="AD236" s="791"/>
      <c r="AE236" s="792"/>
    </row>
    <row r="237" spans="5:31" s="134" customFormat="1" ht="3" customHeight="1" x14ac:dyDescent="0.25">
      <c r="E237" s="789"/>
      <c r="F237" s="789"/>
      <c r="G237" s="789"/>
      <c r="H237" s="790"/>
      <c r="AD237" s="791"/>
      <c r="AE237" s="792"/>
    </row>
    <row r="238" spans="5:31" s="134" customFormat="1" ht="3" customHeight="1" x14ac:dyDescent="0.25">
      <c r="E238" s="789"/>
      <c r="F238" s="789"/>
      <c r="G238" s="789"/>
      <c r="H238" s="790"/>
      <c r="AD238" s="791"/>
      <c r="AE238" s="792"/>
    </row>
    <row r="239" spans="5:31" s="134" customFormat="1" ht="3" customHeight="1" x14ac:dyDescent="0.25">
      <c r="E239" s="789"/>
      <c r="F239" s="789"/>
      <c r="G239" s="789"/>
      <c r="H239" s="790"/>
      <c r="AD239" s="791"/>
      <c r="AE239" s="792"/>
    </row>
    <row r="240" spans="5:31" s="134" customFormat="1" ht="3" customHeight="1" x14ac:dyDescent="0.25">
      <c r="E240" s="789"/>
      <c r="F240" s="789"/>
      <c r="G240" s="789"/>
      <c r="H240" s="790"/>
      <c r="AD240" s="791"/>
      <c r="AE240" s="792"/>
    </row>
    <row r="241" spans="5:31" s="134" customFormat="1" ht="3" customHeight="1" x14ac:dyDescent="0.25">
      <c r="E241" s="789"/>
      <c r="F241" s="789"/>
      <c r="G241" s="789"/>
      <c r="H241" s="790"/>
      <c r="AD241" s="791"/>
      <c r="AE241" s="792"/>
    </row>
    <row r="242" spans="5:31" s="134" customFormat="1" ht="3" customHeight="1" x14ac:dyDescent="0.25">
      <c r="E242" s="789"/>
      <c r="F242" s="789"/>
      <c r="G242" s="789"/>
      <c r="H242" s="790"/>
      <c r="AD242" s="791"/>
      <c r="AE242" s="792"/>
    </row>
    <row r="243" spans="5:31" s="134" customFormat="1" ht="3" customHeight="1" x14ac:dyDescent="0.25">
      <c r="E243" s="789"/>
      <c r="F243" s="789"/>
      <c r="G243" s="789"/>
      <c r="H243" s="790"/>
      <c r="AD243" s="791"/>
      <c r="AE243" s="792"/>
    </row>
    <row r="244" spans="5:31" s="134" customFormat="1" ht="3" customHeight="1" x14ac:dyDescent="0.25">
      <c r="E244" s="789"/>
      <c r="F244" s="789"/>
      <c r="G244" s="789"/>
      <c r="H244" s="790"/>
      <c r="AD244" s="791"/>
      <c r="AE244" s="792"/>
    </row>
    <row r="245" spans="5:31" s="134" customFormat="1" ht="3" customHeight="1" x14ac:dyDescent="0.25">
      <c r="E245" s="789"/>
      <c r="F245" s="789"/>
      <c r="G245" s="789"/>
      <c r="H245" s="790"/>
      <c r="AD245" s="791"/>
      <c r="AE245" s="792"/>
    </row>
    <row r="246" spans="5:31" s="134" customFormat="1" ht="3" customHeight="1" x14ac:dyDescent="0.25">
      <c r="E246" s="789"/>
      <c r="F246" s="789"/>
      <c r="G246" s="789"/>
      <c r="H246" s="790"/>
      <c r="AD246" s="791"/>
      <c r="AE246" s="792"/>
    </row>
    <row r="247" spans="5:31" s="134" customFormat="1" ht="3" customHeight="1" x14ac:dyDescent="0.25">
      <c r="E247" s="789"/>
      <c r="F247" s="789"/>
      <c r="G247" s="789"/>
      <c r="H247" s="790"/>
      <c r="AD247" s="791"/>
      <c r="AE247" s="792"/>
    </row>
    <row r="248" spans="5:31" s="134" customFormat="1" ht="3" customHeight="1" x14ac:dyDescent="0.25">
      <c r="E248" s="789"/>
      <c r="F248" s="789"/>
      <c r="G248" s="789"/>
      <c r="H248" s="790"/>
      <c r="AD248" s="791"/>
      <c r="AE248" s="792"/>
    </row>
    <row r="249" spans="5:31" s="134" customFormat="1" ht="3" customHeight="1" x14ac:dyDescent="0.25">
      <c r="E249" s="789"/>
      <c r="F249" s="789"/>
      <c r="G249" s="789"/>
      <c r="H249" s="790"/>
      <c r="AD249" s="791"/>
      <c r="AE249" s="792"/>
    </row>
    <row r="250" spans="5:31" s="134" customFormat="1" ht="3" customHeight="1" x14ac:dyDescent="0.25">
      <c r="E250" s="789"/>
      <c r="F250" s="789"/>
      <c r="G250" s="789"/>
      <c r="H250" s="790"/>
      <c r="AD250" s="791"/>
      <c r="AE250" s="792"/>
    </row>
    <row r="251" spans="5:31" s="134" customFormat="1" ht="3" customHeight="1" x14ac:dyDescent="0.25">
      <c r="E251" s="789"/>
      <c r="F251" s="789"/>
      <c r="G251" s="789"/>
      <c r="H251" s="790"/>
      <c r="AD251" s="791"/>
      <c r="AE251" s="792"/>
    </row>
    <row r="252" spans="5:31" s="134" customFormat="1" ht="3" customHeight="1" x14ac:dyDescent="0.25">
      <c r="E252" s="789"/>
      <c r="F252" s="789"/>
      <c r="G252" s="789"/>
      <c r="H252" s="790"/>
      <c r="AD252" s="791"/>
      <c r="AE252" s="792"/>
    </row>
    <row r="253" spans="5:31" s="134" customFormat="1" ht="3" customHeight="1" x14ac:dyDescent="0.25">
      <c r="E253" s="789"/>
      <c r="F253" s="789"/>
      <c r="G253" s="789"/>
      <c r="H253" s="790"/>
      <c r="AD253" s="791"/>
      <c r="AE253" s="792"/>
    </row>
    <row r="254" spans="5:31" s="134" customFormat="1" ht="3" customHeight="1" x14ac:dyDescent="0.25">
      <c r="E254" s="789"/>
      <c r="F254" s="789"/>
      <c r="G254" s="789"/>
      <c r="H254" s="790"/>
      <c r="AD254" s="791"/>
      <c r="AE254" s="792"/>
    </row>
    <row r="255" spans="5:31" s="134" customFormat="1" ht="3" customHeight="1" x14ac:dyDescent="0.25">
      <c r="E255" s="789"/>
      <c r="F255" s="789"/>
      <c r="G255" s="789"/>
      <c r="H255" s="790"/>
      <c r="AD255" s="791"/>
      <c r="AE255" s="792"/>
    </row>
    <row r="256" spans="5:31" s="134" customFormat="1" ht="3" customHeight="1" x14ac:dyDescent="0.25">
      <c r="E256" s="789"/>
      <c r="F256" s="789"/>
      <c r="G256" s="789"/>
      <c r="H256" s="790"/>
      <c r="AD256" s="791"/>
      <c r="AE256" s="792"/>
    </row>
    <row r="257" spans="5:31" s="134" customFormat="1" ht="3" customHeight="1" x14ac:dyDescent="0.25">
      <c r="E257" s="789"/>
      <c r="F257" s="789"/>
      <c r="G257" s="789"/>
      <c r="H257" s="790"/>
      <c r="AD257" s="791"/>
      <c r="AE257" s="792"/>
    </row>
    <row r="258" spans="5:31" s="134" customFormat="1" ht="3" customHeight="1" x14ac:dyDescent="0.25">
      <c r="E258" s="789"/>
      <c r="F258" s="789"/>
      <c r="G258" s="789"/>
      <c r="H258" s="790"/>
      <c r="AD258" s="791"/>
      <c r="AE258" s="792"/>
    </row>
    <row r="259" spans="5:31" s="134" customFormat="1" ht="3" customHeight="1" x14ac:dyDescent="0.25">
      <c r="E259" s="789"/>
      <c r="F259" s="789"/>
      <c r="G259" s="789"/>
      <c r="H259" s="790"/>
      <c r="AD259" s="791"/>
      <c r="AE259" s="792"/>
    </row>
    <row r="260" spans="5:31" s="134" customFormat="1" ht="3" customHeight="1" x14ac:dyDescent="0.25">
      <c r="E260" s="789"/>
      <c r="F260" s="789"/>
      <c r="G260" s="789"/>
      <c r="H260" s="790"/>
      <c r="AD260" s="791"/>
      <c r="AE260" s="792"/>
    </row>
    <row r="261" spans="5:31" s="134" customFormat="1" ht="3" customHeight="1" x14ac:dyDescent="0.25">
      <c r="E261" s="789"/>
      <c r="F261" s="789"/>
      <c r="G261" s="789"/>
      <c r="H261" s="790"/>
      <c r="AD261" s="791"/>
      <c r="AE261" s="792"/>
    </row>
    <row r="262" spans="5:31" s="134" customFormat="1" ht="3" customHeight="1" x14ac:dyDescent="0.25">
      <c r="E262" s="789"/>
      <c r="F262" s="789"/>
      <c r="G262" s="789"/>
      <c r="H262" s="790"/>
      <c r="AD262" s="791"/>
      <c r="AE262" s="792"/>
    </row>
    <row r="263" spans="5:31" s="134" customFormat="1" ht="3" customHeight="1" x14ac:dyDescent="0.25">
      <c r="E263" s="789"/>
      <c r="F263" s="789"/>
      <c r="G263" s="789"/>
      <c r="H263" s="790"/>
      <c r="AD263" s="791"/>
      <c r="AE263" s="792"/>
    </row>
    <row r="264" spans="5:31" s="134" customFormat="1" ht="3" customHeight="1" x14ac:dyDescent="0.25">
      <c r="E264" s="789"/>
      <c r="F264" s="789"/>
      <c r="G264" s="789"/>
      <c r="H264" s="790"/>
      <c r="AD264" s="791"/>
      <c r="AE264" s="792"/>
    </row>
    <row r="265" spans="5:31" s="134" customFormat="1" ht="3" customHeight="1" x14ac:dyDescent="0.25">
      <c r="E265" s="789"/>
      <c r="F265" s="789"/>
      <c r="G265" s="789"/>
      <c r="H265" s="790"/>
      <c r="AD265" s="791"/>
      <c r="AE265" s="792"/>
    </row>
    <row r="266" spans="5:31" s="134" customFormat="1" ht="3" customHeight="1" x14ac:dyDescent="0.25">
      <c r="E266" s="789"/>
      <c r="F266" s="789"/>
      <c r="G266" s="789"/>
      <c r="H266" s="790"/>
      <c r="AD266" s="791"/>
      <c r="AE266" s="792"/>
    </row>
    <row r="267" spans="5:31" s="134" customFormat="1" ht="3" customHeight="1" x14ac:dyDescent="0.25">
      <c r="E267" s="789"/>
      <c r="F267" s="789"/>
      <c r="G267" s="789"/>
      <c r="H267" s="790"/>
      <c r="AD267" s="791"/>
      <c r="AE267" s="792"/>
    </row>
    <row r="268" spans="5:31" s="134" customFormat="1" ht="3" customHeight="1" x14ac:dyDescent="0.25">
      <c r="E268" s="789"/>
      <c r="F268" s="789"/>
      <c r="G268" s="789"/>
      <c r="H268" s="790"/>
      <c r="AD268" s="791"/>
      <c r="AE268" s="792"/>
    </row>
    <row r="269" spans="5:31" s="134" customFormat="1" ht="3" customHeight="1" x14ac:dyDescent="0.25">
      <c r="E269" s="789"/>
      <c r="F269" s="789"/>
      <c r="G269" s="789"/>
      <c r="H269" s="790"/>
      <c r="AD269" s="791"/>
      <c r="AE269" s="792"/>
    </row>
    <row r="270" spans="5:31" s="134" customFormat="1" ht="3" customHeight="1" x14ac:dyDescent="0.25">
      <c r="E270" s="789"/>
      <c r="F270" s="789"/>
      <c r="G270" s="789"/>
      <c r="H270" s="790"/>
      <c r="AD270" s="791"/>
      <c r="AE270" s="792"/>
    </row>
    <row r="271" spans="5:31" s="134" customFormat="1" ht="3" customHeight="1" x14ac:dyDescent="0.25">
      <c r="E271" s="789"/>
      <c r="F271" s="789"/>
      <c r="G271" s="789"/>
      <c r="H271" s="790"/>
      <c r="AD271" s="791"/>
      <c r="AE271" s="792"/>
    </row>
    <row r="272" spans="5:31" s="134" customFormat="1" ht="3" customHeight="1" x14ac:dyDescent="0.25">
      <c r="E272" s="789"/>
      <c r="F272" s="789"/>
      <c r="G272" s="789"/>
      <c r="H272" s="790"/>
      <c r="AD272" s="791"/>
      <c r="AE272" s="792"/>
    </row>
    <row r="273" spans="5:31" s="134" customFormat="1" ht="3" customHeight="1" x14ac:dyDescent="0.25">
      <c r="E273" s="789"/>
      <c r="F273" s="789"/>
      <c r="G273" s="789"/>
      <c r="H273" s="790"/>
      <c r="AD273" s="791"/>
      <c r="AE273" s="792"/>
    </row>
    <row r="274" spans="5:31" s="134" customFormat="1" ht="3" customHeight="1" x14ac:dyDescent="0.25">
      <c r="E274" s="789"/>
      <c r="F274" s="789"/>
      <c r="G274" s="789"/>
      <c r="H274" s="790"/>
      <c r="AD274" s="791"/>
      <c r="AE274" s="792"/>
    </row>
    <row r="275" spans="5:31" s="134" customFormat="1" ht="3" customHeight="1" x14ac:dyDescent="0.25">
      <c r="E275" s="789"/>
      <c r="F275" s="789"/>
      <c r="G275" s="789"/>
      <c r="H275" s="790"/>
      <c r="AD275" s="791"/>
      <c r="AE275" s="792"/>
    </row>
    <row r="276" spans="5:31" s="134" customFormat="1" ht="3" customHeight="1" x14ac:dyDescent="0.25">
      <c r="E276" s="789"/>
      <c r="F276" s="789"/>
      <c r="G276" s="789"/>
      <c r="H276" s="790"/>
      <c r="AD276" s="791"/>
      <c r="AE276" s="792"/>
    </row>
    <row r="277" spans="5:31" s="134" customFormat="1" ht="3" customHeight="1" x14ac:dyDescent="0.25">
      <c r="E277" s="789"/>
      <c r="F277" s="789"/>
      <c r="G277" s="789"/>
      <c r="H277" s="790"/>
      <c r="AD277" s="791"/>
      <c r="AE277" s="792"/>
    </row>
    <row r="278" spans="5:31" s="134" customFormat="1" ht="3" customHeight="1" x14ac:dyDescent="0.25">
      <c r="E278" s="789"/>
      <c r="F278" s="789"/>
      <c r="G278" s="789"/>
      <c r="H278" s="790"/>
      <c r="AD278" s="791"/>
      <c r="AE278" s="792"/>
    </row>
    <row r="279" spans="5:31" s="134" customFormat="1" ht="3" customHeight="1" x14ac:dyDescent="0.25">
      <c r="E279" s="789"/>
      <c r="F279" s="789"/>
      <c r="G279" s="789"/>
      <c r="H279" s="790"/>
      <c r="AD279" s="791"/>
      <c r="AE279" s="792"/>
    </row>
    <row r="280" spans="5:31" s="134" customFormat="1" ht="3" customHeight="1" x14ac:dyDescent="0.25">
      <c r="E280" s="789"/>
      <c r="F280" s="789"/>
      <c r="G280" s="789"/>
      <c r="H280" s="790"/>
      <c r="AD280" s="791"/>
      <c r="AE280" s="792"/>
    </row>
    <row r="281" spans="5:31" s="134" customFormat="1" ht="3" customHeight="1" x14ac:dyDescent="0.25">
      <c r="E281" s="789"/>
      <c r="F281" s="789"/>
      <c r="G281" s="789"/>
      <c r="H281" s="790"/>
      <c r="AD281" s="791"/>
      <c r="AE281" s="792"/>
    </row>
    <row r="282" spans="5:31" s="134" customFormat="1" ht="3" customHeight="1" x14ac:dyDescent="0.25">
      <c r="E282" s="789"/>
      <c r="F282" s="789"/>
      <c r="G282" s="789"/>
      <c r="H282" s="790"/>
      <c r="AD282" s="791"/>
      <c r="AE282" s="792"/>
    </row>
    <row r="283" spans="5:31" s="134" customFormat="1" ht="3" customHeight="1" x14ac:dyDescent="0.25">
      <c r="E283" s="789"/>
      <c r="F283" s="789"/>
      <c r="G283" s="789"/>
      <c r="H283" s="790"/>
      <c r="AD283" s="791"/>
      <c r="AE283" s="792"/>
    </row>
    <row r="284" spans="5:31" s="134" customFormat="1" ht="3" customHeight="1" x14ac:dyDescent="0.25">
      <c r="E284" s="789"/>
      <c r="F284" s="789"/>
      <c r="G284" s="789"/>
      <c r="H284" s="790"/>
      <c r="AD284" s="791"/>
      <c r="AE284" s="792"/>
    </row>
    <row r="285" spans="5:31" s="134" customFormat="1" ht="3" customHeight="1" x14ac:dyDescent="0.25">
      <c r="E285" s="789"/>
      <c r="F285" s="789"/>
      <c r="G285" s="789"/>
      <c r="H285" s="790"/>
      <c r="AD285" s="791"/>
      <c r="AE285" s="792"/>
    </row>
    <row r="286" spans="5:31" s="134" customFormat="1" ht="3" customHeight="1" x14ac:dyDescent="0.25">
      <c r="E286" s="789"/>
      <c r="F286" s="789"/>
      <c r="G286" s="789"/>
      <c r="H286" s="790"/>
      <c r="AD286" s="791"/>
      <c r="AE286" s="792"/>
    </row>
    <row r="287" spans="5:31" s="134" customFormat="1" ht="3" customHeight="1" x14ac:dyDescent="0.25">
      <c r="E287" s="789"/>
      <c r="F287" s="789"/>
      <c r="G287" s="789"/>
      <c r="H287" s="790"/>
      <c r="AD287" s="791"/>
      <c r="AE287" s="792"/>
    </row>
    <row r="288" spans="5:31" s="134" customFormat="1" ht="3" customHeight="1" x14ac:dyDescent="0.25">
      <c r="E288" s="789"/>
      <c r="F288" s="789"/>
      <c r="G288" s="789"/>
      <c r="H288" s="790"/>
      <c r="AD288" s="791"/>
      <c r="AE288" s="792"/>
    </row>
    <row r="289" spans="5:31" s="134" customFormat="1" ht="3" customHeight="1" x14ac:dyDescent="0.25">
      <c r="E289" s="789"/>
      <c r="F289" s="789"/>
      <c r="G289" s="789"/>
      <c r="H289" s="790"/>
      <c r="AD289" s="791"/>
      <c r="AE289" s="792"/>
    </row>
    <row r="290" spans="5:31" s="134" customFormat="1" ht="3" customHeight="1" x14ac:dyDescent="0.25">
      <c r="E290" s="789"/>
      <c r="F290" s="789"/>
      <c r="G290" s="789"/>
      <c r="H290" s="790"/>
      <c r="AD290" s="791"/>
      <c r="AE290" s="792"/>
    </row>
    <row r="291" spans="5:31" s="134" customFormat="1" ht="3" customHeight="1" x14ac:dyDescent="0.25">
      <c r="E291" s="789"/>
      <c r="F291" s="789"/>
      <c r="G291" s="789"/>
      <c r="H291" s="790"/>
      <c r="AD291" s="791"/>
      <c r="AE291" s="792"/>
    </row>
    <row r="292" spans="5:31" s="134" customFormat="1" ht="3" customHeight="1" x14ac:dyDescent="0.25">
      <c r="E292" s="789"/>
      <c r="F292" s="789"/>
      <c r="G292" s="789"/>
      <c r="H292" s="790"/>
      <c r="AD292" s="791"/>
      <c r="AE292" s="792"/>
    </row>
    <row r="293" spans="5:31" s="134" customFormat="1" ht="3" customHeight="1" x14ac:dyDescent="0.25">
      <c r="E293" s="789"/>
      <c r="F293" s="789"/>
      <c r="G293" s="789"/>
      <c r="H293" s="790"/>
      <c r="AD293" s="791"/>
      <c r="AE293" s="792"/>
    </row>
    <row r="294" spans="5:31" s="134" customFormat="1" ht="3" customHeight="1" x14ac:dyDescent="0.25">
      <c r="E294" s="789"/>
      <c r="F294" s="789"/>
      <c r="G294" s="789"/>
      <c r="H294" s="790"/>
      <c r="AD294" s="791"/>
      <c r="AE294" s="792"/>
    </row>
    <row r="295" spans="5:31" s="134" customFormat="1" ht="3" customHeight="1" x14ac:dyDescent="0.25">
      <c r="E295" s="789"/>
      <c r="F295" s="789"/>
      <c r="G295" s="789"/>
      <c r="H295" s="790"/>
      <c r="AD295" s="791"/>
      <c r="AE295" s="792"/>
    </row>
    <row r="296" spans="5:31" s="134" customFormat="1" ht="3" customHeight="1" x14ac:dyDescent="0.25">
      <c r="E296" s="789"/>
      <c r="F296" s="789"/>
      <c r="G296" s="789"/>
      <c r="H296" s="790"/>
      <c r="AD296" s="791"/>
      <c r="AE296" s="792"/>
    </row>
    <row r="297" spans="5:31" s="134" customFormat="1" ht="3" customHeight="1" x14ac:dyDescent="0.25">
      <c r="E297" s="789"/>
      <c r="F297" s="789"/>
      <c r="G297" s="789"/>
      <c r="H297" s="790"/>
      <c r="AD297" s="791"/>
      <c r="AE297" s="792"/>
    </row>
    <row r="298" spans="5:31" s="134" customFormat="1" ht="3" customHeight="1" x14ac:dyDescent="0.25">
      <c r="E298" s="789"/>
      <c r="F298" s="789"/>
      <c r="G298" s="789"/>
      <c r="H298" s="790"/>
      <c r="AD298" s="791"/>
      <c r="AE298" s="792"/>
    </row>
    <row r="299" spans="5:31" s="134" customFormat="1" ht="3" customHeight="1" x14ac:dyDescent="0.25">
      <c r="E299" s="789"/>
      <c r="F299" s="789"/>
      <c r="G299" s="789"/>
      <c r="H299" s="790"/>
      <c r="AD299" s="791"/>
      <c r="AE299" s="792"/>
    </row>
    <row r="300" spans="5:31" s="134" customFormat="1" ht="3" customHeight="1" x14ac:dyDescent="0.25">
      <c r="E300" s="789"/>
      <c r="F300" s="789"/>
      <c r="G300" s="789"/>
      <c r="H300" s="790"/>
      <c r="AD300" s="791"/>
      <c r="AE300" s="792"/>
    </row>
    <row r="301" spans="5:31" s="134" customFormat="1" ht="3" customHeight="1" x14ac:dyDescent="0.25">
      <c r="E301" s="789"/>
      <c r="F301" s="789"/>
      <c r="G301" s="789"/>
      <c r="H301" s="790"/>
      <c r="AD301" s="791"/>
      <c r="AE301" s="792"/>
    </row>
    <row r="302" spans="5:31" s="134" customFormat="1" ht="3" customHeight="1" x14ac:dyDescent="0.25">
      <c r="E302" s="789"/>
      <c r="F302" s="789"/>
      <c r="G302" s="789"/>
      <c r="H302" s="790"/>
      <c r="AD302" s="791"/>
      <c r="AE302" s="792"/>
    </row>
    <row r="303" spans="5:31" s="134" customFormat="1" ht="3" customHeight="1" x14ac:dyDescent="0.25">
      <c r="E303" s="789"/>
      <c r="F303" s="789"/>
      <c r="G303" s="789"/>
      <c r="H303" s="790"/>
      <c r="AD303" s="791"/>
      <c r="AE303" s="792"/>
    </row>
    <row r="304" spans="5:31" s="134" customFormat="1" ht="3" customHeight="1" x14ac:dyDescent="0.25">
      <c r="E304" s="789"/>
      <c r="F304" s="789"/>
      <c r="G304" s="789"/>
      <c r="H304" s="790"/>
      <c r="AD304" s="791"/>
      <c r="AE304" s="792"/>
    </row>
    <row r="305" spans="5:31" s="134" customFormat="1" ht="3" customHeight="1" x14ac:dyDescent="0.25">
      <c r="E305" s="789"/>
      <c r="F305" s="789"/>
      <c r="G305" s="789"/>
      <c r="H305" s="790"/>
      <c r="AD305" s="791"/>
      <c r="AE305" s="792"/>
    </row>
    <row r="306" spans="5:31" s="134" customFormat="1" ht="3" customHeight="1" x14ac:dyDescent="0.25">
      <c r="E306" s="789"/>
      <c r="F306" s="789"/>
      <c r="G306" s="789"/>
      <c r="H306" s="790"/>
      <c r="AD306" s="791"/>
      <c r="AE306" s="792"/>
    </row>
    <row r="307" spans="5:31" s="134" customFormat="1" ht="3" customHeight="1" x14ac:dyDescent="0.25">
      <c r="E307" s="789"/>
      <c r="F307" s="789"/>
      <c r="G307" s="789"/>
      <c r="H307" s="790"/>
      <c r="AD307" s="791"/>
      <c r="AE307" s="792"/>
    </row>
    <row r="308" spans="5:31" s="134" customFormat="1" ht="3" customHeight="1" x14ac:dyDescent="0.25">
      <c r="E308" s="789"/>
      <c r="F308" s="789"/>
      <c r="G308" s="789"/>
      <c r="H308" s="790"/>
      <c r="AD308" s="791"/>
      <c r="AE308" s="792"/>
    </row>
    <row r="309" spans="5:31" s="134" customFormat="1" ht="12.75" customHeight="1" x14ac:dyDescent="0.25">
      <c r="E309" s="789"/>
      <c r="F309" s="789"/>
      <c r="G309" s="789"/>
      <c r="H309" s="790"/>
      <c r="AD309" s="791"/>
      <c r="AE309" s="792"/>
    </row>
    <row r="310" spans="5:31" s="134" customFormat="1" ht="12.75" customHeight="1" x14ac:dyDescent="0.25">
      <c r="E310" s="789"/>
      <c r="F310" s="789"/>
      <c r="G310" s="789"/>
      <c r="H310" s="790"/>
      <c r="AD310" s="791"/>
      <c r="AE310" s="792"/>
    </row>
    <row r="311" spans="5:31" s="134" customFormat="1" ht="12.75" customHeight="1" x14ac:dyDescent="0.25">
      <c r="E311" s="789"/>
      <c r="F311" s="789"/>
      <c r="G311" s="789"/>
      <c r="H311" s="790"/>
      <c r="AD311" s="791"/>
      <c r="AE311" s="792"/>
    </row>
    <row r="312" spans="5:31" s="134" customFormat="1" ht="12.75" customHeight="1" x14ac:dyDescent="0.25">
      <c r="E312" s="789"/>
      <c r="F312" s="789"/>
      <c r="G312" s="789"/>
      <c r="H312" s="790"/>
      <c r="AD312" s="791"/>
      <c r="AE312" s="792"/>
    </row>
    <row r="313" spans="5:31" s="134" customFormat="1" ht="12.75" customHeight="1" x14ac:dyDescent="0.25">
      <c r="E313" s="789"/>
      <c r="F313" s="789"/>
      <c r="G313" s="789"/>
      <c r="H313" s="790"/>
      <c r="AD313" s="791"/>
      <c r="AE313" s="792"/>
    </row>
    <row r="314" spans="5:31" s="134" customFormat="1" ht="12.75" customHeight="1" x14ac:dyDescent="0.25">
      <c r="E314" s="789"/>
      <c r="F314" s="789"/>
      <c r="G314" s="789"/>
      <c r="H314" s="790"/>
      <c r="AD314" s="791"/>
      <c r="AE314" s="792"/>
    </row>
    <row r="315" spans="5:31" s="134" customFormat="1" ht="12.75" customHeight="1" x14ac:dyDescent="0.25">
      <c r="E315" s="789"/>
      <c r="F315" s="789"/>
      <c r="G315" s="789"/>
      <c r="H315" s="790"/>
      <c r="AD315" s="791"/>
      <c r="AE315" s="792"/>
    </row>
    <row r="316" spans="5:31" s="134" customFormat="1" ht="12.75" customHeight="1" x14ac:dyDescent="0.25">
      <c r="E316" s="789"/>
      <c r="F316" s="789"/>
      <c r="G316" s="789"/>
      <c r="H316" s="790"/>
      <c r="AD316" s="791"/>
      <c r="AE316" s="792"/>
    </row>
    <row r="317" spans="5:31" s="134" customFormat="1" ht="12.75" customHeight="1" x14ac:dyDescent="0.25">
      <c r="E317" s="789"/>
      <c r="F317" s="789"/>
      <c r="G317" s="789"/>
      <c r="H317" s="790"/>
      <c r="AD317" s="791"/>
      <c r="AE317" s="792"/>
    </row>
    <row r="318" spans="5:31" s="134" customFormat="1" ht="12.75" customHeight="1" x14ac:dyDescent="0.25">
      <c r="E318" s="789"/>
      <c r="F318" s="789"/>
      <c r="G318" s="789"/>
      <c r="H318" s="790"/>
      <c r="AD318" s="791"/>
      <c r="AE318" s="792"/>
    </row>
    <row r="319" spans="5:31" s="134" customFormat="1" ht="12.75" customHeight="1" x14ac:dyDescent="0.25">
      <c r="E319" s="789"/>
      <c r="F319" s="789"/>
      <c r="G319" s="789"/>
      <c r="H319" s="790"/>
      <c r="AD319" s="791"/>
      <c r="AE319" s="792"/>
    </row>
    <row r="320" spans="5:31" s="134" customFormat="1" ht="12.75" customHeight="1" x14ac:dyDescent="0.25">
      <c r="E320" s="789"/>
      <c r="F320" s="789"/>
      <c r="G320" s="789"/>
      <c r="H320" s="790"/>
      <c r="AD320" s="791"/>
      <c r="AE320" s="792"/>
    </row>
    <row r="321" spans="5:31" s="134" customFormat="1" ht="12.75" customHeight="1" x14ac:dyDescent="0.25">
      <c r="E321" s="789"/>
      <c r="F321" s="789"/>
      <c r="G321" s="789"/>
      <c r="H321" s="790"/>
      <c r="AD321" s="791"/>
      <c r="AE321" s="792"/>
    </row>
    <row r="322" spans="5:31" s="134" customFormat="1" ht="12.75" customHeight="1" x14ac:dyDescent="0.25">
      <c r="E322" s="789"/>
      <c r="F322" s="789"/>
      <c r="G322" s="789"/>
      <c r="H322" s="790"/>
      <c r="AD322" s="791"/>
      <c r="AE322" s="792"/>
    </row>
    <row r="323" spans="5:31" s="134" customFormat="1" ht="12.75" customHeight="1" x14ac:dyDescent="0.25">
      <c r="E323" s="789"/>
      <c r="F323" s="789"/>
      <c r="G323" s="789"/>
      <c r="H323" s="790"/>
      <c r="AD323" s="791"/>
      <c r="AE323" s="792"/>
    </row>
    <row r="324" spans="5:31" s="134" customFormat="1" ht="12.75" customHeight="1" x14ac:dyDescent="0.25">
      <c r="E324" s="789"/>
      <c r="F324" s="789"/>
      <c r="G324" s="789"/>
      <c r="H324" s="790"/>
      <c r="AD324" s="791"/>
      <c r="AE324" s="792"/>
    </row>
    <row r="325" spans="5:31" s="134" customFormat="1" ht="12.75" customHeight="1" x14ac:dyDescent="0.25">
      <c r="E325" s="789"/>
      <c r="F325" s="789"/>
      <c r="G325" s="789"/>
      <c r="H325" s="790"/>
      <c r="AD325" s="791"/>
      <c r="AE325" s="792"/>
    </row>
    <row r="326" spans="5:31" s="134" customFormat="1" ht="12.75" customHeight="1" x14ac:dyDescent="0.25">
      <c r="E326" s="789"/>
      <c r="F326" s="789"/>
      <c r="G326" s="789"/>
      <c r="H326" s="790"/>
      <c r="AD326" s="791"/>
      <c r="AE326" s="792"/>
    </row>
    <row r="327" spans="5:31" s="134" customFormat="1" ht="12.75" customHeight="1" x14ac:dyDescent="0.25">
      <c r="E327" s="789"/>
      <c r="F327" s="789"/>
      <c r="G327" s="789"/>
      <c r="H327" s="790"/>
      <c r="AD327" s="791"/>
      <c r="AE327" s="792"/>
    </row>
    <row r="328" spans="5:31" s="134" customFormat="1" ht="12.75" customHeight="1" x14ac:dyDescent="0.25">
      <c r="E328" s="789"/>
      <c r="F328" s="789"/>
      <c r="G328" s="789"/>
      <c r="H328" s="790"/>
      <c r="AD328" s="791"/>
      <c r="AE328" s="792"/>
    </row>
    <row r="329" spans="5:31" s="134" customFormat="1" ht="12.75" customHeight="1" x14ac:dyDescent="0.25">
      <c r="E329" s="789"/>
      <c r="F329" s="789"/>
      <c r="G329" s="789"/>
      <c r="H329" s="790"/>
      <c r="AD329" s="791"/>
      <c r="AE329" s="792"/>
    </row>
    <row r="330" spans="5:31" s="134" customFormat="1" ht="12.75" customHeight="1" x14ac:dyDescent="0.25">
      <c r="E330" s="789"/>
      <c r="F330" s="789"/>
      <c r="G330" s="789"/>
      <c r="H330" s="790"/>
      <c r="AD330" s="791"/>
      <c r="AE330" s="792"/>
    </row>
    <row r="331" spans="5:31" s="134" customFormat="1" ht="12.75" customHeight="1" x14ac:dyDescent="0.25">
      <c r="E331" s="789"/>
      <c r="F331" s="789"/>
      <c r="G331" s="789"/>
      <c r="H331" s="790"/>
      <c r="AD331" s="791"/>
      <c r="AE331" s="792"/>
    </row>
    <row r="332" spans="5:31" s="134" customFormat="1" ht="12.75" customHeight="1" x14ac:dyDescent="0.25">
      <c r="E332" s="789"/>
      <c r="F332" s="789"/>
      <c r="G332" s="789"/>
      <c r="H332" s="790"/>
      <c r="AD332" s="791"/>
      <c r="AE332" s="792"/>
    </row>
    <row r="333" spans="5:31" s="134" customFormat="1" ht="12.75" customHeight="1" x14ac:dyDescent="0.25">
      <c r="E333" s="789"/>
      <c r="F333" s="789"/>
      <c r="G333" s="789"/>
      <c r="H333" s="790"/>
      <c r="AD333" s="791"/>
      <c r="AE333" s="792"/>
    </row>
    <row r="334" spans="5:31" s="134" customFormat="1" ht="12.75" customHeight="1" x14ac:dyDescent="0.25">
      <c r="E334" s="789"/>
      <c r="F334" s="789"/>
      <c r="G334" s="789"/>
      <c r="H334" s="790"/>
      <c r="AD334" s="791"/>
      <c r="AE334" s="792"/>
    </row>
    <row r="335" spans="5:31" s="134" customFormat="1" ht="12.75" customHeight="1" x14ac:dyDescent="0.25">
      <c r="E335" s="789"/>
      <c r="F335" s="789"/>
      <c r="G335" s="789"/>
      <c r="H335" s="790"/>
      <c r="AD335" s="791"/>
      <c r="AE335" s="792"/>
    </row>
    <row r="336" spans="5:31" s="134" customFormat="1" ht="12.75" customHeight="1" x14ac:dyDescent="0.25">
      <c r="E336" s="789"/>
      <c r="F336" s="789"/>
      <c r="G336" s="789"/>
      <c r="H336" s="790"/>
      <c r="AD336" s="791"/>
      <c r="AE336" s="792"/>
    </row>
    <row r="337" spans="5:31" s="134" customFormat="1" ht="12.75" customHeight="1" x14ac:dyDescent="0.25">
      <c r="E337" s="789"/>
      <c r="F337" s="789"/>
      <c r="G337" s="789"/>
      <c r="H337" s="790"/>
      <c r="AD337" s="791"/>
      <c r="AE337" s="792"/>
    </row>
    <row r="338" spans="5:31" s="134" customFormat="1" ht="12.75" customHeight="1" x14ac:dyDescent="0.25">
      <c r="E338" s="789"/>
      <c r="F338" s="789"/>
      <c r="G338" s="789"/>
      <c r="H338" s="790"/>
      <c r="AD338" s="791"/>
      <c r="AE338" s="792"/>
    </row>
    <row r="339" spans="5:31" s="134" customFormat="1" ht="12.75" customHeight="1" x14ac:dyDescent="0.25">
      <c r="E339" s="789"/>
      <c r="F339" s="789"/>
      <c r="G339" s="789"/>
      <c r="H339" s="790"/>
      <c r="AD339" s="791"/>
      <c r="AE339" s="792"/>
    </row>
    <row r="340" spans="5:31" s="134" customFormat="1" ht="12.75" customHeight="1" x14ac:dyDescent="0.25">
      <c r="E340" s="789"/>
      <c r="F340" s="789"/>
      <c r="G340" s="789"/>
      <c r="H340" s="790"/>
      <c r="AD340" s="791"/>
      <c r="AE340" s="792"/>
    </row>
    <row r="341" spans="5:31" s="134" customFormat="1" ht="12.75" customHeight="1" x14ac:dyDescent="0.25">
      <c r="E341" s="789"/>
      <c r="F341" s="789"/>
      <c r="G341" s="789"/>
      <c r="H341" s="790"/>
      <c r="AD341" s="791"/>
      <c r="AE341" s="792"/>
    </row>
    <row r="342" spans="5:31" s="134" customFormat="1" ht="12.75" customHeight="1" x14ac:dyDescent="0.25">
      <c r="E342" s="789"/>
      <c r="F342" s="789"/>
      <c r="G342" s="789"/>
      <c r="H342" s="790"/>
      <c r="AD342" s="791"/>
      <c r="AE342" s="792"/>
    </row>
    <row r="343" spans="5:31" s="134" customFormat="1" ht="12.75" customHeight="1" x14ac:dyDescent="0.25">
      <c r="E343" s="789"/>
      <c r="F343" s="789"/>
      <c r="G343" s="789"/>
      <c r="H343" s="790"/>
      <c r="AD343" s="791"/>
      <c r="AE343" s="792"/>
    </row>
    <row r="344" spans="5:31" s="134" customFormat="1" ht="12.75" customHeight="1" x14ac:dyDescent="0.25">
      <c r="E344" s="789"/>
      <c r="F344" s="789"/>
      <c r="G344" s="789"/>
      <c r="H344" s="790"/>
      <c r="AD344" s="791"/>
      <c r="AE344" s="792"/>
    </row>
    <row r="345" spans="5:31" s="134" customFormat="1" ht="12.75" customHeight="1" x14ac:dyDescent="0.25">
      <c r="E345" s="789"/>
      <c r="F345" s="789"/>
      <c r="G345" s="789"/>
      <c r="H345" s="790"/>
      <c r="AD345" s="791"/>
      <c r="AE345" s="792"/>
    </row>
    <row r="346" spans="5:31" s="134" customFormat="1" ht="12.75" customHeight="1" x14ac:dyDescent="0.25">
      <c r="E346" s="789"/>
      <c r="F346" s="789"/>
      <c r="G346" s="789"/>
      <c r="H346" s="790"/>
      <c r="AD346" s="791"/>
      <c r="AE346" s="792"/>
    </row>
    <row r="347" spans="5:31" s="134" customFormat="1" ht="12.75" customHeight="1" x14ac:dyDescent="0.25">
      <c r="E347" s="789"/>
      <c r="F347" s="789"/>
      <c r="G347" s="789"/>
      <c r="H347" s="790"/>
      <c r="AD347" s="791"/>
      <c r="AE347" s="792"/>
    </row>
    <row r="348" spans="5:31" s="134" customFormat="1" ht="12.75" customHeight="1" x14ac:dyDescent="0.25">
      <c r="E348" s="789"/>
      <c r="F348" s="789"/>
      <c r="G348" s="789"/>
      <c r="H348" s="790"/>
      <c r="AD348" s="791"/>
      <c r="AE348" s="792"/>
    </row>
    <row r="349" spans="5:31" s="134" customFormat="1" ht="12.75" customHeight="1" x14ac:dyDescent="0.25">
      <c r="E349" s="789"/>
      <c r="F349" s="789"/>
      <c r="G349" s="789"/>
      <c r="H349" s="790"/>
      <c r="AD349" s="791"/>
      <c r="AE349" s="792"/>
    </row>
    <row r="350" spans="5:31" s="134" customFormat="1" ht="12.75" customHeight="1" x14ac:dyDescent="0.25">
      <c r="E350" s="789"/>
      <c r="F350" s="789"/>
      <c r="G350" s="789"/>
      <c r="H350" s="790"/>
      <c r="AD350" s="791"/>
      <c r="AE350" s="792"/>
    </row>
    <row r="351" spans="5:31" s="134" customFormat="1" ht="12.75" customHeight="1" x14ac:dyDescent="0.25">
      <c r="E351" s="789"/>
      <c r="F351" s="789"/>
      <c r="G351" s="789"/>
      <c r="H351" s="790"/>
      <c r="AD351" s="791"/>
      <c r="AE351" s="792"/>
    </row>
    <row r="352" spans="5:31" s="134" customFormat="1" ht="12.75" customHeight="1" x14ac:dyDescent="0.25">
      <c r="E352" s="789"/>
      <c r="F352" s="789"/>
      <c r="G352" s="789"/>
      <c r="H352" s="790"/>
      <c r="AD352" s="791"/>
      <c r="AE352" s="792"/>
    </row>
    <row r="353" spans="5:31" s="134" customFormat="1" ht="12.75" customHeight="1" x14ac:dyDescent="0.25">
      <c r="E353" s="789"/>
      <c r="F353" s="789"/>
      <c r="G353" s="789"/>
      <c r="H353" s="790"/>
      <c r="AD353" s="791"/>
      <c r="AE353" s="792"/>
    </row>
    <row r="354" spans="5:31" s="134" customFormat="1" ht="12.75" customHeight="1" x14ac:dyDescent="0.25">
      <c r="E354" s="789"/>
      <c r="F354" s="789"/>
      <c r="G354" s="789"/>
      <c r="H354" s="790"/>
      <c r="AD354" s="791"/>
      <c r="AE354" s="792"/>
    </row>
    <row r="355" spans="5:31" s="134" customFormat="1" ht="12.75" customHeight="1" x14ac:dyDescent="0.25">
      <c r="E355" s="789"/>
      <c r="F355" s="789"/>
      <c r="G355" s="789"/>
      <c r="H355" s="790"/>
      <c r="AD355" s="791"/>
      <c r="AE355" s="792"/>
    </row>
    <row r="356" spans="5:31" s="134" customFormat="1" ht="12.75" customHeight="1" x14ac:dyDescent="0.25">
      <c r="E356" s="789"/>
      <c r="F356" s="789"/>
      <c r="G356" s="789"/>
      <c r="H356" s="790"/>
      <c r="AD356" s="791"/>
      <c r="AE356" s="792"/>
    </row>
    <row r="357" spans="5:31" s="134" customFormat="1" ht="12.75" customHeight="1" x14ac:dyDescent="0.25">
      <c r="E357" s="789"/>
      <c r="F357" s="789"/>
      <c r="G357" s="789"/>
      <c r="H357" s="790"/>
      <c r="AD357" s="791"/>
      <c r="AE357" s="792"/>
    </row>
    <row r="358" spans="5:31" s="134" customFormat="1" ht="12.75" customHeight="1" x14ac:dyDescent="0.25">
      <c r="E358" s="789"/>
      <c r="F358" s="789"/>
      <c r="G358" s="789"/>
      <c r="H358" s="790"/>
      <c r="AD358" s="791"/>
      <c r="AE358" s="792"/>
    </row>
    <row r="359" spans="5:31" s="134" customFormat="1" ht="12.75" customHeight="1" x14ac:dyDescent="0.25">
      <c r="E359" s="789"/>
      <c r="F359" s="789"/>
      <c r="G359" s="789"/>
      <c r="H359" s="790"/>
      <c r="AD359" s="791"/>
      <c r="AE359" s="792"/>
    </row>
    <row r="360" spans="5:31" s="134" customFormat="1" ht="12.75" customHeight="1" x14ac:dyDescent="0.25">
      <c r="E360" s="789"/>
      <c r="F360" s="789"/>
      <c r="G360" s="789"/>
      <c r="H360" s="790"/>
      <c r="AD360" s="791"/>
      <c r="AE360" s="792"/>
    </row>
    <row r="361" spans="5:31" s="134" customFormat="1" ht="12.75" customHeight="1" x14ac:dyDescent="0.25">
      <c r="E361" s="789"/>
      <c r="F361" s="789"/>
      <c r="G361" s="789"/>
      <c r="H361" s="790"/>
      <c r="AD361" s="791"/>
      <c r="AE361" s="792"/>
    </row>
    <row r="362" spans="5:31" s="134" customFormat="1" ht="12.75" customHeight="1" x14ac:dyDescent="0.25">
      <c r="E362" s="789"/>
      <c r="F362" s="789"/>
      <c r="G362" s="789"/>
      <c r="H362" s="790"/>
      <c r="AD362" s="791"/>
      <c r="AE362" s="792"/>
    </row>
    <row r="363" spans="5:31" s="134" customFormat="1" ht="12.75" customHeight="1" x14ac:dyDescent="0.25">
      <c r="E363" s="789"/>
      <c r="F363" s="789"/>
      <c r="G363" s="789"/>
      <c r="H363" s="790"/>
      <c r="AD363" s="791"/>
      <c r="AE363" s="792"/>
    </row>
    <row r="364" spans="5:31" s="134" customFormat="1" ht="12.75" customHeight="1" x14ac:dyDescent="0.25">
      <c r="E364" s="789"/>
      <c r="F364" s="789"/>
      <c r="G364" s="789"/>
      <c r="H364" s="790"/>
      <c r="AD364" s="791"/>
      <c r="AE364" s="792"/>
    </row>
    <row r="365" spans="5:31" ht="12.75" customHeight="1" x14ac:dyDescent="0.25">
      <c r="E365" s="793"/>
      <c r="F365" s="793"/>
      <c r="G365" s="793"/>
      <c r="H365" s="794"/>
    </row>
    <row r="366" spans="5:31" ht="12.75" customHeight="1" x14ac:dyDescent="0.25">
      <c r="E366" s="793"/>
      <c r="F366" s="793"/>
      <c r="G366" s="793"/>
      <c r="H366" s="794"/>
    </row>
    <row r="367" spans="5:31" ht="12.75" customHeight="1" x14ac:dyDescent="0.25">
      <c r="E367" s="793"/>
      <c r="F367" s="793"/>
      <c r="G367" s="793"/>
      <c r="H367" s="794"/>
    </row>
    <row r="368" spans="5:31" ht="12.75" customHeight="1" x14ac:dyDescent="0.25">
      <c r="E368" s="793"/>
      <c r="F368" s="793"/>
      <c r="G368" s="793"/>
      <c r="H368" s="794"/>
    </row>
    <row r="369" spans="5:8" ht="12.75" customHeight="1" x14ac:dyDescent="0.25">
      <c r="E369" s="793"/>
      <c r="F369" s="793"/>
      <c r="G369" s="793"/>
      <c r="H369" s="794"/>
    </row>
    <row r="370" spans="5:8" ht="12.75" customHeight="1" x14ac:dyDescent="0.25">
      <c r="E370" s="793"/>
      <c r="F370" s="793"/>
      <c r="G370" s="793"/>
      <c r="H370" s="794"/>
    </row>
    <row r="371" spans="5:8" ht="12.75" customHeight="1" x14ac:dyDescent="0.25">
      <c r="E371" s="793"/>
      <c r="F371" s="793"/>
      <c r="G371" s="793"/>
      <c r="H371" s="794"/>
    </row>
    <row r="372" spans="5:8" ht="12.75" customHeight="1" x14ac:dyDescent="0.25">
      <c r="E372" s="793"/>
      <c r="F372" s="793"/>
      <c r="G372" s="793"/>
      <c r="H372" s="794"/>
    </row>
    <row r="373" spans="5:8" ht="12.75" customHeight="1" x14ac:dyDescent="0.25">
      <c r="E373" s="793"/>
      <c r="F373" s="793"/>
      <c r="G373" s="793"/>
      <c r="H373" s="794"/>
    </row>
    <row r="374" spans="5:8" ht="12.75" customHeight="1" x14ac:dyDescent="0.25">
      <c r="E374" s="793"/>
      <c r="F374" s="793"/>
      <c r="G374" s="793"/>
      <c r="H374" s="794"/>
    </row>
    <row r="375" spans="5:8" ht="12.75" customHeight="1" x14ac:dyDescent="0.25">
      <c r="E375" s="793"/>
      <c r="F375" s="793"/>
      <c r="G375" s="793"/>
      <c r="H375" s="794"/>
    </row>
    <row r="376" spans="5:8" ht="12.75" customHeight="1" x14ac:dyDescent="0.25">
      <c r="E376" s="793"/>
      <c r="F376" s="793"/>
      <c r="G376" s="793"/>
      <c r="H376" s="794"/>
    </row>
    <row r="377" spans="5:8" ht="12.75" customHeight="1" x14ac:dyDescent="0.25">
      <c r="E377" s="793"/>
      <c r="F377" s="793"/>
      <c r="G377" s="793"/>
      <c r="H377" s="794"/>
    </row>
    <row r="378" spans="5:8" ht="12.75" customHeight="1" x14ac:dyDescent="0.25">
      <c r="E378" s="793"/>
      <c r="F378" s="793"/>
      <c r="G378" s="793"/>
      <c r="H378" s="794"/>
    </row>
    <row r="379" spans="5:8" ht="12.75" customHeight="1" x14ac:dyDescent="0.25">
      <c r="E379" s="793"/>
      <c r="F379" s="793"/>
      <c r="G379" s="793"/>
      <c r="H379" s="794"/>
    </row>
    <row r="380" spans="5:8" ht="12.75" customHeight="1" x14ac:dyDescent="0.25">
      <c r="E380" s="793"/>
      <c r="F380" s="793"/>
      <c r="G380" s="793"/>
      <c r="H380" s="794"/>
    </row>
    <row r="381" spans="5:8" ht="12.75" customHeight="1" x14ac:dyDescent="0.25">
      <c r="E381" s="793"/>
      <c r="F381" s="793"/>
      <c r="G381" s="793"/>
      <c r="H381" s="794"/>
    </row>
    <row r="382" spans="5:8" ht="12.75" customHeight="1" x14ac:dyDescent="0.25">
      <c r="E382" s="793"/>
      <c r="F382" s="793"/>
      <c r="G382" s="793"/>
      <c r="H382" s="794"/>
    </row>
    <row r="383" spans="5:8" ht="12.75" customHeight="1" x14ac:dyDescent="0.25">
      <c r="E383" s="793"/>
      <c r="F383" s="793"/>
      <c r="G383" s="793"/>
      <c r="H383" s="794"/>
    </row>
    <row r="384" spans="5:8" ht="12.75" customHeight="1" x14ac:dyDescent="0.25">
      <c r="E384" s="793"/>
      <c r="F384" s="793"/>
      <c r="G384" s="793"/>
      <c r="H384" s="794"/>
    </row>
    <row r="385" spans="5:8" ht="12.75" customHeight="1" x14ac:dyDescent="0.25">
      <c r="E385" s="793"/>
      <c r="F385" s="793"/>
      <c r="G385" s="793"/>
      <c r="H385" s="794"/>
    </row>
    <row r="386" spans="5:8" ht="12.75" customHeight="1" x14ac:dyDescent="0.25">
      <c r="E386" s="793"/>
      <c r="F386" s="793"/>
      <c r="G386" s="793"/>
      <c r="H386" s="794"/>
    </row>
    <row r="387" spans="5:8" ht="12.75" customHeight="1" x14ac:dyDescent="0.25">
      <c r="E387" s="793"/>
      <c r="F387" s="793"/>
      <c r="G387" s="793"/>
      <c r="H387" s="794"/>
    </row>
    <row r="388" spans="5:8" ht="12.75" customHeight="1" x14ac:dyDescent="0.25">
      <c r="E388" s="793"/>
      <c r="F388" s="793"/>
      <c r="G388" s="793"/>
      <c r="H388" s="794"/>
    </row>
    <row r="389" spans="5:8" ht="12.75" customHeight="1" x14ac:dyDescent="0.25">
      <c r="E389" s="793"/>
      <c r="F389" s="793"/>
      <c r="G389" s="793"/>
      <c r="H389" s="794"/>
    </row>
    <row r="390" spans="5:8" ht="12.75" customHeight="1" x14ac:dyDescent="0.25">
      <c r="E390" s="793"/>
      <c r="F390" s="793"/>
      <c r="G390" s="793"/>
      <c r="H390" s="794"/>
    </row>
    <row r="391" spans="5:8" ht="12.75" customHeight="1" x14ac:dyDescent="0.25">
      <c r="E391" s="793"/>
      <c r="F391" s="793"/>
      <c r="G391" s="793"/>
      <c r="H391" s="794"/>
    </row>
    <row r="392" spans="5:8" ht="12.75" customHeight="1" x14ac:dyDescent="0.25">
      <c r="E392" s="793"/>
      <c r="F392" s="793"/>
      <c r="G392" s="793"/>
      <c r="H392" s="794"/>
    </row>
    <row r="393" spans="5:8" ht="12.75" customHeight="1" x14ac:dyDescent="0.25">
      <c r="E393" s="793"/>
      <c r="F393" s="793"/>
      <c r="G393" s="793"/>
      <c r="H393" s="794"/>
    </row>
    <row r="394" spans="5:8" ht="12.75" customHeight="1" x14ac:dyDescent="0.25">
      <c r="E394" s="793"/>
      <c r="F394" s="793"/>
      <c r="G394" s="793"/>
      <c r="H394" s="794"/>
    </row>
    <row r="395" spans="5:8" ht="12.75" customHeight="1" x14ac:dyDescent="0.25">
      <c r="E395" s="793"/>
      <c r="F395" s="793"/>
      <c r="G395" s="793"/>
      <c r="H395" s="794"/>
    </row>
    <row r="396" spans="5:8" ht="12.75" customHeight="1" x14ac:dyDescent="0.25">
      <c r="E396" s="793"/>
      <c r="F396" s="793"/>
      <c r="G396" s="793"/>
      <c r="H396" s="794"/>
    </row>
    <row r="397" spans="5:8" ht="12.75" customHeight="1" x14ac:dyDescent="0.25">
      <c r="E397" s="793"/>
      <c r="F397" s="793"/>
      <c r="G397" s="793"/>
      <c r="H397" s="794"/>
    </row>
    <row r="398" spans="5:8" ht="12.75" customHeight="1" x14ac:dyDescent="0.25">
      <c r="E398" s="793"/>
      <c r="F398" s="793"/>
      <c r="G398" s="793"/>
      <c r="H398" s="794"/>
    </row>
    <row r="399" spans="5:8" ht="12.75" customHeight="1" x14ac:dyDescent="0.25">
      <c r="E399" s="793"/>
      <c r="F399" s="793"/>
      <c r="G399" s="793"/>
      <c r="H399" s="794"/>
    </row>
    <row r="400" spans="5:8" ht="12.75" customHeight="1" x14ac:dyDescent="0.25">
      <c r="E400" s="793"/>
      <c r="F400" s="793"/>
      <c r="G400" s="793"/>
      <c r="H400" s="794"/>
    </row>
    <row r="401" spans="5:8" ht="12.75" customHeight="1" x14ac:dyDescent="0.25">
      <c r="E401" s="793"/>
      <c r="F401" s="793"/>
      <c r="G401" s="793"/>
      <c r="H401" s="794"/>
    </row>
    <row r="402" spans="5:8" ht="12.75" customHeight="1" x14ac:dyDescent="0.25">
      <c r="E402" s="793"/>
      <c r="F402" s="793"/>
      <c r="G402" s="793"/>
      <c r="H402" s="794"/>
    </row>
    <row r="403" spans="5:8" ht="12.75" customHeight="1" x14ac:dyDescent="0.25">
      <c r="E403" s="793"/>
      <c r="F403" s="793"/>
      <c r="G403" s="793"/>
      <c r="H403" s="794"/>
    </row>
    <row r="404" spans="5:8" ht="12.75" customHeight="1" x14ac:dyDescent="0.25">
      <c r="E404" s="793"/>
      <c r="F404" s="793"/>
      <c r="G404" s="793"/>
      <c r="H404" s="794"/>
    </row>
    <row r="405" spans="5:8" ht="12.75" customHeight="1" x14ac:dyDescent="0.25">
      <c r="E405" s="793"/>
      <c r="F405" s="793"/>
      <c r="G405" s="793"/>
      <c r="H405" s="794"/>
    </row>
    <row r="406" spans="5:8" ht="12.75" customHeight="1" x14ac:dyDescent="0.25">
      <c r="E406" s="793"/>
      <c r="F406" s="793"/>
      <c r="G406" s="793"/>
      <c r="H406" s="794"/>
    </row>
    <row r="407" spans="5:8" ht="12.75" customHeight="1" x14ac:dyDescent="0.25">
      <c r="E407" s="793"/>
      <c r="F407" s="793"/>
      <c r="G407" s="793"/>
      <c r="H407" s="794"/>
    </row>
    <row r="408" spans="5:8" ht="12.75" customHeight="1" x14ac:dyDescent="0.25">
      <c r="E408" s="793"/>
      <c r="F408" s="793"/>
      <c r="G408" s="793"/>
      <c r="H408" s="794"/>
    </row>
    <row r="409" spans="5:8" ht="12.75" customHeight="1" x14ac:dyDescent="0.25">
      <c r="E409" s="793"/>
      <c r="F409" s="793"/>
      <c r="G409" s="793"/>
      <c r="H409" s="794"/>
    </row>
    <row r="410" spans="5:8" ht="12.75" customHeight="1" x14ac:dyDescent="0.25">
      <c r="E410" s="793"/>
      <c r="F410" s="793"/>
      <c r="G410" s="793"/>
      <c r="H410" s="794"/>
    </row>
    <row r="411" spans="5:8" ht="12.75" customHeight="1" x14ac:dyDescent="0.25">
      <c r="E411" s="793"/>
      <c r="F411" s="793"/>
      <c r="G411" s="793"/>
      <c r="H411" s="794"/>
    </row>
    <row r="412" spans="5:8" ht="12.75" customHeight="1" x14ac:dyDescent="0.25">
      <c r="E412" s="793"/>
      <c r="F412" s="793"/>
      <c r="G412" s="793"/>
      <c r="H412" s="794"/>
    </row>
    <row r="413" spans="5:8" ht="12.75" customHeight="1" x14ac:dyDescent="0.25">
      <c r="E413" s="793"/>
      <c r="F413" s="793"/>
      <c r="G413" s="793"/>
      <c r="H413" s="794"/>
    </row>
    <row r="414" spans="5:8" ht="12.75" customHeight="1" x14ac:dyDescent="0.25">
      <c r="E414" s="793"/>
      <c r="F414" s="793"/>
      <c r="G414" s="793"/>
      <c r="H414" s="794"/>
    </row>
    <row r="415" spans="5:8" ht="12.75" customHeight="1" x14ac:dyDescent="0.25">
      <c r="E415" s="793"/>
      <c r="F415" s="793"/>
      <c r="G415" s="793"/>
      <c r="H415" s="794"/>
    </row>
    <row r="416" spans="5:8" ht="12.75" customHeight="1" x14ac:dyDescent="0.25">
      <c r="E416" s="793"/>
      <c r="F416" s="793"/>
      <c r="G416" s="793"/>
      <c r="H416" s="794"/>
    </row>
    <row r="417" spans="5:8" ht="12.75" customHeight="1" x14ac:dyDescent="0.25">
      <c r="E417" s="793"/>
      <c r="F417" s="793"/>
      <c r="G417" s="793"/>
      <c r="H417" s="794"/>
    </row>
    <row r="418" spans="5:8" ht="12.75" customHeight="1" x14ac:dyDescent="0.25">
      <c r="E418" s="793"/>
      <c r="F418" s="793"/>
      <c r="G418" s="793"/>
      <c r="H418" s="794"/>
    </row>
    <row r="419" spans="5:8" ht="12.75" customHeight="1" x14ac:dyDescent="0.25">
      <c r="E419" s="793"/>
      <c r="F419" s="793"/>
      <c r="G419" s="793"/>
      <c r="H419" s="794"/>
    </row>
    <row r="420" spans="5:8" ht="12.75" customHeight="1" x14ac:dyDescent="0.25">
      <c r="E420" s="793"/>
      <c r="F420" s="793"/>
      <c r="G420" s="793"/>
      <c r="H420" s="794"/>
    </row>
    <row r="421" spans="5:8" ht="12.75" customHeight="1" x14ac:dyDescent="0.25">
      <c r="E421" s="793"/>
      <c r="F421" s="793"/>
      <c r="G421" s="793"/>
      <c r="H421" s="794"/>
    </row>
    <row r="422" spans="5:8" ht="12.75" customHeight="1" x14ac:dyDescent="0.25">
      <c r="E422" s="793"/>
      <c r="F422" s="793"/>
      <c r="G422" s="793"/>
      <c r="H422" s="794"/>
    </row>
    <row r="423" spans="5:8" ht="12.75" customHeight="1" x14ac:dyDescent="0.25">
      <c r="E423" s="793"/>
      <c r="F423" s="793"/>
      <c r="G423" s="793"/>
      <c r="H423" s="794"/>
    </row>
    <row r="424" spans="5:8" ht="12.75" customHeight="1" x14ac:dyDescent="0.25">
      <c r="E424" s="793"/>
      <c r="F424" s="793"/>
      <c r="G424" s="793"/>
      <c r="H424" s="794"/>
    </row>
    <row r="425" spans="5:8" ht="12.75" customHeight="1" x14ac:dyDescent="0.25">
      <c r="E425" s="793"/>
      <c r="F425" s="793"/>
      <c r="G425" s="793"/>
      <c r="H425" s="794"/>
    </row>
    <row r="426" spans="5:8" ht="12.75" customHeight="1" x14ac:dyDescent="0.25">
      <c r="E426" s="793"/>
      <c r="F426" s="793"/>
      <c r="G426" s="793"/>
      <c r="H426" s="794"/>
    </row>
    <row r="427" spans="5:8" ht="12.75" customHeight="1" x14ac:dyDescent="0.25">
      <c r="E427" s="793"/>
      <c r="F427" s="793"/>
      <c r="G427" s="793"/>
      <c r="H427" s="794"/>
    </row>
    <row r="428" spans="5:8" ht="12.75" customHeight="1" x14ac:dyDescent="0.25">
      <c r="E428" s="793"/>
      <c r="F428" s="793"/>
      <c r="G428" s="793"/>
      <c r="H428" s="794"/>
    </row>
    <row r="429" spans="5:8" ht="12.75" customHeight="1" x14ac:dyDescent="0.25">
      <c r="E429" s="793"/>
      <c r="F429" s="793"/>
      <c r="G429" s="793"/>
      <c r="H429" s="794"/>
    </row>
    <row r="430" spans="5:8" ht="12.75" customHeight="1" x14ac:dyDescent="0.25">
      <c r="E430" s="793"/>
      <c r="F430" s="793"/>
      <c r="G430" s="793"/>
      <c r="H430" s="794"/>
    </row>
    <row r="431" spans="5:8" ht="12.75" customHeight="1" x14ac:dyDescent="0.25">
      <c r="E431" s="793"/>
      <c r="F431" s="793"/>
      <c r="G431" s="793"/>
      <c r="H431" s="794"/>
    </row>
    <row r="432" spans="5:8" ht="12.75" customHeight="1" x14ac:dyDescent="0.25">
      <c r="E432" s="793"/>
      <c r="F432" s="793"/>
      <c r="G432" s="793"/>
      <c r="H432" s="794"/>
    </row>
    <row r="433" spans="5:8" ht="12.75" customHeight="1" x14ac:dyDescent="0.25">
      <c r="E433" s="793"/>
      <c r="F433" s="793"/>
      <c r="G433" s="793"/>
      <c r="H433" s="794"/>
    </row>
    <row r="434" spans="5:8" ht="12.75" customHeight="1" x14ac:dyDescent="0.25">
      <c r="E434" s="793"/>
      <c r="F434" s="793"/>
      <c r="G434" s="793"/>
      <c r="H434" s="794"/>
    </row>
    <row r="435" spans="5:8" ht="12.75" customHeight="1" x14ac:dyDescent="0.25">
      <c r="E435" s="793"/>
      <c r="F435" s="793"/>
      <c r="G435" s="793"/>
      <c r="H435" s="794"/>
    </row>
    <row r="436" spans="5:8" ht="12.75" customHeight="1" x14ac:dyDescent="0.25">
      <c r="E436" s="793"/>
      <c r="F436" s="793"/>
      <c r="G436" s="793"/>
      <c r="H436" s="794"/>
    </row>
    <row r="437" spans="5:8" ht="12.75" customHeight="1" x14ac:dyDescent="0.25">
      <c r="E437" s="793"/>
      <c r="F437" s="793"/>
      <c r="G437" s="793"/>
      <c r="H437" s="794"/>
    </row>
    <row r="438" spans="5:8" ht="12.75" customHeight="1" x14ac:dyDescent="0.25">
      <c r="E438" s="793"/>
      <c r="F438" s="793"/>
      <c r="G438" s="793"/>
      <c r="H438" s="794"/>
    </row>
    <row r="439" spans="5:8" ht="12.75" customHeight="1" x14ac:dyDescent="0.25">
      <c r="E439" s="793"/>
      <c r="F439" s="793"/>
      <c r="G439" s="793"/>
      <c r="H439" s="794"/>
    </row>
    <row r="440" spans="5:8" ht="12.75" customHeight="1" x14ac:dyDescent="0.25">
      <c r="E440" s="793"/>
      <c r="F440" s="793"/>
      <c r="G440" s="793"/>
      <c r="H440" s="794"/>
    </row>
    <row r="441" spans="5:8" ht="12.75" customHeight="1" x14ac:dyDescent="0.25">
      <c r="E441" s="793"/>
      <c r="F441" s="793"/>
      <c r="G441" s="793"/>
      <c r="H441" s="794"/>
    </row>
    <row r="442" spans="5:8" ht="12.75" customHeight="1" x14ac:dyDescent="0.25">
      <c r="E442" s="793"/>
      <c r="F442" s="793"/>
      <c r="G442" s="793"/>
      <c r="H442" s="794"/>
    </row>
    <row r="443" spans="5:8" ht="12.75" customHeight="1" x14ac:dyDescent="0.25">
      <c r="E443" s="793"/>
      <c r="F443" s="793"/>
      <c r="G443" s="793"/>
      <c r="H443" s="794"/>
    </row>
    <row r="444" spans="5:8" ht="12.75" customHeight="1" x14ac:dyDescent="0.25">
      <c r="E444" s="793"/>
      <c r="F444" s="793"/>
      <c r="G444" s="793"/>
      <c r="H444" s="794"/>
    </row>
    <row r="445" spans="5:8" ht="12.75" customHeight="1" x14ac:dyDescent="0.25">
      <c r="E445" s="793"/>
      <c r="F445" s="793"/>
      <c r="G445" s="793"/>
      <c r="H445" s="794"/>
    </row>
    <row r="446" spans="5:8" ht="12.75" customHeight="1" x14ac:dyDescent="0.25">
      <c r="E446" s="793"/>
      <c r="F446" s="793"/>
      <c r="G446" s="793"/>
      <c r="H446" s="794"/>
    </row>
    <row r="447" spans="5:8" ht="12.75" customHeight="1" x14ac:dyDescent="0.25">
      <c r="E447" s="793"/>
      <c r="F447" s="793"/>
      <c r="G447" s="793"/>
      <c r="H447" s="794"/>
    </row>
    <row r="448" spans="5:8" ht="12.75" customHeight="1" x14ac:dyDescent="0.25">
      <c r="E448" s="793"/>
      <c r="F448" s="793"/>
      <c r="G448" s="793"/>
      <c r="H448" s="794"/>
    </row>
    <row r="449" spans="5:8" ht="12.75" customHeight="1" x14ac:dyDescent="0.25">
      <c r="E449" s="793"/>
      <c r="F449" s="793"/>
      <c r="G449" s="793"/>
      <c r="H449" s="794"/>
    </row>
    <row r="450" spans="5:8" ht="12.75" customHeight="1" x14ac:dyDescent="0.25">
      <c r="E450" s="793"/>
      <c r="F450" s="793"/>
      <c r="G450" s="793"/>
      <c r="H450" s="794"/>
    </row>
    <row r="451" spans="5:8" ht="12.75" customHeight="1" x14ac:dyDescent="0.25">
      <c r="E451" s="793"/>
      <c r="F451" s="793"/>
      <c r="G451" s="793"/>
      <c r="H451" s="794"/>
    </row>
    <row r="452" spans="5:8" ht="12.75" customHeight="1" x14ac:dyDescent="0.25">
      <c r="E452" s="793"/>
      <c r="F452" s="793"/>
      <c r="G452" s="793"/>
      <c r="H452" s="794"/>
    </row>
    <row r="453" spans="5:8" ht="12.75" customHeight="1" x14ac:dyDescent="0.25">
      <c r="E453" s="793"/>
      <c r="F453" s="793"/>
      <c r="G453" s="793"/>
      <c r="H453" s="794"/>
    </row>
    <row r="454" spans="5:8" ht="12.75" customHeight="1" x14ac:dyDescent="0.25">
      <c r="E454" s="793"/>
      <c r="F454" s="793"/>
      <c r="G454" s="793"/>
      <c r="H454" s="794"/>
    </row>
    <row r="455" spans="5:8" ht="12.75" customHeight="1" x14ac:dyDescent="0.25">
      <c r="E455" s="793"/>
      <c r="F455" s="793"/>
      <c r="G455" s="793"/>
      <c r="H455" s="794"/>
    </row>
    <row r="456" spans="5:8" ht="12.75" customHeight="1" x14ac:dyDescent="0.25">
      <c r="E456" s="793"/>
      <c r="F456" s="793"/>
      <c r="G456" s="793"/>
      <c r="H456" s="794"/>
    </row>
    <row r="457" spans="5:8" ht="12.75" customHeight="1" x14ac:dyDescent="0.25">
      <c r="E457" s="793"/>
      <c r="F457" s="793"/>
      <c r="G457" s="793"/>
      <c r="H457" s="794"/>
    </row>
    <row r="458" spans="5:8" ht="12.75" customHeight="1" x14ac:dyDescent="0.25">
      <c r="E458" s="793"/>
      <c r="F458" s="793"/>
      <c r="G458" s="793"/>
      <c r="H458" s="794"/>
    </row>
    <row r="459" spans="5:8" ht="12.75" customHeight="1" x14ac:dyDescent="0.25">
      <c r="E459" s="793"/>
      <c r="F459" s="793"/>
      <c r="G459" s="793"/>
      <c r="H459" s="794"/>
    </row>
    <row r="460" spans="5:8" ht="12.75" customHeight="1" x14ac:dyDescent="0.25">
      <c r="E460" s="793"/>
      <c r="F460" s="793"/>
      <c r="G460" s="793"/>
      <c r="H460" s="794"/>
    </row>
    <row r="461" spans="5:8" ht="12.75" customHeight="1" x14ac:dyDescent="0.25">
      <c r="E461" s="793"/>
      <c r="F461" s="793"/>
      <c r="G461" s="793"/>
      <c r="H461" s="794"/>
    </row>
    <row r="462" spans="5:8" ht="12.75" customHeight="1" x14ac:dyDescent="0.25">
      <c r="E462" s="793"/>
      <c r="F462" s="793"/>
      <c r="G462" s="793"/>
      <c r="H462" s="794"/>
    </row>
    <row r="463" spans="5:8" ht="12.75" customHeight="1" x14ac:dyDescent="0.25">
      <c r="E463" s="793"/>
      <c r="F463" s="793"/>
      <c r="G463" s="793"/>
      <c r="H463" s="794"/>
    </row>
    <row r="464" spans="5:8" ht="12.75" customHeight="1" x14ac:dyDescent="0.25">
      <c r="E464" s="793"/>
      <c r="F464" s="793"/>
      <c r="G464" s="793"/>
      <c r="H464" s="794"/>
    </row>
    <row r="465" spans="5:8" ht="12.75" customHeight="1" x14ac:dyDescent="0.25">
      <c r="E465" s="793"/>
      <c r="F465" s="793"/>
      <c r="G465" s="793"/>
      <c r="H465" s="794"/>
    </row>
    <row r="466" spans="5:8" ht="12.75" customHeight="1" x14ac:dyDescent="0.25">
      <c r="E466" s="793"/>
      <c r="F466" s="793"/>
      <c r="G466" s="793"/>
      <c r="H466" s="794"/>
    </row>
    <row r="467" spans="5:8" ht="12.75" customHeight="1" x14ac:dyDescent="0.25">
      <c r="E467" s="793"/>
      <c r="F467" s="793"/>
      <c r="G467" s="793"/>
      <c r="H467" s="794"/>
    </row>
    <row r="468" spans="5:8" ht="12.75" customHeight="1" x14ac:dyDescent="0.25">
      <c r="E468" s="793"/>
      <c r="F468" s="793"/>
      <c r="G468" s="793"/>
      <c r="H468" s="794"/>
    </row>
    <row r="469" spans="5:8" ht="12.75" customHeight="1" x14ac:dyDescent="0.25">
      <c r="E469" s="793"/>
      <c r="F469" s="793"/>
      <c r="G469" s="793"/>
      <c r="H469" s="794"/>
    </row>
    <row r="470" spans="5:8" ht="12.75" customHeight="1" x14ac:dyDescent="0.25">
      <c r="E470" s="793"/>
      <c r="F470" s="793"/>
      <c r="G470" s="793"/>
      <c r="H470" s="794"/>
    </row>
    <row r="471" spans="5:8" ht="12.75" customHeight="1" x14ac:dyDescent="0.25">
      <c r="E471" s="793"/>
      <c r="F471" s="793"/>
      <c r="G471" s="793"/>
      <c r="H471" s="794"/>
    </row>
    <row r="472" spans="5:8" ht="12.75" customHeight="1" x14ac:dyDescent="0.25">
      <c r="E472" s="793"/>
      <c r="F472" s="793"/>
      <c r="G472" s="793"/>
      <c r="H472" s="794"/>
    </row>
    <row r="473" spans="5:8" ht="12.75" customHeight="1" x14ac:dyDescent="0.25">
      <c r="E473" s="793"/>
      <c r="F473" s="793"/>
      <c r="G473" s="793"/>
      <c r="H473" s="794"/>
    </row>
    <row r="474" spans="5:8" ht="12.75" customHeight="1" x14ac:dyDescent="0.25">
      <c r="E474" s="793"/>
      <c r="F474" s="793"/>
      <c r="G474" s="793"/>
      <c r="H474" s="794"/>
    </row>
    <row r="475" spans="5:8" ht="12.75" customHeight="1" x14ac:dyDescent="0.25">
      <c r="E475" s="793"/>
      <c r="F475" s="793"/>
      <c r="G475" s="793"/>
      <c r="H475" s="794"/>
    </row>
    <row r="476" spans="5:8" ht="12.75" customHeight="1" x14ac:dyDescent="0.25">
      <c r="E476" s="793"/>
      <c r="F476" s="793"/>
      <c r="G476" s="793"/>
      <c r="H476" s="794"/>
    </row>
    <row r="477" spans="5:8" ht="12.75" customHeight="1" x14ac:dyDescent="0.25">
      <c r="E477" s="793"/>
      <c r="F477" s="793"/>
      <c r="G477" s="793"/>
      <c r="H477" s="794"/>
    </row>
    <row r="478" spans="5:8" ht="12.75" customHeight="1" x14ac:dyDescent="0.25">
      <c r="E478" s="793"/>
      <c r="F478" s="793"/>
      <c r="G478" s="793"/>
      <c r="H478" s="794"/>
    </row>
    <row r="479" spans="5:8" ht="12.75" customHeight="1" x14ac:dyDescent="0.25">
      <c r="E479" s="793"/>
      <c r="F479" s="793"/>
      <c r="G479" s="793"/>
      <c r="H479" s="794"/>
    </row>
    <row r="480" spans="5:8" ht="12.75" customHeight="1" x14ac:dyDescent="0.25">
      <c r="E480" s="793"/>
      <c r="F480" s="793"/>
      <c r="G480" s="793"/>
      <c r="H480" s="794"/>
    </row>
    <row r="481" spans="5:8" ht="12.75" customHeight="1" x14ac:dyDescent="0.25">
      <c r="E481" s="793"/>
      <c r="F481" s="793"/>
      <c r="G481" s="793"/>
      <c r="H481" s="794"/>
    </row>
    <row r="482" spans="5:8" ht="12.75" customHeight="1" x14ac:dyDescent="0.25">
      <c r="E482" s="793"/>
      <c r="F482" s="793"/>
      <c r="G482" s="793"/>
      <c r="H482" s="794"/>
    </row>
    <row r="483" spans="5:8" ht="12.75" customHeight="1" x14ac:dyDescent="0.25">
      <c r="E483" s="793"/>
      <c r="F483" s="793"/>
      <c r="G483" s="793"/>
      <c r="H483" s="794"/>
    </row>
    <row r="484" spans="5:8" ht="12.75" customHeight="1" x14ac:dyDescent="0.25">
      <c r="E484" s="793"/>
      <c r="F484" s="793"/>
      <c r="G484" s="793"/>
      <c r="H484" s="794"/>
    </row>
    <row r="485" spans="5:8" ht="12.75" customHeight="1" x14ac:dyDescent="0.25">
      <c r="E485" s="793"/>
      <c r="F485" s="793"/>
      <c r="G485" s="793"/>
      <c r="H485" s="794"/>
    </row>
    <row r="486" spans="5:8" ht="12.75" customHeight="1" x14ac:dyDescent="0.25">
      <c r="E486" s="793"/>
      <c r="F486" s="793"/>
      <c r="G486" s="793"/>
      <c r="H486" s="794"/>
    </row>
    <row r="487" spans="5:8" ht="12.75" customHeight="1" x14ac:dyDescent="0.25">
      <c r="E487" s="793"/>
      <c r="F487" s="793"/>
      <c r="G487" s="793"/>
      <c r="H487" s="794"/>
    </row>
    <row r="488" spans="5:8" ht="12.75" customHeight="1" x14ac:dyDescent="0.25">
      <c r="E488" s="793"/>
      <c r="F488" s="793"/>
      <c r="G488" s="793"/>
      <c r="H488" s="794"/>
    </row>
    <row r="489" spans="5:8" ht="12.75" customHeight="1" x14ac:dyDescent="0.25">
      <c r="E489" s="793"/>
      <c r="F489" s="793"/>
      <c r="G489" s="793"/>
      <c r="H489" s="794"/>
    </row>
    <row r="490" spans="5:8" ht="12.75" customHeight="1" x14ac:dyDescent="0.25">
      <c r="E490" s="793"/>
      <c r="F490" s="793"/>
      <c r="G490" s="793"/>
      <c r="H490" s="794"/>
    </row>
    <row r="491" spans="5:8" ht="12.75" customHeight="1" x14ac:dyDescent="0.25">
      <c r="E491" s="793"/>
      <c r="F491" s="793"/>
      <c r="G491" s="793"/>
      <c r="H491" s="794"/>
    </row>
    <row r="492" spans="5:8" ht="12.75" customHeight="1" x14ac:dyDescent="0.25">
      <c r="E492" s="793"/>
      <c r="F492" s="793"/>
      <c r="G492" s="793"/>
      <c r="H492" s="794"/>
    </row>
    <row r="493" spans="5:8" ht="12.75" customHeight="1" x14ac:dyDescent="0.25">
      <c r="E493" s="793"/>
      <c r="F493" s="793"/>
      <c r="G493" s="793"/>
      <c r="H493" s="794"/>
    </row>
    <row r="494" spans="5:8" ht="12.75" customHeight="1" x14ac:dyDescent="0.25">
      <c r="E494" s="793"/>
      <c r="F494" s="793"/>
      <c r="G494" s="793"/>
      <c r="H494" s="794"/>
    </row>
    <row r="495" spans="5:8" ht="12.75" customHeight="1" x14ac:dyDescent="0.25">
      <c r="E495" s="793"/>
      <c r="F495" s="793"/>
      <c r="G495" s="793"/>
      <c r="H495" s="794"/>
    </row>
    <row r="496" spans="5:8" ht="12.75" customHeight="1" x14ac:dyDescent="0.25">
      <c r="E496" s="793"/>
      <c r="F496" s="793"/>
      <c r="G496" s="793"/>
      <c r="H496" s="794"/>
    </row>
    <row r="497" spans="5:8" ht="12.75" customHeight="1" x14ac:dyDescent="0.25">
      <c r="E497" s="793"/>
      <c r="F497" s="793"/>
      <c r="G497" s="793"/>
      <c r="H497" s="794"/>
    </row>
    <row r="498" spans="5:8" ht="12.75" customHeight="1" x14ac:dyDescent="0.25">
      <c r="E498" s="793"/>
      <c r="F498" s="793"/>
      <c r="G498" s="793"/>
      <c r="H498" s="794"/>
    </row>
    <row r="499" spans="5:8" ht="12.75" customHeight="1" x14ac:dyDescent="0.25">
      <c r="E499" s="793"/>
      <c r="F499" s="793"/>
      <c r="G499" s="793"/>
      <c r="H499" s="794"/>
    </row>
    <row r="500" spans="5:8" ht="12.75" customHeight="1" x14ac:dyDescent="0.25">
      <c r="E500" s="793"/>
      <c r="F500" s="793"/>
      <c r="G500" s="793"/>
      <c r="H500" s="794"/>
    </row>
    <row r="501" spans="5:8" ht="12.75" customHeight="1" x14ac:dyDescent="0.25">
      <c r="E501" s="793"/>
      <c r="F501" s="793"/>
      <c r="G501" s="793"/>
      <c r="H501" s="794"/>
    </row>
    <row r="502" spans="5:8" ht="12.75" customHeight="1" x14ac:dyDescent="0.25">
      <c r="E502" s="793"/>
      <c r="F502" s="793"/>
      <c r="G502" s="793"/>
      <c r="H502" s="794"/>
    </row>
    <row r="503" spans="5:8" ht="12.75" customHeight="1" x14ac:dyDescent="0.25">
      <c r="E503" s="793"/>
      <c r="F503" s="793"/>
      <c r="G503" s="793"/>
      <c r="H503" s="794"/>
    </row>
    <row r="504" spans="5:8" ht="12.75" customHeight="1" x14ac:dyDescent="0.25">
      <c r="E504" s="793"/>
      <c r="F504" s="793"/>
      <c r="G504" s="793"/>
      <c r="H504" s="794"/>
    </row>
    <row r="505" spans="5:8" ht="12.75" customHeight="1" x14ac:dyDescent="0.25">
      <c r="E505" s="793"/>
      <c r="F505" s="793"/>
      <c r="G505" s="793"/>
      <c r="H505" s="794"/>
    </row>
    <row r="506" spans="5:8" ht="12.75" customHeight="1" x14ac:dyDescent="0.25">
      <c r="E506" s="793"/>
      <c r="F506" s="793"/>
      <c r="G506" s="793"/>
      <c r="H506" s="794"/>
    </row>
    <row r="507" spans="5:8" ht="12.75" customHeight="1" x14ac:dyDescent="0.25">
      <c r="E507" s="793"/>
      <c r="F507" s="793"/>
      <c r="G507" s="793"/>
      <c r="H507" s="794"/>
    </row>
    <row r="508" spans="5:8" ht="12.75" customHeight="1" x14ac:dyDescent="0.25">
      <c r="E508" s="793"/>
      <c r="F508" s="793"/>
      <c r="G508" s="793"/>
      <c r="H508" s="794"/>
    </row>
    <row r="509" spans="5:8" ht="12.75" customHeight="1" x14ac:dyDescent="0.25">
      <c r="E509" s="793"/>
      <c r="F509" s="793"/>
      <c r="G509" s="793"/>
      <c r="H509" s="794"/>
    </row>
    <row r="510" spans="5:8" ht="12.75" customHeight="1" x14ac:dyDescent="0.25">
      <c r="E510" s="793"/>
      <c r="F510" s="793"/>
      <c r="G510" s="793"/>
      <c r="H510" s="794"/>
    </row>
    <row r="511" spans="5:8" ht="12.75" customHeight="1" x14ac:dyDescent="0.25">
      <c r="E511" s="793"/>
      <c r="F511" s="793"/>
      <c r="G511" s="793"/>
      <c r="H511" s="794"/>
    </row>
    <row r="512" spans="5:8" ht="12.75" customHeight="1" x14ac:dyDescent="0.25">
      <c r="E512" s="793"/>
      <c r="F512" s="793"/>
      <c r="G512" s="793"/>
      <c r="H512" s="794"/>
    </row>
    <row r="513" spans="5:8" ht="12.75" customHeight="1" x14ac:dyDescent="0.25">
      <c r="E513" s="793"/>
      <c r="F513" s="793"/>
      <c r="G513" s="793"/>
      <c r="H513" s="794"/>
    </row>
    <row r="514" spans="5:8" ht="12.75" customHeight="1" x14ac:dyDescent="0.25">
      <c r="E514" s="793"/>
      <c r="F514" s="793"/>
      <c r="G514" s="793"/>
      <c r="H514" s="794"/>
    </row>
    <row r="515" spans="5:8" ht="12.75" customHeight="1" x14ac:dyDescent="0.25">
      <c r="E515" s="793"/>
      <c r="F515" s="793"/>
      <c r="G515" s="793"/>
      <c r="H515" s="794"/>
    </row>
    <row r="516" spans="5:8" ht="12.75" customHeight="1" x14ac:dyDescent="0.25">
      <c r="E516" s="793"/>
      <c r="F516" s="793"/>
      <c r="G516" s="793"/>
      <c r="H516" s="794"/>
    </row>
    <row r="517" spans="5:8" ht="12.75" customHeight="1" x14ac:dyDescent="0.25">
      <c r="E517" s="793"/>
      <c r="F517" s="793"/>
      <c r="G517" s="793"/>
      <c r="H517" s="794"/>
    </row>
    <row r="518" spans="5:8" ht="12.75" customHeight="1" x14ac:dyDescent="0.25">
      <c r="E518" s="793"/>
      <c r="F518" s="793"/>
      <c r="G518" s="793"/>
      <c r="H518" s="794"/>
    </row>
    <row r="519" spans="5:8" ht="12.75" customHeight="1" x14ac:dyDescent="0.25">
      <c r="E519" s="793"/>
      <c r="F519" s="793"/>
      <c r="G519" s="793"/>
      <c r="H519" s="794"/>
    </row>
    <row r="520" spans="5:8" ht="12.75" customHeight="1" x14ac:dyDescent="0.25">
      <c r="E520" s="793"/>
      <c r="F520" s="793"/>
      <c r="G520" s="793"/>
      <c r="H520" s="794"/>
    </row>
    <row r="521" spans="5:8" ht="12.75" customHeight="1" x14ac:dyDescent="0.25">
      <c r="E521" s="793"/>
      <c r="F521" s="793"/>
      <c r="G521" s="793"/>
      <c r="H521" s="794"/>
    </row>
    <row r="522" spans="5:8" ht="12.75" customHeight="1" x14ac:dyDescent="0.25">
      <c r="E522" s="793"/>
      <c r="F522" s="793"/>
      <c r="G522" s="793"/>
      <c r="H522" s="794"/>
    </row>
    <row r="523" spans="5:8" ht="12.75" customHeight="1" x14ac:dyDescent="0.25">
      <c r="E523" s="793"/>
      <c r="F523" s="793"/>
      <c r="G523" s="793"/>
      <c r="H523" s="794"/>
    </row>
    <row r="524" spans="5:8" ht="12.75" customHeight="1" x14ac:dyDescent="0.25">
      <c r="E524" s="793"/>
      <c r="F524" s="793"/>
      <c r="G524" s="793"/>
      <c r="H524" s="794"/>
    </row>
    <row r="525" spans="5:8" ht="12.75" customHeight="1" x14ac:dyDescent="0.25">
      <c r="E525" s="793"/>
      <c r="F525" s="793"/>
      <c r="G525" s="793"/>
      <c r="H525" s="794"/>
    </row>
    <row r="526" spans="5:8" ht="12.75" customHeight="1" x14ac:dyDescent="0.25">
      <c r="E526" s="793"/>
      <c r="F526" s="793"/>
      <c r="G526" s="793"/>
      <c r="H526" s="794"/>
    </row>
    <row r="527" spans="5:8" ht="12.75" customHeight="1" x14ac:dyDescent="0.25">
      <c r="E527" s="793"/>
      <c r="F527" s="793"/>
      <c r="G527" s="793"/>
      <c r="H527" s="794"/>
    </row>
    <row r="528" spans="5:8" ht="12.75" customHeight="1" x14ac:dyDescent="0.25">
      <c r="E528" s="793"/>
      <c r="F528" s="793"/>
      <c r="G528" s="793"/>
      <c r="H528" s="794"/>
    </row>
    <row r="529" spans="5:8" ht="12.75" customHeight="1" x14ac:dyDescent="0.25">
      <c r="E529" s="793"/>
      <c r="F529" s="793"/>
      <c r="G529" s="793"/>
      <c r="H529" s="794"/>
    </row>
    <row r="530" spans="5:8" ht="12.75" customHeight="1" x14ac:dyDescent="0.25">
      <c r="E530" s="793"/>
      <c r="F530" s="793"/>
      <c r="G530" s="793"/>
      <c r="H530" s="794"/>
    </row>
    <row r="531" spans="5:8" ht="12.75" customHeight="1" x14ac:dyDescent="0.25">
      <c r="E531" s="793"/>
      <c r="F531" s="793"/>
      <c r="G531" s="793"/>
      <c r="H531" s="794"/>
    </row>
    <row r="532" spans="5:8" ht="12.75" customHeight="1" x14ac:dyDescent="0.25">
      <c r="E532" s="793"/>
      <c r="F532" s="793"/>
      <c r="G532" s="793"/>
      <c r="H532" s="794"/>
    </row>
    <row r="533" spans="5:8" ht="12.75" customHeight="1" x14ac:dyDescent="0.25">
      <c r="E533" s="793"/>
      <c r="F533" s="793"/>
      <c r="G533" s="793"/>
      <c r="H533" s="794"/>
    </row>
    <row r="534" spans="5:8" ht="12.75" customHeight="1" x14ac:dyDescent="0.25">
      <c r="E534" s="793"/>
      <c r="F534" s="793"/>
      <c r="G534" s="793"/>
      <c r="H534" s="794"/>
    </row>
    <row r="535" spans="5:8" ht="12.75" customHeight="1" x14ac:dyDescent="0.25">
      <c r="E535" s="793"/>
      <c r="F535" s="793"/>
      <c r="G535" s="793"/>
      <c r="H535" s="794"/>
    </row>
    <row r="536" spans="5:8" ht="12.75" customHeight="1" x14ac:dyDescent="0.25">
      <c r="E536" s="793"/>
      <c r="F536" s="793"/>
      <c r="G536" s="793"/>
      <c r="H536" s="794"/>
    </row>
    <row r="537" spans="5:8" ht="12.75" customHeight="1" x14ac:dyDescent="0.25">
      <c r="E537" s="793"/>
      <c r="F537" s="793"/>
      <c r="G537" s="793"/>
      <c r="H537" s="794"/>
    </row>
    <row r="538" spans="5:8" ht="12.75" customHeight="1" x14ac:dyDescent="0.25">
      <c r="E538" s="793"/>
      <c r="F538" s="793"/>
      <c r="G538" s="793"/>
      <c r="H538" s="794"/>
    </row>
    <row r="539" spans="5:8" ht="12.75" customHeight="1" x14ac:dyDescent="0.25">
      <c r="E539" s="793"/>
      <c r="F539" s="793"/>
      <c r="G539" s="793"/>
      <c r="H539" s="794"/>
    </row>
    <row r="540" spans="5:8" ht="12.75" customHeight="1" x14ac:dyDescent="0.25">
      <c r="E540" s="793"/>
      <c r="F540" s="793"/>
      <c r="G540" s="793"/>
      <c r="H540" s="794"/>
    </row>
    <row r="541" spans="5:8" ht="12.75" customHeight="1" x14ac:dyDescent="0.25">
      <c r="E541" s="793"/>
      <c r="F541" s="793"/>
      <c r="G541" s="793"/>
      <c r="H541" s="794"/>
    </row>
    <row r="542" spans="5:8" ht="12.75" customHeight="1" x14ac:dyDescent="0.25">
      <c r="E542" s="793"/>
      <c r="F542" s="793"/>
      <c r="G542" s="793"/>
      <c r="H542" s="794"/>
    </row>
    <row r="543" spans="5:8" ht="12.75" customHeight="1" x14ac:dyDescent="0.25">
      <c r="E543" s="793"/>
      <c r="F543" s="793"/>
      <c r="G543" s="793"/>
      <c r="H543" s="794"/>
    </row>
    <row r="544" spans="5:8" ht="12.75" customHeight="1" x14ac:dyDescent="0.25">
      <c r="E544" s="793"/>
      <c r="F544" s="793"/>
      <c r="G544" s="793"/>
      <c r="H544" s="794"/>
    </row>
    <row r="545" spans="5:8" ht="12.75" customHeight="1" x14ac:dyDescent="0.25">
      <c r="E545" s="793"/>
      <c r="F545" s="793"/>
      <c r="G545" s="793"/>
      <c r="H545" s="794"/>
    </row>
    <row r="546" spans="5:8" ht="12.75" customHeight="1" x14ac:dyDescent="0.25">
      <c r="E546" s="793"/>
      <c r="F546" s="793"/>
      <c r="G546" s="793"/>
      <c r="H546" s="794"/>
    </row>
    <row r="547" spans="5:8" ht="12.75" customHeight="1" x14ac:dyDescent="0.25">
      <c r="E547" s="793"/>
      <c r="F547" s="793"/>
      <c r="G547" s="793"/>
      <c r="H547" s="794"/>
    </row>
    <row r="548" spans="5:8" ht="12.75" customHeight="1" x14ac:dyDescent="0.25">
      <c r="E548" s="793"/>
      <c r="F548" s="793"/>
      <c r="G548" s="793"/>
      <c r="H548" s="794"/>
    </row>
    <row r="549" spans="5:8" ht="12.75" customHeight="1" x14ac:dyDescent="0.25">
      <c r="E549" s="793"/>
      <c r="F549" s="793"/>
      <c r="G549" s="793"/>
      <c r="H549" s="794"/>
    </row>
    <row r="550" spans="5:8" ht="12.75" customHeight="1" x14ac:dyDescent="0.25">
      <c r="E550" s="793"/>
      <c r="F550" s="793"/>
      <c r="G550" s="793"/>
      <c r="H550" s="794"/>
    </row>
    <row r="551" spans="5:8" ht="12.75" customHeight="1" x14ac:dyDescent="0.25">
      <c r="E551" s="793"/>
      <c r="F551" s="793"/>
      <c r="G551" s="793"/>
      <c r="H551" s="794"/>
    </row>
    <row r="552" spans="5:8" ht="12.75" customHeight="1" x14ac:dyDescent="0.25">
      <c r="E552" s="793"/>
      <c r="F552" s="793"/>
      <c r="G552" s="793"/>
      <c r="H552" s="794"/>
    </row>
    <row r="553" spans="5:8" ht="12.75" customHeight="1" x14ac:dyDescent="0.25">
      <c r="E553" s="793"/>
      <c r="F553" s="793"/>
      <c r="G553" s="793"/>
      <c r="H553" s="794"/>
    </row>
    <row r="554" spans="5:8" ht="12.75" customHeight="1" x14ac:dyDescent="0.25">
      <c r="E554" s="793"/>
      <c r="F554" s="793"/>
      <c r="G554" s="793"/>
      <c r="H554" s="794"/>
    </row>
    <row r="555" spans="5:8" ht="12.75" customHeight="1" x14ac:dyDescent="0.25">
      <c r="E555" s="793"/>
      <c r="F555" s="793"/>
      <c r="G555" s="793"/>
      <c r="H555" s="794"/>
    </row>
    <row r="556" spans="5:8" ht="12.75" customHeight="1" x14ac:dyDescent="0.25">
      <c r="E556" s="793"/>
      <c r="F556" s="793"/>
      <c r="G556" s="793"/>
      <c r="H556" s="794"/>
    </row>
    <row r="557" spans="5:8" ht="12.75" customHeight="1" x14ac:dyDescent="0.25">
      <c r="E557" s="793"/>
      <c r="F557" s="793"/>
      <c r="G557" s="793"/>
      <c r="H557" s="794"/>
    </row>
    <row r="558" spans="5:8" ht="12.75" customHeight="1" x14ac:dyDescent="0.25">
      <c r="E558" s="793"/>
      <c r="F558" s="793"/>
      <c r="G558" s="793"/>
      <c r="H558" s="794"/>
    </row>
    <row r="559" spans="5:8" ht="12.75" customHeight="1" x14ac:dyDescent="0.25">
      <c r="E559" s="793"/>
      <c r="F559" s="793"/>
      <c r="G559" s="793"/>
      <c r="H559" s="794"/>
    </row>
    <row r="560" spans="5:8" ht="12.75" customHeight="1" x14ac:dyDescent="0.25">
      <c r="E560" s="793"/>
      <c r="F560" s="793"/>
      <c r="G560" s="793"/>
      <c r="H560" s="794"/>
    </row>
    <row r="561" spans="5:8" ht="12.75" customHeight="1" x14ac:dyDescent="0.25">
      <c r="E561" s="793"/>
      <c r="F561" s="793"/>
      <c r="G561" s="793"/>
      <c r="H561" s="794"/>
    </row>
    <row r="562" spans="5:8" ht="12.75" customHeight="1" x14ac:dyDescent="0.25">
      <c r="E562" s="793"/>
      <c r="F562" s="793"/>
      <c r="G562" s="793"/>
      <c r="H562" s="794"/>
    </row>
    <row r="563" spans="5:8" ht="12.75" customHeight="1" x14ac:dyDescent="0.25">
      <c r="E563" s="793"/>
      <c r="F563" s="793"/>
      <c r="G563" s="793"/>
      <c r="H563" s="794"/>
    </row>
    <row r="564" spans="5:8" ht="12.75" customHeight="1" x14ac:dyDescent="0.25">
      <c r="E564" s="793"/>
      <c r="F564" s="793"/>
      <c r="G564" s="793"/>
      <c r="H564" s="794"/>
    </row>
    <row r="565" spans="5:8" ht="12.75" customHeight="1" x14ac:dyDescent="0.25">
      <c r="E565" s="793"/>
      <c r="F565" s="793"/>
      <c r="G565" s="793"/>
      <c r="H565" s="794"/>
    </row>
    <row r="566" spans="5:8" ht="12.75" customHeight="1" x14ac:dyDescent="0.25">
      <c r="E566" s="793"/>
      <c r="F566" s="793"/>
      <c r="G566" s="793"/>
      <c r="H566" s="794"/>
    </row>
    <row r="567" spans="5:8" ht="12.75" customHeight="1" x14ac:dyDescent="0.25">
      <c r="E567" s="793"/>
      <c r="F567" s="793"/>
      <c r="G567" s="793"/>
      <c r="H567" s="794"/>
    </row>
    <row r="568" spans="5:8" ht="12.75" customHeight="1" x14ac:dyDescent="0.25">
      <c r="E568" s="793"/>
      <c r="F568" s="793"/>
      <c r="G568" s="793"/>
      <c r="H568" s="794"/>
    </row>
    <row r="569" spans="5:8" ht="12.75" customHeight="1" x14ac:dyDescent="0.25">
      <c r="E569" s="793"/>
      <c r="F569" s="793"/>
      <c r="G569" s="793"/>
      <c r="H569" s="794"/>
    </row>
    <row r="570" spans="5:8" ht="12.75" customHeight="1" x14ac:dyDescent="0.25">
      <c r="E570" s="793"/>
      <c r="F570" s="793"/>
      <c r="G570" s="793"/>
      <c r="H570" s="794"/>
    </row>
    <row r="571" spans="5:8" ht="12.75" customHeight="1" x14ac:dyDescent="0.25">
      <c r="E571" s="793"/>
      <c r="F571" s="793"/>
      <c r="G571" s="793"/>
      <c r="H571" s="794"/>
    </row>
    <row r="572" spans="5:8" ht="12.75" customHeight="1" x14ac:dyDescent="0.25">
      <c r="E572" s="793"/>
      <c r="F572" s="793"/>
      <c r="G572" s="793"/>
      <c r="H572" s="794"/>
    </row>
    <row r="573" spans="5:8" ht="12.75" customHeight="1" x14ac:dyDescent="0.25">
      <c r="E573" s="793"/>
      <c r="F573" s="793"/>
      <c r="G573" s="793"/>
      <c r="H573" s="794"/>
    </row>
    <row r="574" spans="5:8" ht="12.75" customHeight="1" x14ac:dyDescent="0.25">
      <c r="E574" s="793"/>
      <c r="F574" s="793"/>
      <c r="G574" s="793"/>
      <c r="H574" s="794"/>
    </row>
    <row r="575" spans="5:8" ht="12.75" customHeight="1" x14ac:dyDescent="0.25">
      <c r="E575" s="793"/>
      <c r="F575" s="793"/>
      <c r="G575" s="793"/>
      <c r="H575" s="794"/>
    </row>
    <row r="576" spans="5:8" ht="12.75" customHeight="1" x14ac:dyDescent="0.25">
      <c r="E576" s="793"/>
      <c r="F576" s="793"/>
      <c r="G576" s="793"/>
      <c r="H576" s="794"/>
    </row>
    <row r="577" spans="5:8" ht="12.75" customHeight="1" x14ac:dyDescent="0.25">
      <c r="E577" s="793"/>
      <c r="F577" s="793"/>
      <c r="G577" s="793"/>
      <c r="H577" s="794"/>
    </row>
    <row r="578" spans="5:8" ht="12.75" customHeight="1" x14ac:dyDescent="0.25">
      <c r="E578" s="793"/>
      <c r="F578" s="793"/>
      <c r="G578" s="793"/>
      <c r="H578" s="794"/>
    </row>
    <row r="579" spans="5:8" ht="12.75" customHeight="1" x14ac:dyDescent="0.25">
      <c r="E579" s="793"/>
      <c r="F579" s="793"/>
      <c r="G579" s="793"/>
      <c r="H579" s="794"/>
    </row>
    <row r="580" spans="5:8" ht="12.75" customHeight="1" x14ac:dyDescent="0.25">
      <c r="E580" s="793"/>
      <c r="F580" s="793"/>
      <c r="G580" s="793"/>
      <c r="H580" s="794"/>
    </row>
    <row r="581" spans="5:8" ht="12.75" customHeight="1" x14ac:dyDescent="0.25">
      <c r="E581" s="793"/>
      <c r="F581" s="793"/>
      <c r="G581" s="793"/>
      <c r="H581" s="794"/>
    </row>
    <row r="582" spans="5:8" ht="12.75" customHeight="1" x14ac:dyDescent="0.25">
      <c r="E582" s="793"/>
      <c r="F582" s="793"/>
      <c r="G582" s="793"/>
      <c r="H582" s="794"/>
    </row>
    <row r="583" spans="5:8" ht="12.75" customHeight="1" x14ac:dyDescent="0.25">
      <c r="E583" s="793"/>
      <c r="F583" s="793"/>
      <c r="G583" s="793"/>
      <c r="H583" s="794"/>
    </row>
    <row r="584" spans="5:8" ht="12.75" customHeight="1" x14ac:dyDescent="0.25">
      <c r="E584" s="793"/>
      <c r="F584" s="793"/>
      <c r="G584" s="793"/>
      <c r="H584" s="794"/>
    </row>
    <row r="585" spans="5:8" ht="12.75" customHeight="1" x14ac:dyDescent="0.25">
      <c r="E585" s="793"/>
      <c r="F585" s="793"/>
      <c r="G585" s="793"/>
      <c r="H585" s="794"/>
    </row>
    <row r="586" spans="5:8" ht="12.75" customHeight="1" x14ac:dyDescent="0.25">
      <c r="E586" s="793"/>
      <c r="F586" s="793"/>
      <c r="G586" s="793"/>
      <c r="H586" s="794"/>
    </row>
    <row r="587" spans="5:8" ht="12.75" customHeight="1" x14ac:dyDescent="0.25">
      <c r="E587" s="793"/>
      <c r="F587" s="793"/>
      <c r="G587" s="793"/>
      <c r="H587" s="794"/>
    </row>
    <row r="588" spans="5:8" ht="12.75" customHeight="1" x14ac:dyDescent="0.25">
      <c r="E588" s="793"/>
      <c r="F588" s="793"/>
      <c r="G588" s="793"/>
      <c r="H588" s="794"/>
    </row>
    <row r="589" spans="5:8" ht="12.75" customHeight="1" x14ac:dyDescent="0.25">
      <c r="E589" s="793"/>
      <c r="F589" s="793"/>
      <c r="G589" s="793"/>
      <c r="H589" s="794"/>
    </row>
    <row r="590" spans="5:8" ht="12.75" customHeight="1" x14ac:dyDescent="0.25">
      <c r="E590" s="793"/>
      <c r="F590" s="793"/>
      <c r="G590" s="793"/>
      <c r="H590" s="794"/>
    </row>
    <row r="591" spans="5:8" ht="12.75" customHeight="1" x14ac:dyDescent="0.25">
      <c r="E591" s="793"/>
      <c r="F591" s="793"/>
      <c r="G591" s="793"/>
      <c r="H591" s="794"/>
    </row>
    <row r="592" spans="5:8" ht="12.75" customHeight="1" x14ac:dyDescent="0.25">
      <c r="E592" s="793"/>
      <c r="F592" s="793"/>
      <c r="G592" s="793"/>
      <c r="H592" s="794"/>
    </row>
    <row r="593" spans="5:8" ht="12.75" customHeight="1" x14ac:dyDescent="0.25">
      <c r="E593" s="793"/>
      <c r="F593" s="793"/>
      <c r="G593" s="793"/>
      <c r="H593" s="794"/>
    </row>
    <row r="594" spans="5:8" ht="12.75" customHeight="1" x14ac:dyDescent="0.25">
      <c r="E594" s="793"/>
      <c r="F594" s="793"/>
      <c r="G594" s="793"/>
      <c r="H594" s="794"/>
    </row>
    <row r="595" spans="5:8" ht="12.75" customHeight="1" x14ac:dyDescent="0.25">
      <c r="E595" s="793"/>
      <c r="F595" s="793"/>
      <c r="G595" s="793"/>
      <c r="H595" s="794"/>
    </row>
    <row r="596" spans="5:8" ht="12.75" customHeight="1" x14ac:dyDescent="0.25">
      <c r="E596" s="793"/>
      <c r="F596" s="793"/>
      <c r="G596" s="793"/>
      <c r="H596" s="794"/>
    </row>
    <row r="597" spans="5:8" ht="12.75" customHeight="1" x14ac:dyDescent="0.25">
      <c r="E597" s="793"/>
      <c r="F597" s="793"/>
      <c r="G597" s="793"/>
      <c r="H597" s="794"/>
    </row>
    <row r="598" spans="5:8" ht="12.75" customHeight="1" x14ac:dyDescent="0.25">
      <c r="E598" s="793"/>
      <c r="F598" s="793"/>
      <c r="G598" s="793"/>
      <c r="H598" s="794"/>
    </row>
    <row r="599" spans="5:8" ht="12.75" customHeight="1" x14ac:dyDescent="0.25">
      <c r="E599" s="793"/>
      <c r="F599" s="793"/>
      <c r="G599" s="793"/>
      <c r="H599" s="794"/>
    </row>
    <row r="600" spans="5:8" ht="12.75" customHeight="1" x14ac:dyDescent="0.25">
      <c r="E600" s="793"/>
      <c r="F600" s="793"/>
      <c r="G600" s="793"/>
      <c r="H600" s="794"/>
    </row>
    <row r="601" spans="5:8" ht="12.75" customHeight="1" x14ac:dyDescent="0.25">
      <c r="E601" s="793"/>
      <c r="F601" s="793"/>
      <c r="G601" s="793"/>
      <c r="H601" s="794"/>
    </row>
    <row r="602" spans="5:8" ht="12.75" customHeight="1" x14ac:dyDescent="0.25">
      <c r="E602" s="793"/>
      <c r="F602" s="793"/>
      <c r="G602" s="793"/>
      <c r="H602" s="794"/>
    </row>
    <row r="603" spans="5:8" ht="12.75" customHeight="1" x14ac:dyDescent="0.25">
      <c r="E603" s="793"/>
      <c r="F603" s="793"/>
      <c r="G603" s="793"/>
      <c r="H603" s="794"/>
    </row>
    <row r="604" spans="5:8" ht="12.75" customHeight="1" x14ac:dyDescent="0.25">
      <c r="E604" s="793"/>
      <c r="F604" s="793"/>
      <c r="G604" s="793"/>
      <c r="H604" s="794"/>
    </row>
    <row r="605" spans="5:8" ht="12.75" customHeight="1" x14ac:dyDescent="0.25">
      <c r="E605" s="793"/>
      <c r="F605" s="793"/>
      <c r="G605" s="793"/>
      <c r="H605" s="794"/>
    </row>
    <row r="606" spans="5:8" ht="12.75" customHeight="1" x14ac:dyDescent="0.25">
      <c r="E606" s="793"/>
      <c r="F606" s="793"/>
      <c r="G606" s="793"/>
      <c r="H606" s="794"/>
    </row>
    <row r="607" spans="5:8" ht="12.75" customHeight="1" x14ac:dyDescent="0.25">
      <c r="E607" s="793"/>
      <c r="F607" s="793"/>
      <c r="G607" s="793"/>
      <c r="H607" s="794"/>
    </row>
    <row r="608" spans="5:8" ht="12.75" customHeight="1" x14ac:dyDescent="0.25">
      <c r="E608" s="793"/>
      <c r="F608" s="793"/>
      <c r="G608" s="793"/>
      <c r="H608" s="794"/>
    </row>
    <row r="609" spans="5:8" ht="12.75" customHeight="1" x14ac:dyDescent="0.25">
      <c r="E609" s="793"/>
      <c r="F609" s="793"/>
      <c r="G609" s="793"/>
      <c r="H609" s="794"/>
    </row>
    <row r="610" spans="5:8" ht="12.75" customHeight="1" x14ac:dyDescent="0.25">
      <c r="E610" s="793"/>
      <c r="F610" s="793"/>
      <c r="G610" s="793"/>
      <c r="H610" s="794"/>
    </row>
    <row r="611" spans="5:8" ht="12.75" customHeight="1" x14ac:dyDescent="0.25">
      <c r="E611" s="793"/>
      <c r="F611" s="793"/>
      <c r="G611" s="793"/>
      <c r="H611" s="794"/>
    </row>
    <row r="612" spans="5:8" ht="12.75" customHeight="1" x14ac:dyDescent="0.25">
      <c r="E612" s="793"/>
      <c r="F612" s="793"/>
      <c r="G612" s="793"/>
      <c r="H612" s="794"/>
    </row>
    <row r="613" spans="5:8" ht="12.75" customHeight="1" x14ac:dyDescent="0.25">
      <c r="E613" s="793"/>
      <c r="F613" s="793"/>
      <c r="G613" s="793"/>
      <c r="H613" s="794"/>
    </row>
    <row r="614" spans="5:8" ht="12.75" customHeight="1" x14ac:dyDescent="0.25">
      <c r="E614" s="793"/>
      <c r="F614" s="793"/>
      <c r="G614" s="793"/>
      <c r="H614" s="794"/>
    </row>
    <row r="615" spans="5:8" ht="12.75" customHeight="1" x14ac:dyDescent="0.25">
      <c r="E615" s="793"/>
      <c r="F615" s="793"/>
      <c r="G615" s="793"/>
      <c r="H615" s="794"/>
    </row>
    <row r="616" spans="5:8" ht="12.75" customHeight="1" x14ac:dyDescent="0.25">
      <c r="E616" s="793"/>
      <c r="F616" s="793"/>
      <c r="G616" s="793"/>
      <c r="H616" s="794"/>
    </row>
    <row r="617" spans="5:8" ht="12.75" customHeight="1" x14ac:dyDescent="0.25">
      <c r="E617" s="793"/>
      <c r="F617" s="793"/>
      <c r="G617" s="793"/>
      <c r="H617" s="794"/>
    </row>
    <row r="618" spans="5:8" ht="12.75" customHeight="1" x14ac:dyDescent="0.25">
      <c r="E618" s="793"/>
      <c r="F618" s="793"/>
      <c r="G618" s="793"/>
      <c r="H618" s="794"/>
    </row>
    <row r="619" spans="5:8" ht="12.75" customHeight="1" x14ac:dyDescent="0.25">
      <c r="E619" s="793"/>
      <c r="F619" s="793"/>
      <c r="G619" s="793"/>
      <c r="H619" s="794"/>
    </row>
    <row r="620" spans="5:8" ht="12.75" customHeight="1" x14ac:dyDescent="0.25">
      <c r="E620" s="793"/>
      <c r="F620" s="793"/>
      <c r="G620" s="793"/>
      <c r="H620" s="794"/>
    </row>
    <row r="621" spans="5:8" ht="12.75" customHeight="1" x14ac:dyDescent="0.25">
      <c r="E621" s="793"/>
      <c r="F621" s="793"/>
      <c r="G621" s="793"/>
      <c r="H621" s="794"/>
    </row>
    <row r="622" spans="5:8" ht="12.75" customHeight="1" x14ac:dyDescent="0.25">
      <c r="E622" s="793"/>
      <c r="F622" s="793"/>
      <c r="G622" s="793"/>
      <c r="H622" s="794"/>
    </row>
    <row r="623" spans="5:8" ht="12.75" customHeight="1" x14ac:dyDescent="0.25">
      <c r="E623" s="793"/>
      <c r="F623" s="793"/>
      <c r="G623" s="793"/>
      <c r="H623" s="794"/>
    </row>
    <row r="624" spans="5:8" ht="12.75" customHeight="1" x14ac:dyDescent="0.25">
      <c r="E624" s="793"/>
      <c r="F624" s="793"/>
      <c r="G624" s="793"/>
      <c r="H624" s="794"/>
    </row>
    <row r="625" spans="5:8" ht="12.75" customHeight="1" x14ac:dyDescent="0.25">
      <c r="E625" s="793"/>
      <c r="F625" s="793"/>
      <c r="G625" s="793"/>
      <c r="H625" s="794"/>
    </row>
    <row r="626" spans="5:8" ht="12.75" customHeight="1" x14ac:dyDescent="0.25">
      <c r="E626" s="793"/>
      <c r="F626" s="793"/>
      <c r="G626" s="793"/>
      <c r="H626" s="794"/>
    </row>
    <row r="627" spans="5:8" ht="12.75" customHeight="1" x14ac:dyDescent="0.25">
      <c r="E627" s="793"/>
      <c r="F627" s="793"/>
      <c r="G627" s="793"/>
      <c r="H627" s="794"/>
    </row>
    <row r="628" spans="5:8" ht="12.75" customHeight="1" x14ac:dyDescent="0.25">
      <c r="E628" s="793"/>
      <c r="F628" s="793"/>
      <c r="G628" s="793"/>
      <c r="H628" s="794"/>
    </row>
    <row r="629" spans="5:8" ht="12.75" customHeight="1" x14ac:dyDescent="0.25">
      <c r="E629" s="793"/>
      <c r="F629" s="793"/>
      <c r="G629" s="793"/>
      <c r="H629" s="794"/>
    </row>
    <row r="630" spans="5:8" ht="12.75" customHeight="1" x14ac:dyDescent="0.25">
      <c r="E630" s="793"/>
      <c r="F630" s="793"/>
      <c r="G630" s="793"/>
      <c r="H630" s="794"/>
    </row>
    <row r="631" spans="5:8" ht="12.75" customHeight="1" x14ac:dyDescent="0.25">
      <c r="E631" s="793"/>
      <c r="F631" s="793"/>
      <c r="G631" s="793"/>
      <c r="H631" s="794"/>
    </row>
    <row r="632" spans="5:8" ht="12.75" customHeight="1" x14ac:dyDescent="0.25">
      <c r="E632" s="793"/>
      <c r="F632" s="793"/>
      <c r="G632" s="793"/>
      <c r="H632" s="794"/>
    </row>
    <row r="633" spans="5:8" ht="12.75" customHeight="1" x14ac:dyDescent="0.25">
      <c r="E633" s="793"/>
      <c r="F633" s="793"/>
      <c r="G633" s="793"/>
      <c r="H633" s="794"/>
    </row>
    <row r="634" spans="5:8" ht="12.75" customHeight="1" x14ac:dyDescent="0.25">
      <c r="E634" s="793"/>
      <c r="F634" s="793"/>
      <c r="G634" s="793"/>
      <c r="H634" s="794"/>
    </row>
    <row r="635" spans="5:8" ht="12.75" customHeight="1" x14ac:dyDescent="0.25"/>
    <row r="636" spans="5:8" ht="12.75" customHeight="1" x14ac:dyDescent="0.25"/>
    <row r="637" spans="5:8" ht="12.75" customHeight="1" x14ac:dyDescent="0.25"/>
    <row r="638" spans="5:8" ht="12.75" customHeight="1" x14ac:dyDescent="0.25"/>
    <row r="639" spans="5:8" ht="12.75" customHeight="1" x14ac:dyDescent="0.25"/>
    <row r="640" spans="5:8"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row r="1068" ht="12.75" customHeight="1" x14ac:dyDescent="0.25"/>
    <row r="1069" ht="12.75" customHeight="1" x14ac:dyDescent="0.25"/>
    <row r="1070" ht="12.75" customHeight="1" x14ac:dyDescent="0.25"/>
    <row r="1071" ht="12.75" customHeight="1" x14ac:dyDescent="0.25"/>
    <row r="1072" ht="12.75" customHeight="1" x14ac:dyDescent="0.25"/>
    <row r="1073" ht="12.75" customHeight="1" x14ac:dyDescent="0.25"/>
    <row r="1074" ht="12.75" customHeight="1" x14ac:dyDescent="0.25"/>
    <row r="1075" ht="12.75" customHeight="1" x14ac:dyDescent="0.25"/>
    <row r="1076" ht="12.75" customHeight="1" x14ac:dyDescent="0.25"/>
    <row r="1077" ht="12.75" customHeight="1" x14ac:dyDescent="0.25"/>
    <row r="1078" ht="12.75" customHeight="1" x14ac:dyDescent="0.25"/>
    <row r="1079" ht="12.75" customHeight="1" x14ac:dyDescent="0.25"/>
    <row r="1080" ht="12.75" customHeight="1" x14ac:dyDescent="0.25"/>
    <row r="1081" ht="12.75" customHeight="1" x14ac:dyDescent="0.25"/>
    <row r="1082" ht="12.75" customHeight="1" x14ac:dyDescent="0.25"/>
    <row r="1083" ht="12.75" customHeight="1" x14ac:dyDescent="0.25"/>
    <row r="1084" ht="12.75" customHeight="1" x14ac:dyDescent="0.25"/>
    <row r="1085" ht="12.75" customHeight="1" x14ac:dyDescent="0.25"/>
    <row r="1086" ht="12.75" customHeight="1" x14ac:dyDescent="0.25"/>
    <row r="1087" ht="12.75" customHeight="1" x14ac:dyDescent="0.25"/>
    <row r="1088" ht="12.75" customHeight="1" x14ac:dyDescent="0.25"/>
    <row r="1089" ht="12.75" customHeight="1" x14ac:dyDescent="0.25"/>
    <row r="1090" ht="12.75" customHeight="1" x14ac:dyDescent="0.25"/>
    <row r="1091" ht="12.75" customHeight="1" x14ac:dyDescent="0.25"/>
    <row r="1092" ht="12.75" customHeight="1" x14ac:dyDescent="0.25"/>
    <row r="1093" ht="12.75" customHeight="1" x14ac:dyDescent="0.25"/>
    <row r="1094" ht="12.75" customHeight="1" x14ac:dyDescent="0.25"/>
    <row r="1095" ht="12.75" customHeight="1" x14ac:dyDescent="0.25"/>
    <row r="1096" ht="12.75" customHeight="1" x14ac:dyDescent="0.25"/>
    <row r="1097" ht="12.75" customHeight="1" x14ac:dyDescent="0.25"/>
    <row r="1098" ht="12.75" customHeight="1" x14ac:dyDescent="0.25"/>
    <row r="1099" ht="12.75" customHeight="1" x14ac:dyDescent="0.25"/>
    <row r="1100" ht="12.75" customHeight="1" x14ac:dyDescent="0.25"/>
    <row r="1101" ht="12.75" customHeight="1" x14ac:dyDescent="0.25"/>
    <row r="1102" ht="12.75" customHeight="1" x14ac:dyDescent="0.25"/>
    <row r="1103" ht="12.75" customHeight="1" x14ac:dyDescent="0.25"/>
    <row r="1104" ht="12.75" customHeight="1" x14ac:dyDescent="0.25"/>
    <row r="1105" ht="12.75" customHeight="1" x14ac:dyDescent="0.25"/>
    <row r="1106" ht="12.75" customHeight="1" x14ac:dyDescent="0.25"/>
    <row r="1107" ht="12.75" customHeight="1" x14ac:dyDescent="0.25"/>
    <row r="1108" ht="12.75" customHeight="1" x14ac:dyDescent="0.25"/>
    <row r="1109" ht="12.75" customHeight="1" x14ac:dyDescent="0.25"/>
  </sheetData>
  <sheetProtection algorithmName="SHA-512" hashValue="JZmkxmP1GrHEaFKhldh328bSgsU7L2bmpywAkLtGpGdrjz5PbVMYt4FEE4MKZv682SLys4BteN7EUgSUJbmHaw==" saltValue="t5yvudWtTz1Ar10NerpM0g==" spinCount="100000" sheet="1" autoFilter="0"/>
  <mergeCells count="85">
    <mergeCell ref="A1:B2"/>
    <mergeCell ref="E1:H2"/>
    <mergeCell ref="K1:M1"/>
    <mergeCell ref="N1:P1"/>
    <mergeCell ref="AD1:AE2"/>
    <mergeCell ref="AH1:AJ2"/>
    <mergeCell ref="AK1:AN3"/>
    <mergeCell ref="K2:M2"/>
    <mergeCell ref="N2:O17"/>
    <mergeCell ref="P2:P17"/>
    <mergeCell ref="A3:B3"/>
    <mergeCell ref="K3:M3"/>
    <mergeCell ref="AD3:AE3"/>
    <mergeCell ref="A6:A9"/>
    <mergeCell ref="B6:B9"/>
    <mergeCell ref="AD6:AD9"/>
    <mergeCell ref="AE6:AE9"/>
    <mergeCell ref="A10:A13"/>
    <mergeCell ref="B10:B13"/>
    <mergeCell ref="AD10:AD13"/>
    <mergeCell ref="AE10:AE13"/>
    <mergeCell ref="A14:A17"/>
    <mergeCell ref="B14:B17"/>
    <mergeCell ref="AD14:AD17"/>
    <mergeCell ref="AE14:AE17"/>
    <mergeCell ref="AD18:AD21"/>
    <mergeCell ref="AE18:AE21"/>
    <mergeCell ref="A22:A25"/>
    <mergeCell ref="B22:B25"/>
    <mergeCell ref="N22:P23"/>
    <mergeCell ref="AD22:AD25"/>
    <mergeCell ref="AE22:AE25"/>
    <mergeCell ref="A18:A21"/>
    <mergeCell ref="B18:B21"/>
    <mergeCell ref="N18:N21"/>
    <mergeCell ref="O18:O21"/>
    <mergeCell ref="P18:P21"/>
    <mergeCell ref="A26:A29"/>
    <mergeCell ref="B26:B29"/>
    <mergeCell ref="AD26:AD29"/>
    <mergeCell ref="AE26:AE29"/>
    <mergeCell ref="A30:A33"/>
    <mergeCell ref="B30:B33"/>
    <mergeCell ref="AD30:AD33"/>
    <mergeCell ref="AE30:AE33"/>
    <mergeCell ref="A34:A37"/>
    <mergeCell ref="B34:B37"/>
    <mergeCell ref="AD34:AD37"/>
    <mergeCell ref="AE34:AE37"/>
    <mergeCell ref="A70:A73"/>
    <mergeCell ref="B70:B73"/>
    <mergeCell ref="AD70:AD73"/>
    <mergeCell ref="AE70:AE73"/>
    <mergeCell ref="A74:A77"/>
    <mergeCell ref="B74:B77"/>
    <mergeCell ref="AD74:AD77"/>
    <mergeCell ref="AE74:AE77"/>
    <mergeCell ref="A78:A81"/>
    <mergeCell ref="B78:B81"/>
    <mergeCell ref="AD78:AD81"/>
    <mergeCell ref="AE78:AE81"/>
    <mergeCell ref="A82:A85"/>
    <mergeCell ref="B82:B85"/>
    <mergeCell ref="AD82:AD85"/>
    <mergeCell ref="AE82:AE85"/>
    <mergeCell ref="A86:A89"/>
    <mergeCell ref="B86:B89"/>
    <mergeCell ref="AD86:AD89"/>
    <mergeCell ref="AE86:AE89"/>
    <mergeCell ref="A90:A93"/>
    <mergeCell ref="B90:B93"/>
    <mergeCell ref="AD90:AD93"/>
    <mergeCell ref="AE90:AE93"/>
    <mergeCell ref="A94:A97"/>
    <mergeCell ref="B94:B97"/>
    <mergeCell ref="AD94:AD97"/>
    <mergeCell ref="AE94:AE97"/>
    <mergeCell ref="A98:A101"/>
    <mergeCell ref="B98:B101"/>
    <mergeCell ref="AD98:AD101"/>
    <mergeCell ref="AE98:AE101"/>
    <mergeCell ref="A102:A109"/>
    <mergeCell ref="B102:B109"/>
    <mergeCell ref="AD102:AD109"/>
    <mergeCell ref="AE102:AE109"/>
  </mergeCells>
  <conditionalFormatting sqref="E3:G65536">
    <cfRule type="cellIs" dxfId="87" priority="2" operator="equal">
      <formula>0</formula>
    </cfRule>
  </conditionalFormatting>
  <conditionalFormatting sqref="K4:K109">
    <cfRule type="cellIs" dxfId="86" priority="12" operator="between">
      <formula>8</formula>
      <formula>1</formula>
    </cfRule>
  </conditionalFormatting>
  <conditionalFormatting sqref="M4:M5 M30:M37 M44:M45 M52:M53 M60:M61 M68:M69 M94:M109">
    <cfRule type="cellIs" dxfId="85" priority="10" operator="equal">
      <formula>"BIT OLD MAYBE"</formula>
    </cfRule>
    <cfRule type="cellIs" dxfId="84" priority="11" operator="equal">
      <formula>"TOO YOUNG"</formula>
    </cfRule>
  </conditionalFormatting>
  <conditionalFormatting sqref="M4:M109">
    <cfRule type="cellIs" dxfId="83" priority="9" operator="equal">
      <formula>"OK"</formula>
    </cfRule>
  </conditionalFormatting>
  <conditionalFormatting sqref="M6:M29 M38:M43 M46:M51 M54:M59 M62:M67 M70:M93">
    <cfRule type="cellIs" dxfId="82" priority="13" operator="equal">
      <formula>"NOT ELIGIBLE"</formula>
    </cfRule>
    <cfRule type="cellIs" dxfId="81" priority="14" operator="equal">
      <formula>"TOO YOUNG"</formula>
    </cfRule>
  </conditionalFormatting>
  <conditionalFormatting sqref="N2">
    <cfRule type="cellIs" dxfId="80" priority="3" operator="greaterThan">
      <formula>0</formula>
    </cfRule>
  </conditionalFormatting>
  <conditionalFormatting sqref="N18:O21">
    <cfRule type="cellIs" dxfId="79" priority="6" operator="greaterThan">
      <formula>0</formula>
    </cfRule>
  </conditionalFormatting>
  <conditionalFormatting sqref="P2">
    <cfRule type="cellIs" dxfId="78" priority="7" operator="greaterThan">
      <formula>0</formula>
    </cfRule>
  </conditionalFormatting>
  <conditionalFormatting sqref="P18">
    <cfRule type="cellIs" dxfId="77" priority="5" operator="greaterThan">
      <formula>0</formula>
    </cfRule>
  </conditionalFormatting>
  <conditionalFormatting sqref="Q1:Q17 P2 Q22:Q23">
    <cfRule type="cellIs" dxfId="76" priority="4" operator="greaterThan">
      <formula>"A"</formula>
    </cfRule>
  </conditionalFormatting>
  <conditionalFormatting sqref="AH1:AJ1 AH3:AJ3 AH4:AO98 AK99:AO105 AH99:AJ109">
    <cfRule type="cellIs" dxfId="75" priority="8" operator="equal">
      <formula>0</formula>
    </cfRule>
  </conditionalFormatting>
  <dataValidations count="9">
    <dataValidation allowBlank="1" showInputMessage="1" showErrorMessage="1" promptTitle="DRAG &amp; DROP IS NOT PERMITTED" sqref="J4:J101" xr:uid="{00000000-0002-0000-0B00-000000000000}">
      <formula1>0</formula1>
      <formula2>0</formula2>
    </dataValidation>
    <dataValidation allowBlank="1" showInputMessage="1" showErrorMessage="1" promptTitle="IF EMPTY" prompt="Please add the row title GIVEN NAME in this box (See Left)" sqref="F3" xr:uid="{00000000-0002-0000-0B00-000001000000}">
      <formula1>0</formula1>
      <formula2>0</formula2>
    </dataValidation>
    <dataValidation allowBlank="1" showInputMessage="1" showErrorMessage="1" promptTitle="IF EMPTY" prompt="Please add the row title FAMILY NAME in this box (See Left)" sqref="G3" xr:uid="{00000000-0002-0000-0B00-000002000000}">
      <formula1>0</formula1>
      <formula2>0</formula2>
    </dataValidation>
    <dataValidation allowBlank="1" showInputMessage="1" showErrorMessage="1" promptTitle="IF EMPTY" prompt="Please add the row title ASA NO in this box (See Left)" sqref="E3" xr:uid="{00000000-0002-0000-0B00-000003000000}">
      <formula1>0</formula1>
      <formula2>0</formula2>
    </dataValidation>
    <dataValidation allowBlank="1" showInputMessage="1" showErrorMessage="1" promptTitle="IF EMPTY" prompt="Please add the row title D.O.B. in this box (See Left)" sqref="H3" xr:uid="{00000000-0002-0000-0B00-000004000000}">
      <formula1>0</formula1>
      <formula2>0</formula2>
    </dataValidation>
    <dataValidation allowBlank="1" showInputMessage="1" showErrorMessage="1" prompt="Enter the swimmers Family Name as registered with the ASA" sqref="G4 G30 G82" xr:uid="{00000000-0002-0000-0B00-000005000000}">
      <formula1>0</formula1>
      <formula2>0</formula2>
    </dataValidation>
    <dataValidation allowBlank="1" showInputMessage="1" showErrorMessage="1" prompt="Enter the Swimmers Given name (1st Name) as registered with the ASA_x000a_" sqref="F4 F30 F82" xr:uid="{00000000-0002-0000-0B00-000006000000}">
      <formula1>0</formula1>
      <formula2>0</formula2>
    </dataValidation>
    <dataValidation allowBlank="1" showInputMessage="1" showErrorMessage="1" prompt="Enter the Swimmers Date of birth.  Day, Month, Year  _x000a_ie 21/11/2011" sqref="H4 H52" xr:uid="{00000000-0002-0000-0B00-000007000000}">
      <formula1>0</formula1>
      <formula2>0</formula2>
    </dataValidation>
    <dataValidation allowBlank="1" showInputMessage="1" showErrorMessage="1" error="You must now &quot;undo&quot; drag and drop" sqref="F5:H5 F31:G31 H53 F83:G83" xr:uid="{00000000-0002-0000-0B00-000008000000}">
      <formula1>0</formula1>
      <formula2>0</formula2>
    </dataValidation>
  </dataValidations>
  <hyperlinks>
    <hyperlink ref="N18" location="'Gala Setup'!G2" display="Gala Setup" xr:uid="{00000000-0004-0000-0B00-000000000000}"/>
    <hyperlink ref="O18" location="Recording!C26" display="Gala Recording" xr:uid="{00000000-0004-0000-0B00-000001000000}"/>
    <hyperlink ref="P18" location="'Lane Timer sheets'!D1" display="Lane Timer Sheets" xr:uid="{00000000-0004-0000-0B00-000002000000}"/>
  </hyperlinks>
  <pageMargins left="0.75" right="0.75" top="1" bottom="1" header="0.511811023622047" footer="0.511811023622047"/>
  <pageSetup paperSize="9" scale="64"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Q1109"/>
  <sheetViews>
    <sheetView showRowColHeaders="0" topLeftCell="A41" zoomScale="80" zoomScaleNormal="80" workbookViewId="0">
      <selection activeCell="K59" sqref="K59"/>
    </sheetView>
  </sheetViews>
  <sheetFormatPr defaultColWidth="8.6640625" defaultRowHeight="13.2" x14ac:dyDescent="0.25"/>
  <cols>
    <col min="1" max="1" width="4.5546875" customWidth="1"/>
    <col min="2" max="2" width="31.88671875" customWidth="1"/>
    <col min="3" max="3" width="4.5546875" hidden="1" customWidth="1"/>
    <col min="4" max="4" width="9.6640625" hidden="1" customWidth="1"/>
    <col min="5" max="5" width="9.88671875" style="130" customWidth="1"/>
    <col min="6" max="6" width="23.6640625" style="130" customWidth="1"/>
    <col min="7" max="7" width="33.88671875" style="130" customWidth="1"/>
    <col min="8" max="8" width="12.109375" style="698" customWidth="1"/>
    <col min="9" max="10" width="12.109375" hidden="1" customWidth="1"/>
    <col min="11" max="11" width="10.6640625" customWidth="1"/>
    <col min="12" max="12" width="4.5546875" hidden="1" customWidth="1"/>
    <col min="13" max="13" width="17.6640625" customWidth="1"/>
    <col min="14" max="15" width="14.6640625" style="134" customWidth="1"/>
    <col min="16" max="16" width="29.6640625" style="134" customWidth="1"/>
    <col min="17" max="17" width="8.33203125" style="134" customWidth="1"/>
    <col min="18" max="29" width="8.88671875" style="134" customWidth="1"/>
    <col min="30" max="30" width="4.5546875" style="699" customWidth="1"/>
    <col min="31" max="31" width="26" style="700" customWidth="1"/>
    <col min="32" max="32" width="2.33203125" hidden="1" customWidth="1"/>
    <col min="33" max="33" width="3.6640625" hidden="1" customWidth="1"/>
    <col min="34" max="34" width="9.88671875" customWidth="1"/>
    <col min="35" max="35" width="23.6640625" customWidth="1"/>
    <col min="36" max="36" width="34.33203125" customWidth="1"/>
    <col min="41" max="41" width="9.109375" customWidth="1"/>
    <col min="42" max="42" width="23.6640625" customWidth="1"/>
    <col min="43" max="43" width="8.33203125" hidden="1" customWidth="1"/>
  </cols>
  <sheetData>
    <row r="1" spans="1:43" ht="42.75" customHeight="1" x14ac:dyDescent="0.25">
      <c r="A1" s="1267" t="s">
        <v>4621</v>
      </c>
      <c r="B1" s="1267"/>
      <c r="C1" s="701"/>
      <c r="D1" s="702"/>
      <c r="E1" s="1268" t="s">
        <v>4920</v>
      </c>
      <c r="F1" s="1268"/>
      <c r="G1" s="1268"/>
      <c r="H1" s="1268"/>
      <c r="I1" s="703"/>
      <c r="J1" s="704"/>
      <c r="K1" s="1269" t="s">
        <v>4623</v>
      </c>
      <c r="L1" s="1269"/>
      <c r="M1" s="1269"/>
      <c r="N1" s="1270" t="s">
        <v>4624</v>
      </c>
      <c r="O1" s="1270"/>
      <c r="P1" s="1270"/>
      <c r="Q1" s="705"/>
      <c r="AD1" s="1271" t="str">
        <f>'Team 1'!AD1</f>
        <v>TEAM NAME</v>
      </c>
      <c r="AE1" s="1271"/>
      <c r="AF1" s="706"/>
      <c r="AG1" s="707"/>
      <c r="AH1" s="1262" t="str">
        <f>E1</f>
        <v>Bo of Harrow</v>
      </c>
      <c r="AI1" s="1262"/>
      <c r="AJ1" s="1262"/>
      <c r="AK1" s="1263"/>
      <c r="AL1" s="1263"/>
      <c r="AM1" s="1263"/>
      <c r="AN1" s="1263"/>
      <c r="AO1" s="708"/>
    </row>
    <row r="2" spans="1:43" ht="42.75" customHeight="1" x14ac:dyDescent="0.25">
      <c r="A2" s="1267"/>
      <c r="B2" s="1267"/>
      <c r="C2" s="709"/>
      <c r="D2" s="710"/>
      <c r="E2" s="1268"/>
      <c r="F2" s="1268"/>
      <c r="G2" s="1268"/>
      <c r="H2" s="1268"/>
      <c r="I2" s="711"/>
      <c r="J2" s="712"/>
      <c r="K2" s="1264">
        <f ca="1">DATE(YEAR(NOW()),12,31)</f>
        <v>45291</v>
      </c>
      <c r="L2" s="1264"/>
      <c r="M2" s="1264"/>
      <c r="N2" s="1265" t="s">
        <v>4921</v>
      </c>
      <c r="O2" s="1265"/>
      <c r="P2" s="1266" t="s">
        <v>4627</v>
      </c>
      <c r="Q2" s="705"/>
      <c r="AD2" s="1271"/>
      <c r="AE2" s="1271"/>
      <c r="AF2" s="713"/>
      <c r="AG2" s="714"/>
      <c r="AH2" s="1262"/>
      <c r="AI2" s="1262"/>
      <c r="AJ2" s="1262"/>
      <c r="AK2" s="1263"/>
      <c r="AL2" s="1263"/>
      <c r="AM2" s="1263"/>
      <c r="AN2" s="1263"/>
      <c r="AO2" s="708"/>
      <c r="AP2" s="708"/>
    </row>
    <row r="3" spans="1:43" ht="46.5" customHeight="1" x14ac:dyDescent="0.25">
      <c r="A3" s="1260" t="s">
        <v>49</v>
      </c>
      <c r="B3" s="1260"/>
      <c r="C3" s="715"/>
      <c r="D3" s="716"/>
      <c r="E3" s="717" t="s">
        <v>4922</v>
      </c>
      <c r="F3" s="718" t="s">
        <v>4923</v>
      </c>
      <c r="G3" s="718" t="s">
        <v>4924</v>
      </c>
      <c r="H3" s="795" t="s">
        <v>4925</v>
      </c>
      <c r="I3" s="720"/>
      <c r="J3" s="721"/>
      <c r="K3" s="1261" t="s">
        <v>4632</v>
      </c>
      <c r="L3" s="1261"/>
      <c r="M3" s="1261"/>
      <c r="N3" s="1265"/>
      <c r="O3" s="1265"/>
      <c r="P3" s="1266"/>
      <c r="Q3" s="705"/>
      <c r="AD3" s="1244"/>
      <c r="AE3" s="1244"/>
      <c r="AF3" s="723"/>
      <c r="AG3" s="724"/>
      <c r="AH3" s="725" t="str">
        <f>'Team 1'!AH3</f>
        <v>SE No</v>
      </c>
      <c r="AI3" s="726" t="s">
        <v>4629</v>
      </c>
      <c r="AJ3" s="726" t="s">
        <v>4630</v>
      </c>
      <c r="AK3" s="1263"/>
      <c r="AL3" s="1263"/>
      <c r="AM3" s="1263"/>
      <c r="AN3" s="1263"/>
      <c r="AO3" s="726"/>
      <c r="AQ3">
        <v>8</v>
      </c>
    </row>
    <row r="4" spans="1:43" ht="20.25" customHeight="1" x14ac:dyDescent="0.25">
      <c r="A4" s="727">
        <v>1</v>
      </c>
      <c r="B4" s="728" t="s">
        <v>4634</v>
      </c>
      <c r="C4" s="728" t="s">
        <v>4635</v>
      </c>
      <c r="D4" s="729">
        <f>IF('Gala Setup'!J$9="100M",29,IF('Gala Setup'!J$9="200M",16))</f>
        <v>16</v>
      </c>
      <c r="E4" s="730">
        <v>1187876</v>
      </c>
      <c r="F4" s="731" t="s">
        <v>4926</v>
      </c>
      <c r="G4" s="731" t="s">
        <v>4927</v>
      </c>
      <c r="H4" s="732">
        <v>40147</v>
      </c>
      <c r="I4" s="733" t="str">
        <f t="shared" ref="I4:I35" si="0">CONCATENATE(F4," ",G4)</f>
        <v>Alice  Sharrock</v>
      </c>
      <c r="J4" s="734" t="str">
        <f t="shared" ref="J4:J35" si="1">CONCATENATE(G4,",",F4)</f>
        <v xml:space="preserve">Sharrock,Alice </v>
      </c>
      <c r="K4" s="735">
        <f t="shared" ref="K4:K35" ca="1" si="2">IF(K$2=0,0,IF(AQ4=0,0,IF(COUNTBLANK(AQ4)=1,"",YEAR(K$2)-YEAR(AQ4)-IF(DATE(YEAR(K$2),MONTH(AQ4),DAY(4638))&gt;K$2,1,0))))</f>
        <v>14</v>
      </c>
      <c r="L4" s="736" t="str">
        <f t="shared" ref="L4:L35" si="3">(TEXT(H4,"DDMMYY"))</f>
        <v>301109</v>
      </c>
      <c r="M4" s="737" t="str">
        <f ca="1">IF(K4=0,0,IF(K4&lt;9,"TOO YOUNG",IF(K4&lt;60,"OK","BIT OLD MAYBE")))</f>
        <v>OK</v>
      </c>
      <c r="N4" s="1265"/>
      <c r="O4" s="1265"/>
      <c r="P4" s="1266"/>
      <c r="Q4" s="705"/>
      <c r="AD4" s="722">
        <f t="shared" ref="AD4:AE6" si="4">A4</f>
        <v>1</v>
      </c>
      <c r="AE4" s="738" t="str">
        <f t="shared" si="4"/>
        <v>FEMALE 16+  200M  IM</v>
      </c>
      <c r="AF4" s="440" t="s">
        <v>4635</v>
      </c>
      <c r="AG4" s="739">
        <v>16</v>
      </c>
      <c r="AH4" s="740">
        <f t="shared" ref="AH4:AH35" si="5">E4</f>
        <v>1187876</v>
      </c>
      <c r="AI4" s="740" t="str">
        <f t="shared" ref="AI4:AI35" si="6">F4</f>
        <v xml:space="preserve">Alice </v>
      </c>
      <c r="AJ4" s="740" t="str">
        <f t="shared" ref="AJ4:AJ35" si="7">G4</f>
        <v>Sharrock</v>
      </c>
      <c r="AK4" s="740"/>
      <c r="AL4" s="740"/>
      <c r="AM4" s="740"/>
      <c r="AN4" s="740"/>
      <c r="AO4" s="740"/>
      <c r="AQ4" s="741">
        <f t="shared" ref="AQ4:AQ35" ca="1" si="8">INDIRECT(ADDRESS(ROW(),AQ$3))</f>
        <v>40147</v>
      </c>
    </row>
    <row r="5" spans="1:43" ht="20.25" customHeight="1" x14ac:dyDescent="0.25">
      <c r="A5" s="727">
        <v>2</v>
      </c>
      <c r="B5" s="742" t="s">
        <v>4638</v>
      </c>
      <c r="C5" s="742" t="s">
        <v>328</v>
      </c>
      <c r="D5" s="729">
        <f>IF('Gala Setup'!J$9="100M",29,IF('Gala Setup'!J$9="200M",16))</f>
        <v>16</v>
      </c>
      <c r="E5" s="730">
        <v>1433288</v>
      </c>
      <c r="F5" s="731" t="s">
        <v>4928</v>
      </c>
      <c r="G5" s="731" t="s">
        <v>4929</v>
      </c>
      <c r="H5" s="800" t="s">
        <v>4930</v>
      </c>
      <c r="I5" s="733" t="str">
        <f t="shared" si="0"/>
        <v>Razvan Lembac</v>
      </c>
      <c r="J5" s="734" t="str">
        <f t="shared" si="1"/>
        <v>Lembac,Razvan</v>
      </c>
      <c r="K5" s="735">
        <f t="shared" ca="1" si="2"/>
        <v>16</v>
      </c>
      <c r="L5" s="736" t="str">
        <f t="shared" si="3"/>
        <v>141207</v>
      </c>
      <c r="M5" s="743" t="str">
        <f ca="1">IF(K5=0,0,IF(K5&lt;9,"TOO YOUNG",IF(K5&lt;60,"OK","BIT OLD MAYBE")))</f>
        <v>OK</v>
      </c>
      <c r="N5" s="1265"/>
      <c r="O5" s="1265"/>
      <c r="P5" s="1266"/>
      <c r="Q5" s="705"/>
      <c r="AD5" s="722">
        <f t="shared" si="4"/>
        <v>2</v>
      </c>
      <c r="AE5" s="738" t="str">
        <f t="shared" si="4"/>
        <v>OPEN/MALE 16+ 200M  IM</v>
      </c>
      <c r="AF5" s="443" t="s">
        <v>328</v>
      </c>
      <c r="AG5" s="744">
        <v>16</v>
      </c>
      <c r="AH5" s="740">
        <f t="shared" si="5"/>
        <v>1433288</v>
      </c>
      <c r="AI5" s="740" t="str">
        <f t="shared" si="6"/>
        <v>Razvan</v>
      </c>
      <c r="AJ5" s="740" t="str">
        <f t="shared" si="7"/>
        <v>Lembac</v>
      </c>
      <c r="AK5" s="740"/>
      <c r="AL5" s="740"/>
      <c r="AM5" s="740"/>
      <c r="AN5" s="740"/>
      <c r="AO5" s="740"/>
      <c r="AQ5" s="741" t="str">
        <f t="shared" ca="1" si="8"/>
        <v>14/12/2007</v>
      </c>
    </row>
    <row r="6" spans="1:43" ht="20.25" customHeight="1" x14ac:dyDescent="0.25">
      <c r="A6" s="1254">
        <v>3</v>
      </c>
      <c r="B6" s="1255" t="s">
        <v>4641</v>
      </c>
      <c r="C6" s="746"/>
      <c r="D6" s="747"/>
      <c r="E6" s="730">
        <v>1525245</v>
      </c>
      <c r="F6" s="731" t="s">
        <v>4931</v>
      </c>
      <c r="G6" s="731" t="s">
        <v>4932</v>
      </c>
      <c r="H6" s="800" t="s">
        <v>4933</v>
      </c>
      <c r="I6" s="733" t="str">
        <f t="shared" si="0"/>
        <v>Mahika Chandrashekar</v>
      </c>
      <c r="J6" s="734" t="str">
        <f t="shared" si="1"/>
        <v>Chandrashekar,Mahika</v>
      </c>
      <c r="K6" s="735">
        <f t="shared" ca="1" si="2"/>
        <v>11</v>
      </c>
      <c r="L6" s="736" t="str">
        <f t="shared" si="3"/>
        <v>040612</v>
      </c>
      <c r="M6" s="748" t="str">
        <f t="shared" ref="M6:M13" ca="1" si="9">IF(K6=0,0,IF(K6&lt;9,"TOO YOUNG",IF(K6&lt;12,"OK","NOT ELIGIBLE")))</f>
        <v>OK</v>
      </c>
      <c r="N6" s="1265"/>
      <c r="O6" s="1265"/>
      <c r="P6" s="1266"/>
      <c r="Q6" s="705"/>
      <c r="AD6" s="1244">
        <f t="shared" si="4"/>
        <v>3</v>
      </c>
      <c r="AE6" s="1245" t="str">
        <f t="shared" si="4"/>
        <v>FEMALE 9/11 4 X 50M
FREESTYLE RELAY</v>
      </c>
      <c r="AF6" s="749"/>
      <c r="AG6" s="750"/>
      <c r="AH6" s="740">
        <f t="shared" si="5"/>
        <v>1525245</v>
      </c>
      <c r="AI6" s="740" t="str">
        <f t="shared" si="6"/>
        <v>Mahika</v>
      </c>
      <c r="AJ6" s="740" t="str">
        <f t="shared" si="7"/>
        <v>Chandrashekar</v>
      </c>
      <c r="AK6" s="740"/>
      <c r="AL6" s="740"/>
      <c r="AM6" s="740"/>
      <c r="AN6" s="740"/>
      <c r="AO6" s="740"/>
      <c r="AQ6" s="741" t="str">
        <f t="shared" ca="1" si="8"/>
        <v>04/06/2012</v>
      </c>
    </row>
    <row r="7" spans="1:43" ht="20.25" customHeight="1" x14ac:dyDescent="0.25">
      <c r="A7" s="1254"/>
      <c r="B7" s="1255"/>
      <c r="C7" s="751"/>
      <c r="D7" s="752"/>
      <c r="E7" s="730">
        <v>1430642</v>
      </c>
      <c r="F7" s="731" t="s">
        <v>4934</v>
      </c>
      <c r="G7" s="731" t="s">
        <v>4935</v>
      </c>
      <c r="H7" s="732">
        <v>41037</v>
      </c>
      <c r="I7" s="733" t="str">
        <f t="shared" si="0"/>
        <v>Miraya Patel</v>
      </c>
      <c r="J7" s="734" t="str">
        <f t="shared" si="1"/>
        <v>Patel,Miraya</v>
      </c>
      <c r="K7" s="735">
        <f t="shared" ca="1" si="2"/>
        <v>11</v>
      </c>
      <c r="L7" s="736" t="str">
        <f t="shared" si="3"/>
        <v>080512</v>
      </c>
      <c r="M7" s="748" t="str">
        <f t="shared" ca="1" si="9"/>
        <v>OK</v>
      </c>
      <c r="N7" s="1265"/>
      <c r="O7" s="1265"/>
      <c r="P7" s="1266"/>
      <c r="Q7" s="705"/>
      <c r="AD7" s="1244"/>
      <c r="AE7" s="1245"/>
      <c r="AF7" s="753"/>
      <c r="AG7" s="754"/>
      <c r="AH7" s="740">
        <f t="shared" si="5"/>
        <v>1430642</v>
      </c>
      <c r="AI7" s="740" t="str">
        <f t="shared" si="6"/>
        <v>Miraya</v>
      </c>
      <c r="AJ7" s="740" t="str">
        <f t="shared" si="7"/>
        <v>Patel</v>
      </c>
      <c r="AK7" s="740"/>
      <c r="AL7" s="740"/>
      <c r="AM7" s="740"/>
      <c r="AN7" s="740"/>
      <c r="AO7" s="740"/>
      <c r="AQ7" s="741">
        <f t="shared" ca="1" si="8"/>
        <v>41037</v>
      </c>
    </row>
    <row r="8" spans="1:43" ht="20.25" customHeight="1" x14ac:dyDescent="0.25">
      <c r="A8" s="1254"/>
      <c r="B8" s="1255"/>
      <c r="C8" s="751"/>
      <c r="D8" s="752"/>
      <c r="E8" s="730">
        <v>1670730</v>
      </c>
      <c r="F8" s="731" t="s">
        <v>4936</v>
      </c>
      <c r="G8" s="731" t="s">
        <v>4937</v>
      </c>
      <c r="H8" s="800" t="s">
        <v>4938</v>
      </c>
      <c r="I8" s="733" t="str">
        <f t="shared" si="0"/>
        <v>Anna Rescia</v>
      </c>
      <c r="J8" s="734" t="str">
        <f t="shared" si="1"/>
        <v>Rescia,Anna</v>
      </c>
      <c r="K8" s="735">
        <f t="shared" ca="1" si="2"/>
        <v>11</v>
      </c>
      <c r="L8" s="736" t="str">
        <f t="shared" si="3"/>
        <v>291212</v>
      </c>
      <c r="M8" s="748" t="str">
        <f t="shared" ca="1" si="9"/>
        <v>OK</v>
      </c>
      <c r="N8" s="1265"/>
      <c r="O8" s="1265"/>
      <c r="P8" s="1266"/>
      <c r="Q8" s="705"/>
      <c r="AD8" s="1244"/>
      <c r="AE8" s="1245"/>
      <c r="AF8" s="753"/>
      <c r="AG8" s="754"/>
      <c r="AH8" s="740">
        <f t="shared" si="5"/>
        <v>1670730</v>
      </c>
      <c r="AI8" s="740" t="str">
        <f t="shared" si="6"/>
        <v>Anna</v>
      </c>
      <c r="AJ8" s="740" t="str">
        <f t="shared" si="7"/>
        <v>Rescia</v>
      </c>
      <c r="AK8" s="740"/>
      <c r="AL8" s="740"/>
      <c r="AM8" s="740"/>
      <c r="AN8" s="740"/>
      <c r="AO8" s="740"/>
      <c r="AQ8" s="741" t="str">
        <f t="shared" ca="1" si="8"/>
        <v>29/12/2012</v>
      </c>
    </row>
    <row r="9" spans="1:43" ht="20.25" customHeight="1" x14ac:dyDescent="0.25">
      <c r="A9" s="1254"/>
      <c r="B9" s="1255"/>
      <c r="C9" s="751"/>
      <c r="D9" s="752"/>
      <c r="E9" s="730">
        <v>1713541</v>
      </c>
      <c r="F9" s="731" t="s">
        <v>4939</v>
      </c>
      <c r="G9" s="731" t="s">
        <v>4940</v>
      </c>
      <c r="H9" s="800" t="s">
        <v>4941</v>
      </c>
      <c r="I9" s="733" t="str">
        <f t="shared" si="0"/>
        <v>Roya Malliwal</v>
      </c>
      <c r="J9" s="734" t="str">
        <f t="shared" si="1"/>
        <v>Malliwal,Roya</v>
      </c>
      <c r="K9" s="735">
        <f t="shared" ca="1" si="2"/>
        <v>11</v>
      </c>
      <c r="L9" s="736" t="str">
        <f t="shared" si="3"/>
        <v>311212</v>
      </c>
      <c r="M9" s="748" t="str">
        <f t="shared" ca="1" si="9"/>
        <v>OK</v>
      </c>
      <c r="N9" s="1265"/>
      <c r="O9" s="1265"/>
      <c r="P9" s="1266"/>
      <c r="Q9" s="705"/>
      <c r="AD9" s="1244"/>
      <c r="AE9" s="1245"/>
      <c r="AF9" s="753"/>
      <c r="AG9" s="754"/>
      <c r="AH9" s="740">
        <f t="shared" si="5"/>
        <v>1713541</v>
      </c>
      <c r="AI9" s="740" t="str">
        <f t="shared" si="6"/>
        <v>Roya</v>
      </c>
      <c r="AJ9" s="740" t="str">
        <f t="shared" si="7"/>
        <v>Malliwal</v>
      </c>
      <c r="AK9" s="740"/>
      <c r="AL9" s="740"/>
      <c r="AM9" s="740"/>
      <c r="AN9" s="740"/>
      <c r="AO9" s="740"/>
      <c r="AQ9" s="741" t="str">
        <f t="shared" ca="1" si="8"/>
        <v>31/12/2012</v>
      </c>
    </row>
    <row r="10" spans="1:43" ht="20.25" customHeight="1" x14ac:dyDescent="0.25">
      <c r="A10" s="1254">
        <v>4</v>
      </c>
      <c r="B10" s="1255" t="s">
        <v>4650</v>
      </c>
      <c r="C10" s="746"/>
      <c r="D10" s="747"/>
      <c r="E10" s="730">
        <v>1670720</v>
      </c>
      <c r="F10" s="731" t="s">
        <v>4789</v>
      </c>
      <c r="G10" s="731" t="s">
        <v>4942</v>
      </c>
      <c r="H10" s="732">
        <v>41469</v>
      </c>
      <c r="I10" s="733" t="str">
        <f t="shared" si="0"/>
        <v>Mikhail Fedorov</v>
      </c>
      <c r="J10" s="734" t="str">
        <f t="shared" si="1"/>
        <v>Fedorov,Mikhail</v>
      </c>
      <c r="K10" s="735">
        <f t="shared" ca="1" si="2"/>
        <v>10</v>
      </c>
      <c r="L10" s="736" t="str">
        <f t="shared" si="3"/>
        <v>140713</v>
      </c>
      <c r="M10" s="748" t="str">
        <f t="shared" ca="1" si="9"/>
        <v>OK</v>
      </c>
      <c r="N10" s="1265"/>
      <c r="O10" s="1265"/>
      <c r="P10" s="1266"/>
      <c r="Q10" s="705"/>
      <c r="AD10" s="1244">
        <f>A10</f>
        <v>4</v>
      </c>
      <c r="AE10" s="1245" t="str">
        <f>B10</f>
        <v>OPEN/MALE 9/11 4 X50M
FREESTYLE RELAY</v>
      </c>
      <c r="AF10" s="749"/>
      <c r="AG10" s="750"/>
      <c r="AH10" s="740">
        <f t="shared" si="5"/>
        <v>1670720</v>
      </c>
      <c r="AI10" s="740" t="str">
        <f t="shared" si="6"/>
        <v>Mikhail</v>
      </c>
      <c r="AJ10" s="740" t="str">
        <f t="shared" si="7"/>
        <v>Fedorov</v>
      </c>
      <c r="AK10" s="740"/>
      <c r="AL10" s="740"/>
      <c r="AM10" s="740"/>
      <c r="AN10" s="740"/>
      <c r="AO10" s="740"/>
      <c r="AQ10" s="741">
        <f t="shared" ca="1" si="8"/>
        <v>41469</v>
      </c>
    </row>
    <row r="11" spans="1:43" ht="20.25" customHeight="1" x14ac:dyDescent="0.25">
      <c r="A11" s="1254"/>
      <c r="B11" s="1255"/>
      <c r="C11" s="751"/>
      <c r="D11" s="752"/>
      <c r="E11" s="730">
        <v>1407491</v>
      </c>
      <c r="F11" s="731" t="s">
        <v>4943</v>
      </c>
      <c r="G11" s="731" t="s">
        <v>4944</v>
      </c>
      <c r="H11" s="732">
        <v>41200</v>
      </c>
      <c r="I11" s="733" t="str">
        <f t="shared" si="0"/>
        <v>Macsen Roberts</v>
      </c>
      <c r="J11" s="734" t="str">
        <f t="shared" si="1"/>
        <v>Roberts,Macsen</v>
      </c>
      <c r="K11" s="735">
        <f t="shared" ca="1" si="2"/>
        <v>11</v>
      </c>
      <c r="L11" s="736" t="str">
        <f t="shared" si="3"/>
        <v>181012</v>
      </c>
      <c r="M11" s="748" t="str">
        <f t="shared" ca="1" si="9"/>
        <v>OK</v>
      </c>
      <c r="N11" s="1265"/>
      <c r="O11" s="1265"/>
      <c r="P11" s="1266"/>
      <c r="Q11" s="705"/>
      <c r="AD11" s="1244"/>
      <c r="AE11" s="1245"/>
      <c r="AF11" s="753"/>
      <c r="AG11" s="754"/>
      <c r="AH11" s="740">
        <f t="shared" si="5"/>
        <v>1407491</v>
      </c>
      <c r="AI11" s="740" t="str">
        <f t="shared" si="6"/>
        <v>Macsen</v>
      </c>
      <c r="AJ11" s="740" t="str">
        <f t="shared" si="7"/>
        <v>Roberts</v>
      </c>
      <c r="AK11" s="740"/>
      <c r="AL11" s="740"/>
      <c r="AM11" s="740"/>
      <c r="AN11" s="740"/>
      <c r="AO11" s="740"/>
      <c r="AQ11" s="741">
        <f t="shared" ca="1" si="8"/>
        <v>41200</v>
      </c>
    </row>
    <row r="12" spans="1:43" ht="20.25" customHeight="1" x14ac:dyDescent="0.25">
      <c r="A12" s="1254"/>
      <c r="B12" s="1255"/>
      <c r="C12" s="751"/>
      <c r="D12" s="752"/>
      <c r="E12" s="730">
        <v>1652775</v>
      </c>
      <c r="F12" s="731" t="s">
        <v>4945</v>
      </c>
      <c r="G12" s="731" t="s">
        <v>4946</v>
      </c>
      <c r="H12" s="800" t="s">
        <v>4947</v>
      </c>
      <c r="I12" s="733" t="str">
        <f t="shared" si="0"/>
        <v>Aaron Lal</v>
      </c>
      <c r="J12" s="734" t="str">
        <f t="shared" si="1"/>
        <v>Lal,Aaron</v>
      </c>
      <c r="K12" s="735">
        <f t="shared" ca="1" si="2"/>
        <v>10</v>
      </c>
      <c r="L12" s="736" t="str">
        <f t="shared" si="3"/>
        <v>071213</v>
      </c>
      <c r="M12" s="748" t="str">
        <f t="shared" ca="1" si="9"/>
        <v>OK</v>
      </c>
      <c r="N12" s="1265"/>
      <c r="O12" s="1265"/>
      <c r="P12" s="1266"/>
      <c r="Q12" s="705"/>
      <c r="AD12" s="1244"/>
      <c r="AE12" s="1245"/>
      <c r="AF12" s="753"/>
      <c r="AG12" s="754"/>
      <c r="AH12" s="740">
        <f t="shared" si="5"/>
        <v>1652775</v>
      </c>
      <c r="AI12" s="740" t="str">
        <f t="shared" si="6"/>
        <v>Aaron</v>
      </c>
      <c r="AJ12" s="740" t="str">
        <f t="shared" si="7"/>
        <v>Lal</v>
      </c>
      <c r="AK12" s="740"/>
      <c r="AL12" s="740"/>
      <c r="AM12" s="740"/>
      <c r="AN12" s="740"/>
      <c r="AO12" s="740"/>
      <c r="AQ12" s="741" t="str">
        <f t="shared" ca="1" si="8"/>
        <v>07/12/2013</v>
      </c>
    </row>
    <row r="13" spans="1:43" ht="20.25" customHeight="1" x14ac:dyDescent="0.25">
      <c r="A13" s="1254"/>
      <c r="B13" s="1255"/>
      <c r="C13" s="751"/>
      <c r="D13" s="752"/>
      <c r="E13" s="730">
        <v>1391376</v>
      </c>
      <c r="F13" s="731" t="s">
        <v>4948</v>
      </c>
      <c r="G13" s="731" t="s">
        <v>4949</v>
      </c>
      <c r="H13" s="800" t="s">
        <v>4950</v>
      </c>
      <c r="I13" s="733" t="str">
        <f t="shared" si="0"/>
        <v>Zayn Tang</v>
      </c>
      <c r="J13" s="734" t="str">
        <f t="shared" si="1"/>
        <v>Tang,Zayn</v>
      </c>
      <c r="K13" s="735">
        <f t="shared" ca="1" si="2"/>
        <v>11</v>
      </c>
      <c r="L13" s="736" t="str">
        <f t="shared" si="3"/>
        <v>170312</v>
      </c>
      <c r="M13" s="748" t="str">
        <f t="shared" ca="1" si="9"/>
        <v>OK</v>
      </c>
      <c r="N13" s="1265"/>
      <c r="O13" s="1265"/>
      <c r="P13" s="1266"/>
      <c r="Q13" s="705"/>
      <c r="AD13" s="1244"/>
      <c r="AE13" s="1245"/>
      <c r="AF13" s="753"/>
      <c r="AG13" s="754"/>
      <c r="AH13" s="740">
        <f t="shared" si="5"/>
        <v>1391376</v>
      </c>
      <c r="AI13" s="740" t="str">
        <f t="shared" si="6"/>
        <v>Zayn</v>
      </c>
      <c r="AJ13" s="740" t="str">
        <f t="shared" si="7"/>
        <v>Tang</v>
      </c>
      <c r="AK13" s="740"/>
      <c r="AL13" s="740"/>
      <c r="AM13" s="740"/>
      <c r="AN13" s="740"/>
      <c r="AO13" s="740"/>
      <c r="AQ13" s="741" t="str">
        <f t="shared" ca="1" si="8"/>
        <v>17/03/2012</v>
      </c>
    </row>
    <row r="14" spans="1:43" ht="20.25" customHeight="1" x14ac:dyDescent="0.25">
      <c r="A14" s="1252">
        <v>5</v>
      </c>
      <c r="B14" s="1253" t="s">
        <v>4651</v>
      </c>
      <c r="C14" s="756"/>
      <c r="D14" s="757"/>
      <c r="E14" s="730">
        <v>1670724</v>
      </c>
      <c r="F14" s="731" t="s">
        <v>4951</v>
      </c>
      <c r="G14" s="731" t="s">
        <v>4952</v>
      </c>
      <c r="H14" s="800" t="s">
        <v>4953</v>
      </c>
      <c r="I14" s="733" t="str">
        <f t="shared" si="0"/>
        <v>Polina Fedorova</v>
      </c>
      <c r="J14" s="734" t="str">
        <f t="shared" si="1"/>
        <v>Fedorova,Polina</v>
      </c>
      <c r="K14" s="735">
        <f t="shared" ca="1" si="2"/>
        <v>13</v>
      </c>
      <c r="L14" s="736" t="str">
        <f t="shared" si="3"/>
        <v>290910</v>
      </c>
      <c r="M14" s="748" t="str">
        <f t="shared" ref="M14:M21" ca="1" si="10">IF(K14=0,0,IF(K14&lt;9,"TOO YOUNG",IF(K14&lt;14,"OK","NOT ELIGIBLE")))</f>
        <v>OK</v>
      </c>
      <c r="N14" s="1265"/>
      <c r="O14" s="1265"/>
      <c r="P14" s="1266"/>
      <c r="Q14" s="705"/>
      <c r="AD14" s="1244">
        <f>A14</f>
        <v>5</v>
      </c>
      <c r="AE14" s="1245" t="str">
        <f>B14</f>
        <v>FEMALE 13/U 4 X 50M
MEDLEY RELAY</v>
      </c>
      <c r="AF14" s="749"/>
      <c r="AG14" s="750"/>
      <c r="AH14" s="740">
        <f t="shared" si="5"/>
        <v>1670724</v>
      </c>
      <c r="AI14" s="740" t="str">
        <f t="shared" si="6"/>
        <v>Polina</v>
      </c>
      <c r="AJ14" s="740" t="str">
        <f t="shared" si="7"/>
        <v>Fedorova</v>
      </c>
      <c r="AK14" s="740"/>
      <c r="AL14" s="740"/>
      <c r="AM14" s="740"/>
      <c r="AN14" s="740"/>
      <c r="AO14" s="740"/>
      <c r="AQ14" s="741" t="str">
        <f t="shared" ca="1" si="8"/>
        <v>29/09/2010</v>
      </c>
    </row>
    <row r="15" spans="1:43" ht="20.25" customHeight="1" x14ac:dyDescent="0.25">
      <c r="A15" s="1252"/>
      <c r="B15" s="1253"/>
      <c r="C15" s="758"/>
      <c r="D15" s="759"/>
      <c r="E15" s="730">
        <v>1713553</v>
      </c>
      <c r="F15" s="731" t="s">
        <v>4954</v>
      </c>
      <c r="G15" s="731" t="s">
        <v>4955</v>
      </c>
      <c r="H15" s="732">
        <v>40289</v>
      </c>
      <c r="I15" s="733" t="str">
        <f t="shared" si="0"/>
        <v>Emma Sum</v>
      </c>
      <c r="J15" s="734" t="str">
        <f t="shared" si="1"/>
        <v>Sum,Emma</v>
      </c>
      <c r="K15" s="735">
        <f t="shared" ca="1" si="2"/>
        <v>13</v>
      </c>
      <c r="L15" s="736" t="str">
        <f t="shared" si="3"/>
        <v>210410</v>
      </c>
      <c r="M15" s="748" t="str">
        <f t="shared" ca="1" si="10"/>
        <v>OK</v>
      </c>
      <c r="N15" s="1265"/>
      <c r="O15" s="1265"/>
      <c r="P15" s="1266"/>
      <c r="Q15" s="705"/>
      <c r="AD15" s="1244"/>
      <c r="AE15" s="1245"/>
      <c r="AF15" s="753"/>
      <c r="AG15" s="754"/>
      <c r="AH15" s="740">
        <f t="shared" si="5"/>
        <v>1713553</v>
      </c>
      <c r="AI15" s="740" t="str">
        <f t="shared" si="6"/>
        <v>Emma</v>
      </c>
      <c r="AJ15" s="740" t="str">
        <f t="shared" si="7"/>
        <v>Sum</v>
      </c>
      <c r="AK15" s="740"/>
      <c r="AL15" s="740"/>
      <c r="AM15" s="740"/>
      <c r="AN15" s="740"/>
      <c r="AO15" s="740"/>
      <c r="AQ15" s="741">
        <f t="shared" ca="1" si="8"/>
        <v>40289</v>
      </c>
    </row>
    <row r="16" spans="1:43" ht="20.25" customHeight="1" x14ac:dyDescent="0.25">
      <c r="A16" s="1252"/>
      <c r="B16" s="1253"/>
      <c r="C16" s="758"/>
      <c r="D16" s="759"/>
      <c r="E16" s="730">
        <v>1525245</v>
      </c>
      <c r="F16" s="731" t="s">
        <v>4931</v>
      </c>
      <c r="G16" s="731" t="s">
        <v>4932</v>
      </c>
      <c r="H16" s="800" t="s">
        <v>4933</v>
      </c>
      <c r="I16" s="733" t="str">
        <f t="shared" si="0"/>
        <v>Mahika Chandrashekar</v>
      </c>
      <c r="J16" s="734" t="str">
        <f t="shared" si="1"/>
        <v>Chandrashekar,Mahika</v>
      </c>
      <c r="K16" s="735">
        <f t="shared" ca="1" si="2"/>
        <v>11</v>
      </c>
      <c r="L16" s="736" t="str">
        <f t="shared" si="3"/>
        <v>040612</v>
      </c>
      <c r="M16" s="748" t="str">
        <f t="shared" ca="1" si="10"/>
        <v>OK</v>
      </c>
      <c r="N16" s="1265"/>
      <c r="O16" s="1265"/>
      <c r="P16" s="1266"/>
      <c r="Q16" s="705"/>
      <c r="AD16" s="1244"/>
      <c r="AE16" s="1245"/>
      <c r="AF16" s="753"/>
      <c r="AG16" s="754"/>
      <c r="AH16" s="740">
        <f t="shared" si="5"/>
        <v>1525245</v>
      </c>
      <c r="AI16" s="740" t="str">
        <f t="shared" si="6"/>
        <v>Mahika</v>
      </c>
      <c r="AJ16" s="740" t="str">
        <f t="shared" si="7"/>
        <v>Chandrashekar</v>
      </c>
      <c r="AK16" s="740"/>
      <c r="AL16" s="740"/>
      <c r="AM16" s="740"/>
      <c r="AN16" s="740"/>
      <c r="AO16" s="740"/>
      <c r="AQ16" s="741" t="str">
        <f t="shared" ca="1" si="8"/>
        <v>04/06/2012</v>
      </c>
    </row>
    <row r="17" spans="1:43" ht="20.25" customHeight="1" x14ac:dyDescent="0.25">
      <c r="A17" s="1252"/>
      <c r="B17" s="1253"/>
      <c r="C17" s="758"/>
      <c r="D17" s="759"/>
      <c r="E17" s="730">
        <v>1430642</v>
      </c>
      <c r="F17" s="731" t="s">
        <v>4934</v>
      </c>
      <c r="G17" s="731" t="s">
        <v>4935</v>
      </c>
      <c r="H17" s="800">
        <v>41037</v>
      </c>
      <c r="I17" s="733" t="str">
        <f t="shared" si="0"/>
        <v>Miraya Patel</v>
      </c>
      <c r="J17" s="734" t="str">
        <f t="shared" si="1"/>
        <v>Patel,Miraya</v>
      </c>
      <c r="K17" s="735">
        <f t="shared" ca="1" si="2"/>
        <v>11</v>
      </c>
      <c r="L17" s="736" t="str">
        <f t="shared" si="3"/>
        <v>080512</v>
      </c>
      <c r="M17" s="748" t="str">
        <f t="shared" ca="1" si="10"/>
        <v>OK</v>
      </c>
      <c r="N17" s="1265"/>
      <c r="O17" s="1265"/>
      <c r="P17" s="1266"/>
      <c r="Q17" s="705"/>
      <c r="AD17" s="1244"/>
      <c r="AE17" s="1245"/>
      <c r="AF17" s="753"/>
      <c r="AG17" s="754"/>
      <c r="AH17" s="740">
        <f t="shared" si="5"/>
        <v>1430642</v>
      </c>
      <c r="AI17" s="740" t="str">
        <f t="shared" si="6"/>
        <v>Miraya</v>
      </c>
      <c r="AJ17" s="740" t="str">
        <f t="shared" si="7"/>
        <v>Patel</v>
      </c>
      <c r="AK17" s="740"/>
      <c r="AL17" s="740"/>
      <c r="AM17" s="740"/>
      <c r="AN17" s="740"/>
      <c r="AO17" s="740"/>
      <c r="AQ17" s="741">
        <f t="shared" ca="1" si="8"/>
        <v>41037</v>
      </c>
    </row>
    <row r="18" spans="1:43" ht="20.25" customHeight="1" x14ac:dyDescent="0.25">
      <c r="A18" s="1252">
        <v>6</v>
      </c>
      <c r="B18" s="1253" t="s">
        <v>4660</v>
      </c>
      <c r="C18" s="756"/>
      <c r="D18" s="757"/>
      <c r="E18" s="730">
        <v>1634483</v>
      </c>
      <c r="F18" s="731" t="s">
        <v>4956</v>
      </c>
      <c r="G18" s="731" t="s">
        <v>4957</v>
      </c>
      <c r="H18" s="800">
        <v>40660</v>
      </c>
      <c r="I18" s="733" t="str">
        <f t="shared" si="0"/>
        <v>Petros Soteriou</v>
      </c>
      <c r="J18" s="734" t="str">
        <f t="shared" si="1"/>
        <v>Soteriou,Petros</v>
      </c>
      <c r="K18" s="735">
        <f t="shared" ca="1" si="2"/>
        <v>12</v>
      </c>
      <c r="L18" s="736" t="str">
        <f t="shared" si="3"/>
        <v>270411</v>
      </c>
      <c r="M18" s="748" t="str">
        <f t="shared" ca="1" si="10"/>
        <v>OK</v>
      </c>
      <c r="N18" s="1258" t="s">
        <v>4319</v>
      </c>
      <c r="O18" s="1258" t="s">
        <v>4320</v>
      </c>
      <c r="P18" s="1259" t="s">
        <v>4663</v>
      </c>
      <c r="R18" s="760"/>
      <c r="S18" s="760"/>
      <c r="AD18" s="1244">
        <f>A18</f>
        <v>6</v>
      </c>
      <c r="AE18" s="1245" t="str">
        <f>B18</f>
        <v>OPEN/MALE 13/U 4 X 50M
MEDLEY RELAY</v>
      </c>
      <c r="AF18" s="749"/>
      <c r="AG18" s="750"/>
      <c r="AH18" s="740">
        <f t="shared" si="5"/>
        <v>1634483</v>
      </c>
      <c r="AI18" s="740" t="str">
        <f t="shared" si="6"/>
        <v>Petros</v>
      </c>
      <c r="AJ18" s="740" t="str">
        <f t="shared" si="7"/>
        <v>Soteriou</v>
      </c>
      <c r="AK18" s="740"/>
      <c r="AL18" s="740"/>
      <c r="AM18" s="740"/>
      <c r="AN18" s="740"/>
      <c r="AO18" s="740"/>
      <c r="AQ18" s="741">
        <f t="shared" ca="1" si="8"/>
        <v>40660</v>
      </c>
    </row>
    <row r="19" spans="1:43" ht="20.25" customHeight="1" x14ac:dyDescent="0.25">
      <c r="A19" s="1252"/>
      <c r="B19" s="1253"/>
      <c r="C19" s="758"/>
      <c r="D19" s="759"/>
      <c r="E19" s="730">
        <v>1525256</v>
      </c>
      <c r="F19" s="731" t="s">
        <v>4958</v>
      </c>
      <c r="G19" s="731" t="s">
        <v>4959</v>
      </c>
      <c r="H19" s="800" t="s">
        <v>4960</v>
      </c>
      <c r="I19" s="733" t="str">
        <f t="shared" si="0"/>
        <v>Gert Zeqiri</v>
      </c>
      <c r="J19" s="734" t="str">
        <f t="shared" si="1"/>
        <v>Zeqiri,Gert</v>
      </c>
      <c r="K19" s="735">
        <f t="shared" ca="1" si="2"/>
        <v>13</v>
      </c>
      <c r="L19" s="736" t="str">
        <f t="shared" si="3"/>
        <v>270510</v>
      </c>
      <c r="M19" s="748" t="str">
        <f t="shared" ca="1" si="10"/>
        <v>OK</v>
      </c>
      <c r="N19" s="1258"/>
      <c r="O19" s="1258"/>
      <c r="P19" s="1259"/>
      <c r="R19" s="760"/>
      <c r="S19" s="760"/>
      <c r="AD19" s="1244"/>
      <c r="AE19" s="1245"/>
      <c r="AF19" s="753"/>
      <c r="AG19" s="754"/>
      <c r="AH19" s="740">
        <f t="shared" si="5"/>
        <v>1525256</v>
      </c>
      <c r="AI19" s="740" t="str">
        <f t="shared" si="6"/>
        <v>Gert</v>
      </c>
      <c r="AJ19" s="740" t="str">
        <f t="shared" si="7"/>
        <v>Zeqiri</v>
      </c>
      <c r="AK19" s="740"/>
      <c r="AL19" s="740"/>
      <c r="AM19" s="740"/>
      <c r="AN19" s="740"/>
      <c r="AO19" s="740"/>
      <c r="AQ19" s="741" t="str">
        <f t="shared" ca="1" si="8"/>
        <v>27/05/2010</v>
      </c>
    </row>
    <row r="20" spans="1:43" ht="20.25" customHeight="1" x14ac:dyDescent="0.25">
      <c r="A20" s="1252"/>
      <c r="B20" s="1253"/>
      <c r="C20" s="758"/>
      <c r="D20" s="759"/>
      <c r="E20" s="730">
        <v>1459463</v>
      </c>
      <c r="F20" s="731" t="s">
        <v>4961</v>
      </c>
      <c r="G20" s="731" t="s">
        <v>4962</v>
      </c>
      <c r="H20" s="800" t="s">
        <v>4963</v>
      </c>
      <c r="I20" s="733" t="str">
        <f t="shared" si="0"/>
        <v>Cosmin Ioan  Iojan</v>
      </c>
      <c r="J20" s="734" t="str">
        <f t="shared" si="1"/>
        <v xml:space="preserve">Iojan,Cosmin Ioan </v>
      </c>
      <c r="K20" s="735">
        <f t="shared" ca="1" si="2"/>
        <v>12</v>
      </c>
      <c r="L20" s="736" t="str">
        <f t="shared" si="3"/>
        <v>080811</v>
      </c>
      <c r="M20" s="748" t="str">
        <f t="shared" ca="1" si="10"/>
        <v>OK</v>
      </c>
      <c r="N20" s="1258"/>
      <c r="O20" s="1258"/>
      <c r="P20" s="1259"/>
      <c r="R20" s="760"/>
      <c r="S20" s="760"/>
      <c r="AD20" s="1244"/>
      <c r="AE20" s="1245"/>
      <c r="AF20" s="753"/>
      <c r="AG20" s="754"/>
      <c r="AH20" s="740">
        <f t="shared" si="5"/>
        <v>1459463</v>
      </c>
      <c r="AI20" s="740" t="str">
        <f t="shared" si="6"/>
        <v xml:space="preserve">Cosmin Ioan </v>
      </c>
      <c r="AJ20" s="740" t="str">
        <f t="shared" si="7"/>
        <v>Iojan</v>
      </c>
      <c r="AK20" s="740"/>
      <c r="AL20" s="740"/>
      <c r="AM20" s="740"/>
      <c r="AN20" s="740"/>
      <c r="AO20" s="740"/>
      <c r="AQ20" s="741" t="str">
        <f t="shared" ca="1" si="8"/>
        <v>08/08/2011</v>
      </c>
    </row>
    <row r="21" spans="1:43" ht="20.25" customHeight="1" x14ac:dyDescent="0.25">
      <c r="A21" s="1252"/>
      <c r="B21" s="1253"/>
      <c r="C21" s="758"/>
      <c r="D21" s="759"/>
      <c r="E21" s="730">
        <v>1652774</v>
      </c>
      <c r="F21" s="731" t="s">
        <v>4964</v>
      </c>
      <c r="G21" s="731" t="s">
        <v>4965</v>
      </c>
      <c r="H21" s="800" t="s">
        <v>4966</v>
      </c>
      <c r="I21" s="733" t="str">
        <f t="shared" si="0"/>
        <v>Dragos Musteate</v>
      </c>
      <c r="J21" s="734" t="str">
        <f t="shared" si="1"/>
        <v>Musteate,Dragos</v>
      </c>
      <c r="K21" s="735">
        <f t="shared" ca="1" si="2"/>
        <v>12</v>
      </c>
      <c r="L21" s="736" t="str">
        <f t="shared" si="3"/>
        <v>100211</v>
      </c>
      <c r="M21" s="748" t="str">
        <f t="shared" ca="1" si="10"/>
        <v>OK</v>
      </c>
      <c r="N21" s="1258"/>
      <c r="O21" s="1258"/>
      <c r="P21" s="1259"/>
      <c r="R21" s="760"/>
      <c r="S21" s="760"/>
      <c r="AD21" s="1244"/>
      <c r="AE21" s="1245"/>
      <c r="AF21" s="753"/>
      <c r="AG21" s="754"/>
      <c r="AH21" s="740">
        <f t="shared" si="5"/>
        <v>1652774</v>
      </c>
      <c r="AI21" s="740" t="str">
        <f t="shared" si="6"/>
        <v>Dragos</v>
      </c>
      <c r="AJ21" s="740" t="str">
        <f t="shared" si="7"/>
        <v>Musteate</v>
      </c>
      <c r="AK21" s="740"/>
      <c r="AL21" s="740"/>
      <c r="AM21" s="740"/>
      <c r="AN21" s="740"/>
      <c r="AO21" s="740"/>
      <c r="AQ21" t="str">
        <f t="shared" ca="1" si="8"/>
        <v>10/02/2011</v>
      </c>
    </row>
    <row r="22" spans="1:43" ht="20.25" customHeight="1" x14ac:dyDescent="0.25">
      <c r="A22" s="1256">
        <v>7</v>
      </c>
      <c r="B22" s="1249" t="s">
        <v>4667</v>
      </c>
      <c r="C22" s="761"/>
      <c r="D22" s="762"/>
      <c r="E22" s="730">
        <v>1304655</v>
      </c>
      <c r="F22" s="731" t="s">
        <v>4767</v>
      </c>
      <c r="G22" s="731" t="s">
        <v>4967</v>
      </c>
      <c r="H22" s="800" t="s">
        <v>4968</v>
      </c>
      <c r="I22" s="733" t="str">
        <f t="shared" si="0"/>
        <v>Hannah Barrios</v>
      </c>
      <c r="J22" s="734" t="str">
        <f t="shared" si="1"/>
        <v>Barrios,Hannah</v>
      </c>
      <c r="K22" s="735">
        <f t="shared" ca="1" si="2"/>
        <v>14</v>
      </c>
      <c r="L22" s="736" t="str">
        <f t="shared" si="3"/>
        <v>180909</v>
      </c>
      <c r="M22" s="748" t="str">
        <f t="shared" ref="M22:M29" ca="1" si="11">IF(K22=0,0,IF(K22&lt;9,"TOO YOUNG",IF(K22&lt;16,"OK","NOT ELIGIBLE")))</f>
        <v>OK</v>
      </c>
      <c r="N22" s="1257" t="str">
        <f>'Gala Setup'!S4</f>
        <v>NASL.2023 V6</v>
      </c>
      <c r="O22" s="1257"/>
      <c r="P22" s="1257"/>
      <c r="Q22" s="705"/>
      <c r="AD22" s="1244">
        <f>A22</f>
        <v>7</v>
      </c>
      <c r="AE22" s="1245" t="str">
        <f>B22</f>
        <v>FEMALE 15/U 4 X 50M
FREESTYLE RELAY</v>
      </c>
      <c r="AF22" s="749"/>
      <c r="AG22" s="750"/>
      <c r="AH22" s="740">
        <f t="shared" si="5"/>
        <v>1304655</v>
      </c>
      <c r="AI22" s="740" t="str">
        <f t="shared" si="6"/>
        <v>Hannah</v>
      </c>
      <c r="AJ22" s="740" t="str">
        <f t="shared" si="7"/>
        <v>Barrios</v>
      </c>
      <c r="AK22" s="740"/>
      <c r="AL22" s="740"/>
      <c r="AM22" s="740"/>
      <c r="AN22" s="740"/>
      <c r="AO22" s="740"/>
      <c r="AQ22" t="str">
        <f t="shared" ca="1" si="8"/>
        <v>18/09/2009</v>
      </c>
    </row>
    <row r="23" spans="1:43" ht="20.25" customHeight="1" x14ac:dyDescent="0.25">
      <c r="A23" s="1256"/>
      <c r="B23" s="1249"/>
      <c r="C23" s="763"/>
      <c r="D23" s="764"/>
      <c r="E23" s="730">
        <v>1525254</v>
      </c>
      <c r="F23" s="731" t="s">
        <v>4969</v>
      </c>
      <c r="G23" s="731" t="s">
        <v>4970</v>
      </c>
      <c r="H23" s="800" t="s">
        <v>4971</v>
      </c>
      <c r="I23" s="733" t="str">
        <f t="shared" si="0"/>
        <v>Laura Leksander</v>
      </c>
      <c r="J23" s="734" t="str">
        <f t="shared" si="1"/>
        <v>Leksander,Laura</v>
      </c>
      <c r="K23" s="735">
        <f t="shared" ca="1" si="2"/>
        <v>15</v>
      </c>
      <c r="L23" s="736" t="str">
        <f t="shared" si="3"/>
        <v>200408</v>
      </c>
      <c r="M23" s="748" t="str">
        <f t="shared" ca="1" si="11"/>
        <v>OK</v>
      </c>
      <c r="N23" s="1257"/>
      <c r="O23" s="1257"/>
      <c r="P23" s="1257"/>
      <c r="Q23" s="705"/>
      <c r="AD23" s="1244"/>
      <c r="AE23" s="1245"/>
      <c r="AF23" s="753"/>
      <c r="AG23" s="754"/>
      <c r="AH23" s="740">
        <f t="shared" si="5"/>
        <v>1525254</v>
      </c>
      <c r="AI23" s="740" t="str">
        <f t="shared" si="6"/>
        <v>Laura</v>
      </c>
      <c r="AJ23" s="740" t="str">
        <f t="shared" si="7"/>
        <v>Leksander</v>
      </c>
      <c r="AK23" s="740"/>
      <c r="AL23" s="740"/>
      <c r="AM23" s="740"/>
      <c r="AN23" s="740"/>
      <c r="AO23" s="740"/>
      <c r="AQ23" t="str">
        <f t="shared" ca="1" si="8"/>
        <v>20/04/2008</v>
      </c>
    </row>
    <row r="24" spans="1:43" ht="20.25" customHeight="1" x14ac:dyDescent="0.25">
      <c r="A24" s="1256"/>
      <c r="B24" s="1249"/>
      <c r="C24" s="763"/>
      <c r="D24" s="764"/>
      <c r="E24" s="730">
        <v>1670724</v>
      </c>
      <c r="F24" s="731" t="s">
        <v>4972</v>
      </c>
      <c r="G24" s="731" t="s">
        <v>4952</v>
      </c>
      <c r="H24" s="800" t="s">
        <v>4953</v>
      </c>
      <c r="I24" s="733" t="str">
        <f t="shared" si="0"/>
        <v>Polina  Fedorova</v>
      </c>
      <c r="J24" s="734" t="str">
        <f t="shared" si="1"/>
        <v xml:space="preserve">Fedorova,Polina </v>
      </c>
      <c r="K24" s="735">
        <f t="shared" ca="1" si="2"/>
        <v>13</v>
      </c>
      <c r="L24" s="736" t="str">
        <f t="shared" si="3"/>
        <v>290910</v>
      </c>
      <c r="M24" s="748" t="str">
        <f t="shared" ca="1" si="11"/>
        <v>OK</v>
      </c>
      <c r="N24" s="765"/>
      <c r="Q24" s="765"/>
      <c r="AD24" s="1244"/>
      <c r="AE24" s="1245"/>
      <c r="AF24" s="753"/>
      <c r="AG24" s="754"/>
      <c r="AH24" s="740">
        <f t="shared" si="5"/>
        <v>1670724</v>
      </c>
      <c r="AI24" s="740" t="str">
        <f t="shared" si="6"/>
        <v xml:space="preserve">Polina </v>
      </c>
      <c r="AJ24" s="740" t="str">
        <f t="shared" si="7"/>
        <v>Fedorova</v>
      </c>
      <c r="AK24" s="740"/>
      <c r="AL24" s="740"/>
      <c r="AM24" s="740"/>
      <c r="AN24" s="740"/>
      <c r="AO24" s="740"/>
      <c r="AQ24" t="str">
        <f t="shared" ca="1" si="8"/>
        <v>29/09/2010</v>
      </c>
    </row>
    <row r="25" spans="1:43" ht="20.25" customHeight="1" x14ac:dyDescent="0.25">
      <c r="A25" s="1256"/>
      <c r="B25" s="1249"/>
      <c r="C25" s="763"/>
      <c r="D25" s="764"/>
      <c r="E25" s="730">
        <v>1187876</v>
      </c>
      <c r="F25" s="731" t="s">
        <v>4926</v>
      </c>
      <c r="G25" s="731" t="s">
        <v>4927</v>
      </c>
      <c r="H25" s="732">
        <v>40147</v>
      </c>
      <c r="I25" s="733" t="str">
        <f t="shared" si="0"/>
        <v>Alice  Sharrock</v>
      </c>
      <c r="J25" s="734" t="str">
        <f t="shared" si="1"/>
        <v xml:space="preserve">Sharrock,Alice </v>
      </c>
      <c r="K25" s="735">
        <f t="shared" ca="1" si="2"/>
        <v>14</v>
      </c>
      <c r="L25" s="736" t="str">
        <f t="shared" si="3"/>
        <v>301109</v>
      </c>
      <c r="M25" s="748" t="str">
        <f t="shared" ca="1" si="11"/>
        <v>OK</v>
      </c>
      <c r="N25" s="765"/>
      <c r="Q25" s="765"/>
      <c r="AD25" s="1244"/>
      <c r="AE25" s="1245"/>
      <c r="AF25" s="753"/>
      <c r="AG25" s="754"/>
      <c r="AH25" s="740">
        <f t="shared" si="5"/>
        <v>1187876</v>
      </c>
      <c r="AI25" s="740" t="str">
        <f t="shared" si="6"/>
        <v xml:space="preserve">Alice </v>
      </c>
      <c r="AJ25" s="740" t="str">
        <f t="shared" si="7"/>
        <v>Sharrock</v>
      </c>
      <c r="AK25" s="740"/>
      <c r="AL25" s="740"/>
      <c r="AM25" s="740"/>
      <c r="AN25" s="740"/>
      <c r="AO25" s="740"/>
      <c r="AQ25" s="741">
        <f t="shared" ca="1" si="8"/>
        <v>40147</v>
      </c>
    </row>
    <row r="26" spans="1:43" ht="20.25" customHeight="1" x14ac:dyDescent="0.25">
      <c r="A26" s="1256">
        <v>8</v>
      </c>
      <c r="B26" s="1249" t="s">
        <v>4676</v>
      </c>
      <c r="C26" s="761"/>
      <c r="D26" s="762"/>
      <c r="E26" s="730">
        <v>1304650</v>
      </c>
      <c r="F26" s="731" t="s">
        <v>4973</v>
      </c>
      <c r="G26" s="731" t="s">
        <v>4974</v>
      </c>
      <c r="H26" s="800" t="s">
        <v>4975</v>
      </c>
      <c r="I26" s="733" t="str">
        <f t="shared" si="0"/>
        <v>Gianluca Safahe</v>
      </c>
      <c r="J26" s="734" t="str">
        <f t="shared" si="1"/>
        <v>Safahe,Gianluca</v>
      </c>
      <c r="K26" s="735">
        <f t="shared" ca="1" si="2"/>
        <v>15</v>
      </c>
      <c r="L26" s="736" t="str">
        <f t="shared" si="3"/>
        <v>040208</v>
      </c>
      <c r="M26" s="766" t="str">
        <f t="shared" ca="1" si="11"/>
        <v>OK</v>
      </c>
      <c r="N26" s="767"/>
      <c r="AD26" s="1244">
        <f>A26</f>
        <v>8</v>
      </c>
      <c r="AE26" s="1245" t="str">
        <f>B26</f>
        <v>OPEN/MALE 15/U 4 X 50M
FREESTYLE RELAY</v>
      </c>
      <c r="AF26" s="749"/>
      <c r="AG26" s="750"/>
      <c r="AH26" s="740">
        <f t="shared" si="5"/>
        <v>1304650</v>
      </c>
      <c r="AI26" s="740" t="str">
        <f t="shared" si="6"/>
        <v>Gianluca</v>
      </c>
      <c r="AJ26" s="740" t="str">
        <f t="shared" si="7"/>
        <v>Safahe</v>
      </c>
      <c r="AK26" s="740"/>
      <c r="AL26" s="740"/>
      <c r="AM26" s="740"/>
      <c r="AN26" s="740"/>
      <c r="AO26" s="740"/>
      <c r="AQ26" t="str">
        <f t="shared" ca="1" si="8"/>
        <v>04/02/2008</v>
      </c>
    </row>
    <row r="27" spans="1:43" ht="20.25" customHeight="1" x14ac:dyDescent="0.25">
      <c r="A27" s="1256"/>
      <c r="B27" s="1249"/>
      <c r="C27" s="763"/>
      <c r="D27" s="764"/>
      <c r="E27" s="730">
        <v>1224682</v>
      </c>
      <c r="F27" s="731" t="s">
        <v>4976</v>
      </c>
      <c r="G27" s="731" t="s">
        <v>4944</v>
      </c>
      <c r="H27" s="732">
        <v>39570</v>
      </c>
      <c r="I27" s="733" t="str">
        <f t="shared" si="0"/>
        <v>Owen  Roberts</v>
      </c>
      <c r="J27" s="734" t="str">
        <f t="shared" si="1"/>
        <v xml:space="preserve">Roberts,Owen </v>
      </c>
      <c r="K27" s="735">
        <f t="shared" ca="1" si="2"/>
        <v>15</v>
      </c>
      <c r="L27" s="736" t="str">
        <f t="shared" si="3"/>
        <v>020508</v>
      </c>
      <c r="M27" s="766" t="str">
        <f t="shared" ca="1" si="11"/>
        <v>OK</v>
      </c>
      <c r="N27" s="767"/>
      <c r="AD27" s="1244"/>
      <c r="AE27" s="1245"/>
      <c r="AF27" s="753"/>
      <c r="AG27" s="754"/>
      <c r="AH27" s="740">
        <f t="shared" si="5"/>
        <v>1224682</v>
      </c>
      <c r="AI27" s="740" t="str">
        <f t="shared" si="6"/>
        <v xml:space="preserve">Owen </v>
      </c>
      <c r="AJ27" s="740" t="str">
        <f t="shared" si="7"/>
        <v>Roberts</v>
      </c>
      <c r="AK27" s="740"/>
      <c r="AL27" s="740"/>
      <c r="AM27" s="740"/>
      <c r="AN27" s="740"/>
      <c r="AO27" s="740"/>
      <c r="AQ27" s="741">
        <f t="shared" ca="1" si="8"/>
        <v>39570</v>
      </c>
    </row>
    <row r="28" spans="1:43" ht="20.25" customHeight="1" x14ac:dyDescent="0.25">
      <c r="A28" s="1256"/>
      <c r="B28" s="1249"/>
      <c r="C28" s="763"/>
      <c r="D28" s="764"/>
      <c r="E28" s="730">
        <v>1335745</v>
      </c>
      <c r="F28" s="731" t="s">
        <v>4977</v>
      </c>
      <c r="G28" s="731" t="s">
        <v>4978</v>
      </c>
      <c r="H28" s="732">
        <v>39864</v>
      </c>
      <c r="I28" s="733" t="str">
        <f t="shared" si="0"/>
        <v>Louis Waissman</v>
      </c>
      <c r="J28" s="734" t="str">
        <f t="shared" si="1"/>
        <v>Waissman,Louis</v>
      </c>
      <c r="K28" s="735">
        <f t="shared" ca="1" si="2"/>
        <v>14</v>
      </c>
      <c r="L28" s="736" t="str">
        <f t="shared" si="3"/>
        <v>200209</v>
      </c>
      <c r="M28" s="766" t="str">
        <f t="shared" ca="1" si="11"/>
        <v>OK</v>
      </c>
      <c r="N28" s="767"/>
      <c r="AD28" s="1244"/>
      <c r="AE28" s="1245"/>
      <c r="AF28" s="753"/>
      <c r="AG28" s="754"/>
      <c r="AH28" s="740">
        <f t="shared" si="5"/>
        <v>1335745</v>
      </c>
      <c r="AI28" s="740" t="str">
        <f t="shared" si="6"/>
        <v>Louis</v>
      </c>
      <c r="AJ28" s="740" t="str">
        <f t="shared" si="7"/>
        <v>Waissman</v>
      </c>
      <c r="AK28" s="740"/>
      <c r="AL28" s="740"/>
      <c r="AM28" s="740"/>
      <c r="AN28" s="740"/>
      <c r="AO28" s="740"/>
      <c r="AQ28" s="741">
        <f t="shared" ca="1" si="8"/>
        <v>39864</v>
      </c>
    </row>
    <row r="29" spans="1:43" ht="20.25" customHeight="1" x14ac:dyDescent="0.25">
      <c r="A29" s="1256"/>
      <c r="B29" s="1249"/>
      <c r="C29" s="763"/>
      <c r="D29" s="764"/>
      <c r="E29" s="730">
        <v>1389306</v>
      </c>
      <c r="F29" s="731" t="s">
        <v>4690</v>
      </c>
      <c r="G29" s="731" t="s">
        <v>4979</v>
      </c>
      <c r="H29" s="732">
        <v>40019</v>
      </c>
      <c r="I29" s="733" t="str">
        <f t="shared" si="0"/>
        <v>Gabriel Rebelo</v>
      </c>
      <c r="J29" s="734" t="str">
        <f t="shared" si="1"/>
        <v>Rebelo,Gabriel</v>
      </c>
      <c r="K29" s="735">
        <f t="shared" ca="1" si="2"/>
        <v>14</v>
      </c>
      <c r="L29" s="736" t="str">
        <f t="shared" si="3"/>
        <v>250709</v>
      </c>
      <c r="M29" s="766" t="str">
        <f t="shared" ca="1" si="11"/>
        <v>OK</v>
      </c>
      <c r="N29" s="767"/>
      <c r="AD29" s="1244"/>
      <c r="AE29" s="1245"/>
      <c r="AF29" s="753"/>
      <c r="AG29" s="754"/>
      <c r="AH29" s="740">
        <f t="shared" si="5"/>
        <v>1389306</v>
      </c>
      <c r="AI29" s="740" t="str">
        <f t="shared" si="6"/>
        <v>Gabriel</v>
      </c>
      <c r="AJ29" s="740" t="str">
        <f t="shared" si="7"/>
        <v>Rebelo</v>
      </c>
      <c r="AK29" s="740"/>
      <c r="AL29" s="740"/>
      <c r="AM29" s="740"/>
      <c r="AN29" s="740"/>
      <c r="AO29" s="740"/>
      <c r="AQ29" s="741">
        <f t="shared" ca="1" si="8"/>
        <v>40019</v>
      </c>
    </row>
    <row r="30" spans="1:43" ht="20.25" customHeight="1" x14ac:dyDescent="0.25">
      <c r="A30" s="1250">
        <v>9</v>
      </c>
      <c r="B30" s="1251" t="s">
        <v>4681</v>
      </c>
      <c r="C30" s="768"/>
      <c r="D30" s="769"/>
      <c r="E30" s="730">
        <v>1525254</v>
      </c>
      <c r="F30" s="731" t="s">
        <v>4969</v>
      </c>
      <c r="G30" s="731" t="s">
        <v>4970</v>
      </c>
      <c r="H30" s="800" t="s">
        <v>4971</v>
      </c>
      <c r="I30" s="733" t="str">
        <f t="shared" si="0"/>
        <v>Laura Leksander</v>
      </c>
      <c r="J30" s="734" t="str">
        <f t="shared" si="1"/>
        <v>Leksander,Laura</v>
      </c>
      <c r="K30" s="735">
        <f t="shared" ca="1" si="2"/>
        <v>15</v>
      </c>
      <c r="L30" s="736" t="str">
        <f t="shared" si="3"/>
        <v>200408</v>
      </c>
      <c r="M30" s="770" t="str">
        <f t="shared" ref="M30:M37" ca="1" si="12">IF(K30=0,0,IF(K30&lt;9,"TOO YOUNG",IF(K30&lt;60,"OK","BIT OLD MAYBE")))</f>
        <v>OK</v>
      </c>
      <c r="N30" s="767"/>
      <c r="AD30" s="1244">
        <f>A30</f>
        <v>9</v>
      </c>
      <c r="AE30" s="1245" t="str">
        <f>B30</f>
        <v>FEMALE 16+ 4 X 50M
MEDLEY RELAY</v>
      </c>
      <c r="AF30" s="749"/>
      <c r="AG30" s="750"/>
      <c r="AH30" s="740">
        <f t="shared" si="5"/>
        <v>1525254</v>
      </c>
      <c r="AI30" s="740" t="str">
        <f t="shared" si="6"/>
        <v>Laura</v>
      </c>
      <c r="AJ30" s="740" t="str">
        <f t="shared" si="7"/>
        <v>Leksander</v>
      </c>
      <c r="AK30" s="740"/>
      <c r="AL30" s="740"/>
      <c r="AM30" s="740"/>
      <c r="AN30" s="740"/>
      <c r="AO30" s="740"/>
      <c r="AQ30" t="str">
        <f t="shared" ca="1" si="8"/>
        <v>20/04/2008</v>
      </c>
    </row>
    <row r="31" spans="1:43" ht="20.25" customHeight="1" x14ac:dyDescent="0.25">
      <c r="A31" s="1250"/>
      <c r="B31" s="1251"/>
      <c r="C31" s="771"/>
      <c r="D31" s="772"/>
      <c r="E31" s="730">
        <v>1187876</v>
      </c>
      <c r="F31" s="731" t="s">
        <v>4926</v>
      </c>
      <c r="G31" s="731" t="s">
        <v>4927</v>
      </c>
      <c r="H31" s="732">
        <v>40147</v>
      </c>
      <c r="I31" s="733" t="str">
        <f t="shared" si="0"/>
        <v>Alice  Sharrock</v>
      </c>
      <c r="J31" s="734" t="str">
        <f t="shared" si="1"/>
        <v xml:space="preserve">Sharrock,Alice </v>
      </c>
      <c r="K31" s="735">
        <f t="shared" ca="1" si="2"/>
        <v>14</v>
      </c>
      <c r="L31" s="736" t="str">
        <f t="shared" si="3"/>
        <v>301109</v>
      </c>
      <c r="M31" s="770" t="str">
        <f t="shared" ca="1" si="12"/>
        <v>OK</v>
      </c>
      <c r="N31" s="767"/>
      <c r="AD31" s="1244"/>
      <c r="AE31" s="1245"/>
      <c r="AF31" s="753"/>
      <c r="AG31" s="754"/>
      <c r="AH31" s="740">
        <f t="shared" si="5"/>
        <v>1187876</v>
      </c>
      <c r="AI31" s="740" t="str">
        <f t="shared" si="6"/>
        <v xml:space="preserve">Alice </v>
      </c>
      <c r="AJ31" s="740" t="str">
        <f t="shared" si="7"/>
        <v>Sharrock</v>
      </c>
      <c r="AK31" s="740"/>
      <c r="AL31" s="740"/>
      <c r="AM31" s="740"/>
      <c r="AN31" s="740"/>
      <c r="AO31" s="740"/>
      <c r="AQ31" s="741">
        <f t="shared" ca="1" si="8"/>
        <v>40147</v>
      </c>
    </row>
    <row r="32" spans="1:43" ht="20.25" customHeight="1" x14ac:dyDescent="0.25">
      <c r="A32" s="1250"/>
      <c r="B32" s="1251"/>
      <c r="C32" s="771"/>
      <c r="D32" s="772"/>
      <c r="E32" s="730">
        <v>1304651</v>
      </c>
      <c r="F32" s="731" t="s">
        <v>4980</v>
      </c>
      <c r="G32" s="731" t="s">
        <v>4974</v>
      </c>
      <c r="H32" s="800" t="s">
        <v>4981</v>
      </c>
      <c r="I32" s="733" t="str">
        <f t="shared" si="0"/>
        <v>Mina Safahe</v>
      </c>
      <c r="J32" s="734" t="str">
        <f t="shared" si="1"/>
        <v>Safahe,Mina</v>
      </c>
      <c r="K32" s="735">
        <f t="shared" ca="1" si="2"/>
        <v>14</v>
      </c>
      <c r="L32" s="736" t="str">
        <f t="shared" si="3"/>
        <v>170109</v>
      </c>
      <c r="M32" s="770" t="str">
        <f t="shared" ca="1" si="12"/>
        <v>OK</v>
      </c>
      <c r="N32" s="767"/>
      <c r="AD32" s="1244"/>
      <c r="AE32" s="1245"/>
      <c r="AF32" s="753"/>
      <c r="AG32" s="754"/>
      <c r="AH32" s="740">
        <f t="shared" si="5"/>
        <v>1304651</v>
      </c>
      <c r="AI32" s="740" t="str">
        <f t="shared" si="6"/>
        <v>Mina</v>
      </c>
      <c r="AJ32" s="740" t="str">
        <f t="shared" si="7"/>
        <v>Safahe</v>
      </c>
      <c r="AK32" s="740"/>
      <c r="AL32" s="740"/>
      <c r="AM32" s="740"/>
      <c r="AN32" s="740"/>
      <c r="AO32" s="740"/>
      <c r="AQ32" t="str">
        <f t="shared" ca="1" si="8"/>
        <v>17/01/2009</v>
      </c>
    </row>
    <row r="33" spans="1:43" ht="20.25" customHeight="1" x14ac:dyDescent="0.25">
      <c r="A33" s="1250"/>
      <c r="B33" s="1251"/>
      <c r="C33" s="771"/>
      <c r="D33" s="772"/>
      <c r="E33" s="730">
        <v>1377376</v>
      </c>
      <c r="F33" s="731" t="s">
        <v>4982</v>
      </c>
      <c r="G33" s="731" t="s">
        <v>4983</v>
      </c>
      <c r="H33" s="732">
        <v>39915</v>
      </c>
      <c r="I33" s="733" t="str">
        <f t="shared" si="0"/>
        <v>Crina Stefania  Bostan</v>
      </c>
      <c r="J33" s="734" t="str">
        <f t="shared" si="1"/>
        <v xml:space="preserve">Bostan,Crina Stefania </v>
      </c>
      <c r="K33" s="735">
        <f t="shared" ca="1" si="2"/>
        <v>14</v>
      </c>
      <c r="L33" s="736" t="str">
        <f t="shared" si="3"/>
        <v>120409</v>
      </c>
      <c r="M33" s="770" t="str">
        <f t="shared" ca="1" si="12"/>
        <v>OK</v>
      </c>
      <c r="N33" s="767"/>
      <c r="AD33" s="1244"/>
      <c r="AE33" s="1245"/>
      <c r="AF33" s="753"/>
      <c r="AG33" s="754"/>
      <c r="AH33" s="740">
        <f t="shared" si="5"/>
        <v>1377376</v>
      </c>
      <c r="AI33" s="740" t="str">
        <f t="shared" si="6"/>
        <v xml:space="preserve">Crina Stefania </v>
      </c>
      <c r="AJ33" s="740" t="str">
        <f t="shared" si="7"/>
        <v>Bostan</v>
      </c>
      <c r="AK33" s="740"/>
      <c r="AL33" s="740"/>
      <c r="AM33" s="740"/>
      <c r="AN33" s="740"/>
      <c r="AO33" s="740"/>
      <c r="AQ33" s="741">
        <f t="shared" ca="1" si="8"/>
        <v>39915</v>
      </c>
    </row>
    <row r="34" spans="1:43" ht="20.25" customHeight="1" x14ac:dyDescent="0.25">
      <c r="A34" s="1250">
        <v>10</v>
      </c>
      <c r="B34" s="1251" t="s">
        <v>4687</v>
      </c>
      <c r="C34" s="768"/>
      <c r="D34" s="769"/>
      <c r="E34" s="730">
        <v>1433288</v>
      </c>
      <c r="F34" s="731" t="s">
        <v>4928</v>
      </c>
      <c r="G34" s="731" t="s">
        <v>4929</v>
      </c>
      <c r="H34" s="800" t="s">
        <v>4930</v>
      </c>
      <c r="I34" s="733" t="str">
        <f t="shared" si="0"/>
        <v>Razvan Lembac</v>
      </c>
      <c r="J34" s="734" t="str">
        <f t="shared" si="1"/>
        <v>Lembac,Razvan</v>
      </c>
      <c r="K34" s="735">
        <f t="shared" ca="1" si="2"/>
        <v>16</v>
      </c>
      <c r="L34" s="736" t="str">
        <f t="shared" si="3"/>
        <v>141207</v>
      </c>
      <c r="M34" s="770" t="str">
        <f t="shared" ca="1" si="12"/>
        <v>OK</v>
      </c>
      <c r="N34" s="767"/>
      <c r="AD34" s="1244">
        <f>A34</f>
        <v>10</v>
      </c>
      <c r="AE34" s="1245" t="str">
        <f>B34</f>
        <v>OPEN/MALE 16+ 4 X 50M
MEDLEY RELAY</v>
      </c>
      <c r="AF34" s="749"/>
      <c r="AG34" s="750"/>
      <c r="AH34" s="740">
        <f t="shared" si="5"/>
        <v>1433288</v>
      </c>
      <c r="AI34" s="740" t="str">
        <f t="shared" si="6"/>
        <v>Razvan</v>
      </c>
      <c r="AJ34" s="740" t="str">
        <f t="shared" si="7"/>
        <v>Lembac</v>
      </c>
      <c r="AK34" s="740"/>
      <c r="AL34" s="740"/>
      <c r="AM34" s="740"/>
      <c r="AN34" s="740"/>
      <c r="AO34" s="740"/>
      <c r="AQ34" t="str">
        <f t="shared" ca="1" si="8"/>
        <v>14/12/2007</v>
      </c>
    </row>
    <row r="35" spans="1:43" ht="20.25" customHeight="1" x14ac:dyDescent="0.25">
      <c r="A35" s="1250"/>
      <c r="B35" s="1251"/>
      <c r="C35" s="771"/>
      <c r="D35" s="772"/>
      <c r="E35" s="730">
        <v>1266269</v>
      </c>
      <c r="F35" s="731" t="s">
        <v>4984</v>
      </c>
      <c r="G35" s="731" t="s">
        <v>4985</v>
      </c>
      <c r="H35" s="800" t="s">
        <v>4986</v>
      </c>
      <c r="I35" s="733" t="str">
        <f t="shared" si="0"/>
        <v>Dawid Otulak</v>
      </c>
      <c r="J35" s="734" t="str">
        <f t="shared" si="1"/>
        <v>Otulak,Dawid</v>
      </c>
      <c r="K35" s="735">
        <f t="shared" ca="1" si="2"/>
        <v>16</v>
      </c>
      <c r="L35" s="736" t="str">
        <f t="shared" si="3"/>
        <v>280407</v>
      </c>
      <c r="M35" s="770" t="str">
        <f t="shared" ca="1" si="12"/>
        <v>OK</v>
      </c>
      <c r="AD35" s="1244"/>
      <c r="AE35" s="1245"/>
      <c r="AF35" s="753"/>
      <c r="AG35" s="754"/>
      <c r="AH35" s="740">
        <f t="shared" si="5"/>
        <v>1266269</v>
      </c>
      <c r="AI35" s="740" t="str">
        <f t="shared" si="6"/>
        <v>Dawid</v>
      </c>
      <c r="AJ35" s="740" t="str">
        <f t="shared" si="7"/>
        <v>Otulak</v>
      </c>
      <c r="AK35" s="740"/>
      <c r="AL35" s="740"/>
      <c r="AM35" s="740"/>
      <c r="AN35" s="740"/>
      <c r="AO35" s="740"/>
      <c r="AQ35" t="str">
        <f t="shared" ca="1" si="8"/>
        <v>28/04/2007</v>
      </c>
    </row>
    <row r="36" spans="1:43" ht="20.25" customHeight="1" x14ac:dyDescent="0.25">
      <c r="A36" s="1250"/>
      <c r="B36" s="1251"/>
      <c r="C36" s="771"/>
      <c r="D36" s="772"/>
      <c r="E36" s="730">
        <v>971063</v>
      </c>
      <c r="F36" s="731" t="s">
        <v>4987</v>
      </c>
      <c r="G36" s="731" t="s">
        <v>4988</v>
      </c>
      <c r="H36" s="732">
        <v>37539</v>
      </c>
      <c r="I36" s="733" t="str">
        <f t="shared" ref="I36:I67" si="13">CONCATENATE(F36," ",G36)</f>
        <v>Shanil Ramaiya</v>
      </c>
      <c r="J36" s="734" t="str">
        <f t="shared" ref="J36:J67" si="14">CONCATENATE(G36,",",F36)</f>
        <v>Ramaiya,Shanil</v>
      </c>
      <c r="K36" s="735">
        <f t="shared" ref="K36:K67" ca="1" si="15">IF(K$2=0,0,IF(AQ36=0,0,IF(COUNTBLANK(AQ36)=1,"",YEAR(K$2)-YEAR(AQ36)-IF(DATE(YEAR(K$2),MONTH(AQ36),DAY(4638))&gt;K$2,1,0))))</f>
        <v>21</v>
      </c>
      <c r="L36" s="736" t="str">
        <f t="shared" ref="L36:L67" si="16">(TEXT(H36,"DDMMYY"))</f>
        <v>101002</v>
      </c>
      <c r="M36" s="770" t="str">
        <f t="shared" ca="1" si="12"/>
        <v>OK</v>
      </c>
      <c r="AD36" s="1244"/>
      <c r="AE36" s="1245"/>
      <c r="AF36" s="753"/>
      <c r="AG36" s="754"/>
      <c r="AH36" s="740">
        <f t="shared" ref="AH36:AH67" si="17">E36</f>
        <v>971063</v>
      </c>
      <c r="AI36" s="740" t="str">
        <f t="shared" ref="AI36:AI67" si="18">F36</f>
        <v>Shanil</v>
      </c>
      <c r="AJ36" s="740" t="str">
        <f t="shared" ref="AJ36:AJ67" si="19">G36</f>
        <v>Ramaiya</v>
      </c>
      <c r="AK36" s="740"/>
      <c r="AL36" s="740"/>
      <c r="AM36" s="740"/>
      <c r="AN36" s="740"/>
      <c r="AO36" s="740"/>
      <c r="AQ36" s="741">
        <f t="shared" ref="AQ36:AQ67" ca="1" si="20">INDIRECT(ADDRESS(ROW(),AQ$3))</f>
        <v>37539</v>
      </c>
    </row>
    <row r="37" spans="1:43" ht="20.25" customHeight="1" x14ac:dyDescent="0.25">
      <c r="A37" s="1250"/>
      <c r="B37" s="1251"/>
      <c r="C37" s="771"/>
      <c r="D37" s="772"/>
      <c r="E37" s="730">
        <v>1713539</v>
      </c>
      <c r="F37" s="731" t="s">
        <v>4989</v>
      </c>
      <c r="G37" s="731" t="s">
        <v>4990</v>
      </c>
      <c r="H37" s="732">
        <v>38903</v>
      </c>
      <c r="I37" s="733" t="str">
        <f t="shared" si="13"/>
        <v>Wiktor Brejnak</v>
      </c>
      <c r="J37" s="734" t="str">
        <f t="shared" si="14"/>
        <v>Brejnak,Wiktor</v>
      </c>
      <c r="K37" s="735">
        <f t="shared" ca="1" si="15"/>
        <v>17</v>
      </c>
      <c r="L37" s="736" t="str">
        <f t="shared" si="16"/>
        <v>050706</v>
      </c>
      <c r="M37" s="770" t="str">
        <f t="shared" ca="1" si="12"/>
        <v>OK</v>
      </c>
      <c r="AD37" s="1244"/>
      <c r="AE37" s="1245"/>
      <c r="AF37" s="753"/>
      <c r="AG37" s="754"/>
      <c r="AH37" s="740">
        <f t="shared" si="17"/>
        <v>1713539</v>
      </c>
      <c r="AI37" s="740" t="str">
        <f t="shared" si="18"/>
        <v>Wiktor</v>
      </c>
      <c r="AJ37" s="740" t="str">
        <f t="shared" si="19"/>
        <v>Brejnak</v>
      </c>
      <c r="AK37" s="740"/>
      <c r="AL37" s="740"/>
      <c r="AM37" s="740"/>
      <c r="AN37" s="740"/>
      <c r="AO37" s="740"/>
      <c r="AQ37" s="741">
        <f t="shared" ca="1" si="20"/>
        <v>38903</v>
      </c>
    </row>
    <row r="38" spans="1:43" ht="20.25" customHeight="1" x14ac:dyDescent="0.25">
      <c r="A38" s="745">
        <v>11</v>
      </c>
      <c r="B38" s="773" t="s">
        <v>4339</v>
      </c>
      <c r="C38" s="774" t="s">
        <v>4635</v>
      </c>
      <c r="D38" s="775">
        <v>13</v>
      </c>
      <c r="E38" s="730">
        <v>1525245</v>
      </c>
      <c r="F38" s="731" t="s">
        <v>4931</v>
      </c>
      <c r="G38" s="731" t="s">
        <v>4932</v>
      </c>
      <c r="H38" s="800" t="s">
        <v>4933</v>
      </c>
      <c r="I38" s="733" t="str">
        <f t="shared" si="13"/>
        <v>Mahika Chandrashekar</v>
      </c>
      <c r="J38" s="734" t="str">
        <f t="shared" si="14"/>
        <v>Chandrashekar,Mahika</v>
      </c>
      <c r="K38" s="735">
        <f t="shared" ca="1" si="15"/>
        <v>11</v>
      </c>
      <c r="L38" s="736" t="str">
        <f t="shared" si="16"/>
        <v>040612</v>
      </c>
      <c r="M38" s="766" t="str">
        <f ca="1">IF(K38=0,0,IF(K38&lt;10,"TOO YOUNG",IF(K38&lt;12,"OK","NOT ELIGIBLE")))</f>
        <v>OK</v>
      </c>
      <c r="AD38" s="722">
        <f t="shared" ref="AD38:AD70" si="21">A38</f>
        <v>11</v>
      </c>
      <c r="AE38" s="443" t="str">
        <f t="shared" ref="AE38:AE70" si="22">B38</f>
        <v>Female 10/11 50m Backstroke</v>
      </c>
      <c r="AF38" s="440" t="s">
        <v>4635</v>
      </c>
      <c r="AG38" s="739">
        <v>13</v>
      </c>
      <c r="AH38" s="740">
        <f t="shared" si="17"/>
        <v>1525245</v>
      </c>
      <c r="AI38" s="740" t="str">
        <f t="shared" si="18"/>
        <v>Mahika</v>
      </c>
      <c r="AJ38" s="740" t="str">
        <f t="shared" si="19"/>
        <v>Chandrashekar</v>
      </c>
      <c r="AK38" s="740"/>
      <c r="AL38" s="740"/>
      <c r="AM38" s="740"/>
      <c r="AN38" s="740"/>
      <c r="AO38" s="740"/>
      <c r="AQ38" t="str">
        <f t="shared" ca="1" si="20"/>
        <v>04/06/2012</v>
      </c>
    </row>
    <row r="39" spans="1:43" ht="20.25" customHeight="1" x14ac:dyDescent="0.25">
      <c r="A39" s="745">
        <v>12</v>
      </c>
      <c r="B39" s="773" t="s">
        <v>4340</v>
      </c>
      <c r="C39" s="774" t="s">
        <v>328</v>
      </c>
      <c r="D39" s="775">
        <v>13</v>
      </c>
      <c r="E39" s="730">
        <v>1407491</v>
      </c>
      <c r="F39" s="731" t="s">
        <v>4943</v>
      </c>
      <c r="G39" s="731" t="s">
        <v>4944</v>
      </c>
      <c r="H39" s="732">
        <v>41200</v>
      </c>
      <c r="I39" s="733" t="str">
        <f t="shared" si="13"/>
        <v>Macsen Roberts</v>
      </c>
      <c r="J39" s="734" t="str">
        <f t="shared" si="14"/>
        <v>Roberts,Macsen</v>
      </c>
      <c r="K39" s="735">
        <f t="shared" ca="1" si="15"/>
        <v>11</v>
      </c>
      <c r="L39" s="736" t="str">
        <f t="shared" si="16"/>
        <v>181012</v>
      </c>
      <c r="M39" s="766" t="str">
        <f ca="1">IF(K39=0,0,IF(K39&lt;10,"TOO YOUNG",IF(K39&lt;12,"OK","NOT ELIGIBLE")))</f>
        <v>OK</v>
      </c>
      <c r="AD39" s="722">
        <f t="shared" si="21"/>
        <v>12</v>
      </c>
      <c r="AE39" s="443" t="str">
        <f t="shared" si="22"/>
        <v>Open/Male 10/11 50m Backstroke</v>
      </c>
      <c r="AF39" s="440" t="s">
        <v>328</v>
      </c>
      <c r="AG39" s="739">
        <v>13</v>
      </c>
      <c r="AH39" s="740">
        <f t="shared" si="17"/>
        <v>1407491</v>
      </c>
      <c r="AI39" s="740" t="str">
        <f t="shared" si="18"/>
        <v>Macsen</v>
      </c>
      <c r="AJ39" s="740" t="str">
        <f t="shared" si="19"/>
        <v>Roberts</v>
      </c>
      <c r="AK39" s="740"/>
      <c r="AL39" s="740"/>
      <c r="AM39" s="740"/>
      <c r="AN39" s="740"/>
      <c r="AO39" s="740"/>
      <c r="AQ39" s="741">
        <f t="shared" ca="1" si="20"/>
        <v>41200</v>
      </c>
    </row>
    <row r="40" spans="1:43" ht="20.25" customHeight="1" x14ac:dyDescent="0.25">
      <c r="A40" s="755">
        <v>13</v>
      </c>
      <c r="B40" s="776" t="s">
        <v>4341</v>
      </c>
      <c r="C40" s="777" t="s">
        <v>4635</v>
      </c>
      <c r="D40" s="778">
        <v>8</v>
      </c>
      <c r="E40" s="730">
        <v>1713553</v>
      </c>
      <c r="F40" s="731" t="s">
        <v>4954</v>
      </c>
      <c r="G40" s="731" t="s">
        <v>4955</v>
      </c>
      <c r="H40" s="732">
        <v>40289</v>
      </c>
      <c r="I40" s="733" t="str">
        <f t="shared" si="13"/>
        <v>Emma Sum</v>
      </c>
      <c r="J40" s="734" t="str">
        <f t="shared" si="14"/>
        <v>Sum,Emma</v>
      </c>
      <c r="K40" s="735">
        <f t="shared" ca="1" si="15"/>
        <v>13</v>
      </c>
      <c r="L40" s="736" t="str">
        <f t="shared" si="16"/>
        <v>210410</v>
      </c>
      <c r="M40" s="766" t="str">
        <f ca="1">IF(K40=0,0,IF(K40&lt;9,"TOO YOUNG",IF(K40&lt;14,"OK","NOT ELIGIBLE")))</f>
        <v>OK</v>
      </c>
      <c r="AD40" s="722">
        <f t="shared" si="21"/>
        <v>13</v>
      </c>
      <c r="AE40" s="443" t="str">
        <f t="shared" si="22"/>
        <v>Female 13/U 100m Breaststroke</v>
      </c>
      <c r="AF40" s="440" t="s">
        <v>4635</v>
      </c>
      <c r="AG40" s="739">
        <v>8</v>
      </c>
      <c r="AH40" s="740">
        <f t="shared" si="17"/>
        <v>1713553</v>
      </c>
      <c r="AI40" s="740" t="str">
        <f t="shared" si="18"/>
        <v>Emma</v>
      </c>
      <c r="AJ40" s="740" t="str">
        <f t="shared" si="19"/>
        <v>Sum</v>
      </c>
      <c r="AK40" s="740"/>
      <c r="AL40" s="740"/>
      <c r="AM40" s="740"/>
      <c r="AN40" s="740"/>
      <c r="AO40" s="740"/>
      <c r="AQ40" s="741">
        <f t="shared" ca="1" si="20"/>
        <v>40289</v>
      </c>
    </row>
    <row r="41" spans="1:43" ht="20.25" customHeight="1" x14ac:dyDescent="0.25">
      <c r="A41" s="755">
        <v>14</v>
      </c>
      <c r="B41" s="776" t="s">
        <v>4342</v>
      </c>
      <c r="C41" s="777" t="s">
        <v>328</v>
      </c>
      <c r="D41" s="778">
        <v>8</v>
      </c>
      <c r="E41" s="730">
        <v>1333676</v>
      </c>
      <c r="F41" s="731" t="s">
        <v>4991</v>
      </c>
      <c r="G41" s="731" t="s">
        <v>4944</v>
      </c>
      <c r="H41" s="800">
        <v>40472</v>
      </c>
      <c r="I41" s="733" t="str">
        <f t="shared" si="13"/>
        <v>Dylan Roberts</v>
      </c>
      <c r="J41" s="734" t="str">
        <f t="shared" si="14"/>
        <v>Roberts,Dylan</v>
      </c>
      <c r="K41" s="735">
        <f t="shared" ca="1" si="15"/>
        <v>13</v>
      </c>
      <c r="L41" s="736" t="str">
        <f t="shared" si="16"/>
        <v>211010</v>
      </c>
      <c r="M41" s="766" t="str">
        <f ca="1">IF(K41=0,0,IF(K41&lt;9,"TOO YOUNG",IF(K41&lt;14,"OK","NOT ELIGIBLE")))</f>
        <v>OK</v>
      </c>
      <c r="AD41" s="722">
        <f t="shared" si="21"/>
        <v>14</v>
      </c>
      <c r="AE41" s="443" t="str">
        <f t="shared" si="22"/>
        <v>Open/Male 13/U 100m Breaststroke</v>
      </c>
      <c r="AF41" s="440" t="s">
        <v>328</v>
      </c>
      <c r="AG41" s="739">
        <v>8</v>
      </c>
      <c r="AH41" s="740">
        <f t="shared" si="17"/>
        <v>1333676</v>
      </c>
      <c r="AI41" s="740" t="str">
        <f t="shared" si="18"/>
        <v>Dylan</v>
      </c>
      <c r="AJ41" s="740" t="str">
        <f t="shared" si="19"/>
        <v>Roberts</v>
      </c>
      <c r="AK41" s="740"/>
      <c r="AL41" s="740"/>
      <c r="AM41" s="740"/>
      <c r="AN41" s="740"/>
      <c r="AO41" s="740"/>
      <c r="AQ41">
        <f t="shared" ca="1" si="20"/>
        <v>40472</v>
      </c>
    </row>
    <row r="42" spans="1:43" ht="20.25" customHeight="1" x14ac:dyDescent="0.25">
      <c r="A42" s="779">
        <v>15</v>
      </c>
      <c r="B42" s="780" t="s">
        <v>4343</v>
      </c>
      <c r="C42" s="781" t="s">
        <v>4635</v>
      </c>
      <c r="D42" s="782">
        <v>14</v>
      </c>
      <c r="E42" s="730">
        <v>1187876</v>
      </c>
      <c r="F42" s="731" t="s">
        <v>4926</v>
      </c>
      <c r="G42" s="731" t="s">
        <v>4927</v>
      </c>
      <c r="H42" s="732">
        <v>40147</v>
      </c>
      <c r="I42" s="733" t="str">
        <f t="shared" si="13"/>
        <v>Alice  Sharrock</v>
      </c>
      <c r="J42" s="734" t="str">
        <f t="shared" si="14"/>
        <v xml:space="preserve">Sharrock,Alice </v>
      </c>
      <c r="K42" s="735">
        <f t="shared" ca="1" si="15"/>
        <v>14</v>
      </c>
      <c r="L42" s="736" t="str">
        <f t="shared" si="16"/>
        <v>301109</v>
      </c>
      <c r="M42" s="766" t="str">
        <f ca="1">IF(K42=0,0,IF(K42&lt;9,"TOO YOUNG",IF(K42&lt;16,"OK","NOT ELIGIBLE")))</f>
        <v>OK</v>
      </c>
      <c r="AD42" s="722">
        <f t="shared" si="21"/>
        <v>15</v>
      </c>
      <c r="AE42" s="443" t="str">
        <f t="shared" si="22"/>
        <v>Female 15/U 100m Backstroke</v>
      </c>
      <c r="AF42" s="440" t="s">
        <v>4635</v>
      </c>
      <c r="AG42" s="739">
        <v>14</v>
      </c>
      <c r="AH42" s="740">
        <f t="shared" si="17"/>
        <v>1187876</v>
      </c>
      <c r="AI42" s="740" t="str">
        <f t="shared" si="18"/>
        <v xml:space="preserve">Alice </v>
      </c>
      <c r="AJ42" s="740" t="str">
        <f t="shared" si="19"/>
        <v>Sharrock</v>
      </c>
      <c r="AK42" s="740"/>
      <c r="AL42" s="740"/>
      <c r="AM42" s="740"/>
      <c r="AN42" s="740"/>
      <c r="AO42" s="740"/>
      <c r="AQ42" s="741">
        <f t="shared" ca="1" si="20"/>
        <v>40147</v>
      </c>
    </row>
    <row r="43" spans="1:43" ht="20.25" customHeight="1" x14ac:dyDescent="0.25">
      <c r="A43" s="779">
        <v>16</v>
      </c>
      <c r="B43" s="780" t="s">
        <v>4694</v>
      </c>
      <c r="C43" s="781" t="s">
        <v>328</v>
      </c>
      <c r="D43" s="782">
        <v>14</v>
      </c>
      <c r="E43" s="730">
        <v>1335745</v>
      </c>
      <c r="F43" s="731" t="s">
        <v>4977</v>
      </c>
      <c r="G43" s="731" t="s">
        <v>4978</v>
      </c>
      <c r="H43" s="732">
        <v>39864</v>
      </c>
      <c r="I43" s="733" t="str">
        <f t="shared" si="13"/>
        <v>Louis Waissman</v>
      </c>
      <c r="J43" s="734" t="str">
        <f t="shared" si="14"/>
        <v>Waissman,Louis</v>
      </c>
      <c r="K43" s="735">
        <f t="shared" ca="1" si="15"/>
        <v>14</v>
      </c>
      <c r="L43" s="736" t="str">
        <f t="shared" si="16"/>
        <v>200209</v>
      </c>
      <c r="M43" s="766" t="str">
        <f ca="1">IF(K43=0,0,IF(K43&lt;9,"TOO YOUNG",IF(K43&lt;16,"OK","NOT ELIGIBLE")))</f>
        <v>OK</v>
      </c>
      <c r="AD43" s="722">
        <f t="shared" si="21"/>
        <v>16</v>
      </c>
      <c r="AE43" s="443" t="str">
        <f t="shared" si="22"/>
        <v>Open/Male 15/U 100m Backstroke</v>
      </c>
      <c r="AF43" s="440" t="s">
        <v>328</v>
      </c>
      <c r="AG43" s="739">
        <v>14</v>
      </c>
      <c r="AH43" s="740">
        <f t="shared" si="17"/>
        <v>1335745</v>
      </c>
      <c r="AI43" s="740" t="str">
        <f t="shared" si="18"/>
        <v>Louis</v>
      </c>
      <c r="AJ43" s="740" t="str">
        <f t="shared" si="19"/>
        <v>Waissman</v>
      </c>
      <c r="AK43" s="740"/>
      <c r="AL43" s="740"/>
      <c r="AM43" s="740"/>
      <c r="AN43" s="740"/>
      <c r="AO43" s="740"/>
      <c r="AQ43" s="741">
        <f t="shared" ca="1" si="20"/>
        <v>39864</v>
      </c>
    </row>
    <row r="44" spans="1:43" ht="20.25" customHeight="1" x14ac:dyDescent="0.25">
      <c r="A44" s="727">
        <v>17</v>
      </c>
      <c r="B44" s="742" t="s">
        <v>4345</v>
      </c>
      <c r="C44" s="728" t="s">
        <v>4635</v>
      </c>
      <c r="D44" s="729">
        <v>11</v>
      </c>
      <c r="E44" s="730">
        <v>1525254</v>
      </c>
      <c r="F44" s="731" t="s">
        <v>4969</v>
      </c>
      <c r="G44" s="731" t="s">
        <v>4970</v>
      </c>
      <c r="H44" s="800" t="s">
        <v>4971</v>
      </c>
      <c r="I44" s="733" t="str">
        <f t="shared" si="13"/>
        <v>Laura Leksander</v>
      </c>
      <c r="J44" s="734" t="str">
        <f t="shared" si="14"/>
        <v>Leksander,Laura</v>
      </c>
      <c r="K44" s="735">
        <f t="shared" ca="1" si="15"/>
        <v>15</v>
      </c>
      <c r="L44" s="736" t="str">
        <f t="shared" si="16"/>
        <v>200408</v>
      </c>
      <c r="M44" s="770" t="str">
        <f ca="1">IF(K44=0,0,IF(K44&lt;9,"TOO YOUNG",IF(K44&lt;60,"OK","BIT OLD MAYBE")))</f>
        <v>OK</v>
      </c>
      <c r="AD44" s="722">
        <f t="shared" si="21"/>
        <v>17</v>
      </c>
      <c r="AE44" s="443" t="str">
        <f t="shared" si="22"/>
        <v>Female 16+ 100m Butterfly</v>
      </c>
      <c r="AF44" s="440" t="s">
        <v>4635</v>
      </c>
      <c r="AG44" s="739">
        <v>11</v>
      </c>
      <c r="AH44" s="740">
        <f t="shared" si="17"/>
        <v>1525254</v>
      </c>
      <c r="AI44" s="740" t="str">
        <f t="shared" si="18"/>
        <v>Laura</v>
      </c>
      <c r="AJ44" s="740" t="str">
        <f t="shared" si="19"/>
        <v>Leksander</v>
      </c>
      <c r="AK44" s="740"/>
      <c r="AL44" s="740"/>
      <c r="AM44" s="740"/>
      <c r="AN44" s="740"/>
      <c r="AO44" s="740"/>
      <c r="AQ44" t="str">
        <f t="shared" ca="1" si="20"/>
        <v>20/04/2008</v>
      </c>
    </row>
    <row r="45" spans="1:43" ht="20.25" customHeight="1" x14ac:dyDescent="0.25">
      <c r="A45" s="727">
        <v>18</v>
      </c>
      <c r="B45" s="742" t="s">
        <v>4346</v>
      </c>
      <c r="C45" s="728" t="s">
        <v>328</v>
      </c>
      <c r="D45" s="729">
        <v>11</v>
      </c>
      <c r="E45" s="730">
        <v>971063</v>
      </c>
      <c r="F45" s="731" t="s">
        <v>4987</v>
      </c>
      <c r="G45" s="731" t="s">
        <v>4988</v>
      </c>
      <c r="H45" s="732">
        <v>37539</v>
      </c>
      <c r="I45" s="733" t="str">
        <f t="shared" si="13"/>
        <v>Shanil Ramaiya</v>
      </c>
      <c r="J45" s="734" t="str">
        <f t="shared" si="14"/>
        <v>Ramaiya,Shanil</v>
      </c>
      <c r="K45" s="735">
        <f t="shared" ca="1" si="15"/>
        <v>21</v>
      </c>
      <c r="L45" s="736" t="str">
        <f t="shared" si="16"/>
        <v>101002</v>
      </c>
      <c r="M45" s="770" t="str">
        <f ca="1">IF(K45=0,0,IF(K45&lt;9,"TOO YOUNG",IF(K45&lt;60,"OK","BIT OLD MAYBE")))</f>
        <v>OK</v>
      </c>
      <c r="AD45" s="722">
        <f t="shared" si="21"/>
        <v>18</v>
      </c>
      <c r="AE45" s="443" t="str">
        <f t="shared" si="22"/>
        <v>Open/Male 16+ 100m Butterfly</v>
      </c>
      <c r="AF45" s="440" t="s">
        <v>328</v>
      </c>
      <c r="AG45" s="739">
        <v>11</v>
      </c>
      <c r="AH45" s="740">
        <f t="shared" si="17"/>
        <v>971063</v>
      </c>
      <c r="AI45" s="740" t="str">
        <f t="shared" si="18"/>
        <v>Shanil</v>
      </c>
      <c r="AJ45" s="740" t="str">
        <f t="shared" si="19"/>
        <v>Ramaiya</v>
      </c>
      <c r="AK45" s="740"/>
      <c r="AL45" s="740"/>
      <c r="AM45" s="740"/>
      <c r="AN45" s="740"/>
      <c r="AO45" s="740"/>
      <c r="AQ45" s="741">
        <f t="shared" ca="1" si="20"/>
        <v>37539</v>
      </c>
    </row>
    <row r="46" spans="1:43" ht="20.25" customHeight="1" x14ac:dyDescent="0.25">
      <c r="A46" s="745">
        <v>19</v>
      </c>
      <c r="B46" s="773" t="s">
        <v>4347</v>
      </c>
      <c r="C46" s="774" t="s">
        <v>4635</v>
      </c>
      <c r="D46" s="775">
        <v>10</v>
      </c>
      <c r="E46" s="730">
        <v>1430642</v>
      </c>
      <c r="F46" s="731" t="s">
        <v>4992</v>
      </c>
      <c r="G46" s="731" t="s">
        <v>4935</v>
      </c>
      <c r="H46" s="732">
        <v>41037</v>
      </c>
      <c r="I46" s="733" t="str">
        <f t="shared" si="13"/>
        <v>Miraya  Patel</v>
      </c>
      <c r="J46" s="734" t="str">
        <f t="shared" si="14"/>
        <v xml:space="preserve">Patel,Miraya </v>
      </c>
      <c r="K46" s="735">
        <f t="shared" ca="1" si="15"/>
        <v>11</v>
      </c>
      <c r="L46" s="736" t="str">
        <f t="shared" si="16"/>
        <v>080512</v>
      </c>
      <c r="M46" s="766" t="str">
        <f ca="1">IF(K46=0,0,IF(K46&lt;10,"TOO YOUNG",IF(K46&lt;12,"OK","NOT ELIGIBLE")))</f>
        <v>OK</v>
      </c>
      <c r="AD46" s="722">
        <f t="shared" si="21"/>
        <v>19</v>
      </c>
      <c r="AE46" s="443" t="str">
        <f t="shared" si="22"/>
        <v>Female 10/11 50m Butterfly</v>
      </c>
      <c r="AF46" s="440" t="s">
        <v>4635</v>
      </c>
      <c r="AG46" s="739">
        <v>10</v>
      </c>
      <c r="AH46" s="740">
        <f t="shared" si="17"/>
        <v>1430642</v>
      </c>
      <c r="AI46" s="740" t="str">
        <f t="shared" si="18"/>
        <v xml:space="preserve">Miraya </v>
      </c>
      <c r="AJ46" s="740" t="str">
        <f t="shared" si="19"/>
        <v>Patel</v>
      </c>
      <c r="AK46" s="740"/>
      <c r="AL46" s="740"/>
      <c r="AM46" s="740"/>
      <c r="AN46" s="740"/>
      <c r="AO46" s="740"/>
      <c r="AQ46" s="741">
        <f t="shared" ca="1" si="20"/>
        <v>41037</v>
      </c>
    </row>
    <row r="47" spans="1:43" ht="20.25" customHeight="1" x14ac:dyDescent="0.25">
      <c r="A47" s="745">
        <v>20</v>
      </c>
      <c r="B47" s="773" t="s">
        <v>4348</v>
      </c>
      <c r="C47" s="774" t="s">
        <v>328</v>
      </c>
      <c r="D47" s="775">
        <v>10</v>
      </c>
      <c r="E47" s="730">
        <v>1670720</v>
      </c>
      <c r="F47" s="731" t="s">
        <v>4789</v>
      </c>
      <c r="G47" s="731" t="s">
        <v>4942</v>
      </c>
      <c r="H47" s="732">
        <v>41469</v>
      </c>
      <c r="I47" s="733" t="str">
        <f t="shared" si="13"/>
        <v>Mikhail Fedorov</v>
      </c>
      <c r="J47" s="734" t="str">
        <f t="shared" si="14"/>
        <v>Fedorov,Mikhail</v>
      </c>
      <c r="K47" s="735">
        <f t="shared" ca="1" si="15"/>
        <v>10</v>
      </c>
      <c r="L47" s="736" t="str">
        <f t="shared" si="16"/>
        <v>140713</v>
      </c>
      <c r="M47" s="766" t="str">
        <f ca="1">IF(K47=0,0,IF(K47&lt;10,"TOO YOUNG",IF(K47&lt;12,"OK","NOT ELIGIBLE")))</f>
        <v>OK</v>
      </c>
      <c r="AD47" s="722">
        <f t="shared" si="21"/>
        <v>20</v>
      </c>
      <c r="AE47" s="443" t="str">
        <f t="shared" si="22"/>
        <v>Open/Male 10/11 50m Butterfly</v>
      </c>
      <c r="AF47" s="440" t="s">
        <v>328</v>
      </c>
      <c r="AG47" s="739">
        <v>10</v>
      </c>
      <c r="AH47" s="740">
        <f t="shared" si="17"/>
        <v>1670720</v>
      </c>
      <c r="AI47" s="740" t="str">
        <f t="shared" si="18"/>
        <v>Mikhail</v>
      </c>
      <c r="AJ47" s="740" t="str">
        <f t="shared" si="19"/>
        <v>Fedorov</v>
      </c>
      <c r="AK47" s="740"/>
      <c r="AL47" s="740"/>
      <c r="AM47" s="740"/>
      <c r="AN47" s="740"/>
      <c r="AO47" s="740"/>
      <c r="AQ47" s="741">
        <f t="shared" ca="1" si="20"/>
        <v>41469</v>
      </c>
    </row>
    <row r="48" spans="1:43" ht="20.25" customHeight="1" x14ac:dyDescent="0.25">
      <c r="A48" s="755">
        <v>21</v>
      </c>
      <c r="B48" s="776" t="s">
        <v>4349</v>
      </c>
      <c r="C48" s="777" t="s">
        <v>4635</v>
      </c>
      <c r="D48" s="778">
        <v>14</v>
      </c>
      <c r="E48" s="730">
        <v>1670724</v>
      </c>
      <c r="F48" s="731" t="s">
        <v>4972</v>
      </c>
      <c r="G48" s="731" t="s">
        <v>4952</v>
      </c>
      <c r="H48" s="800" t="s">
        <v>4953</v>
      </c>
      <c r="I48" s="733" t="str">
        <f t="shared" si="13"/>
        <v>Polina  Fedorova</v>
      </c>
      <c r="J48" s="734" t="str">
        <f t="shared" si="14"/>
        <v xml:space="preserve">Fedorova,Polina </v>
      </c>
      <c r="K48" s="735">
        <f t="shared" ca="1" si="15"/>
        <v>13</v>
      </c>
      <c r="L48" s="736" t="str">
        <f t="shared" si="16"/>
        <v>290910</v>
      </c>
      <c r="M48" s="766" t="str">
        <f ca="1">IF(K48=0,0,IF(K48&lt;9,"TOO YOUNG",IF(K48&lt;14,"OK","NOT ELIGIBLE")))</f>
        <v>OK</v>
      </c>
      <c r="AD48" s="722">
        <f t="shared" si="21"/>
        <v>21</v>
      </c>
      <c r="AE48" s="443" t="str">
        <f t="shared" si="22"/>
        <v>Female 13/U 100m Backstroke</v>
      </c>
      <c r="AF48" s="440" t="s">
        <v>4635</v>
      </c>
      <c r="AG48" s="739">
        <v>14</v>
      </c>
      <c r="AH48" s="740">
        <f t="shared" si="17"/>
        <v>1670724</v>
      </c>
      <c r="AI48" s="740" t="str">
        <f t="shared" si="18"/>
        <v xml:space="preserve">Polina </v>
      </c>
      <c r="AJ48" s="740" t="str">
        <f t="shared" si="19"/>
        <v>Fedorova</v>
      </c>
      <c r="AK48" s="740"/>
      <c r="AL48" s="740"/>
      <c r="AM48" s="740"/>
      <c r="AN48" s="740"/>
      <c r="AO48" s="740"/>
      <c r="AQ48" t="str">
        <f t="shared" ca="1" si="20"/>
        <v>29/09/2010</v>
      </c>
    </row>
    <row r="49" spans="1:43" ht="20.25" customHeight="1" x14ac:dyDescent="0.25">
      <c r="A49" s="755">
        <v>22</v>
      </c>
      <c r="B49" s="776" t="s">
        <v>4350</v>
      </c>
      <c r="C49" s="777" t="s">
        <v>328</v>
      </c>
      <c r="D49" s="778">
        <v>14</v>
      </c>
      <c r="E49" s="730">
        <v>1525256</v>
      </c>
      <c r="F49" s="731" t="s">
        <v>4958</v>
      </c>
      <c r="G49" s="731" t="s">
        <v>4959</v>
      </c>
      <c r="H49" s="732">
        <v>40325</v>
      </c>
      <c r="I49" s="733" t="str">
        <f t="shared" si="13"/>
        <v>Gert Zeqiri</v>
      </c>
      <c r="J49" s="734" t="str">
        <f t="shared" si="14"/>
        <v>Zeqiri,Gert</v>
      </c>
      <c r="K49" s="735">
        <f t="shared" ca="1" si="15"/>
        <v>13</v>
      </c>
      <c r="L49" s="736" t="str">
        <f t="shared" si="16"/>
        <v>270510</v>
      </c>
      <c r="M49" s="766" t="str">
        <f ca="1">IF(K49=0,0,IF(K49&lt;9,"TOO YOUNG",IF(K49&lt;14,"OK","NOT ELIGIBLE")))</f>
        <v>OK</v>
      </c>
      <c r="AD49" s="722">
        <f t="shared" si="21"/>
        <v>22</v>
      </c>
      <c r="AE49" s="443" t="str">
        <f t="shared" si="22"/>
        <v>Open/Male 13/U 100m Backstroke</v>
      </c>
      <c r="AF49" s="440" t="s">
        <v>328</v>
      </c>
      <c r="AG49" s="739">
        <v>14</v>
      </c>
      <c r="AH49" s="740">
        <f t="shared" si="17"/>
        <v>1525256</v>
      </c>
      <c r="AI49" s="740" t="str">
        <f t="shared" si="18"/>
        <v>Gert</v>
      </c>
      <c r="AJ49" s="740" t="str">
        <f t="shared" si="19"/>
        <v>Zeqiri</v>
      </c>
      <c r="AK49" s="740"/>
      <c r="AL49" s="740"/>
      <c r="AM49" s="740"/>
      <c r="AN49" s="740"/>
      <c r="AO49" s="740"/>
      <c r="AQ49" s="741">
        <f t="shared" ca="1" si="20"/>
        <v>40325</v>
      </c>
    </row>
    <row r="50" spans="1:43" ht="20.25" customHeight="1" x14ac:dyDescent="0.25">
      <c r="A50" s="779">
        <v>23</v>
      </c>
      <c r="B50" s="780" t="s">
        <v>4351</v>
      </c>
      <c r="C50" s="781" t="s">
        <v>4635</v>
      </c>
      <c r="D50" s="782">
        <v>11</v>
      </c>
      <c r="E50" s="730">
        <v>1377376</v>
      </c>
      <c r="F50" s="731" t="s">
        <v>4982</v>
      </c>
      <c r="G50" s="731" t="s">
        <v>4983</v>
      </c>
      <c r="H50" s="732">
        <v>39915</v>
      </c>
      <c r="I50" s="733" t="str">
        <f t="shared" si="13"/>
        <v>Crina Stefania  Bostan</v>
      </c>
      <c r="J50" s="734" t="str">
        <f t="shared" si="14"/>
        <v xml:space="preserve">Bostan,Crina Stefania </v>
      </c>
      <c r="K50" s="735">
        <f t="shared" ca="1" si="15"/>
        <v>14</v>
      </c>
      <c r="L50" s="736" t="str">
        <f t="shared" si="16"/>
        <v>120409</v>
      </c>
      <c r="M50" s="766" t="str">
        <f ca="1">IF(K50=0,0,IF(K50&lt;9,"TOO YOUNG",IF(K50&lt;16,"OK","NOT ELIGIBLE")))</f>
        <v>OK</v>
      </c>
      <c r="AD50" s="722">
        <f t="shared" si="21"/>
        <v>23</v>
      </c>
      <c r="AE50" s="443" t="str">
        <f t="shared" si="22"/>
        <v>Female 15/U 100m Butterfly</v>
      </c>
      <c r="AF50" s="440" t="s">
        <v>4635</v>
      </c>
      <c r="AG50" s="739">
        <v>11</v>
      </c>
      <c r="AH50" s="740">
        <f t="shared" si="17"/>
        <v>1377376</v>
      </c>
      <c r="AI50" s="740" t="str">
        <f t="shared" si="18"/>
        <v xml:space="preserve">Crina Stefania </v>
      </c>
      <c r="AJ50" s="740" t="str">
        <f t="shared" si="19"/>
        <v>Bostan</v>
      </c>
      <c r="AK50" s="740"/>
      <c r="AL50" s="740"/>
      <c r="AM50" s="740"/>
      <c r="AN50" s="740"/>
      <c r="AO50" s="740"/>
      <c r="AQ50" s="741">
        <f t="shared" ca="1" si="20"/>
        <v>39915</v>
      </c>
    </row>
    <row r="51" spans="1:43" ht="20.25" customHeight="1" x14ac:dyDescent="0.25">
      <c r="A51" s="779">
        <v>24</v>
      </c>
      <c r="B51" s="780" t="s">
        <v>4697</v>
      </c>
      <c r="C51" s="781" t="s">
        <v>328</v>
      </c>
      <c r="D51" s="782">
        <v>11</v>
      </c>
      <c r="E51" s="730">
        <v>1224682</v>
      </c>
      <c r="F51" s="731" t="s">
        <v>4976</v>
      </c>
      <c r="G51" s="731" t="s">
        <v>4993</v>
      </c>
      <c r="H51" s="732">
        <v>39570</v>
      </c>
      <c r="I51" s="733" t="str">
        <f t="shared" si="13"/>
        <v xml:space="preserve">Owen  Roberts </v>
      </c>
      <c r="J51" s="734" t="str">
        <f t="shared" si="14"/>
        <v xml:space="preserve">Roberts ,Owen </v>
      </c>
      <c r="K51" s="735">
        <f t="shared" ca="1" si="15"/>
        <v>15</v>
      </c>
      <c r="L51" s="736" t="str">
        <f t="shared" si="16"/>
        <v>020508</v>
      </c>
      <c r="M51" s="766" t="str">
        <f ca="1">IF(K51=0,0,IF(K51&lt;9,"TOO YOUNG",IF(K51&lt;16,"OK","NOT ELIGIBLE")))</f>
        <v>OK</v>
      </c>
      <c r="AD51" s="722">
        <f t="shared" si="21"/>
        <v>24</v>
      </c>
      <c r="AE51" s="443" t="str">
        <f t="shared" si="22"/>
        <v>Open/Male 15/U 100m Butterfly</v>
      </c>
      <c r="AF51" s="440" t="s">
        <v>328</v>
      </c>
      <c r="AG51" s="739">
        <v>11</v>
      </c>
      <c r="AH51" s="740">
        <f t="shared" si="17"/>
        <v>1224682</v>
      </c>
      <c r="AI51" s="740" t="str">
        <f t="shared" si="18"/>
        <v xml:space="preserve">Owen </v>
      </c>
      <c r="AJ51" s="740" t="str">
        <f t="shared" si="19"/>
        <v xml:space="preserve">Roberts </v>
      </c>
      <c r="AK51" s="740"/>
      <c r="AL51" s="740"/>
      <c r="AM51" s="740"/>
      <c r="AN51" s="740"/>
      <c r="AO51" s="740"/>
      <c r="AQ51" s="741">
        <f t="shared" ca="1" si="20"/>
        <v>39570</v>
      </c>
    </row>
    <row r="52" spans="1:43" ht="20.25" customHeight="1" x14ac:dyDescent="0.25">
      <c r="A52" s="727">
        <v>25</v>
      </c>
      <c r="B52" s="742" t="s">
        <v>4353</v>
      </c>
      <c r="C52" s="728" t="s">
        <v>4635</v>
      </c>
      <c r="D52" s="729">
        <v>14</v>
      </c>
      <c r="E52" s="730">
        <v>1304655</v>
      </c>
      <c r="F52" s="731" t="s">
        <v>4767</v>
      </c>
      <c r="G52" s="731" t="s">
        <v>4967</v>
      </c>
      <c r="H52" s="800" t="s">
        <v>4968</v>
      </c>
      <c r="I52" s="733" t="str">
        <f t="shared" si="13"/>
        <v>Hannah Barrios</v>
      </c>
      <c r="J52" s="734" t="str">
        <f t="shared" si="14"/>
        <v>Barrios,Hannah</v>
      </c>
      <c r="K52" s="735">
        <f t="shared" ca="1" si="15"/>
        <v>14</v>
      </c>
      <c r="L52" s="736" t="str">
        <f t="shared" si="16"/>
        <v>180909</v>
      </c>
      <c r="M52" s="770" t="str">
        <f ca="1">IF(K52=0,0,IF(K52&lt;9,"TOO YOUNG",IF(K52&lt;60,"OK","BIT OLD MAYBE")))</f>
        <v>OK</v>
      </c>
      <c r="AD52" s="722">
        <f t="shared" si="21"/>
        <v>25</v>
      </c>
      <c r="AE52" s="443" t="str">
        <f t="shared" si="22"/>
        <v>Female 16+ 100m Backstroke</v>
      </c>
      <c r="AF52" s="440" t="s">
        <v>4635</v>
      </c>
      <c r="AG52" s="739">
        <v>14</v>
      </c>
      <c r="AH52" s="740">
        <f t="shared" si="17"/>
        <v>1304655</v>
      </c>
      <c r="AI52" s="740" t="str">
        <f t="shared" si="18"/>
        <v>Hannah</v>
      </c>
      <c r="AJ52" s="740" t="str">
        <f t="shared" si="19"/>
        <v>Barrios</v>
      </c>
      <c r="AK52" s="740"/>
      <c r="AL52" s="740"/>
      <c r="AM52" s="740"/>
      <c r="AN52" s="740"/>
      <c r="AO52" s="740"/>
      <c r="AQ52" t="str">
        <f t="shared" ca="1" si="20"/>
        <v>18/09/2009</v>
      </c>
    </row>
    <row r="53" spans="1:43" ht="20.25" customHeight="1" x14ac:dyDescent="0.25">
      <c r="A53" s="727">
        <v>26</v>
      </c>
      <c r="B53" s="742" t="s">
        <v>4698</v>
      </c>
      <c r="C53" s="728" t="s">
        <v>328</v>
      </c>
      <c r="D53" s="729">
        <v>14</v>
      </c>
      <c r="E53" s="730">
        <v>1224682</v>
      </c>
      <c r="F53" s="731" t="s">
        <v>4994</v>
      </c>
      <c r="G53" s="731" t="s">
        <v>4944</v>
      </c>
      <c r="H53" s="732">
        <v>39570</v>
      </c>
      <c r="I53" s="733" t="str">
        <f t="shared" si="13"/>
        <v>Owen Roberts</v>
      </c>
      <c r="J53" s="734" t="str">
        <f t="shared" si="14"/>
        <v>Roberts,Owen</v>
      </c>
      <c r="K53" s="735">
        <f t="shared" ca="1" si="15"/>
        <v>15</v>
      </c>
      <c r="L53" s="736" t="str">
        <f t="shared" si="16"/>
        <v>020508</v>
      </c>
      <c r="M53" s="770" t="str">
        <f ca="1">IF(K53=0,0,IF(K53&lt;9,"TOO YOUNG",IF(K53&lt;60,"OK","BIT OLD MAYBE")))</f>
        <v>OK</v>
      </c>
      <c r="AD53" s="722">
        <f t="shared" si="21"/>
        <v>26</v>
      </c>
      <c r="AE53" s="443" t="str">
        <f t="shared" si="22"/>
        <v>Open/Male 16+100m Backstroke</v>
      </c>
      <c r="AF53" s="440" t="s">
        <v>328</v>
      </c>
      <c r="AG53" s="739">
        <v>14</v>
      </c>
      <c r="AH53" s="740">
        <f t="shared" si="17"/>
        <v>1224682</v>
      </c>
      <c r="AI53" s="740" t="str">
        <f t="shared" si="18"/>
        <v>Owen</v>
      </c>
      <c r="AJ53" s="740" t="str">
        <f t="shared" si="19"/>
        <v>Roberts</v>
      </c>
      <c r="AK53" s="740"/>
      <c r="AL53" s="740"/>
      <c r="AM53" s="740"/>
      <c r="AN53" s="740"/>
      <c r="AO53" s="740"/>
      <c r="AQ53" s="741">
        <f t="shared" ca="1" si="20"/>
        <v>39570</v>
      </c>
    </row>
    <row r="54" spans="1:43" ht="20.25" customHeight="1" x14ac:dyDescent="0.25">
      <c r="A54" s="745">
        <v>27</v>
      </c>
      <c r="B54" s="773" t="s">
        <v>4355</v>
      </c>
      <c r="C54" s="774" t="s">
        <v>4635</v>
      </c>
      <c r="D54" s="775">
        <v>7</v>
      </c>
      <c r="E54" s="730">
        <v>1430642</v>
      </c>
      <c r="F54" s="731" t="s">
        <v>4992</v>
      </c>
      <c r="G54" s="731" t="s">
        <v>4935</v>
      </c>
      <c r="H54" s="732">
        <v>41037</v>
      </c>
      <c r="I54" s="733" t="str">
        <f t="shared" si="13"/>
        <v>Miraya  Patel</v>
      </c>
      <c r="J54" s="734" t="str">
        <f t="shared" si="14"/>
        <v xml:space="preserve">Patel,Miraya </v>
      </c>
      <c r="K54" s="735">
        <f t="shared" ca="1" si="15"/>
        <v>11</v>
      </c>
      <c r="L54" s="736" t="str">
        <f t="shared" si="16"/>
        <v>080512</v>
      </c>
      <c r="M54" s="766" t="str">
        <f ca="1">IF(K54=0,0,IF(K54&lt;10,"TOO YOUNG",IF(K54&lt;12,"OK","NOT ELIGIBLE")))</f>
        <v>OK</v>
      </c>
      <c r="AD54" s="722">
        <f t="shared" si="21"/>
        <v>27</v>
      </c>
      <c r="AE54" s="443" t="str">
        <f t="shared" si="22"/>
        <v>Female 10/11 50m Breaststroke</v>
      </c>
      <c r="AF54" s="440" t="s">
        <v>4635</v>
      </c>
      <c r="AG54" s="739">
        <v>7</v>
      </c>
      <c r="AH54" s="740">
        <f t="shared" si="17"/>
        <v>1430642</v>
      </c>
      <c r="AI54" s="740" t="str">
        <f t="shared" si="18"/>
        <v xml:space="preserve">Miraya </v>
      </c>
      <c r="AJ54" s="740" t="str">
        <f t="shared" si="19"/>
        <v>Patel</v>
      </c>
      <c r="AK54" s="740"/>
      <c r="AL54" s="740"/>
      <c r="AM54" s="740"/>
      <c r="AN54" s="740"/>
      <c r="AO54" s="740"/>
      <c r="AQ54" s="741">
        <f t="shared" ca="1" si="20"/>
        <v>41037</v>
      </c>
    </row>
    <row r="55" spans="1:43" ht="20.25" customHeight="1" x14ac:dyDescent="0.25">
      <c r="A55" s="745">
        <v>28</v>
      </c>
      <c r="B55" s="773" t="s">
        <v>4356</v>
      </c>
      <c r="C55" s="774" t="s">
        <v>328</v>
      </c>
      <c r="D55" s="775">
        <v>7</v>
      </c>
      <c r="E55" s="730">
        <v>1407491</v>
      </c>
      <c r="F55" s="731" t="s">
        <v>4943</v>
      </c>
      <c r="G55" s="731" t="s">
        <v>4944</v>
      </c>
      <c r="H55" s="732">
        <v>41200</v>
      </c>
      <c r="I55" s="733" t="str">
        <f t="shared" si="13"/>
        <v>Macsen Roberts</v>
      </c>
      <c r="J55" s="734" t="str">
        <f t="shared" si="14"/>
        <v>Roberts,Macsen</v>
      </c>
      <c r="K55" s="735">
        <f t="shared" ca="1" si="15"/>
        <v>11</v>
      </c>
      <c r="L55" s="736" t="str">
        <f t="shared" si="16"/>
        <v>181012</v>
      </c>
      <c r="M55" s="766" t="str">
        <f ca="1">IF(K55=0,0,IF(K55&lt;10,"TOO YOUNG",IF(K55&lt;12,"OK","NOT ELIGIBLE")))</f>
        <v>OK</v>
      </c>
      <c r="AD55" s="722">
        <f t="shared" si="21"/>
        <v>28</v>
      </c>
      <c r="AE55" s="443" t="str">
        <f t="shared" si="22"/>
        <v>Open/Male 10/11 50m Breaststroke</v>
      </c>
      <c r="AF55" s="440" t="s">
        <v>328</v>
      </c>
      <c r="AG55" s="739">
        <v>7</v>
      </c>
      <c r="AH55" s="740">
        <f t="shared" si="17"/>
        <v>1407491</v>
      </c>
      <c r="AI55" s="740" t="str">
        <f t="shared" si="18"/>
        <v>Macsen</v>
      </c>
      <c r="AJ55" s="740" t="str">
        <f t="shared" si="19"/>
        <v>Roberts</v>
      </c>
      <c r="AK55" s="740"/>
      <c r="AL55" s="740"/>
      <c r="AM55" s="740"/>
      <c r="AN55" s="740"/>
      <c r="AO55" s="740"/>
      <c r="AQ55" s="741">
        <f t="shared" ca="1" si="20"/>
        <v>41200</v>
      </c>
    </row>
    <row r="56" spans="1:43" ht="20.25" customHeight="1" x14ac:dyDescent="0.25">
      <c r="A56" s="755">
        <v>29</v>
      </c>
      <c r="B56" s="776" t="s">
        <v>4357</v>
      </c>
      <c r="C56" s="777" t="s">
        <v>4635</v>
      </c>
      <c r="D56" s="778">
        <v>11</v>
      </c>
      <c r="E56" s="730">
        <v>1713553</v>
      </c>
      <c r="F56" s="731" t="s">
        <v>4954</v>
      </c>
      <c r="G56" s="731" t="s">
        <v>4955</v>
      </c>
      <c r="H56" s="732">
        <v>40289</v>
      </c>
      <c r="I56" s="733" t="str">
        <f t="shared" si="13"/>
        <v>Emma Sum</v>
      </c>
      <c r="J56" s="734" t="str">
        <f t="shared" si="14"/>
        <v>Sum,Emma</v>
      </c>
      <c r="K56" s="735">
        <f t="shared" ca="1" si="15"/>
        <v>13</v>
      </c>
      <c r="L56" s="736" t="str">
        <f t="shared" si="16"/>
        <v>210410</v>
      </c>
      <c r="M56" s="766" t="str">
        <f ca="1">IF(K56=0,0,IF(K56&lt;9,"TOO YOUNG",IF(K56&lt;14,"OK","NOT ELIGIBLE")))</f>
        <v>OK</v>
      </c>
      <c r="AD56" s="722">
        <f t="shared" si="21"/>
        <v>29</v>
      </c>
      <c r="AE56" s="443" t="str">
        <f t="shared" si="22"/>
        <v>Female 13/U 100m Butterfly</v>
      </c>
      <c r="AF56" s="440" t="s">
        <v>4635</v>
      </c>
      <c r="AG56" s="739">
        <v>11</v>
      </c>
      <c r="AH56" s="740">
        <f t="shared" si="17"/>
        <v>1713553</v>
      </c>
      <c r="AI56" s="740" t="str">
        <f t="shared" si="18"/>
        <v>Emma</v>
      </c>
      <c r="AJ56" s="740" t="str">
        <f t="shared" si="19"/>
        <v>Sum</v>
      </c>
      <c r="AK56" s="740"/>
      <c r="AL56" s="740"/>
      <c r="AM56" s="740"/>
      <c r="AN56" s="740"/>
      <c r="AO56" s="740"/>
      <c r="AQ56" s="741">
        <f t="shared" ca="1" si="20"/>
        <v>40289</v>
      </c>
    </row>
    <row r="57" spans="1:43" ht="20.25" customHeight="1" x14ac:dyDescent="0.25">
      <c r="A57" s="755">
        <v>30</v>
      </c>
      <c r="B57" s="776" t="s">
        <v>4358</v>
      </c>
      <c r="C57" s="777" t="s">
        <v>328</v>
      </c>
      <c r="D57" s="778">
        <v>11</v>
      </c>
      <c r="E57" s="730">
        <v>1459463</v>
      </c>
      <c r="F57" s="731" t="s">
        <v>4961</v>
      </c>
      <c r="G57" s="731" t="s">
        <v>4962</v>
      </c>
      <c r="H57" s="800" t="s">
        <v>4963</v>
      </c>
      <c r="I57" s="733" t="str">
        <f t="shared" si="13"/>
        <v>Cosmin Ioan  Iojan</v>
      </c>
      <c r="J57" s="734" t="str">
        <f t="shared" si="14"/>
        <v xml:space="preserve">Iojan,Cosmin Ioan </v>
      </c>
      <c r="K57" s="735">
        <f t="shared" ca="1" si="15"/>
        <v>12</v>
      </c>
      <c r="L57" s="736" t="str">
        <f t="shared" si="16"/>
        <v>080811</v>
      </c>
      <c r="M57" s="766" t="str">
        <f ca="1">IF(K57=0,0,IF(K57&lt;9,"TOO YOUNG",IF(K57&lt;14,"OK","NOT ELIGIBLE")))</f>
        <v>OK</v>
      </c>
      <c r="AD57" s="722">
        <f t="shared" si="21"/>
        <v>30</v>
      </c>
      <c r="AE57" s="443" t="str">
        <f t="shared" si="22"/>
        <v>Open/Male 13/U 100m Butterfly</v>
      </c>
      <c r="AF57" s="440" t="s">
        <v>328</v>
      </c>
      <c r="AG57" s="739">
        <v>11</v>
      </c>
      <c r="AH57" s="740">
        <f t="shared" si="17"/>
        <v>1459463</v>
      </c>
      <c r="AI57" s="740" t="str">
        <f t="shared" si="18"/>
        <v xml:space="preserve">Cosmin Ioan </v>
      </c>
      <c r="AJ57" s="740" t="str">
        <f t="shared" si="19"/>
        <v>Iojan</v>
      </c>
      <c r="AK57" s="740"/>
      <c r="AL57" s="740"/>
      <c r="AM57" s="740"/>
      <c r="AN57" s="740"/>
      <c r="AO57" s="740"/>
      <c r="AQ57" t="str">
        <f t="shared" ca="1" si="20"/>
        <v>08/08/2011</v>
      </c>
    </row>
    <row r="58" spans="1:43" ht="20.25" customHeight="1" x14ac:dyDescent="0.25">
      <c r="A58" s="779">
        <v>31</v>
      </c>
      <c r="B58" s="780" t="s">
        <v>4359</v>
      </c>
      <c r="C58" s="781" t="s">
        <v>4635</v>
      </c>
      <c r="D58" s="782">
        <v>2</v>
      </c>
      <c r="E58" s="730">
        <v>1187876</v>
      </c>
      <c r="F58" s="731" t="s">
        <v>4926</v>
      </c>
      <c r="G58" s="731" t="s">
        <v>4927</v>
      </c>
      <c r="H58" s="732">
        <v>40147</v>
      </c>
      <c r="I58" s="733" t="str">
        <f t="shared" si="13"/>
        <v>Alice  Sharrock</v>
      </c>
      <c r="J58" s="734" t="str">
        <f t="shared" si="14"/>
        <v xml:space="preserve">Sharrock,Alice </v>
      </c>
      <c r="K58" s="735">
        <f t="shared" ca="1" si="15"/>
        <v>14</v>
      </c>
      <c r="L58" s="736" t="str">
        <f t="shared" si="16"/>
        <v>301109</v>
      </c>
      <c r="M58" s="766" t="str">
        <f ca="1">IF(K58=0,0,IF(K58&lt;9,"TOO YOUNG",IF(K58&lt;16,"OK","NOT ELIGIBLE")))</f>
        <v>OK</v>
      </c>
      <c r="AD58" s="722">
        <f t="shared" si="21"/>
        <v>31</v>
      </c>
      <c r="AE58" s="443" t="str">
        <f t="shared" si="22"/>
        <v>Female 15/U 100m Freestyle</v>
      </c>
      <c r="AF58" s="440" t="s">
        <v>4635</v>
      </c>
      <c r="AG58" s="739">
        <v>2</v>
      </c>
      <c r="AH58" s="740">
        <f t="shared" si="17"/>
        <v>1187876</v>
      </c>
      <c r="AI58" s="740" t="str">
        <f t="shared" si="18"/>
        <v xml:space="preserve">Alice </v>
      </c>
      <c r="AJ58" s="740" t="str">
        <f t="shared" si="19"/>
        <v>Sharrock</v>
      </c>
      <c r="AK58" s="740"/>
      <c r="AL58" s="740"/>
      <c r="AM58" s="740"/>
      <c r="AN58" s="740"/>
      <c r="AO58" s="740"/>
      <c r="AQ58" s="741">
        <f t="shared" ca="1" si="20"/>
        <v>40147</v>
      </c>
    </row>
    <row r="59" spans="1:43" ht="20.25" customHeight="1" x14ac:dyDescent="0.25">
      <c r="A59" s="779">
        <v>32</v>
      </c>
      <c r="B59" s="780" t="s">
        <v>4360</v>
      </c>
      <c r="C59" s="781" t="s">
        <v>328</v>
      </c>
      <c r="D59" s="782">
        <v>2</v>
      </c>
      <c r="E59" s="730"/>
      <c r="F59" s="731"/>
      <c r="G59" s="731"/>
      <c r="H59" s="732"/>
      <c r="I59" s="733" t="str">
        <f t="shared" si="13"/>
        <v xml:space="preserve"> </v>
      </c>
      <c r="J59" s="734" t="str">
        <f t="shared" si="14"/>
        <v>,</v>
      </c>
      <c r="K59" s="735">
        <f t="shared" ca="1" si="15"/>
        <v>0</v>
      </c>
      <c r="L59" s="736" t="str">
        <f t="shared" si="16"/>
        <v>000100</v>
      </c>
      <c r="M59" s="766">
        <f ca="1">IF(K59=0,0,IF(K59&lt;9,"TOO YOUNG",IF(K59&lt;16,"OK","NOT ELIGIBLE")))</f>
        <v>0</v>
      </c>
      <c r="AD59" s="722">
        <f t="shared" si="21"/>
        <v>32</v>
      </c>
      <c r="AE59" s="443" t="str">
        <f t="shared" si="22"/>
        <v>Open/Male 15/U 100m Freestyle</v>
      </c>
      <c r="AF59" s="440" t="s">
        <v>328</v>
      </c>
      <c r="AG59" s="739">
        <v>2</v>
      </c>
      <c r="AH59" s="740">
        <f t="shared" si="17"/>
        <v>0</v>
      </c>
      <c r="AI59" s="740">
        <f t="shared" si="18"/>
        <v>0</v>
      </c>
      <c r="AJ59" s="740">
        <f t="shared" si="19"/>
        <v>0</v>
      </c>
      <c r="AK59" s="740"/>
      <c r="AL59" s="740"/>
      <c r="AM59" s="740"/>
      <c r="AN59" s="740"/>
      <c r="AO59" s="740"/>
      <c r="AQ59" s="741">
        <f t="shared" ca="1" si="20"/>
        <v>0</v>
      </c>
    </row>
    <row r="60" spans="1:43" ht="20.25" customHeight="1" x14ac:dyDescent="0.25">
      <c r="A60" s="727">
        <v>33</v>
      </c>
      <c r="B60" s="742" t="s">
        <v>4361</v>
      </c>
      <c r="C60" s="742" t="s">
        <v>4635</v>
      </c>
      <c r="D60" s="783">
        <v>8</v>
      </c>
      <c r="E60" s="730">
        <v>1304651</v>
      </c>
      <c r="F60" s="731" t="s">
        <v>4995</v>
      </c>
      <c r="G60" s="731" t="s">
        <v>4974</v>
      </c>
      <c r="H60" s="800" t="s">
        <v>4981</v>
      </c>
      <c r="I60" s="733" t="str">
        <f t="shared" si="13"/>
        <v>Mina  Safahe</v>
      </c>
      <c r="J60" s="734" t="str">
        <f t="shared" si="14"/>
        <v xml:space="preserve">Safahe,Mina </v>
      </c>
      <c r="K60" s="735">
        <f t="shared" ca="1" si="15"/>
        <v>14</v>
      </c>
      <c r="L60" s="736" t="str">
        <f t="shared" si="16"/>
        <v>170109</v>
      </c>
      <c r="M60" s="770" t="str">
        <f ca="1">IF(K60=0,0,IF(K60&lt;9,"TOO YOUNG",IF(K60&lt;60,"OK","BIT OLD MAYBE")))</f>
        <v>OK</v>
      </c>
      <c r="AD60" s="722">
        <f t="shared" si="21"/>
        <v>33</v>
      </c>
      <c r="AE60" s="443" t="str">
        <f t="shared" si="22"/>
        <v>Female 16+ 100m Breaststroke</v>
      </c>
      <c r="AF60" s="443" t="s">
        <v>4635</v>
      </c>
      <c r="AG60" s="744">
        <v>9</v>
      </c>
      <c r="AH60" s="740">
        <f t="shared" si="17"/>
        <v>1304651</v>
      </c>
      <c r="AI60" s="740" t="str">
        <f t="shared" si="18"/>
        <v xml:space="preserve">Mina </v>
      </c>
      <c r="AJ60" s="740" t="str">
        <f t="shared" si="19"/>
        <v>Safahe</v>
      </c>
      <c r="AK60" s="740"/>
      <c r="AL60" s="740"/>
      <c r="AM60" s="740"/>
      <c r="AN60" s="740"/>
      <c r="AO60" s="740"/>
      <c r="AQ60" t="str">
        <f t="shared" ca="1" si="20"/>
        <v>17/01/2009</v>
      </c>
    </row>
    <row r="61" spans="1:43" ht="20.25" customHeight="1" x14ac:dyDescent="0.25">
      <c r="A61" s="727">
        <v>34</v>
      </c>
      <c r="B61" s="742" t="s">
        <v>4362</v>
      </c>
      <c r="C61" s="742" t="s">
        <v>328</v>
      </c>
      <c r="D61" s="783">
        <v>8</v>
      </c>
      <c r="E61" s="730">
        <v>1713539</v>
      </c>
      <c r="F61" s="731" t="s">
        <v>4996</v>
      </c>
      <c r="G61" s="731" t="s">
        <v>4990</v>
      </c>
      <c r="H61" s="732">
        <v>38903</v>
      </c>
      <c r="I61" s="733" t="str">
        <f t="shared" si="13"/>
        <v>Wiktor  Brejnak</v>
      </c>
      <c r="J61" s="734" t="str">
        <f t="shared" si="14"/>
        <v xml:space="preserve">Brejnak,Wiktor </v>
      </c>
      <c r="K61" s="735">
        <f t="shared" ca="1" si="15"/>
        <v>17</v>
      </c>
      <c r="L61" s="736" t="str">
        <f t="shared" si="16"/>
        <v>050706</v>
      </c>
      <c r="M61" s="770" t="str">
        <f ca="1">IF(K61=0,0,IF(K61&lt;9,"TOO YOUNG",IF(K61&lt;60,"OK","BIT OLD MAYBE")))</f>
        <v>OK</v>
      </c>
      <c r="AD61" s="722">
        <f t="shared" si="21"/>
        <v>34</v>
      </c>
      <c r="AE61" s="443" t="str">
        <f t="shared" si="22"/>
        <v>Open/Male 16+ 100m Breaststroke</v>
      </c>
      <c r="AF61" s="443" t="s">
        <v>328</v>
      </c>
      <c r="AG61" s="744">
        <v>9</v>
      </c>
      <c r="AH61" s="740">
        <f t="shared" si="17"/>
        <v>1713539</v>
      </c>
      <c r="AI61" s="740" t="str">
        <f t="shared" si="18"/>
        <v xml:space="preserve">Wiktor </v>
      </c>
      <c r="AJ61" s="740" t="str">
        <f t="shared" si="19"/>
        <v>Brejnak</v>
      </c>
      <c r="AK61" s="740"/>
      <c r="AL61" s="740"/>
      <c r="AM61" s="740"/>
      <c r="AN61" s="740"/>
      <c r="AO61" s="740"/>
      <c r="AQ61" s="741">
        <f t="shared" ca="1" si="20"/>
        <v>38903</v>
      </c>
    </row>
    <row r="62" spans="1:43" ht="20.25" customHeight="1" x14ac:dyDescent="0.25">
      <c r="A62" s="745">
        <v>35</v>
      </c>
      <c r="B62" s="773" t="s">
        <v>4363</v>
      </c>
      <c r="C62" s="774" t="s">
        <v>4635</v>
      </c>
      <c r="D62" s="775">
        <v>1</v>
      </c>
      <c r="E62" s="730">
        <v>1525245</v>
      </c>
      <c r="F62" s="731" t="s">
        <v>4931</v>
      </c>
      <c r="G62" s="731" t="s">
        <v>4932</v>
      </c>
      <c r="H62" s="800" t="s">
        <v>4933</v>
      </c>
      <c r="I62" s="733" t="str">
        <f t="shared" si="13"/>
        <v>Mahika Chandrashekar</v>
      </c>
      <c r="J62" s="734" t="str">
        <f t="shared" si="14"/>
        <v>Chandrashekar,Mahika</v>
      </c>
      <c r="K62" s="735">
        <f t="shared" ca="1" si="15"/>
        <v>11</v>
      </c>
      <c r="L62" s="736" t="str">
        <f t="shared" si="16"/>
        <v>040612</v>
      </c>
      <c r="M62" s="766" t="str">
        <f ca="1">IF(K62=0,0,IF(K62&lt;10,"TOO YOUNG",IF(K62&lt;12,"OK","NOT ELIGIBLE")))</f>
        <v>OK</v>
      </c>
      <c r="AD62" s="722">
        <f t="shared" si="21"/>
        <v>35</v>
      </c>
      <c r="AE62" s="443" t="str">
        <f t="shared" si="22"/>
        <v>Female 10/11 50m Freestyle</v>
      </c>
      <c r="AF62" s="440" t="s">
        <v>4635</v>
      </c>
      <c r="AG62" s="739">
        <v>1</v>
      </c>
      <c r="AH62" s="740">
        <f t="shared" si="17"/>
        <v>1525245</v>
      </c>
      <c r="AI62" s="740" t="str">
        <f t="shared" si="18"/>
        <v>Mahika</v>
      </c>
      <c r="AJ62" s="740" t="str">
        <f t="shared" si="19"/>
        <v>Chandrashekar</v>
      </c>
      <c r="AK62" s="740"/>
      <c r="AL62" s="740"/>
      <c r="AM62" s="740"/>
      <c r="AN62" s="740"/>
      <c r="AO62" s="740"/>
      <c r="AQ62" t="str">
        <f t="shared" ca="1" si="20"/>
        <v>04/06/2012</v>
      </c>
    </row>
    <row r="63" spans="1:43" ht="20.25" customHeight="1" x14ac:dyDescent="0.25">
      <c r="A63" s="745">
        <v>36</v>
      </c>
      <c r="B63" s="773" t="s">
        <v>4699</v>
      </c>
      <c r="C63" s="774" t="s">
        <v>328</v>
      </c>
      <c r="D63" s="775">
        <v>1</v>
      </c>
      <c r="E63" s="730">
        <v>1670720</v>
      </c>
      <c r="F63" s="731" t="s">
        <v>4789</v>
      </c>
      <c r="G63" s="731" t="s">
        <v>4942</v>
      </c>
      <c r="H63" s="732">
        <v>41469</v>
      </c>
      <c r="I63" s="733" t="str">
        <f t="shared" si="13"/>
        <v>Mikhail Fedorov</v>
      </c>
      <c r="J63" s="734" t="str">
        <f t="shared" si="14"/>
        <v>Fedorov,Mikhail</v>
      </c>
      <c r="K63" s="735">
        <f t="shared" ca="1" si="15"/>
        <v>10</v>
      </c>
      <c r="L63" s="736" t="str">
        <f t="shared" si="16"/>
        <v>140713</v>
      </c>
      <c r="M63" s="766" t="str">
        <f ca="1">IF(K63=0,0,IF(K63&lt;10,"TOO YOUNG",IF(K63&lt;12,"OK","NOT ELIGIBLE")))</f>
        <v>OK</v>
      </c>
      <c r="AD63" s="722">
        <f t="shared" si="21"/>
        <v>36</v>
      </c>
      <c r="AE63" s="443" t="str">
        <f t="shared" si="22"/>
        <v>Open/Male 10/11 50m Freestyle</v>
      </c>
      <c r="AF63" s="440" t="s">
        <v>328</v>
      </c>
      <c r="AG63" s="739">
        <v>1</v>
      </c>
      <c r="AH63" s="740">
        <f t="shared" si="17"/>
        <v>1670720</v>
      </c>
      <c r="AI63" s="740" t="str">
        <f t="shared" si="18"/>
        <v>Mikhail</v>
      </c>
      <c r="AJ63" s="740" t="str">
        <f t="shared" si="19"/>
        <v>Fedorov</v>
      </c>
      <c r="AK63" s="740"/>
      <c r="AL63" s="740"/>
      <c r="AM63" s="740"/>
      <c r="AN63" s="740"/>
      <c r="AO63" s="740"/>
      <c r="AQ63" s="741">
        <f t="shared" ca="1" si="20"/>
        <v>41469</v>
      </c>
    </row>
    <row r="64" spans="1:43" ht="20.25" customHeight="1" x14ac:dyDescent="0.25">
      <c r="A64" s="755">
        <v>37</v>
      </c>
      <c r="B64" s="776" t="s">
        <v>4365</v>
      </c>
      <c r="C64" s="777" t="s">
        <v>4635</v>
      </c>
      <c r="D64" s="778">
        <v>2</v>
      </c>
      <c r="E64" s="730">
        <v>1670724</v>
      </c>
      <c r="F64" s="731" t="s">
        <v>4951</v>
      </c>
      <c r="G64" s="731" t="s">
        <v>4952</v>
      </c>
      <c r="H64" s="800" t="s">
        <v>4953</v>
      </c>
      <c r="I64" s="733" t="str">
        <f t="shared" si="13"/>
        <v>Polina Fedorova</v>
      </c>
      <c r="J64" s="734" t="str">
        <f t="shared" si="14"/>
        <v>Fedorova,Polina</v>
      </c>
      <c r="K64" s="735">
        <f t="shared" ca="1" si="15"/>
        <v>13</v>
      </c>
      <c r="L64" s="736" t="str">
        <f t="shared" si="16"/>
        <v>290910</v>
      </c>
      <c r="M64" s="766" t="str">
        <f ca="1">IF(K64=0,0,IF(K64&lt;9,"TOO YOUNG",IF(K64&lt;14,"OK","NOT ELIGIBLE")))</f>
        <v>OK</v>
      </c>
      <c r="AD64" s="722">
        <f t="shared" si="21"/>
        <v>37</v>
      </c>
      <c r="AE64" s="443" t="str">
        <f t="shared" si="22"/>
        <v>Female 13/U 100m Freestyle</v>
      </c>
      <c r="AF64" s="440" t="s">
        <v>4635</v>
      </c>
      <c r="AG64" s="739">
        <v>2</v>
      </c>
      <c r="AH64" s="740">
        <f t="shared" si="17"/>
        <v>1670724</v>
      </c>
      <c r="AI64" s="740" t="str">
        <f t="shared" si="18"/>
        <v>Polina</v>
      </c>
      <c r="AJ64" s="740" t="str">
        <f t="shared" si="19"/>
        <v>Fedorova</v>
      </c>
      <c r="AK64" s="740"/>
      <c r="AL64" s="740"/>
      <c r="AM64" s="740"/>
      <c r="AN64" s="740"/>
      <c r="AO64" s="740"/>
      <c r="AQ64" t="str">
        <f t="shared" ca="1" si="20"/>
        <v>29/09/2010</v>
      </c>
    </row>
    <row r="65" spans="1:43" ht="20.25" customHeight="1" x14ac:dyDescent="0.25">
      <c r="A65" s="755">
        <v>38</v>
      </c>
      <c r="B65" s="776" t="s">
        <v>4366</v>
      </c>
      <c r="C65" s="777" t="s">
        <v>328</v>
      </c>
      <c r="D65" s="778">
        <v>2</v>
      </c>
      <c r="E65" s="730">
        <v>1525256</v>
      </c>
      <c r="F65" s="731" t="s">
        <v>4997</v>
      </c>
      <c r="G65" s="731" t="s">
        <v>4959</v>
      </c>
      <c r="H65" s="800" t="s">
        <v>4960</v>
      </c>
      <c r="I65" s="733" t="str">
        <f t="shared" si="13"/>
        <v>Gert  Zeqiri</v>
      </c>
      <c r="J65" s="734" t="str">
        <f t="shared" si="14"/>
        <v xml:space="preserve">Zeqiri,Gert </v>
      </c>
      <c r="K65" s="735">
        <f t="shared" ca="1" si="15"/>
        <v>13</v>
      </c>
      <c r="L65" s="736" t="str">
        <f t="shared" si="16"/>
        <v>270510</v>
      </c>
      <c r="M65" s="766" t="str">
        <f ca="1">IF(K65=0,0,IF(K65&lt;9,"TOO YOUNG",IF(K65&lt;14,"OK","NOT ELIGIBLE")))</f>
        <v>OK</v>
      </c>
      <c r="AD65" s="722">
        <f t="shared" si="21"/>
        <v>38</v>
      </c>
      <c r="AE65" s="443" t="str">
        <f t="shared" si="22"/>
        <v>Open/Male 13/U 100m Freestyle</v>
      </c>
      <c r="AF65" s="440" t="s">
        <v>328</v>
      </c>
      <c r="AG65" s="739">
        <v>2</v>
      </c>
      <c r="AH65" s="740">
        <f t="shared" si="17"/>
        <v>1525256</v>
      </c>
      <c r="AI65" s="740" t="str">
        <f t="shared" si="18"/>
        <v xml:space="preserve">Gert </v>
      </c>
      <c r="AJ65" s="740" t="str">
        <f t="shared" si="19"/>
        <v>Zeqiri</v>
      </c>
      <c r="AK65" s="740"/>
      <c r="AL65" s="740"/>
      <c r="AM65" s="740"/>
      <c r="AN65" s="740"/>
      <c r="AO65" s="740"/>
      <c r="AQ65" t="str">
        <f t="shared" ca="1" si="20"/>
        <v>27/05/2010</v>
      </c>
    </row>
    <row r="66" spans="1:43" ht="20.25" customHeight="1" x14ac:dyDescent="0.25">
      <c r="A66" s="779">
        <v>39</v>
      </c>
      <c r="B66" s="780" t="s">
        <v>4367</v>
      </c>
      <c r="C66" s="781" t="s">
        <v>4635</v>
      </c>
      <c r="D66" s="782">
        <v>8</v>
      </c>
      <c r="E66" s="730">
        <v>1304651</v>
      </c>
      <c r="F66" s="731" t="s">
        <v>4980</v>
      </c>
      <c r="G66" s="731" t="s">
        <v>4974</v>
      </c>
      <c r="H66" s="800" t="s">
        <v>4981</v>
      </c>
      <c r="I66" s="733" t="str">
        <f t="shared" si="13"/>
        <v>Mina Safahe</v>
      </c>
      <c r="J66" s="734" t="str">
        <f t="shared" si="14"/>
        <v>Safahe,Mina</v>
      </c>
      <c r="K66" s="735">
        <f t="shared" ca="1" si="15"/>
        <v>14</v>
      </c>
      <c r="L66" s="736" t="str">
        <f t="shared" si="16"/>
        <v>170109</v>
      </c>
      <c r="M66" s="766" t="str">
        <f ca="1">IF(K66=0,0,IF(K66&lt;9,"TOO YOUNG",IF(K66&lt;16,"OK","NOT ELIGIBLE")))</f>
        <v>OK</v>
      </c>
      <c r="AD66" s="722">
        <f t="shared" si="21"/>
        <v>39</v>
      </c>
      <c r="AE66" s="443" t="str">
        <f t="shared" si="22"/>
        <v>Female 15/U 100m Breaststroke</v>
      </c>
      <c r="AF66" s="440" t="s">
        <v>4635</v>
      </c>
      <c r="AG66" s="739">
        <v>9</v>
      </c>
      <c r="AH66" s="740">
        <f t="shared" si="17"/>
        <v>1304651</v>
      </c>
      <c r="AI66" s="740" t="str">
        <f t="shared" si="18"/>
        <v>Mina</v>
      </c>
      <c r="AJ66" s="740" t="str">
        <f t="shared" si="19"/>
        <v>Safahe</v>
      </c>
      <c r="AK66" s="740"/>
      <c r="AL66" s="740"/>
      <c r="AM66" s="740"/>
      <c r="AN66" s="740"/>
      <c r="AO66" s="740"/>
      <c r="AQ66" t="str">
        <f t="shared" ca="1" si="20"/>
        <v>17/01/2009</v>
      </c>
    </row>
    <row r="67" spans="1:43" ht="20.25" customHeight="1" x14ac:dyDescent="0.25">
      <c r="A67" s="779">
        <v>40</v>
      </c>
      <c r="B67" s="780" t="s">
        <v>4368</v>
      </c>
      <c r="C67" s="781" t="s">
        <v>328</v>
      </c>
      <c r="D67" s="782">
        <v>8</v>
      </c>
      <c r="E67" s="730">
        <v>1389306</v>
      </c>
      <c r="F67" s="731" t="s">
        <v>4690</v>
      </c>
      <c r="G67" s="731" t="s">
        <v>4979</v>
      </c>
      <c r="H67" s="732">
        <v>40019</v>
      </c>
      <c r="I67" s="733" t="str">
        <f t="shared" si="13"/>
        <v>Gabriel Rebelo</v>
      </c>
      <c r="J67" s="734" t="str">
        <f t="shared" si="14"/>
        <v>Rebelo,Gabriel</v>
      </c>
      <c r="K67" s="735">
        <f t="shared" ca="1" si="15"/>
        <v>14</v>
      </c>
      <c r="L67" s="736" t="str">
        <f t="shared" si="16"/>
        <v>250709</v>
      </c>
      <c r="M67" s="766" t="str">
        <f ca="1">IF(K67=0,0,IF(K67&lt;9,"TOO YOUNG",IF(K67&lt;16,"OK","NOT ELIGIBLE")))</f>
        <v>OK</v>
      </c>
      <c r="AD67" s="722">
        <f t="shared" si="21"/>
        <v>40</v>
      </c>
      <c r="AE67" s="443" t="str">
        <f t="shared" si="22"/>
        <v>Open/Male 15/U 100m Breaststroke</v>
      </c>
      <c r="AF67" s="440" t="s">
        <v>328</v>
      </c>
      <c r="AG67" s="739">
        <v>9</v>
      </c>
      <c r="AH67" s="740">
        <f t="shared" si="17"/>
        <v>1389306</v>
      </c>
      <c r="AI67" s="740" t="str">
        <f t="shared" si="18"/>
        <v>Gabriel</v>
      </c>
      <c r="AJ67" s="740" t="str">
        <f t="shared" si="19"/>
        <v>Rebelo</v>
      </c>
      <c r="AK67" s="740"/>
      <c r="AL67" s="740"/>
      <c r="AM67" s="740"/>
      <c r="AN67" s="740"/>
      <c r="AO67" s="740"/>
      <c r="AQ67" s="741">
        <f t="shared" ca="1" si="20"/>
        <v>40019</v>
      </c>
    </row>
    <row r="68" spans="1:43" ht="20.25" customHeight="1" x14ac:dyDescent="0.25">
      <c r="A68" s="727">
        <v>41</v>
      </c>
      <c r="B68" s="742" t="s">
        <v>4369</v>
      </c>
      <c r="C68" s="728" t="s">
        <v>4635</v>
      </c>
      <c r="D68" s="729">
        <v>2</v>
      </c>
      <c r="E68" s="730">
        <v>1187876</v>
      </c>
      <c r="F68" s="731" t="s">
        <v>4926</v>
      </c>
      <c r="G68" s="731" t="s">
        <v>4927</v>
      </c>
      <c r="H68" s="732">
        <v>40147</v>
      </c>
      <c r="I68" s="733" t="str">
        <f t="shared" ref="I68:I101" si="23">CONCATENATE(F68," ",G68)</f>
        <v>Alice  Sharrock</v>
      </c>
      <c r="J68" s="734" t="str">
        <f t="shared" ref="J68:J101" si="24">CONCATENATE(G68,",",F68)</f>
        <v xml:space="preserve">Sharrock,Alice </v>
      </c>
      <c r="K68" s="735">
        <f t="shared" ref="K68:K99" ca="1" si="25">IF(K$2=0,0,IF(AQ68=0,0,IF(COUNTBLANK(AQ68)=1,"",YEAR(K$2)-YEAR(AQ68)-IF(DATE(YEAR(K$2),MONTH(AQ68),DAY(4638))&gt;K$2,1,0))))</f>
        <v>14</v>
      </c>
      <c r="L68" s="736" t="str">
        <f t="shared" ref="L68:L99" si="26">(TEXT(H68,"DDMMYY"))</f>
        <v>301109</v>
      </c>
      <c r="M68" s="770" t="str">
        <f ca="1">IF(K68=0,0,IF(K68&lt;9,"TOO YOUNG",IF(K68&lt;60,"OK","BIT OLD MAYBE")))</f>
        <v>OK</v>
      </c>
      <c r="AD68" s="722">
        <f t="shared" si="21"/>
        <v>41</v>
      </c>
      <c r="AE68" s="443" t="str">
        <f t="shared" si="22"/>
        <v>Female 16+ 100m Freestyle</v>
      </c>
      <c r="AF68" s="440" t="s">
        <v>4635</v>
      </c>
      <c r="AG68" s="739">
        <v>2</v>
      </c>
      <c r="AH68" s="740">
        <f t="shared" ref="AH68:AH99" si="27">E68</f>
        <v>1187876</v>
      </c>
      <c r="AI68" s="740" t="str">
        <f t="shared" ref="AI68:AI99" si="28">F68</f>
        <v xml:space="preserve">Alice </v>
      </c>
      <c r="AJ68" s="740" t="str">
        <f t="shared" ref="AJ68:AJ99" si="29">G68</f>
        <v>Sharrock</v>
      </c>
      <c r="AK68" s="740"/>
      <c r="AL68" s="740"/>
      <c r="AM68" s="740"/>
      <c r="AN68" s="740"/>
      <c r="AO68" s="740"/>
      <c r="AQ68" s="741">
        <f t="shared" ref="AQ68:AQ99" ca="1" si="30">INDIRECT(ADDRESS(ROW(),AQ$3))</f>
        <v>40147</v>
      </c>
    </row>
    <row r="69" spans="1:43" ht="20.25" customHeight="1" x14ac:dyDescent="0.25">
      <c r="A69" s="727">
        <v>42</v>
      </c>
      <c r="B69" s="742" t="s">
        <v>4370</v>
      </c>
      <c r="C69" s="728" t="s">
        <v>328</v>
      </c>
      <c r="D69" s="729">
        <v>2</v>
      </c>
      <c r="E69" s="730">
        <v>1433288</v>
      </c>
      <c r="F69" s="731" t="s">
        <v>4928</v>
      </c>
      <c r="G69" s="731" t="s">
        <v>4929</v>
      </c>
      <c r="H69" s="800" t="s">
        <v>4930</v>
      </c>
      <c r="I69" s="733" t="str">
        <f t="shared" si="23"/>
        <v>Razvan Lembac</v>
      </c>
      <c r="J69" s="734" t="str">
        <f t="shared" si="24"/>
        <v>Lembac,Razvan</v>
      </c>
      <c r="K69" s="735">
        <f t="shared" ca="1" si="25"/>
        <v>16</v>
      </c>
      <c r="L69" s="736" t="str">
        <f t="shared" si="26"/>
        <v>141207</v>
      </c>
      <c r="M69" s="770" t="str">
        <f ca="1">IF(K69=0,0,IF(K69&lt;9,"TOO YOUNG",IF(K69&lt;60,"OK","BIT OLD MAYBE")))</f>
        <v>OK</v>
      </c>
      <c r="AD69" s="722">
        <f t="shared" si="21"/>
        <v>42</v>
      </c>
      <c r="AE69" s="443" t="str">
        <f t="shared" si="22"/>
        <v>Open/Male 16+ 100m Freestyle</v>
      </c>
      <c r="AF69" s="440" t="s">
        <v>328</v>
      </c>
      <c r="AG69" s="739">
        <v>2</v>
      </c>
      <c r="AH69" s="740">
        <f t="shared" si="27"/>
        <v>1433288</v>
      </c>
      <c r="AI69" s="740" t="str">
        <f t="shared" si="28"/>
        <v>Razvan</v>
      </c>
      <c r="AJ69" s="740" t="str">
        <f t="shared" si="29"/>
        <v>Lembac</v>
      </c>
      <c r="AK69" s="740"/>
      <c r="AL69" s="740"/>
      <c r="AM69" s="740"/>
      <c r="AN69" s="740"/>
      <c r="AO69" s="740"/>
      <c r="AQ69" t="str">
        <f t="shared" ca="1" si="30"/>
        <v>14/12/2007</v>
      </c>
    </row>
    <row r="70" spans="1:43" ht="20.25" customHeight="1" x14ac:dyDescent="0.25">
      <c r="A70" s="1254">
        <v>43</v>
      </c>
      <c r="B70" s="1255" t="s">
        <v>4700</v>
      </c>
      <c r="C70" s="746"/>
      <c r="D70" s="747"/>
      <c r="E70" s="730">
        <v>1525245</v>
      </c>
      <c r="F70" s="731" t="s">
        <v>4931</v>
      </c>
      <c r="G70" s="731" t="s">
        <v>4932</v>
      </c>
      <c r="H70" s="800" t="s">
        <v>4933</v>
      </c>
      <c r="I70" s="733" t="str">
        <f t="shared" si="23"/>
        <v>Mahika Chandrashekar</v>
      </c>
      <c r="J70" s="734" t="str">
        <f t="shared" si="24"/>
        <v>Chandrashekar,Mahika</v>
      </c>
      <c r="K70" s="735">
        <f t="shared" ca="1" si="25"/>
        <v>11</v>
      </c>
      <c r="L70" s="736" t="str">
        <f t="shared" si="26"/>
        <v>040612</v>
      </c>
      <c r="M70" s="766" t="str">
        <f t="shared" ref="M70:M77" ca="1" si="31">IF(K70=0,0,IF(K70&lt;9,"TOO YOUNG",IF(K70&lt;12,"OK","NOT ELIGIBLE")))</f>
        <v>OK</v>
      </c>
      <c r="AD70" s="1244">
        <f t="shared" si="21"/>
        <v>43</v>
      </c>
      <c r="AE70" s="1245" t="str">
        <f t="shared" si="22"/>
        <v>FEMALE 9/11 4 X 50M
MEDLEY RELAY</v>
      </c>
      <c r="AF70" s="749"/>
      <c r="AG70" s="750"/>
      <c r="AH70" s="740">
        <f t="shared" si="27"/>
        <v>1525245</v>
      </c>
      <c r="AI70" s="740" t="str">
        <f t="shared" si="28"/>
        <v>Mahika</v>
      </c>
      <c r="AJ70" s="740" t="str">
        <f t="shared" si="29"/>
        <v>Chandrashekar</v>
      </c>
      <c r="AK70" s="740"/>
      <c r="AL70" s="740"/>
      <c r="AM70" s="740"/>
      <c r="AN70" s="740"/>
      <c r="AO70" s="740"/>
      <c r="AQ70" t="str">
        <f t="shared" ca="1" si="30"/>
        <v>04/06/2012</v>
      </c>
    </row>
    <row r="71" spans="1:43" ht="20.25" customHeight="1" x14ac:dyDescent="0.25">
      <c r="A71" s="1254"/>
      <c r="B71" s="1255"/>
      <c r="C71" s="751"/>
      <c r="D71" s="752"/>
      <c r="E71" s="730">
        <v>1430642</v>
      </c>
      <c r="F71" s="731" t="s">
        <v>4934</v>
      </c>
      <c r="G71" s="731" t="s">
        <v>4935</v>
      </c>
      <c r="H71" s="732">
        <v>41037</v>
      </c>
      <c r="I71" s="733" t="str">
        <f t="shared" si="23"/>
        <v>Miraya Patel</v>
      </c>
      <c r="J71" s="734" t="str">
        <f t="shared" si="24"/>
        <v>Patel,Miraya</v>
      </c>
      <c r="K71" s="735">
        <f t="shared" ca="1" si="25"/>
        <v>11</v>
      </c>
      <c r="L71" s="736" t="str">
        <f t="shared" si="26"/>
        <v>080512</v>
      </c>
      <c r="M71" s="766" t="str">
        <f t="shared" ca="1" si="31"/>
        <v>OK</v>
      </c>
      <c r="AD71" s="1244"/>
      <c r="AE71" s="1245"/>
      <c r="AF71" s="753"/>
      <c r="AG71" s="754"/>
      <c r="AH71" s="740">
        <f t="shared" si="27"/>
        <v>1430642</v>
      </c>
      <c r="AI71" s="740" t="str">
        <f t="shared" si="28"/>
        <v>Miraya</v>
      </c>
      <c r="AJ71" s="740" t="str">
        <f t="shared" si="29"/>
        <v>Patel</v>
      </c>
      <c r="AK71" s="740"/>
      <c r="AL71" s="740"/>
      <c r="AM71" s="740"/>
      <c r="AN71" s="740"/>
      <c r="AO71" s="740"/>
      <c r="AQ71" s="741">
        <f t="shared" ca="1" si="30"/>
        <v>41037</v>
      </c>
    </row>
    <row r="72" spans="1:43" ht="20.25" customHeight="1" x14ac:dyDescent="0.25">
      <c r="A72" s="1254"/>
      <c r="B72" s="1255"/>
      <c r="C72" s="751"/>
      <c r="D72" s="752"/>
      <c r="E72" s="730">
        <v>1670730</v>
      </c>
      <c r="F72" s="731" t="s">
        <v>4936</v>
      </c>
      <c r="G72" s="731" t="s">
        <v>4937</v>
      </c>
      <c r="H72" s="800" t="s">
        <v>4938</v>
      </c>
      <c r="I72" s="733" t="str">
        <f t="shared" si="23"/>
        <v>Anna Rescia</v>
      </c>
      <c r="J72" s="734" t="str">
        <f t="shared" si="24"/>
        <v>Rescia,Anna</v>
      </c>
      <c r="K72" s="735">
        <f t="shared" ca="1" si="25"/>
        <v>11</v>
      </c>
      <c r="L72" s="736" t="str">
        <f t="shared" si="26"/>
        <v>291212</v>
      </c>
      <c r="M72" s="766" t="str">
        <f t="shared" ca="1" si="31"/>
        <v>OK</v>
      </c>
      <c r="AD72" s="1244"/>
      <c r="AE72" s="1245"/>
      <c r="AF72" s="753"/>
      <c r="AG72" s="754"/>
      <c r="AH72" s="740">
        <f t="shared" si="27"/>
        <v>1670730</v>
      </c>
      <c r="AI72" s="740" t="str">
        <f t="shared" si="28"/>
        <v>Anna</v>
      </c>
      <c r="AJ72" s="740" t="str">
        <f t="shared" si="29"/>
        <v>Rescia</v>
      </c>
      <c r="AK72" s="740"/>
      <c r="AL72" s="740"/>
      <c r="AM72" s="740"/>
      <c r="AN72" s="740"/>
      <c r="AO72" s="740"/>
      <c r="AQ72" t="str">
        <f t="shared" ca="1" si="30"/>
        <v>29/12/2012</v>
      </c>
    </row>
    <row r="73" spans="1:43" ht="20.25" customHeight="1" x14ac:dyDescent="0.25">
      <c r="A73" s="1254"/>
      <c r="B73" s="1255"/>
      <c r="C73" s="751"/>
      <c r="D73" s="752"/>
      <c r="E73" s="730">
        <v>1713541</v>
      </c>
      <c r="F73" s="731" t="s">
        <v>4939</v>
      </c>
      <c r="G73" s="731" t="s">
        <v>4940</v>
      </c>
      <c r="H73" s="800" t="s">
        <v>4941</v>
      </c>
      <c r="I73" s="733" t="str">
        <f t="shared" si="23"/>
        <v>Roya Malliwal</v>
      </c>
      <c r="J73" s="734" t="str">
        <f t="shared" si="24"/>
        <v>Malliwal,Roya</v>
      </c>
      <c r="K73" s="735">
        <f t="shared" ca="1" si="25"/>
        <v>11</v>
      </c>
      <c r="L73" s="736" t="str">
        <f t="shared" si="26"/>
        <v>311212</v>
      </c>
      <c r="M73" s="766" t="str">
        <f t="shared" ca="1" si="31"/>
        <v>OK</v>
      </c>
      <c r="AD73" s="1244"/>
      <c r="AE73" s="1245"/>
      <c r="AF73" s="753"/>
      <c r="AG73" s="754"/>
      <c r="AH73" s="740">
        <f t="shared" si="27"/>
        <v>1713541</v>
      </c>
      <c r="AI73" s="740" t="str">
        <f t="shared" si="28"/>
        <v>Roya</v>
      </c>
      <c r="AJ73" s="740" t="str">
        <f t="shared" si="29"/>
        <v>Malliwal</v>
      </c>
      <c r="AK73" s="740"/>
      <c r="AL73" s="740"/>
      <c r="AM73" s="740"/>
      <c r="AN73" s="740"/>
      <c r="AO73" s="740"/>
      <c r="AQ73" t="str">
        <f t="shared" ca="1" si="30"/>
        <v>31/12/2012</v>
      </c>
    </row>
    <row r="74" spans="1:43" ht="20.25" customHeight="1" x14ac:dyDescent="0.25">
      <c r="A74" s="1254">
        <v>44</v>
      </c>
      <c r="B74" s="1255" t="s">
        <v>4701</v>
      </c>
      <c r="C74" s="746"/>
      <c r="D74" s="747"/>
      <c r="E74" s="730">
        <v>1391376</v>
      </c>
      <c r="F74" s="731" t="s">
        <v>4948</v>
      </c>
      <c r="G74" s="731" t="s">
        <v>4949</v>
      </c>
      <c r="H74" s="800" t="s">
        <v>4950</v>
      </c>
      <c r="I74" s="733" t="str">
        <f t="shared" si="23"/>
        <v>Zayn Tang</v>
      </c>
      <c r="J74" s="734" t="str">
        <f t="shared" si="24"/>
        <v>Tang,Zayn</v>
      </c>
      <c r="K74" s="735">
        <f t="shared" ca="1" si="25"/>
        <v>11</v>
      </c>
      <c r="L74" s="736" t="str">
        <f t="shared" si="26"/>
        <v>170312</v>
      </c>
      <c r="M74" s="766" t="str">
        <f t="shared" ca="1" si="31"/>
        <v>OK</v>
      </c>
      <c r="AD74" s="1244">
        <f>A74</f>
        <v>44</v>
      </c>
      <c r="AE74" s="1245" t="str">
        <f>B74</f>
        <v>OPEN/MALE 9/11 4 X 50M
MEDLEY RELAY</v>
      </c>
      <c r="AF74" s="749"/>
      <c r="AG74" s="750"/>
      <c r="AH74" s="740">
        <f t="shared" si="27"/>
        <v>1391376</v>
      </c>
      <c r="AI74" s="740" t="str">
        <f t="shared" si="28"/>
        <v>Zayn</v>
      </c>
      <c r="AJ74" s="740" t="str">
        <f t="shared" si="29"/>
        <v>Tang</v>
      </c>
      <c r="AK74" s="740"/>
      <c r="AL74" s="740"/>
      <c r="AM74" s="740"/>
      <c r="AN74" s="740"/>
      <c r="AO74" s="740"/>
      <c r="AQ74" t="str">
        <f t="shared" ca="1" si="30"/>
        <v>17/03/2012</v>
      </c>
    </row>
    <row r="75" spans="1:43" ht="20.25" customHeight="1" x14ac:dyDescent="0.25">
      <c r="A75" s="1254"/>
      <c r="B75" s="1255"/>
      <c r="C75" s="751"/>
      <c r="D75" s="752"/>
      <c r="E75" s="730">
        <v>1670720</v>
      </c>
      <c r="F75" s="731" t="s">
        <v>4789</v>
      </c>
      <c r="G75" s="731" t="s">
        <v>4942</v>
      </c>
      <c r="H75" s="732">
        <v>41469</v>
      </c>
      <c r="I75" s="733" t="str">
        <f t="shared" si="23"/>
        <v>Mikhail Fedorov</v>
      </c>
      <c r="J75" s="734" t="str">
        <f t="shared" si="24"/>
        <v>Fedorov,Mikhail</v>
      </c>
      <c r="K75" s="735">
        <f t="shared" ca="1" si="25"/>
        <v>10</v>
      </c>
      <c r="L75" s="736" t="str">
        <f t="shared" si="26"/>
        <v>140713</v>
      </c>
      <c r="M75" s="766" t="str">
        <f t="shared" ca="1" si="31"/>
        <v>OK</v>
      </c>
      <c r="AD75" s="1244"/>
      <c r="AE75" s="1245"/>
      <c r="AF75" s="753"/>
      <c r="AG75" s="754"/>
      <c r="AH75" s="740">
        <f t="shared" si="27"/>
        <v>1670720</v>
      </c>
      <c r="AI75" s="740" t="str">
        <f t="shared" si="28"/>
        <v>Mikhail</v>
      </c>
      <c r="AJ75" s="740" t="str">
        <f t="shared" si="29"/>
        <v>Fedorov</v>
      </c>
      <c r="AK75" s="740"/>
      <c r="AL75" s="740"/>
      <c r="AM75" s="740"/>
      <c r="AN75" s="740"/>
      <c r="AO75" s="740"/>
      <c r="AQ75" s="741">
        <f t="shared" ca="1" si="30"/>
        <v>41469</v>
      </c>
    </row>
    <row r="76" spans="1:43" ht="20.25" customHeight="1" x14ac:dyDescent="0.25">
      <c r="A76" s="1254"/>
      <c r="B76" s="1255"/>
      <c r="C76" s="751"/>
      <c r="D76" s="752"/>
      <c r="E76" s="730">
        <v>1652775</v>
      </c>
      <c r="F76" s="731" t="s">
        <v>4945</v>
      </c>
      <c r="G76" s="731" t="s">
        <v>4946</v>
      </c>
      <c r="H76" s="800" t="s">
        <v>4947</v>
      </c>
      <c r="I76" s="733" t="str">
        <f t="shared" si="23"/>
        <v>Aaron Lal</v>
      </c>
      <c r="J76" s="734" t="str">
        <f t="shared" si="24"/>
        <v>Lal,Aaron</v>
      </c>
      <c r="K76" s="735">
        <f t="shared" ca="1" si="25"/>
        <v>10</v>
      </c>
      <c r="L76" s="736" t="str">
        <f t="shared" si="26"/>
        <v>071213</v>
      </c>
      <c r="M76" s="766" t="str">
        <f t="shared" ca="1" si="31"/>
        <v>OK</v>
      </c>
      <c r="AD76" s="1244"/>
      <c r="AE76" s="1245"/>
      <c r="AF76" s="753"/>
      <c r="AG76" s="754"/>
      <c r="AH76" s="740">
        <f t="shared" si="27"/>
        <v>1652775</v>
      </c>
      <c r="AI76" s="740" t="str">
        <f t="shared" si="28"/>
        <v>Aaron</v>
      </c>
      <c r="AJ76" s="740" t="str">
        <f t="shared" si="29"/>
        <v>Lal</v>
      </c>
      <c r="AK76" s="740"/>
      <c r="AL76" s="740"/>
      <c r="AM76" s="740"/>
      <c r="AN76" s="740"/>
      <c r="AO76" s="740"/>
      <c r="AQ76" t="str">
        <f t="shared" ca="1" si="30"/>
        <v>07/12/2013</v>
      </c>
    </row>
    <row r="77" spans="1:43" ht="20.25" customHeight="1" x14ac:dyDescent="0.25">
      <c r="A77" s="1254"/>
      <c r="B77" s="1255"/>
      <c r="C77" s="751"/>
      <c r="D77" s="752"/>
      <c r="E77" s="730">
        <v>1407491</v>
      </c>
      <c r="F77" s="731" t="s">
        <v>4943</v>
      </c>
      <c r="G77" s="731" t="s">
        <v>4944</v>
      </c>
      <c r="H77" s="732">
        <v>41200</v>
      </c>
      <c r="I77" s="733" t="str">
        <f t="shared" si="23"/>
        <v>Macsen Roberts</v>
      </c>
      <c r="J77" s="734" t="str">
        <f t="shared" si="24"/>
        <v>Roberts,Macsen</v>
      </c>
      <c r="K77" s="735">
        <f t="shared" ca="1" si="25"/>
        <v>11</v>
      </c>
      <c r="L77" s="736" t="str">
        <f t="shared" si="26"/>
        <v>181012</v>
      </c>
      <c r="M77" s="766" t="str">
        <f t="shared" ca="1" si="31"/>
        <v>OK</v>
      </c>
      <c r="AD77" s="1244"/>
      <c r="AE77" s="1245"/>
      <c r="AF77" s="753"/>
      <c r="AG77" s="754"/>
      <c r="AH77" s="740">
        <f t="shared" si="27"/>
        <v>1407491</v>
      </c>
      <c r="AI77" s="740" t="str">
        <f t="shared" si="28"/>
        <v>Macsen</v>
      </c>
      <c r="AJ77" s="740" t="str">
        <f t="shared" si="29"/>
        <v>Roberts</v>
      </c>
      <c r="AK77" s="740"/>
      <c r="AL77" s="740"/>
      <c r="AM77" s="740"/>
      <c r="AN77" s="740"/>
      <c r="AO77" s="740"/>
      <c r="AQ77" s="741">
        <f t="shared" ca="1" si="30"/>
        <v>41200</v>
      </c>
    </row>
    <row r="78" spans="1:43" ht="20.25" customHeight="1" x14ac:dyDescent="0.25">
      <c r="A78" s="1252">
        <v>45</v>
      </c>
      <c r="B78" s="1253" t="s">
        <v>4702</v>
      </c>
      <c r="C78" s="756"/>
      <c r="D78" s="757"/>
      <c r="E78" s="730">
        <v>1670724</v>
      </c>
      <c r="F78" s="731" t="s">
        <v>4951</v>
      </c>
      <c r="G78" s="731" t="s">
        <v>4952</v>
      </c>
      <c r="H78" s="800" t="s">
        <v>4953</v>
      </c>
      <c r="I78" s="733" t="str">
        <f t="shared" si="23"/>
        <v>Polina Fedorova</v>
      </c>
      <c r="J78" s="734" t="str">
        <f t="shared" si="24"/>
        <v>Fedorova,Polina</v>
      </c>
      <c r="K78" s="735">
        <f t="shared" ca="1" si="25"/>
        <v>13</v>
      </c>
      <c r="L78" s="736" t="str">
        <f t="shared" si="26"/>
        <v>290910</v>
      </c>
      <c r="M78" s="766" t="str">
        <f t="shared" ref="M78:M85" ca="1" si="32">IF(K78=0,0,IF(K78&lt;9,"TOO YOUNG",IF(K78&lt;14,"OK","NOT ELIGIBLE")))</f>
        <v>OK</v>
      </c>
      <c r="AD78" s="1244">
        <f>A78</f>
        <v>45</v>
      </c>
      <c r="AE78" s="1245" t="str">
        <f>B78</f>
        <v>FEMALE 13/U 4 X 50M
FREESTYLE RELAY</v>
      </c>
      <c r="AF78" s="749"/>
      <c r="AG78" s="750"/>
      <c r="AH78" s="740">
        <f t="shared" si="27"/>
        <v>1670724</v>
      </c>
      <c r="AI78" s="740" t="str">
        <f t="shared" si="28"/>
        <v>Polina</v>
      </c>
      <c r="AJ78" s="740" t="str">
        <f t="shared" si="29"/>
        <v>Fedorova</v>
      </c>
      <c r="AK78" s="740"/>
      <c r="AL78" s="740"/>
      <c r="AM78" s="740"/>
      <c r="AN78" s="740"/>
      <c r="AO78" s="740"/>
      <c r="AQ78" t="str">
        <f t="shared" ca="1" si="30"/>
        <v>29/09/2010</v>
      </c>
    </row>
    <row r="79" spans="1:43" ht="20.25" customHeight="1" x14ac:dyDescent="0.25">
      <c r="A79" s="1252"/>
      <c r="B79" s="1253"/>
      <c r="C79" s="758"/>
      <c r="D79" s="759"/>
      <c r="E79" s="730">
        <v>1713553</v>
      </c>
      <c r="F79" s="731" t="s">
        <v>4954</v>
      </c>
      <c r="G79" s="731" t="s">
        <v>4955</v>
      </c>
      <c r="H79" s="732">
        <v>40289</v>
      </c>
      <c r="I79" s="733" t="str">
        <f t="shared" si="23"/>
        <v>Emma Sum</v>
      </c>
      <c r="J79" s="734" t="str">
        <f t="shared" si="24"/>
        <v>Sum,Emma</v>
      </c>
      <c r="K79" s="735">
        <f t="shared" ca="1" si="25"/>
        <v>13</v>
      </c>
      <c r="L79" s="736" t="str">
        <f t="shared" si="26"/>
        <v>210410</v>
      </c>
      <c r="M79" s="766" t="str">
        <f t="shared" ca="1" si="32"/>
        <v>OK</v>
      </c>
      <c r="AD79" s="1244"/>
      <c r="AE79" s="1245"/>
      <c r="AF79" s="753"/>
      <c r="AG79" s="754"/>
      <c r="AH79" s="740">
        <f t="shared" si="27"/>
        <v>1713553</v>
      </c>
      <c r="AI79" s="740" t="str">
        <f t="shared" si="28"/>
        <v>Emma</v>
      </c>
      <c r="AJ79" s="740" t="str">
        <f t="shared" si="29"/>
        <v>Sum</v>
      </c>
      <c r="AK79" s="740"/>
      <c r="AL79" s="740"/>
      <c r="AM79" s="740"/>
      <c r="AN79" s="740"/>
      <c r="AO79" s="740"/>
      <c r="AQ79" s="741">
        <f t="shared" ca="1" si="30"/>
        <v>40289</v>
      </c>
    </row>
    <row r="80" spans="1:43" ht="20.25" customHeight="1" x14ac:dyDescent="0.25">
      <c r="A80" s="1252"/>
      <c r="B80" s="1253"/>
      <c r="C80" s="758"/>
      <c r="D80" s="759"/>
      <c r="E80" s="730">
        <v>1525245</v>
      </c>
      <c r="F80" s="731" t="s">
        <v>4931</v>
      </c>
      <c r="G80" s="731" t="s">
        <v>4932</v>
      </c>
      <c r="H80" s="800" t="s">
        <v>4933</v>
      </c>
      <c r="I80" s="733" t="str">
        <f t="shared" si="23"/>
        <v>Mahika Chandrashekar</v>
      </c>
      <c r="J80" s="734" t="str">
        <f t="shared" si="24"/>
        <v>Chandrashekar,Mahika</v>
      </c>
      <c r="K80" s="735">
        <f t="shared" ca="1" si="25"/>
        <v>11</v>
      </c>
      <c r="L80" s="736" t="str">
        <f t="shared" si="26"/>
        <v>040612</v>
      </c>
      <c r="M80" s="766" t="str">
        <f t="shared" ca="1" si="32"/>
        <v>OK</v>
      </c>
      <c r="AD80" s="1244"/>
      <c r="AE80" s="1245"/>
      <c r="AF80" s="753"/>
      <c r="AG80" s="754"/>
      <c r="AH80" s="740">
        <f t="shared" si="27"/>
        <v>1525245</v>
      </c>
      <c r="AI80" s="740" t="str">
        <f t="shared" si="28"/>
        <v>Mahika</v>
      </c>
      <c r="AJ80" s="740" t="str">
        <f t="shared" si="29"/>
        <v>Chandrashekar</v>
      </c>
      <c r="AK80" s="740"/>
      <c r="AL80" s="740"/>
      <c r="AM80" s="740"/>
      <c r="AN80" s="740"/>
      <c r="AO80" s="740"/>
      <c r="AQ80" t="str">
        <f t="shared" ca="1" si="30"/>
        <v>04/06/2012</v>
      </c>
    </row>
    <row r="81" spans="1:43" ht="20.25" customHeight="1" x14ac:dyDescent="0.25">
      <c r="A81" s="1252"/>
      <c r="B81" s="1253"/>
      <c r="C81" s="758"/>
      <c r="D81" s="759"/>
      <c r="E81" s="730">
        <v>1430642</v>
      </c>
      <c r="F81" s="731" t="s">
        <v>4934</v>
      </c>
      <c r="G81" s="731" t="s">
        <v>4935</v>
      </c>
      <c r="H81" s="800">
        <v>41037</v>
      </c>
      <c r="I81" s="733" t="str">
        <f t="shared" si="23"/>
        <v>Miraya Patel</v>
      </c>
      <c r="J81" s="734" t="str">
        <f t="shared" si="24"/>
        <v>Patel,Miraya</v>
      </c>
      <c r="K81" s="735">
        <f t="shared" ca="1" si="25"/>
        <v>11</v>
      </c>
      <c r="L81" s="736" t="str">
        <f t="shared" si="26"/>
        <v>080512</v>
      </c>
      <c r="M81" s="766" t="str">
        <f t="shared" ca="1" si="32"/>
        <v>OK</v>
      </c>
      <c r="AD81" s="1244"/>
      <c r="AE81" s="1245"/>
      <c r="AF81" s="753"/>
      <c r="AG81" s="754"/>
      <c r="AH81" s="740">
        <f t="shared" si="27"/>
        <v>1430642</v>
      </c>
      <c r="AI81" s="740" t="str">
        <f t="shared" si="28"/>
        <v>Miraya</v>
      </c>
      <c r="AJ81" s="740" t="str">
        <f t="shared" si="29"/>
        <v>Patel</v>
      </c>
      <c r="AK81" s="740"/>
      <c r="AL81" s="740"/>
      <c r="AM81" s="740"/>
      <c r="AN81" s="740"/>
      <c r="AO81" s="740"/>
      <c r="AQ81">
        <f t="shared" ca="1" si="30"/>
        <v>41037</v>
      </c>
    </row>
    <row r="82" spans="1:43" ht="20.25" customHeight="1" x14ac:dyDescent="0.25">
      <c r="A82" s="1252">
        <v>46</v>
      </c>
      <c r="B82" s="1253" t="s">
        <v>4703</v>
      </c>
      <c r="C82" s="756"/>
      <c r="D82" s="757"/>
      <c r="E82" s="730">
        <v>1634483</v>
      </c>
      <c r="F82" s="731" t="s">
        <v>4956</v>
      </c>
      <c r="G82" s="731" t="s">
        <v>4957</v>
      </c>
      <c r="H82" s="800">
        <v>40660</v>
      </c>
      <c r="I82" s="733" t="str">
        <f t="shared" si="23"/>
        <v>Petros Soteriou</v>
      </c>
      <c r="J82" s="734" t="str">
        <f t="shared" si="24"/>
        <v>Soteriou,Petros</v>
      </c>
      <c r="K82" s="735">
        <f t="shared" ca="1" si="25"/>
        <v>12</v>
      </c>
      <c r="L82" s="736" t="str">
        <f t="shared" si="26"/>
        <v>270411</v>
      </c>
      <c r="M82" s="766" t="str">
        <f t="shared" ca="1" si="32"/>
        <v>OK</v>
      </c>
      <c r="AD82" s="1244">
        <f>A82</f>
        <v>46</v>
      </c>
      <c r="AE82" s="1245" t="str">
        <f>B82</f>
        <v>OPEN/MALE 13/U 4 X 50M
FREESTYLE RELAY</v>
      </c>
      <c r="AF82" s="749"/>
      <c r="AG82" s="750"/>
      <c r="AH82" s="740">
        <f t="shared" si="27"/>
        <v>1634483</v>
      </c>
      <c r="AI82" s="740" t="str">
        <f t="shared" si="28"/>
        <v>Petros</v>
      </c>
      <c r="AJ82" s="740" t="str">
        <f t="shared" si="29"/>
        <v>Soteriou</v>
      </c>
      <c r="AK82" s="740"/>
      <c r="AL82" s="740"/>
      <c r="AM82" s="740"/>
      <c r="AN82" s="740"/>
      <c r="AO82" s="740"/>
      <c r="AQ82">
        <f t="shared" ca="1" si="30"/>
        <v>40660</v>
      </c>
    </row>
    <row r="83" spans="1:43" ht="20.25" customHeight="1" x14ac:dyDescent="0.25">
      <c r="A83" s="1252"/>
      <c r="B83" s="1253"/>
      <c r="C83" s="758"/>
      <c r="D83" s="759"/>
      <c r="E83" s="730">
        <v>1525256</v>
      </c>
      <c r="F83" s="731" t="s">
        <v>4958</v>
      </c>
      <c r="G83" s="731" t="s">
        <v>4959</v>
      </c>
      <c r="H83" s="800" t="s">
        <v>4960</v>
      </c>
      <c r="I83" s="733" t="str">
        <f t="shared" si="23"/>
        <v>Gert Zeqiri</v>
      </c>
      <c r="J83" s="734" t="str">
        <f t="shared" si="24"/>
        <v>Zeqiri,Gert</v>
      </c>
      <c r="K83" s="735">
        <f t="shared" ca="1" si="25"/>
        <v>13</v>
      </c>
      <c r="L83" s="736" t="str">
        <f t="shared" si="26"/>
        <v>270510</v>
      </c>
      <c r="M83" s="766" t="str">
        <f t="shared" ca="1" si="32"/>
        <v>OK</v>
      </c>
      <c r="AD83" s="1244"/>
      <c r="AE83" s="1245"/>
      <c r="AF83" s="753"/>
      <c r="AG83" s="754"/>
      <c r="AH83" s="740">
        <f t="shared" si="27"/>
        <v>1525256</v>
      </c>
      <c r="AI83" s="740" t="str">
        <f t="shared" si="28"/>
        <v>Gert</v>
      </c>
      <c r="AJ83" s="740" t="str">
        <f t="shared" si="29"/>
        <v>Zeqiri</v>
      </c>
      <c r="AK83" s="740"/>
      <c r="AL83" s="740"/>
      <c r="AM83" s="740"/>
      <c r="AN83" s="740"/>
      <c r="AO83" s="740"/>
      <c r="AQ83" t="str">
        <f t="shared" ca="1" si="30"/>
        <v>27/05/2010</v>
      </c>
    </row>
    <row r="84" spans="1:43" ht="20.25" customHeight="1" x14ac:dyDescent="0.25">
      <c r="A84" s="1252"/>
      <c r="B84" s="1253"/>
      <c r="C84" s="758"/>
      <c r="D84" s="759"/>
      <c r="E84" s="730">
        <v>1459463</v>
      </c>
      <c r="F84" s="731" t="s">
        <v>4961</v>
      </c>
      <c r="G84" s="731" t="s">
        <v>4962</v>
      </c>
      <c r="H84" s="800" t="s">
        <v>4963</v>
      </c>
      <c r="I84" s="733" t="str">
        <f t="shared" si="23"/>
        <v>Cosmin Ioan  Iojan</v>
      </c>
      <c r="J84" s="734" t="str">
        <f t="shared" si="24"/>
        <v xml:space="preserve">Iojan,Cosmin Ioan </v>
      </c>
      <c r="K84" s="735">
        <f t="shared" ca="1" si="25"/>
        <v>12</v>
      </c>
      <c r="L84" s="736" t="str">
        <f t="shared" si="26"/>
        <v>080811</v>
      </c>
      <c r="M84" s="766" t="str">
        <f t="shared" ca="1" si="32"/>
        <v>OK</v>
      </c>
      <c r="AD84" s="1244"/>
      <c r="AE84" s="1245"/>
      <c r="AF84" s="753"/>
      <c r="AG84" s="754"/>
      <c r="AH84" s="740">
        <f t="shared" si="27"/>
        <v>1459463</v>
      </c>
      <c r="AI84" s="740" t="str">
        <f t="shared" si="28"/>
        <v xml:space="preserve">Cosmin Ioan </v>
      </c>
      <c r="AJ84" s="740" t="str">
        <f t="shared" si="29"/>
        <v>Iojan</v>
      </c>
      <c r="AK84" s="740"/>
      <c r="AL84" s="740"/>
      <c r="AM84" s="740"/>
      <c r="AN84" s="740"/>
      <c r="AO84" s="740"/>
      <c r="AQ84" t="str">
        <f t="shared" ca="1" si="30"/>
        <v>08/08/2011</v>
      </c>
    </row>
    <row r="85" spans="1:43" ht="20.25" customHeight="1" x14ac:dyDescent="0.25">
      <c r="A85" s="1252"/>
      <c r="B85" s="1253"/>
      <c r="C85" s="758"/>
      <c r="D85" s="759"/>
      <c r="E85" s="730">
        <v>1652774</v>
      </c>
      <c r="F85" s="731" t="s">
        <v>4964</v>
      </c>
      <c r="G85" s="731" t="s">
        <v>4965</v>
      </c>
      <c r="H85" s="800" t="s">
        <v>4966</v>
      </c>
      <c r="I85" s="733" t="str">
        <f t="shared" si="23"/>
        <v>Dragos Musteate</v>
      </c>
      <c r="J85" s="734" t="str">
        <f t="shared" si="24"/>
        <v>Musteate,Dragos</v>
      </c>
      <c r="K85" s="735">
        <f t="shared" ca="1" si="25"/>
        <v>12</v>
      </c>
      <c r="L85" s="736" t="str">
        <f t="shared" si="26"/>
        <v>100211</v>
      </c>
      <c r="M85" s="766" t="str">
        <f t="shared" ca="1" si="32"/>
        <v>OK</v>
      </c>
      <c r="AD85" s="1244"/>
      <c r="AE85" s="1245"/>
      <c r="AF85" s="753"/>
      <c r="AG85" s="754"/>
      <c r="AH85" s="740">
        <f t="shared" si="27"/>
        <v>1652774</v>
      </c>
      <c r="AI85" s="740" t="str">
        <f t="shared" si="28"/>
        <v>Dragos</v>
      </c>
      <c r="AJ85" s="740" t="str">
        <f t="shared" si="29"/>
        <v>Musteate</v>
      </c>
      <c r="AK85" s="740"/>
      <c r="AL85" s="740"/>
      <c r="AM85" s="740"/>
      <c r="AN85" s="740"/>
      <c r="AO85" s="740"/>
      <c r="AQ85" t="str">
        <f t="shared" ca="1" si="30"/>
        <v>10/02/2011</v>
      </c>
    </row>
    <row r="86" spans="1:43" ht="20.25" customHeight="1" x14ac:dyDescent="0.25">
      <c r="A86" s="1248">
        <v>47</v>
      </c>
      <c r="B86" s="1249" t="s">
        <v>4704</v>
      </c>
      <c r="C86" s="761"/>
      <c r="D86" s="762"/>
      <c r="E86" s="730">
        <v>1304651</v>
      </c>
      <c r="F86" s="731" t="s">
        <v>4995</v>
      </c>
      <c r="G86" s="731" t="s">
        <v>4974</v>
      </c>
      <c r="H86" s="800" t="s">
        <v>4981</v>
      </c>
      <c r="I86" s="733" t="str">
        <f t="shared" si="23"/>
        <v>Mina  Safahe</v>
      </c>
      <c r="J86" s="734" t="str">
        <f t="shared" si="24"/>
        <v xml:space="preserve">Safahe,Mina </v>
      </c>
      <c r="K86" s="735">
        <f t="shared" ca="1" si="25"/>
        <v>14</v>
      </c>
      <c r="L86" s="736" t="str">
        <f t="shared" si="26"/>
        <v>170109</v>
      </c>
      <c r="M86" s="766" t="str">
        <f t="shared" ref="M86:M93" ca="1" si="33">IF(K86=0,0,IF(K86&lt;9,"TOO YOUNG",IF(K86&lt;16,"OK","NOT ELIGIBLE")))</f>
        <v>OK</v>
      </c>
      <c r="AD86" s="1244">
        <f>A86</f>
        <v>47</v>
      </c>
      <c r="AE86" s="1245" t="str">
        <f>B86</f>
        <v>FEMALE 15/U 4 X 50M
MEDLEY RELAY</v>
      </c>
      <c r="AF86" s="749"/>
      <c r="AG86" s="750"/>
      <c r="AH86" s="740">
        <f t="shared" si="27"/>
        <v>1304651</v>
      </c>
      <c r="AI86" s="740" t="str">
        <f t="shared" si="28"/>
        <v xml:space="preserve">Mina </v>
      </c>
      <c r="AJ86" s="740" t="str">
        <f t="shared" si="29"/>
        <v>Safahe</v>
      </c>
      <c r="AK86" s="740"/>
      <c r="AL86" s="740"/>
      <c r="AM86" s="740"/>
      <c r="AN86" s="740"/>
      <c r="AO86" s="740"/>
      <c r="AQ86" t="str">
        <f t="shared" ca="1" si="30"/>
        <v>17/01/2009</v>
      </c>
    </row>
    <row r="87" spans="1:43" ht="20.25" customHeight="1" x14ac:dyDescent="0.25">
      <c r="A87" s="1248"/>
      <c r="B87" s="1249"/>
      <c r="C87" s="763"/>
      <c r="D87" s="764"/>
      <c r="E87" s="730">
        <v>1525254</v>
      </c>
      <c r="F87" s="731" t="s">
        <v>4969</v>
      </c>
      <c r="G87" s="731" t="s">
        <v>4970</v>
      </c>
      <c r="H87" s="800" t="s">
        <v>4971</v>
      </c>
      <c r="I87" s="733" t="str">
        <f t="shared" si="23"/>
        <v>Laura Leksander</v>
      </c>
      <c r="J87" s="734" t="str">
        <f t="shared" si="24"/>
        <v>Leksander,Laura</v>
      </c>
      <c r="K87" s="735">
        <f t="shared" ca="1" si="25"/>
        <v>15</v>
      </c>
      <c r="L87" s="736" t="str">
        <f t="shared" si="26"/>
        <v>200408</v>
      </c>
      <c r="M87" s="766" t="str">
        <f t="shared" ca="1" si="33"/>
        <v>OK</v>
      </c>
      <c r="AD87" s="1244"/>
      <c r="AE87" s="1245"/>
      <c r="AF87" s="753"/>
      <c r="AG87" s="754"/>
      <c r="AH87" s="740">
        <f t="shared" si="27"/>
        <v>1525254</v>
      </c>
      <c r="AI87" s="740" t="str">
        <f t="shared" si="28"/>
        <v>Laura</v>
      </c>
      <c r="AJ87" s="740" t="str">
        <f t="shared" si="29"/>
        <v>Leksander</v>
      </c>
      <c r="AK87" s="740"/>
      <c r="AL87" s="740"/>
      <c r="AM87" s="740"/>
      <c r="AN87" s="740"/>
      <c r="AO87" s="740"/>
      <c r="AQ87" t="str">
        <f t="shared" ca="1" si="30"/>
        <v>20/04/2008</v>
      </c>
    </row>
    <row r="88" spans="1:43" ht="20.25" customHeight="1" x14ac:dyDescent="0.25">
      <c r="A88" s="1248"/>
      <c r="B88" s="1249"/>
      <c r="C88" s="763"/>
      <c r="D88" s="764"/>
      <c r="E88" s="730">
        <v>1377376</v>
      </c>
      <c r="F88" s="731" t="s">
        <v>4982</v>
      </c>
      <c r="G88" s="731" t="s">
        <v>4983</v>
      </c>
      <c r="H88" s="732">
        <v>39915</v>
      </c>
      <c r="I88" s="733" t="str">
        <f t="shared" si="23"/>
        <v>Crina Stefania  Bostan</v>
      </c>
      <c r="J88" s="734" t="str">
        <f t="shared" si="24"/>
        <v xml:space="preserve">Bostan,Crina Stefania </v>
      </c>
      <c r="K88" s="735">
        <f t="shared" ca="1" si="25"/>
        <v>14</v>
      </c>
      <c r="L88" s="736" t="str">
        <f t="shared" si="26"/>
        <v>120409</v>
      </c>
      <c r="M88" s="766" t="str">
        <f t="shared" ca="1" si="33"/>
        <v>OK</v>
      </c>
      <c r="AD88" s="1244"/>
      <c r="AE88" s="1245"/>
      <c r="AF88" s="753"/>
      <c r="AG88" s="754"/>
      <c r="AH88" s="740">
        <f t="shared" si="27"/>
        <v>1377376</v>
      </c>
      <c r="AI88" s="740" t="str">
        <f t="shared" si="28"/>
        <v xml:space="preserve">Crina Stefania </v>
      </c>
      <c r="AJ88" s="740" t="str">
        <f t="shared" si="29"/>
        <v>Bostan</v>
      </c>
      <c r="AK88" s="740"/>
      <c r="AL88" s="740"/>
      <c r="AM88" s="740"/>
      <c r="AN88" s="740"/>
      <c r="AO88" s="740"/>
      <c r="AQ88" s="741">
        <f t="shared" ca="1" si="30"/>
        <v>39915</v>
      </c>
    </row>
    <row r="89" spans="1:43" ht="20.25" customHeight="1" x14ac:dyDescent="0.25">
      <c r="A89" s="1248"/>
      <c r="B89" s="1249"/>
      <c r="C89" s="763"/>
      <c r="D89" s="764"/>
      <c r="E89" s="730">
        <v>1187876</v>
      </c>
      <c r="F89" s="731" t="s">
        <v>4926</v>
      </c>
      <c r="G89" s="731" t="s">
        <v>4927</v>
      </c>
      <c r="H89" s="732">
        <v>40147</v>
      </c>
      <c r="I89" s="733" t="str">
        <f t="shared" si="23"/>
        <v>Alice  Sharrock</v>
      </c>
      <c r="J89" s="734" t="str">
        <f t="shared" si="24"/>
        <v xml:space="preserve">Sharrock,Alice </v>
      </c>
      <c r="K89" s="735">
        <f t="shared" ca="1" si="25"/>
        <v>14</v>
      </c>
      <c r="L89" s="736" t="str">
        <f t="shared" si="26"/>
        <v>301109</v>
      </c>
      <c r="M89" s="766" t="str">
        <f t="shared" ca="1" si="33"/>
        <v>OK</v>
      </c>
      <c r="AD89" s="1244"/>
      <c r="AE89" s="1245"/>
      <c r="AF89" s="753"/>
      <c r="AG89" s="754"/>
      <c r="AH89" s="740">
        <f t="shared" si="27"/>
        <v>1187876</v>
      </c>
      <c r="AI89" s="740" t="str">
        <f t="shared" si="28"/>
        <v xml:space="preserve">Alice </v>
      </c>
      <c r="AJ89" s="740" t="str">
        <f t="shared" si="29"/>
        <v>Sharrock</v>
      </c>
      <c r="AK89" s="740"/>
      <c r="AL89" s="740"/>
      <c r="AM89" s="740"/>
      <c r="AN89" s="740"/>
      <c r="AO89" s="740"/>
      <c r="AQ89" s="741">
        <f t="shared" ca="1" si="30"/>
        <v>40147</v>
      </c>
    </row>
    <row r="90" spans="1:43" ht="20.25" customHeight="1" x14ac:dyDescent="0.25">
      <c r="A90" s="1248">
        <v>48</v>
      </c>
      <c r="B90" s="1249" t="s">
        <v>4705</v>
      </c>
      <c r="C90" s="761"/>
      <c r="D90" s="762"/>
      <c r="E90" s="730">
        <v>1304650</v>
      </c>
      <c r="F90" s="731" t="s">
        <v>4973</v>
      </c>
      <c r="G90" s="731" t="s">
        <v>4974</v>
      </c>
      <c r="H90" s="800" t="s">
        <v>4975</v>
      </c>
      <c r="I90" s="733" t="str">
        <f t="shared" si="23"/>
        <v>Gianluca Safahe</v>
      </c>
      <c r="J90" s="734" t="str">
        <f t="shared" si="24"/>
        <v>Safahe,Gianluca</v>
      </c>
      <c r="K90" s="735">
        <f t="shared" ca="1" si="25"/>
        <v>15</v>
      </c>
      <c r="L90" s="736" t="str">
        <f t="shared" si="26"/>
        <v>040208</v>
      </c>
      <c r="M90" s="766" t="str">
        <f t="shared" ca="1" si="33"/>
        <v>OK</v>
      </c>
      <c r="AD90" s="1244">
        <f>A90</f>
        <v>48</v>
      </c>
      <c r="AE90" s="1245" t="str">
        <f>B90</f>
        <v>OPEN/MALE 15/U 4 X 50M
MEDLEY RELAY</v>
      </c>
      <c r="AF90" s="749"/>
      <c r="AG90" s="750"/>
      <c r="AH90" s="740">
        <f t="shared" si="27"/>
        <v>1304650</v>
      </c>
      <c r="AI90" s="740" t="str">
        <f t="shared" si="28"/>
        <v>Gianluca</v>
      </c>
      <c r="AJ90" s="740" t="str">
        <f t="shared" si="29"/>
        <v>Safahe</v>
      </c>
      <c r="AK90" s="740"/>
      <c r="AL90" s="740"/>
      <c r="AM90" s="740"/>
      <c r="AN90" s="740"/>
      <c r="AO90" s="740"/>
      <c r="AQ90" t="str">
        <f t="shared" ca="1" si="30"/>
        <v>04/02/2008</v>
      </c>
    </row>
    <row r="91" spans="1:43" ht="20.25" customHeight="1" x14ac:dyDescent="0.25">
      <c r="A91" s="1248"/>
      <c r="B91" s="1249"/>
      <c r="C91" s="763"/>
      <c r="D91" s="764"/>
      <c r="E91" s="730">
        <v>1224682</v>
      </c>
      <c r="F91" s="731" t="s">
        <v>4976</v>
      </c>
      <c r="G91" s="731" t="s">
        <v>4944</v>
      </c>
      <c r="H91" s="732">
        <v>39570</v>
      </c>
      <c r="I91" s="733" t="str">
        <f t="shared" si="23"/>
        <v>Owen  Roberts</v>
      </c>
      <c r="J91" s="734" t="str">
        <f t="shared" si="24"/>
        <v xml:space="preserve">Roberts,Owen </v>
      </c>
      <c r="K91" s="735">
        <f t="shared" ca="1" si="25"/>
        <v>15</v>
      </c>
      <c r="L91" s="736" t="str">
        <f t="shared" si="26"/>
        <v>020508</v>
      </c>
      <c r="M91" s="766" t="str">
        <f t="shared" ca="1" si="33"/>
        <v>OK</v>
      </c>
      <c r="AD91" s="1244"/>
      <c r="AE91" s="1245"/>
      <c r="AF91" s="753"/>
      <c r="AG91" s="754"/>
      <c r="AH91" s="740">
        <f t="shared" si="27"/>
        <v>1224682</v>
      </c>
      <c r="AI91" s="740" t="str">
        <f t="shared" si="28"/>
        <v xml:space="preserve">Owen </v>
      </c>
      <c r="AJ91" s="740" t="str">
        <f t="shared" si="29"/>
        <v>Roberts</v>
      </c>
      <c r="AK91" s="740"/>
      <c r="AL91" s="740"/>
      <c r="AM91" s="740"/>
      <c r="AN91" s="740"/>
      <c r="AO91" s="740"/>
      <c r="AQ91" s="741">
        <f t="shared" ca="1" si="30"/>
        <v>39570</v>
      </c>
    </row>
    <row r="92" spans="1:43" ht="20.25" customHeight="1" x14ac:dyDescent="0.25">
      <c r="A92" s="1248"/>
      <c r="B92" s="1249"/>
      <c r="C92" s="763"/>
      <c r="D92" s="764"/>
      <c r="E92" s="730">
        <v>1335745</v>
      </c>
      <c r="F92" s="731" t="s">
        <v>4977</v>
      </c>
      <c r="G92" s="731" t="s">
        <v>4978</v>
      </c>
      <c r="H92" s="732">
        <v>39864</v>
      </c>
      <c r="I92" s="733" t="str">
        <f t="shared" si="23"/>
        <v>Louis Waissman</v>
      </c>
      <c r="J92" s="734" t="str">
        <f t="shared" si="24"/>
        <v>Waissman,Louis</v>
      </c>
      <c r="K92" s="735">
        <f t="shared" ca="1" si="25"/>
        <v>14</v>
      </c>
      <c r="L92" s="736" t="str">
        <f t="shared" si="26"/>
        <v>200209</v>
      </c>
      <c r="M92" s="766" t="str">
        <f t="shared" ca="1" si="33"/>
        <v>OK</v>
      </c>
      <c r="AD92" s="1244"/>
      <c r="AE92" s="1245"/>
      <c r="AF92" s="753"/>
      <c r="AG92" s="754"/>
      <c r="AH92" s="740">
        <f t="shared" si="27"/>
        <v>1335745</v>
      </c>
      <c r="AI92" s="740" t="str">
        <f t="shared" si="28"/>
        <v>Louis</v>
      </c>
      <c r="AJ92" s="740" t="str">
        <f t="shared" si="29"/>
        <v>Waissman</v>
      </c>
      <c r="AK92" s="740"/>
      <c r="AL92" s="740"/>
      <c r="AM92" s="740"/>
      <c r="AN92" s="740"/>
      <c r="AO92" s="740"/>
      <c r="AQ92" s="741">
        <f t="shared" ca="1" si="30"/>
        <v>39864</v>
      </c>
    </row>
    <row r="93" spans="1:43" ht="20.25" customHeight="1" x14ac:dyDescent="0.25">
      <c r="A93" s="1248"/>
      <c r="B93" s="1249"/>
      <c r="C93" s="763"/>
      <c r="D93" s="764"/>
      <c r="E93" s="730">
        <v>1389306</v>
      </c>
      <c r="F93" s="731" t="s">
        <v>4690</v>
      </c>
      <c r="G93" s="731" t="s">
        <v>4979</v>
      </c>
      <c r="H93" s="732">
        <v>40019</v>
      </c>
      <c r="I93" s="733" t="str">
        <f t="shared" si="23"/>
        <v>Gabriel Rebelo</v>
      </c>
      <c r="J93" s="734" t="str">
        <f t="shared" si="24"/>
        <v>Rebelo,Gabriel</v>
      </c>
      <c r="K93" s="735">
        <f t="shared" ca="1" si="25"/>
        <v>14</v>
      </c>
      <c r="L93" s="736" t="str">
        <f t="shared" si="26"/>
        <v>250709</v>
      </c>
      <c r="M93" s="766" t="str">
        <f t="shared" ca="1" si="33"/>
        <v>OK</v>
      </c>
      <c r="AD93" s="1244"/>
      <c r="AE93" s="1245"/>
      <c r="AF93" s="753"/>
      <c r="AG93" s="754"/>
      <c r="AH93" s="740">
        <f t="shared" si="27"/>
        <v>1389306</v>
      </c>
      <c r="AI93" s="740" t="str">
        <f t="shared" si="28"/>
        <v>Gabriel</v>
      </c>
      <c r="AJ93" s="740" t="str">
        <f t="shared" si="29"/>
        <v>Rebelo</v>
      </c>
      <c r="AK93" s="740"/>
      <c r="AL93" s="740"/>
      <c r="AM93" s="740"/>
      <c r="AN93" s="740"/>
      <c r="AO93" s="740"/>
      <c r="AQ93" s="741">
        <f t="shared" ca="1" si="30"/>
        <v>40019</v>
      </c>
    </row>
    <row r="94" spans="1:43" ht="20.25" customHeight="1" x14ac:dyDescent="0.25">
      <c r="A94" s="1250">
        <v>49</v>
      </c>
      <c r="B94" s="1251" t="s">
        <v>4706</v>
      </c>
      <c r="C94" s="768"/>
      <c r="D94" s="769"/>
      <c r="E94" s="731">
        <v>1216049</v>
      </c>
      <c r="F94" s="731" t="s">
        <v>4998</v>
      </c>
      <c r="G94" s="731" t="s">
        <v>4935</v>
      </c>
      <c r="H94" s="800" t="s">
        <v>4999</v>
      </c>
      <c r="I94" s="733" t="str">
        <f t="shared" si="23"/>
        <v>Esha Patel</v>
      </c>
      <c r="J94" s="734" t="str">
        <f t="shared" si="24"/>
        <v>Patel,Esha</v>
      </c>
      <c r="K94" s="735">
        <f t="shared" ca="1" si="25"/>
        <v>19</v>
      </c>
      <c r="L94" s="736" t="str">
        <f t="shared" si="26"/>
        <v>191104</v>
      </c>
      <c r="M94" s="770" t="str">
        <f t="shared" ref="M94:M109" ca="1" si="34">IF(K94=0,0,IF(K94&lt;9,"TOO YOUNG",IF(K94&lt;60,"OK","BIT OLD MAYBE")))</f>
        <v>OK</v>
      </c>
      <c r="AD94" s="1244">
        <f>A94</f>
        <v>49</v>
      </c>
      <c r="AE94" s="1245" t="str">
        <f>B94</f>
        <v>FEMALE 16+4 X 50M
FREESTYLE RELAY</v>
      </c>
      <c r="AF94" s="749"/>
      <c r="AG94" s="750"/>
      <c r="AH94" s="740">
        <f t="shared" si="27"/>
        <v>1216049</v>
      </c>
      <c r="AI94" s="740" t="str">
        <f t="shared" si="28"/>
        <v>Esha</v>
      </c>
      <c r="AJ94" s="740" t="str">
        <f t="shared" si="29"/>
        <v>Patel</v>
      </c>
      <c r="AK94" s="740"/>
      <c r="AL94" s="740"/>
      <c r="AM94" s="740"/>
      <c r="AN94" s="740"/>
      <c r="AO94" s="740"/>
      <c r="AQ94" t="str">
        <f t="shared" ca="1" si="30"/>
        <v>19/11/2004</v>
      </c>
    </row>
    <row r="95" spans="1:43" ht="20.25" customHeight="1" x14ac:dyDescent="0.25">
      <c r="A95" s="1250"/>
      <c r="B95" s="1251"/>
      <c r="C95" s="771"/>
      <c r="D95" s="772"/>
      <c r="E95" s="730">
        <v>1187876</v>
      </c>
      <c r="F95" s="731" t="s">
        <v>4926</v>
      </c>
      <c r="G95" s="731" t="s">
        <v>4927</v>
      </c>
      <c r="H95" s="732">
        <v>40147</v>
      </c>
      <c r="I95" s="733" t="str">
        <f t="shared" si="23"/>
        <v>Alice  Sharrock</v>
      </c>
      <c r="J95" s="734" t="str">
        <f t="shared" si="24"/>
        <v xml:space="preserve">Sharrock,Alice </v>
      </c>
      <c r="K95" s="735">
        <f t="shared" ca="1" si="25"/>
        <v>14</v>
      </c>
      <c r="L95" s="736" t="str">
        <f t="shared" si="26"/>
        <v>301109</v>
      </c>
      <c r="M95" s="770" t="str">
        <f t="shared" ca="1" si="34"/>
        <v>OK</v>
      </c>
      <c r="AD95" s="1244"/>
      <c r="AE95" s="1245"/>
      <c r="AF95" s="753"/>
      <c r="AG95" s="754"/>
      <c r="AH95" s="740">
        <f t="shared" si="27"/>
        <v>1187876</v>
      </c>
      <c r="AI95" s="740" t="str">
        <f t="shared" si="28"/>
        <v xml:space="preserve">Alice </v>
      </c>
      <c r="AJ95" s="740" t="str">
        <f t="shared" si="29"/>
        <v>Sharrock</v>
      </c>
      <c r="AK95" s="740"/>
      <c r="AL95" s="740"/>
      <c r="AM95" s="740"/>
      <c r="AN95" s="740"/>
      <c r="AO95" s="740"/>
      <c r="AQ95" s="741">
        <f t="shared" ca="1" si="30"/>
        <v>40147</v>
      </c>
    </row>
    <row r="96" spans="1:43" ht="20.25" customHeight="1" x14ac:dyDescent="0.25">
      <c r="A96" s="1250"/>
      <c r="B96" s="1251"/>
      <c r="C96" s="771"/>
      <c r="D96" s="772"/>
      <c r="E96" s="730">
        <v>1304655</v>
      </c>
      <c r="F96" s="731" t="s">
        <v>4767</v>
      </c>
      <c r="G96" s="731" t="s">
        <v>4967</v>
      </c>
      <c r="H96" s="800" t="s">
        <v>4968</v>
      </c>
      <c r="I96" s="733" t="str">
        <f t="shared" si="23"/>
        <v>Hannah Barrios</v>
      </c>
      <c r="J96" s="734" t="str">
        <f t="shared" si="24"/>
        <v>Barrios,Hannah</v>
      </c>
      <c r="K96" s="735">
        <f t="shared" ca="1" si="25"/>
        <v>14</v>
      </c>
      <c r="L96" s="736" t="str">
        <f t="shared" si="26"/>
        <v>180909</v>
      </c>
      <c r="M96" s="770" t="str">
        <f t="shared" ca="1" si="34"/>
        <v>OK</v>
      </c>
      <c r="AD96" s="1244"/>
      <c r="AE96" s="1245"/>
      <c r="AF96" s="753"/>
      <c r="AG96" s="754"/>
      <c r="AH96" s="740">
        <f t="shared" si="27"/>
        <v>1304655</v>
      </c>
      <c r="AI96" s="740" t="str">
        <f t="shared" si="28"/>
        <v>Hannah</v>
      </c>
      <c r="AJ96" s="740" t="str">
        <f t="shared" si="29"/>
        <v>Barrios</v>
      </c>
      <c r="AK96" s="740"/>
      <c r="AL96" s="740"/>
      <c r="AM96" s="740"/>
      <c r="AN96" s="740"/>
      <c r="AO96" s="740"/>
      <c r="AQ96" t="str">
        <f t="shared" ca="1" si="30"/>
        <v>18/09/2009</v>
      </c>
    </row>
    <row r="97" spans="1:43" ht="20.25" customHeight="1" x14ac:dyDescent="0.25">
      <c r="A97" s="1250"/>
      <c r="B97" s="1251"/>
      <c r="C97" s="771"/>
      <c r="D97" s="772"/>
      <c r="E97" s="730">
        <v>1525254</v>
      </c>
      <c r="F97" s="731" t="s">
        <v>4969</v>
      </c>
      <c r="G97" s="731" t="s">
        <v>4970</v>
      </c>
      <c r="H97" s="800" t="s">
        <v>4971</v>
      </c>
      <c r="I97" s="733" t="str">
        <f t="shared" si="23"/>
        <v>Laura Leksander</v>
      </c>
      <c r="J97" s="734" t="str">
        <f t="shared" si="24"/>
        <v>Leksander,Laura</v>
      </c>
      <c r="K97" s="735">
        <f t="shared" ca="1" si="25"/>
        <v>15</v>
      </c>
      <c r="L97" s="736" t="str">
        <f t="shared" si="26"/>
        <v>200408</v>
      </c>
      <c r="M97" s="770" t="str">
        <f t="shared" ca="1" si="34"/>
        <v>OK</v>
      </c>
      <c r="AD97" s="1244"/>
      <c r="AE97" s="1245"/>
      <c r="AF97" s="753"/>
      <c r="AG97" s="754"/>
      <c r="AH97" s="740">
        <f t="shared" si="27"/>
        <v>1525254</v>
      </c>
      <c r="AI97" s="740" t="str">
        <f t="shared" si="28"/>
        <v>Laura</v>
      </c>
      <c r="AJ97" s="740" t="str">
        <f t="shared" si="29"/>
        <v>Leksander</v>
      </c>
      <c r="AK97" s="740"/>
      <c r="AL97" s="740"/>
      <c r="AM97" s="740"/>
      <c r="AN97" s="740"/>
      <c r="AO97" s="740"/>
      <c r="AQ97" t="str">
        <f t="shared" ca="1" si="30"/>
        <v>20/04/2008</v>
      </c>
    </row>
    <row r="98" spans="1:43" ht="20.25" customHeight="1" x14ac:dyDescent="0.25">
      <c r="A98" s="1242">
        <v>50</v>
      </c>
      <c r="B98" s="1243" t="s">
        <v>4707</v>
      </c>
      <c r="C98" s="768"/>
      <c r="D98" s="769"/>
      <c r="E98" s="730">
        <v>1433288</v>
      </c>
      <c r="F98" s="731" t="s">
        <v>4928</v>
      </c>
      <c r="G98" s="731" t="s">
        <v>4929</v>
      </c>
      <c r="H98" s="800" t="s">
        <v>4930</v>
      </c>
      <c r="I98" s="733" t="str">
        <f t="shared" si="23"/>
        <v>Razvan Lembac</v>
      </c>
      <c r="J98" s="734" t="str">
        <f t="shared" si="24"/>
        <v>Lembac,Razvan</v>
      </c>
      <c r="K98" s="735">
        <f t="shared" ca="1" si="25"/>
        <v>16</v>
      </c>
      <c r="L98" s="736" t="str">
        <f t="shared" si="26"/>
        <v>141207</v>
      </c>
      <c r="M98" s="770" t="str">
        <f t="shared" ca="1" si="34"/>
        <v>OK</v>
      </c>
      <c r="AD98" s="1244">
        <f>A98</f>
        <v>50</v>
      </c>
      <c r="AE98" s="1245" t="str">
        <f>B98</f>
        <v>OPEN/MALE 16+4 X 50M
FREESTYLE RELAY</v>
      </c>
      <c r="AF98" s="749"/>
      <c r="AG98" s="750"/>
      <c r="AH98" s="740">
        <f t="shared" si="27"/>
        <v>1433288</v>
      </c>
      <c r="AI98" s="740" t="str">
        <f t="shared" si="28"/>
        <v>Razvan</v>
      </c>
      <c r="AJ98" s="740" t="str">
        <f t="shared" si="29"/>
        <v>Lembac</v>
      </c>
      <c r="AK98" s="740"/>
      <c r="AL98" s="740"/>
      <c r="AM98" s="740"/>
      <c r="AN98" s="740"/>
      <c r="AO98" s="740"/>
      <c r="AQ98" t="str">
        <f t="shared" ca="1" si="30"/>
        <v>14/12/2007</v>
      </c>
    </row>
    <row r="99" spans="1:43" ht="20.25" customHeight="1" x14ac:dyDescent="0.25">
      <c r="A99" s="1242"/>
      <c r="B99" s="1243"/>
      <c r="C99" s="771"/>
      <c r="D99" s="772"/>
      <c r="E99" s="730">
        <v>1266269</v>
      </c>
      <c r="F99" s="731" t="s">
        <v>4984</v>
      </c>
      <c r="G99" s="731" t="s">
        <v>4985</v>
      </c>
      <c r="H99" s="800" t="s">
        <v>4986</v>
      </c>
      <c r="I99" s="733" t="str">
        <f t="shared" si="23"/>
        <v>Dawid Otulak</v>
      </c>
      <c r="J99" s="734" t="str">
        <f t="shared" si="24"/>
        <v>Otulak,Dawid</v>
      </c>
      <c r="K99" s="735">
        <f t="shared" ca="1" si="25"/>
        <v>16</v>
      </c>
      <c r="L99" s="736" t="str">
        <f t="shared" si="26"/>
        <v>280407</v>
      </c>
      <c r="M99" s="770" t="str">
        <f t="shared" ca="1" si="34"/>
        <v>OK</v>
      </c>
      <c r="AD99" s="1244"/>
      <c r="AE99" s="1245"/>
      <c r="AF99" s="753"/>
      <c r="AG99" s="754"/>
      <c r="AH99" s="740">
        <f t="shared" si="27"/>
        <v>1266269</v>
      </c>
      <c r="AI99" s="740" t="str">
        <f t="shared" si="28"/>
        <v>Dawid</v>
      </c>
      <c r="AJ99" s="740" t="str">
        <f t="shared" si="29"/>
        <v>Otulak</v>
      </c>
      <c r="AK99" s="740"/>
      <c r="AL99" s="740"/>
      <c r="AM99" s="740"/>
      <c r="AN99" s="740"/>
      <c r="AO99" s="740"/>
      <c r="AQ99" t="str">
        <f t="shared" ca="1" si="30"/>
        <v>28/04/2007</v>
      </c>
    </row>
    <row r="100" spans="1:43" ht="20.25" customHeight="1" x14ac:dyDescent="0.25">
      <c r="A100" s="1242"/>
      <c r="B100" s="1243"/>
      <c r="C100" s="771"/>
      <c r="D100" s="772"/>
      <c r="E100" s="730">
        <v>971063</v>
      </c>
      <c r="F100" s="731" t="s">
        <v>4987</v>
      </c>
      <c r="G100" s="731" t="s">
        <v>4988</v>
      </c>
      <c r="H100" s="732">
        <v>37539</v>
      </c>
      <c r="I100" s="733" t="str">
        <f t="shared" si="23"/>
        <v>Shanil Ramaiya</v>
      </c>
      <c r="J100" s="734" t="str">
        <f t="shared" si="24"/>
        <v>Ramaiya,Shanil</v>
      </c>
      <c r="K100" s="735">
        <f t="shared" ref="K100:K109" ca="1" si="35">IF(K$2=0,0,IF(AQ100=0,0,IF(COUNTBLANK(AQ100)=1,"",YEAR(K$2)-YEAR(AQ100)-IF(DATE(YEAR(K$2),MONTH(AQ100),DAY(4638))&gt;K$2,1,0))))</f>
        <v>21</v>
      </c>
      <c r="L100" s="736" t="str">
        <f t="shared" ref="L100:L109" si="36">(TEXT(H100,"DDMMYY"))</f>
        <v>101002</v>
      </c>
      <c r="M100" s="770" t="str">
        <f t="shared" ca="1" si="34"/>
        <v>OK</v>
      </c>
      <c r="AD100" s="1244"/>
      <c r="AE100" s="1245"/>
      <c r="AF100" s="753"/>
      <c r="AG100" s="754"/>
      <c r="AH100" s="740">
        <f t="shared" ref="AH100:AH109" si="37">E100</f>
        <v>971063</v>
      </c>
      <c r="AI100" s="740" t="str">
        <f t="shared" ref="AI100:AI109" si="38">F100</f>
        <v>Shanil</v>
      </c>
      <c r="AJ100" s="740" t="str">
        <f t="shared" ref="AJ100:AJ109" si="39">G100</f>
        <v>Ramaiya</v>
      </c>
      <c r="AK100" s="740"/>
      <c r="AL100" s="740"/>
      <c r="AM100" s="740"/>
      <c r="AN100" s="740"/>
      <c r="AO100" s="740"/>
      <c r="AQ100" s="741">
        <f t="shared" ref="AQ100:AQ109" ca="1" si="40">INDIRECT(ADDRESS(ROW(),AQ$3))</f>
        <v>37539</v>
      </c>
    </row>
    <row r="101" spans="1:43" ht="20.25" customHeight="1" x14ac:dyDescent="0.25">
      <c r="A101" s="1242"/>
      <c r="B101" s="1243"/>
      <c r="C101" s="771"/>
      <c r="D101" s="772"/>
      <c r="E101" s="730">
        <v>1224682</v>
      </c>
      <c r="F101" s="731" t="s">
        <v>4994</v>
      </c>
      <c r="G101" s="731" t="s">
        <v>4944</v>
      </c>
      <c r="H101" s="732">
        <v>39570</v>
      </c>
      <c r="I101" s="733" t="str">
        <f t="shared" si="23"/>
        <v>Owen Roberts</v>
      </c>
      <c r="J101" s="734" t="str">
        <f t="shared" si="24"/>
        <v>Roberts,Owen</v>
      </c>
      <c r="K101" s="735">
        <f t="shared" ca="1" si="35"/>
        <v>15</v>
      </c>
      <c r="L101" s="736" t="str">
        <f t="shared" si="36"/>
        <v>020508</v>
      </c>
      <c r="M101" s="770" t="str">
        <f t="shared" ca="1" si="34"/>
        <v>OK</v>
      </c>
      <c r="AD101" s="1244"/>
      <c r="AE101" s="1245"/>
      <c r="AF101" s="753"/>
      <c r="AG101" s="754"/>
      <c r="AH101" s="740">
        <f t="shared" si="37"/>
        <v>1224682</v>
      </c>
      <c r="AI101" s="740" t="str">
        <f t="shared" si="38"/>
        <v>Owen</v>
      </c>
      <c r="AJ101" s="740" t="str">
        <f t="shared" si="39"/>
        <v>Roberts</v>
      </c>
      <c r="AK101" s="740"/>
      <c r="AL101" s="740"/>
      <c r="AM101" s="740"/>
      <c r="AN101" s="740"/>
      <c r="AO101" s="740"/>
      <c r="AQ101" s="741">
        <f t="shared" ca="1" si="40"/>
        <v>39570</v>
      </c>
    </row>
    <row r="102" spans="1:43" ht="20.25" customHeight="1" x14ac:dyDescent="0.25">
      <c r="A102" s="1246">
        <v>51</v>
      </c>
      <c r="B102" s="1247" t="s">
        <v>4708</v>
      </c>
      <c r="C102" s="20"/>
      <c r="D102" s="784"/>
      <c r="E102" s="730">
        <v>1430642</v>
      </c>
      <c r="F102" s="731" t="s">
        <v>4934</v>
      </c>
      <c r="G102" s="731" t="s">
        <v>4935</v>
      </c>
      <c r="H102" s="732">
        <v>41037</v>
      </c>
      <c r="I102" s="785"/>
      <c r="J102" s="785"/>
      <c r="K102" s="735">
        <f t="shared" ca="1" si="35"/>
        <v>11</v>
      </c>
      <c r="L102" s="736" t="str">
        <f t="shared" si="36"/>
        <v>080512</v>
      </c>
      <c r="M102" s="770" t="str">
        <f t="shared" ca="1" si="34"/>
        <v>OK</v>
      </c>
      <c r="AD102" s="1244">
        <f>A102</f>
        <v>51</v>
      </c>
      <c r="AE102" s="1245" t="str">
        <f>B102</f>
        <v>SQUADRON RELAY 8 X 50M
1 MALE &amp; 1 FEMALE FROM EACH AGE GROUP
SWIM IN ANY ORDER</v>
      </c>
      <c r="AF102" s="786"/>
      <c r="AG102" s="787"/>
      <c r="AH102" s="740">
        <f t="shared" si="37"/>
        <v>1430642</v>
      </c>
      <c r="AI102" s="740" t="str">
        <f t="shared" si="38"/>
        <v>Miraya</v>
      </c>
      <c r="AJ102" s="740" t="str">
        <f t="shared" si="39"/>
        <v>Patel</v>
      </c>
      <c r="AK102" s="740"/>
      <c r="AL102" s="740"/>
      <c r="AM102" s="740"/>
      <c r="AN102" s="740"/>
      <c r="AO102" s="740"/>
      <c r="AQ102" s="741">
        <f t="shared" ca="1" si="40"/>
        <v>41037</v>
      </c>
    </row>
    <row r="103" spans="1:43" ht="20.25" customHeight="1" x14ac:dyDescent="0.25">
      <c r="A103" s="1246"/>
      <c r="B103" s="1247"/>
      <c r="C103" s="20"/>
      <c r="D103" s="784"/>
      <c r="E103" s="730">
        <v>1407491</v>
      </c>
      <c r="F103" s="731" t="s">
        <v>4943</v>
      </c>
      <c r="G103" s="731" t="s">
        <v>4944</v>
      </c>
      <c r="H103" s="732">
        <v>41200</v>
      </c>
      <c r="I103" s="785"/>
      <c r="J103" s="785"/>
      <c r="K103" s="735">
        <f t="shared" ca="1" si="35"/>
        <v>11</v>
      </c>
      <c r="L103" s="736" t="str">
        <f t="shared" si="36"/>
        <v>181012</v>
      </c>
      <c r="M103" s="770" t="str">
        <f t="shared" ca="1" si="34"/>
        <v>OK</v>
      </c>
      <c r="AD103" s="1244"/>
      <c r="AE103" s="1245"/>
      <c r="AF103" s="786"/>
      <c r="AG103" s="787"/>
      <c r="AH103" s="740">
        <f t="shared" si="37"/>
        <v>1407491</v>
      </c>
      <c r="AI103" s="740" t="str">
        <f t="shared" si="38"/>
        <v>Macsen</v>
      </c>
      <c r="AJ103" s="740" t="str">
        <f t="shared" si="39"/>
        <v>Roberts</v>
      </c>
      <c r="AK103" s="740"/>
      <c r="AL103" s="740"/>
      <c r="AM103" s="740"/>
      <c r="AN103" s="740"/>
      <c r="AO103" s="740"/>
      <c r="AQ103" s="741">
        <f t="shared" ca="1" si="40"/>
        <v>41200</v>
      </c>
    </row>
    <row r="104" spans="1:43" ht="20.25" customHeight="1" x14ac:dyDescent="0.25">
      <c r="A104" s="1246"/>
      <c r="B104" s="1247"/>
      <c r="C104" s="20"/>
      <c r="D104" s="784"/>
      <c r="E104" s="730">
        <v>1670724</v>
      </c>
      <c r="F104" s="731" t="s">
        <v>4951</v>
      </c>
      <c r="G104" s="731" t="s">
        <v>4952</v>
      </c>
      <c r="H104" s="800" t="s">
        <v>4953</v>
      </c>
      <c r="I104" s="785"/>
      <c r="J104" s="785"/>
      <c r="K104" s="735">
        <f t="shared" ca="1" si="35"/>
        <v>13</v>
      </c>
      <c r="L104" s="736" t="str">
        <f t="shared" si="36"/>
        <v>290910</v>
      </c>
      <c r="M104" s="770" t="str">
        <f t="shared" ca="1" si="34"/>
        <v>OK</v>
      </c>
      <c r="AD104" s="1244"/>
      <c r="AE104" s="1245"/>
      <c r="AF104" s="786"/>
      <c r="AG104" s="787"/>
      <c r="AH104" s="740">
        <f t="shared" si="37"/>
        <v>1670724</v>
      </c>
      <c r="AI104" s="740" t="str">
        <f t="shared" si="38"/>
        <v>Polina</v>
      </c>
      <c r="AJ104" s="740" t="str">
        <f t="shared" si="39"/>
        <v>Fedorova</v>
      </c>
      <c r="AK104" s="740"/>
      <c r="AL104" s="740"/>
      <c r="AM104" s="740"/>
      <c r="AN104" s="740"/>
      <c r="AO104" s="740"/>
      <c r="AQ104" t="str">
        <f t="shared" ca="1" si="40"/>
        <v>29/09/2010</v>
      </c>
    </row>
    <row r="105" spans="1:43" ht="20.25" customHeight="1" x14ac:dyDescent="0.25">
      <c r="A105" s="1246"/>
      <c r="B105" s="1247"/>
      <c r="C105" s="20"/>
      <c r="D105" s="784"/>
      <c r="E105" s="730">
        <v>1525256</v>
      </c>
      <c r="F105" s="731" t="s">
        <v>4997</v>
      </c>
      <c r="G105" s="731" t="s">
        <v>4959</v>
      </c>
      <c r="H105" s="800" t="s">
        <v>4960</v>
      </c>
      <c r="I105" s="785"/>
      <c r="J105" s="785"/>
      <c r="K105" s="735">
        <f t="shared" ca="1" si="35"/>
        <v>13</v>
      </c>
      <c r="L105" s="736" t="str">
        <f t="shared" si="36"/>
        <v>270510</v>
      </c>
      <c r="M105" s="770" t="str">
        <f t="shared" ca="1" si="34"/>
        <v>OK</v>
      </c>
      <c r="AD105" s="1244"/>
      <c r="AE105" s="1245"/>
      <c r="AF105" s="786"/>
      <c r="AG105" s="787"/>
      <c r="AH105" s="740">
        <f t="shared" si="37"/>
        <v>1525256</v>
      </c>
      <c r="AI105" s="740" t="str">
        <f t="shared" si="38"/>
        <v xml:space="preserve">Gert </v>
      </c>
      <c r="AJ105" s="740" t="str">
        <f t="shared" si="39"/>
        <v>Zeqiri</v>
      </c>
      <c r="AK105" s="740"/>
      <c r="AL105" s="740"/>
      <c r="AM105" s="740"/>
      <c r="AN105" s="740"/>
      <c r="AO105" s="740"/>
      <c r="AQ105" t="str">
        <f t="shared" ca="1" si="40"/>
        <v>27/05/2010</v>
      </c>
    </row>
    <row r="106" spans="1:43" ht="20.25" customHeight="1" x14ac:dyDescent="0.25">
      <c r="A106" s="1246"/>
      <c r="B106" s="1247"/>
      <c r="E106" s="730">
        <v>1187876</v>
      </c>
      <c r="F106" s="731" t="s">
        <v>4926</v>
      </c>
      <c r="G106" s="731" t="s">
        <v>4927</v>
      </c>
      <c r="H106" s="732">
        <v>40147</v>
      </c>
      <c r="I106" s="785"/>
      <c r="J106" s="785"/>
      <c r="K106" s="735">
        <f t="shared" ca="1" si="35"/>
        <v>14</v>
      </c>
      <c r="L106" s="736" t="str">
        <f t="shared" si="36"/>
        <v>301109</v>
      </c>
      <c r="M106" s="770" t="str">
        <f t="shared" ca="1" si="34"/>
        <v>OK</v>
      </c>
      <c r="AD106" s="1244"/>
      <c r="AE106" s="1245"/>
      <c r="AH106" s="740">
        <f t="shared" si="37"/>
        <v>1187876</v>
      </c>
      <c r="AI106" s="740" t="str">
        <f t="shared" si="38"/>
        <v xml:space="preserve">Alice </v>
      </c>
      <c r="AJ106" s="740" t="str">
        <f t="shared" si="39"/>
        <v>Sharrock</v>
      </c>
      <c r="AK106" s="211"/>
      <c r="AL106" s="211"/>
      <c r="AM106" s="211"/>
      <c r="AN106" s="211"/>
      <c r="AO106" s="211"/>
      <c r="AQ106" s="741">
        <f t="shared" ca="1" si="40"/>
        <v>40147</v>
      </c>
    </row>
    <row r="107" spans="1:43" ht="20.25" customHeight="1" x14ac:dyDescent="0.25">
      <c r="A107" s="1246"/>
      <c r="B107" s="1247"/>
      <c r="E107" s="730">
        <v>1224682</v>
      </c>
      <c r="F107" s="731" t="s">
        <v>4994</v>
      </c>
      <c r="G107" s="731" t="s">
        <v>4944</v>
      </c>
      <c r="H107" s="732">
        <v>39570</v>
      </c>
      <c r="I107" s="785"/>
      <c r="J107" s="785"/>
      <c r="K107" s="735">
        <f t="shared" ca="1" si="35"/>
        <v>15</v>
      </c>
      <c r="L107" s="736" t="str">
        <f t="shared" si="36"/>
        <v>020508</v>
      </c>
      <c r="M107" s="770" t="str">
        <f t="shared" ca="1" si="34"/>
        <v>OK</v>
      </c>
      <c r="AD107" s="1244"/>
      <c r="AE107" s="1245"/>
      <c r="AH107" s="740">
        <f t="shared" si="37"/>
        <v>1224682</v>
      </c>
      <c r="AI107" s="740" t="str">
        <f t="shared" si="38"/>
        <v>Owen</v>
      </c>
      <c r="AJ107" s="740" t="str">
        <f t="shared" si="39"/>
        <v>Roberts</v>
      </c>
      <c r="AK107" s="211"/>
      <c r="AL107" s="211"/>
      <c r="AM107" s="211"/>
      <c r="AN107" s="211"/>
      <c r="AO107" s="211"/>
      <c r="AQ107" s="741">
        <f t="shared" ca="1" si="40"/>
        <v>39570</v>
      </c>
    </row>
    <row r="108" spans="1:43" ht="20.25" customHeight="1" x14ac:dyDescent="0.25">
      <c r="A108" s="1246"/>
      <c r="B108" s="1247"/>
      <c r="E108" s="730">
        <v>1216049</v>
      </c>
      <c r="F108" s="731" t="s">
        <v>4998</v>
      </c>
      <c r="G108" s="731" t="s">
        <v>4935</v>
      </c>
      <c r="H108" s="800" t="s">
        <v>4999</v>
      </c>
      <c r="I108" s="785"/>
      <c r="J108" s="785"/>
      <c r="K108" s="735">
        <f t="shared" ca="1" si="35"/>
        <v>19</v>
      </c>
      <c r="L108" s="736" t="str">
        <f t="shared" si="36"/>
        <v>191104</v>
      </c>
      <c r="M108" s="770" t="str">
        <f t="shared" ca="1" si="34"/>
        <v>OK</v>
      </c>
      <c r="AD108" s="1244"/>
      <c r="AE108" s="1245"/>
      <c r="AH108" s="740">
        <f t="shared" si="37"/>
        <v>1216049</v>
      </c>
      <c r="AI108" s="740" t="str">
        <f t="shared" si="38"/>
        <v>Esha</v>
      </c>
      <c r="AJ108" s="740" t="str">
        <f t="shared" si="39"/>
        <v>Patel</v>
      </c>
      <c r="AK108" s="211"/>
      <c r="AL108" s="211"/>
      <c r="AM108" s="211"/>
      <c r="AN108" s="211"/>
      <c r="AO108" s="211"/>
      <c r="AQ108" t="str">
        <f t="shared" ca="1" si="40"/>
        <v>19/11/2004</v>
      </c>
    </row>
    <row r="109" spans="1:43" ht="20.25" customHeight="1" x14ac:dyDescent="0.25">
      <c r="A109" s="1246"/>
      <c r="B109" s="1247"/>
      <c r="E109" s="730">
        <v>1433288</v>
      </c>
      <c r="F109" s="731" t="s">
        <v>4928</v>
      </c>
      <c r="G109" s="731" t="s">
        <v>4929</v>
      </c>
      <c r="H109" s="800" t="s">
        <v>4930</v>
      </c>
      <c r="I109" s="785"/>
      <c r="J109" s="785"/>
      <c r="K109" s="735">
        <f t="shared" ca="1" si="35"/>
        <v>16</v>
      </c>
      <c r="L109" s="736" t="str">
        <f t="shared" si="36"/>
        <v>141207</v>
      </c>
      <c r="M109" s="770" t="str">
        <f t="shared" ca="1" si="34"/>
        <v>OK</v>
      </c>
      <c r="AD109" s="1244"/>
      <c r="AE109" s="1245"/>
      <c r="AH109" s="740">
        <f t="shared" si="37"/>
        <v>1433288</v>
      </c>
      <c r="AI109" s="740" t="str">
        <f t="shared" si="38"/>
        <v>Razvan</v>
      </c>
      <c r="AJ109" s="740" t="str">
        <f t="shared" si="39"/>
        <v>Lembac</v>
      </c>
      <c r="AK109" s="211"/>
      <c r="AL109" s="211"/>
      <c r="AM109" s="211"/>
      <c r="AN109" s="211"/>
      <c r="AO109" s="211"/>
      <c r="AQ109" t="str">
        <f t="shared" ca="1" si="40"/>
        <v>14/12/2007</v>
      </c>
    </row>
    <row r="110" spans="1:43" s="134" customFormat="1" ht="9" customHeight="1" x14ac:dyDescent="0.25">
      <c r="E110" s="788"/>
      <c r="F110" s="789"/>
      <c r="G110" s="789"/>
      <c r="H110" s="790"/>
      <c r="AD110" s="791"/>
      <c r="AE110" s="792"/>
    </row>
    <row r="111" spans="1:43" s="134" customFormat="1" ht="9" customHeight="1" x14ac:dyDescent="0.25">
      <c r="E111" s="788"/>
      <c r="F111" s="789"/>
      <c r="G111" s="789"/>
      <c r="H111" s="790"/>
      <c r="AD111" s="791"/>
      <c r="AE111" s="792"/>
    </row>
    <row r="112" spans="1:43" s="134" customFormat="1" ht="9" customHeight="1" x14ac:dyDescent="0.25">
      <c r="E112" s="788"/>
      <c r="F112" s="789"/>
      <c r="G112" s="789"/>
      <c r="H112" s="790"/>
      <c r="AD112" s="791"/>
      <c r="AE112" s="792"/>
    </row>
    <row r="113" spans="5:31" s="134" customFormat="1" ht="9" customHeight="1" x14ac:dyDescent="0.25">
      <c r="E113" s="788"/>
      <c r="F113" s="789"/>
      <c r="G113" s="789"/>
      <c r="H113" s="790"/>
      <c r="AD113" s="791"/>
      <c r="AE113" s="792"/>
    </row>
    <row r="114" spans="5:31" s="134" customFormat="1" ht="9" customHeight="1" x14ac:dyDescent="0.25">
      <c r="E114" s="788"/>
      <c r="F114" s="789"/>
      <c r="G114" s="789"/>
      <c r="H114" s="790"/>
      <c r="AD114" s="791"/>
      <c r="AE114" s="792"/>
    </row>
    <row r="115" spans="5:31" s="134" customFormat="1" ht="9" customHeight="1" x14ac:dyDescent="0.25">
      <c r="E115" s="788"/>
      <c r="F115" s="789"/>
      <c r="G115" s="789"/>
      <c r="H115" s="790"/>
      <c r="AD115" s="791"/>
      <c r="AE115" s="792"/>
    </row>
    <row r="116" spans="5:31" s="134" customFormat="1" ht="9" customHeight="1" x14ac:dyDescent="0.25">
      <c r="E116" s="788"/>
      <c r="F116" s="789"/>
      <c r="G116" s="789"/>
      <c r="H116" s="790"/>
      <c r="AD116" s="791"/>
      <c r="AE116" s="792"/>
    </row>
    <row r="117" spans="5:31" s="134" customFormat="1" ht="9" customHeight="1" x14ac:dyDescent="0.25">
      <c r="E117" s="788"/>
      <c r="F117" s="789"/>
      <c r="G117" s="789"/>
      <c r="H117" s="790"/>
      <c r="AD117" s="791"/>
      <c r="AE117" s="792"/>
    </row>
    <row r="118" spans="5:31" s="134" customFormat="1" ht="9" customHeight="1" x14ac:dyDescent="0.25">
      <c r="E118" s="788"/>
      <c r="F118" s="789"/>
      <c r="G118" s="789"/>
      <c r="H118" s="790"/>
      <c r="AD118" s="791"/>
      <c r="AE118" s="792"/>
    </row>
    <row r="119" spans="5:31" s="134" customFormat="1" ht="9" customHeight="1" x14ac:dyDescent="0.25">
      <c r="E119" s="788"/>
      <c r="F119" s="789"/>
      <c r="G119" s="789"/>
      <c r="H119" s="790"/>
      <c r="AD119" s="791"/>
      <c r="AE119" s="792"/>
    </row>
    <row r="120" spans="5:31" s="134" customFormat="1" ht="9" customHeight="1" x14ac:dyDescent="0.25">
      <c r="E120" s="788"/>
      <c r="F120" s="789"/>
      <c r="G120" s="789"/>
      <c r="H120" s="790"/>
      <c r="AD120" s="791"/>
      <c r="AE120" s="792"/>
    </row>
    <row r="121" spans="5:31" s="134" customFormat="1" ht="9" customHeight="1" x14ac:dyDescent="0.25">
      <c r="E121" s="788"/>
      <c r="F121" s="789"/>
      <c r="G121" s="789"/>
      <c r="H121" s="790"/>
      <c r="AD121" s="791"/>
      <c r="AE121" s="792"/>
    </row>
    <row r="122" spans="5:31" s="134" customFormat="1" ht="9" customHeight="1" x14ac:dyDescent="0.25">
      <c r="E122" s="788"/>
      <c r="F122" s="789"/>
      <c r="G122" s="789"/>
      <c r="H122" s="790"/>
      <c r="AD122" s="791"/>
      <c r="AE122" s="792"/>
    </row>
    <row r="123" spans="5:31" s="134" customFormat="1" ht="9" customHeight="1" x14ac:dyDescent="0.25">
      <c r="E123" s="788"/>
      <c r="F123" s="789"/>
      <c r="G123" s="789"/>
      <c r="H123" s="790"/>
      <c r="AD123" s="791"/>
      <c r="AE123" s="792"/>
    </row>
    <row r="124" spans="5:31" s="134" customFormat="1" ht="9" customHeight="1" x14ac:dyDescent="0.25">
      <c r="E124" s="788"/>
      <c r="F124" s="789"/>
      <c r="G124" s="789"/>
      <c r="H124" s="790"/>
      <c r="AD124" s="791"/>
      <c r="AE124" s="792"/>
    </row>
    <row r="125" spans="5:31" s="134" customFormat="1" ht="9" customHeight="1" x14ac:dyDescent="0.25">
      <c r="E125" s="788"/>
      <c r="F125" s="789"/>
      <c r="G125" s="789"/>
      <c r="H125" s="790"/>
      <c r="AD125" s="791"/>
      <c r="AE125" s="792"/>
    </row>
    <row r="126" spans="5:31" s="134" customFormat="1" ht="9" customHeight="1" x14ac:dyDescent="0.25">
      <c r="E126" s="788"/>
      <c r="F126" s="789"/>
      <c r="G126" s="789"/>
      <c r="H126" s="790"/>
      <c r="AD126" s="791"/>
      <c r="AE126" s="792"/>
    </row>
    <row r="127" spans="5:31" s="134" customFormat="1" ht="9" customHeight="1" x14ac:dyDescent="0.25">
      <c r="E127" s="788"/>
      <c r="F127" s="789"/>
      <c r="G127" s="789"/>
      <c r="H127" s="790"/>
      <c r="AD127" s="791"/>
      <c r="AE127" s="792"/>
    </row>
    <row r="128" spans="5:31" s="134" customFormat="1" ht="9" customHeight="1" x14ac:dyDescent="0.25">
      <c r="E128" s="788"/>
      <c r="F128" s="789"/>
      <c r="G128" s="789"/>
      <c r="H128" s="790"/>
      <c r="AD128" s="791"/>
      <c r="AE128" s="792"/>
    </row>
    <row r="129" spans="5:31" s="134" customFormat="1" ht="9" customHeight="1" x14ac:dyDescent="0.25">
      <c r="E129" s="788"/>
      <c r="F129" s="789"/>
      <c r="G129" s="789"/>
      <c r="H129" s="790"/>
      <c r="AD129" s="791"/>
      <c r="AE129" s="792"/>
    </row>
    <row r="130" spans="5:31" s="134" customFormat="1" ht="9" customHeight="1" x14ac:dyDescent="0.25">
      <c r="E130" s="788"/>
      <c r="F130" s="789"/>
      <c r="G130" s="789"/>
      <c r="H130" s="790"/>
      <c r="AD130" s="791"/>
      <c r="AE130" s="792"/>
    </row>
    <row r="131" spans="5:31" s="134" customFormat="1" ht="9" customHeight="1" x14ac:dyDescent="0.25">
      <c r="E131" s="788"/>
      <c r="F131" s="789"/>
      <c r="G131" s="789"/>
      <c r="H131" s="790"/>
      <c r="AD131" s="791"/>
      <c r="AE131" s="792"/>
    </row>
    <row r="132" spans="5:31" s="134" customFormat="1" ht="9" customHeight="1" x14ac:dyDescent="0.25">
      <c r="E132" s="788"/>
      <c r="F132" s="789"/>
      <c r="G132" s="789"/>
      <c r="H132" s="790"/>
      <c r="AD132" s="791"/>
      <c r="AE132" s="792"/>
    </row>
    <row r="133" spans="5:31" s="134" customFormat="1" ht="9" customHeight="1" x14ac:dyDescent="0.25">
      <c r="E133" s="788"/>
      <c r="F133" s="789"/>
      <c r="G133" s="789"/>
      <c r="H133" s="790"/>
      <c r="AD133" s="791"/>
      <c r="AE133" s="792"/>
    </row>
    <row r="134" spans="5:31" s="134" customFormat="1" ht="9" customHeight="1" x14ac:dyDescent="0.25">
      <c r="E134" s="788"/>
      <c r="F134" s="789"/>
      <c r="G134" s="789"/>
      <c r="H134" s="790"/>
      <c r="AD134" s="791"/>
      <c r="AE134" s="792"/>
    </row>
    <row r="135" spans="5:31" s="134" customFormat="1" ht="9" customHeight="1" x14ac:dyDescent="0.25">
      <c r="E135" s="788"/>
      <c r="F135" s="789"/>
      <c r="G135" s="789"/>
      <c r="H135" s="790"/>
      <c r="AD135" s="791"/>
      <c r="AE135" s="792"/>
    </row>
    <row r="136" spans="5:31" s="134" customFormat="1" ht="9" customHeight="1" x14ac:dyDescent="0.25">
      <c r="E136" s="788"/>
      <c r="F136" s="789"/>
      <c r="G136" s="789"/>
      <c r="H136" s="790"/>
      <c r="AD136" s="791"/>
      <c r="AE136" s="792"/>
    </row>
    <row r="137" spans="5:31" s="134" customFormat="1" ht="9" customHeight="1" x14ac:dyDescent="0.25">
      <c r="E137" s="788"/>
      <c r="F137" s="789"/>
      <c r="G137" s="789"/>
      <c r="H137" s="790"/>
      <c r="AD137" s="791"/>
      <c r="AE137" s="792"/>
    </row>
    <row r="138" spans="5:31" s="134" customFormat="1" ht="9" customHeight="1" x14ac:dyDescent="0.25">
      <c r="E138" s="788"/>
      <c r="F138" s="789"/>
      <c r="G138" s="789"/>
      <c r="H138" s="790"/>
      <c r="AD138" s="791"/>
      <c r="AE138" s="792"/>
    </row>
    <row r="139" spans="5:31" s="134" customFormat="1" ht="9" customHeight="1" x14ac:dyDescent="0.25">
      <c r="E139" s="788"/>
      <c r="F139" s="789"/>
      <c r="G139" s="789"/>
      <c r="H139" s="790"/>
      <c r="AD139" s="791"/>
      <c r="AE139" s="792"/>
    </row>
    <row r="140" spans="5:31" s="134" customFormat="1" ht="9" customHeight="1" x14ac:dyDescent="0.25">
      <c r="E140" s="788"/>
      <c r="F140" s="789"/>
      <c r="G140" s="789"/>
      <c r="H140" s="790"/>
      <c r="AD140" s="791"/>
      <c r="AE140" s="792"/>
    </row>
    <row r="141" spans="5:31" s="134" customFormat="1" ht="9" customHeight="1" x14ac:dyDescent="0.25">
      <c r="E141" s="789"/>
      <c r="F141" s="789"/>
      <c r="G141" s="789"/>
      <c r="H141" s="790"/>
      <c r="AD141" s="791"/>
      <c r="AE141" s="792"/>
    </row>
    <row r="142" spans="5:31" s="134" customFormat="1" ht="9" customHeight="1" x14ac:dyDescent="0.25">
      <c r="E142" s="789"/>
      <c r="F142" s="789"/>
      <c r="G142" s="789"/>
      <c r="H142" s="790"/>
      <c r="AD142" s="791"/>
      <c r="AE142" s="792"/>
    </row>
    <row r="143" spans="5:31" s="134" customFormat="1" ht="9" customHeight="1" x14ac:dyDescent="0.25">
      <c r="E143" s="789"/>
      <c r="F143" s="789"/>
      <c r="G143" s="789"/>
      <c r="H143" s="790"/>
      <c r="AD143" s="791"/>
      <c r="AE143" s="792"/>
    </row>
    <row r="144" spans="5:31" s="134" customFormat="1" ht="9" customHeight="1" x14ac:dyDescent="0.25">
      <c r="E144" s="789"/>
      <c r="F144" s="789"/>
      <c r="G144" s="789"/>
      <c r="H144" s="790"/>
      <c r="AD144" s="791"/>
      <c r="AE144" s="792"/>
    </row>
    <row r="145" spans="5:31" s="134" customFormat="1" ht="9" customHeight="1" x14ac:dyDescent="0.25">
      <c r="E145" s="789"/>
      <c r="F145" s="789"/>
      <c r="G145" s="789"/>
      <c r="H145" s="790"/>
      <c r="AD145" s="791"/>
      <c r="AE145" s="792"/>
    </row>
    <row r="146" spans="5:31" s="134" customFormat="1" ht="9" customHeight="1" x14ac:dyDescent="0.25">
      <c r="E146" s="789"/>
      <c r="F146" s="789"/>
      <c r="G146" s="789"/>
      <c r="H146" s="790"/>
      <c r="AD146" s="791"/>
      <c r="AE146" s="792"/>
    </row>
    <row r="147" spans="5:31" s="134" customFormat="1" ht="9" customHeight="1" x14ac:dyDescent="0.25">
      <c r="E147" s="789"/>
      <c r="F147" s="789"/>
      <c r="G147" s="789"/>
      <c r="H147" s="790"/>
      <c r="AD147" s="791"/>
      <c r="AE147" s="792"/>
    </row>
    <row r="148" spans="5:31" s="134" customFormat="1" ht="9" customHeight="1" x14ac:dyDescent="0.25">
      <c r="E148" s="789"/>
      <c r="F148" s="789"/>
      <c r="G148" s="789"/>
      <c r="H148" s="790"/>
      <c r="AD148" s="791"/>
      <c r="AE148" s="792"/>
    </row>
    <row r="149" spans="5:31" s="134" customFormat="1" ht="9" customHeight="1" x14ac:dyDescent="0.25">
      <c r="E149" s="789"/>
      <c r="F149" s="789"/>
      <c r="G149" s="789"/>
      <c r="H149" s="790"/>
      <c r="AD149" s="791"/>
      <c r="AE149" s="792"/>
    </row>
    <row r="150" spans="5:31" s="134" customFormat="1" ht="9" customHeight="1" x14ac:dyDescent="0.25">
      <c r="E150" s="789"/>
      <c r="F150" s="789"/>
      <c r="G150" s="789"/>
      <c r="H150" s="790"/>
      <c r="AD150" s="791"/>
      <c r="AE150" s="792"/>
    </row>
    <row r="151" spans="5:31" s="134" customFormat="1" ht="9" customHeight="1" x14ac:dyDescent="0.25">
      <c r="E151" s="789"/>
      <c r="F151" s="789"/>
      <c r="G151" s="789"/>
      <c r="H151" s="790"/>
      <c r="AD151" s="791"/>
      <c r="AE151" s="792"/>
    </row>
    <row r="152" spans="5:31" s="134" customFormat="1" ht="9" customHeight="1" x14ac:dyDescent="0.25">
      <c r="E152" s="789"/>
      <c r="F152" s="789"/>
      <c r="G152" s="789"/>
      <c r="H152" s="790"/>
      <c r="AD152" s="791"/>
      <c r="AE152" s="792"/>
    </row>
    <row r="153" spans="5:31" s="134" customFormat="1" ht="9" customHeight="1" x14ac:dyDescent="0.25">
      <c r="E153" s="789"/>
      <c r="F153" s="789"/>
      <c r="G153" s="789"/>
      <c r="H153" s="790"/>
      <c r="AD153" s="791"/>
      <c r="AE153" s="792"/>
    </row>
    <row r="154" spans="5:31" s="134" customFormat="1" ht="9" customHeight="1" x14ac:dyDescent="0.25">
      <c r="E154" s="789"/>
      <c r="F154" s="789"/>
      <c r="G154" s="789"/>
      <c r="H154" s="790"/>
      <c r="AD154" s="791"/>
      <c r="AE154" s="792"/>
    </row>
    <row r="155" spans="5:31" s="134" customFormat="1" ht="9" customHeight="1" x14ac:dyDescent="0.25">
      <c r="E155" s="789"/>
      <c r="F155" s="789"/>
      <c r="G155" s="789"/>
      <c r="H155" s="790"/>
      <c r="AD155" s="791"/>
      <c r="AE155" s="792"/>
    </row>
    <row r="156" spans="5:31" s="134" customFormat="1" ht="9" customHeight="1" x14ac:dyDescent="0.25">
      <c r="E156" s="789"/>
      <c r="F156" s="789"/>
      <c r="G156" s="789"/>
      <c r="H156" s="790"/>
      <c r="AD156" s="791"/>
      <c r="AE156" s="792"/>
    </row>
    <row r="157" spans="5:31" s="134" customFormat="1" ht="9" customHeight="1" x14ac:dyDescent="0.25">
      <c r="E157" s="789"/>
      <c r="F157" s="789"/>
      <c r="G157" s="789"/>
      <c r="H157" s="790"/>
      <c r="AD157" s="791"/>
      <c r="AE157" s="792"/>
    </row>
    <row r="158" spans="5:31" s="134" customFormat="1" ht="9" customHeight="1" x14ac:dyDescent="0.25">
      <c r="E158" s="789"/>
      <c r="F158" s="789"/>
      <c r="G158" s="789"/>
      <c r="H158" s="790"/>
      <c r="AD158" s="791"/>
      <c r="AE158" s="792"/>
    </row>
    <row r="159" spans="5:31" s="134" customFormat="1" ht="9" customHeight="1" x14ac:dyDescent="0.25">
      <c r="E159" s="789"/>
      <c r="F159" s="789"/>
      <c r="G159" s="789"/>
      <c r="H159" s="790"/>
      <c r="AD159" s="791"/>
      <c r="AE159" s="792"/>
    </row>
    <row r="160" spans="5:31" s="134" customFormat="1" ht="9" customHeight="1" x14ac:dyDescent="0.25">
      <c r="E160" s="789"/>
      <c r="F160" s="789"/>
      <c r="G160" s="789"/>
      <c r="H160" s="790"/>
      <c r="AD160" s="791"/>
      <c r="AE160" s="792"/>
    </row>
    <row r="161" spans="5:31" s="134" customFormat="1" ht="9" customHeight="1" x14ac:dyDescent="0.25">
      <c r="E161" s="789"/>
      <c r="F161" s="789"/>
      <c r="G161" s="789"/>
      <c r="H161" s="790"/>
      <c r="AD161" s="791"/>
      <c r="AE161" s="792"/>
    </row>
    <row r="162" spans="5:31" s="134" customFormat="1" ht="9" customHeight="1" x14ac:dyDescent="0.25">
      <c r="E162" s="789"/>
      <c r="F162" s="789"/>
      <c r="G162" s="789"/>
      <c r="H162" s="790"/>
      <c r="AD162" s="791"/>
      <c r="AE162" s="792"/>
    </row>
    <row r="163" spans="5:31" s="134" customFormat="1" ht="9" customHeight="1" x14ac:dyDescent="0.25">
      <c r="E163" s="789"/>
      <c r="F163" s="789"/>
      <c r="G163" s="789"/>
      <c r="H163" s="790"/>
      <c r="AD163" s="791"/>
      <c r="AE163" s="792"/>
    </row>
    <row r="164" spans="5:31" s="134" customFormat="1" ht="9" customHeight="1" x14ac:dyDescent="0.25">
      <c r="E164" s="789"/>
      <c r="F164" s="789"/>
      <c r="G164" s="789"/>
      <c r="H164" s="790"/>
      <c r="AD164" s="791"/>
      <c r="AE164" s="792"/>
    </row>
    <row r="165" spans="5:31" s="134" customFormat="1" ht="9" customHeight="1" x14ac:dyDescent="0.25">
      <c r="E165" s="789"/>
      <c r="F165" s="789"/>
      <c r="G165" s="789"/>
      <c r="H165" s="790"/>
      <c r="AD165" s="791"/>
      <c r="AE165" s="792"/>
    </row>
    <row r="166" spans="5:31" s="134" customFormat="1" ht="9" customHeight="1" x14ac:dyDescent="0.25">
      <c r="E166" s="789"/>
      <c r="F166" s="789"/>
      <c r="G166" s="789"/>
      <c r="H166" s="790"/>
      <c r="AD166" s="791"/>
      <c r="AE166" s="792"/>
    </row>
    <row r="167" spans="5:31" s="134" customFormat="1" ht="9" customHeight="1" x14ac:dyDescent="0.25">
      <c r="E167" s="789"/>
      <c r="F167" s="789"/>
      <c r="G167" s="789"/>
      <c r="H167" s="790"/>
      <c r="AD167" s="791"/>
      <c r="AE167" s="792"/>
    </row>
    <row r="168" spans="5:31" s="134" customFormat="1" ht="9" customHeight="1" x14ac:dyDescent="0.25">
      <c r="E168" s="789"/>
      <c r="F168" s="789"/>
      <c r="G168" s="789"/>
      <c r="H168" s="790"/>
      <c r="AD168" s="791"/>
      <c r="AE168" s="792"/>
    </row>
    <row r="169" spans="5:31" s="134" customFormat="1" ht="9" customHeight="1" x14ac:dyDescent="0.25">
      <c r="E169" s="789"/>
      <c r="F169" s="789"/>
      <c r="G169" s="789"/>
      <c r="H169" s="790"/>
      <c r="AD169" s="791"/>
      <c r="AE169" s="792"/>
    </row>
    <row r="170" spans="5:31" s="134" customFormat="1" ht="9" customHeight="1" x14ac:dyDescent="0.25">
      <c r="E170" s="789"/>
      <c r="F170" s="789"/>
      <c r="G170" s="789"/>
      <c r="H170" s="790"/>
      <c r="AD170" s="791"/>
      <c r="AE170" s="792"/>
    </row>
    <row r="171" spans="5:31" s="134" customFormat="1" ht="9" customHeight="1" x14ac:dyDescent="0.25">
      <c r="E171" s="789"/>
      <c r="F171" s="789"/>
      <c r="G171" s="789"/>
      <c r="H171" s="790"/>
      <c r="AD171" s="791"/>
      <c r="AE171" s="792"/>
    </row>
    <row r="172" spans="5:31" s="134" customFormat="1" ht="9" customHeight="1" x14ac:dyDescent="0.25">
      <c r="E172" s="789"/>
      <c r="F172" s="789"/>
      <c r="G172" s="789"/>
      <c r="H172" s="790"/>
      <c r="AD172" s="791"/>
      <c r="AE172" s="792"/>
    </row>
    <row r="173" spans="5:31" s="134" customFormat="1" ht="9" customHeight="1" x14ac:dyDescent="0.25">
      <c r="E173" s="789"/>
      <c r="F173" s="789"/>
      <c r="G173" s="789"/>
      <c r="H173" s="790"/>
      <c r="AD173" s="791"/>
      <c r="AE173" s="792"/>
    </row>
    <row r="174" spans="5:31" s="134" customFormat="1" ht="9" customHeight="1" x14ac:dyDescent="0.25">
      <c r="E174" s="789"/>
      <c r="F174" s="789"/>
      <c r="G174" s="789"/>
      <c r="H174" s="790"/>
      <c r="AD174" s="791"/>
      <c r="AE174" s="792"/>
    </row>
    <row r="175" spans="5:31" s="134" customFormat="1" ht="9" customHeight="1" x14ac:dyDescent="0.25">
      <c r="E175" s="789"/>
      <c r="F175" s="789"/>
      <c r="G175" s="789"/>
      <c r="H175" s="790"/>
      <c r="AD175" s="791"/>
      <c r="AE175" s="792"/>
    </row>
    <row r="176" spans="5:31" s="134" customFormat="1" ht="9" customHeight="1" x14ac:dyDescent="0.25">
      <c r="E176" s="789"/>
      <c r="F176" s="789"/>
      <c r="G176" s="789"/>
      <c r="H176" s="790"/>
      <c r="AD176" s="791"/>
      <c r="AE176" s="792"/>
    </row>
    <row r="177" spans="5:31" s="134" customFormat="1" ht="9" customHeight="1" x14ac:dyDescent="0.25">
      <c r="E177" s="789"/>
      <c r="F177" s="789"/>
      <c r="G177" s="789"/>
      <c r="H177" s="790"/>
      <c r="AD177" s="791"/>
      <c r="AE177" s="792"/>
    </row>
    <row r="178" spans="5:31" s="134" customFormat="1" ht="9" customHeight="1" x14ac:dyDescent="0.25">
      <c r="E178" s="789"/>
      <c r="F178" s="789"/>
      <c r="G178" s="789"/>
      <c r="H178" s="790"/>
      <c r="AD178" s="791"/>
      <c r="AE178" s="792"/>
    </row>
    <row r="179" spans="5:31" s="134" customFormat="1" ht="9" customHeight="1" x14ac:dyDescent="0.25">
      <c r="E179" s="789"/>
      <c r="F179" s="789"/>
      <c r="G179" s="789"/>
      <c r="H179" s="790"/>
      <c r="AD179" s="791"/>
      <c r="AE179" s="792"/>
    </row>
    <row r="180" spans="5:31" s="134" customFormat="1" ht="9" customHeight="1" x14ac:dyDescent="0.25">
      <c r="E180" s="789"/>
      <c r="F180" s="789"/>
      <c r="G180" s="789"/>
      <c r="H180" s="790"/>
      <c r="AD180" s="791"/>
      <c r="AE180" s="792"/>
    </row>
    <row r="181" spans="5:31" s="134" customFormat="1" ht="9" customHeight="1" x14ac:dyDescent="0.25">
      <c r="E181" s="789"/>
      <c r="F181" s="789"/>
      <c r="G181" s="789"/>
      <c r="H181" s="790"/>
      <c r="AD181" s="791"/>
      <c r="AE181" s="792"/>
    </row>
    <row r="182" spans="5:31" s="134" customFormat="1" ht="9" customHeight="1" x14ac:dyDescent="0.25">
      <c r="E182" s="789"/>
      <c r="F182" s="789"/>
      <c r="G182" s="789"/>
      <c r="H182" s="790"/>
      <c r="AD182" s="791"/>
      <c r="AE182" s="792"/>
    </row>
    <row r="183" spans="5:31" s="134" customFormat="1" ht="9" customHeight="1" x14ac:dyDescent="0.25">
      <c r="E183" s="789"/>
      <c r="F183" s="789"/>
      <c r="G183" s="789"/>
      <c r="H183" s="790"/>
      <c r="AD183" s="791"/>
      <c r="AE183" s="792"/>
    </row>
    <row r="184" spans="5:31" s="134" customFormat="1" ht="9" customHeight="1" x14ac:dyDescent="0.25">
      <c r="E184" s="789"/>
      <c r="F184" s="789"/>
      <c r="G184" s="789"/>
      <c r="H184" s="790"/>
      <c r="AD184" s="791"/>
      <c r="AE184" s="792"/>
    </row>
    <row r="185" spans="5:31" s="134" customFormat="1" ht="9" customHeight="1" x14ac:dyDescent="0.25">
      <c r="E185" s="789"/>
      <c r="F185" s="789"/>
      <c r="G185" s="789"/>
      <c r="H185" s="790"/>
      <c r="AD185" s="791"/>
      <c r="AE185" s="792"/>
    </row>
    <row r="186" spans="5:31" s="134" customFormat="1" ht="9" customHeight="1" x14ac:dyDescent="0.25">
      <c r="E186" s="789"/>
      <c r="F186" s="789"/>
      <c r="G186" s="789"/>
      <c r="H186" s="790"/>
      <c r="AD186" s="791"/>
      <c r="AE186" s="792"/>
    </row>
    <row r="187" spans="5:31" s="134" customFormat="1" ht="9" customHeight="1" x14ac:dyDescent="0.25">
      <c r="E187" s="789"/>
      <c r="F187" s="789"/>
      <c r="G187" s="789"/>
      <c r="H187" s="790"/>
      <c r="AD187" s="791"/>
      <c r="AE187" s="792"/>
    </row>
    <row r="188" spans="5:31" s="134" customFormat="1" ht="9" customHeight="1" x14ac:dyDescent="0.25">
      <c r="E188" s="789"/>
      <c r="F188" s="789"/>
      <c r="G188" s="789"/>
      <c r="H188" s="790"/>
      <c r="AD188" s="791"/>
      <c r="AE188" s="792"/>
    </row>
    <row r="189" spans="5:31" s="134" customFormat="1" ht="9" customHeight="1" x14ac:dyDescent="0.25">
      <c r="E189" s="789"/>
      <c r="F189" s="789"/>
      <c r="G189" s="789"/>
      <c r="H189" s="790"/>
      <c r="AD189" s="791"/>
      <c r="AE189" s="792"/>
    </row>
    <row r="190" spans="5:31" s="134" customFormat="1" ht="9" customHeight="1" x14ac:dyDescent="0.25">
      <c r="E190" s="789"/>
      <c r="F190" s="789"/>
      <c r="G190" s="789"/>
      <c r="H190" s="790"/>
      <c r="AD190" s="791"/>
      <c r="AE190" s="792"/>
    </row>
    <row r="191" spans="5:31" s="134" customFormat="1" ht="9" customHeight="1" x14ac:dyDescent="0.25">
      <c r="E191" s="789"/>
      <c r="F191" s="789"/>
      <c r="G191" s="789"/>
      <c r="H191" s="790"/>
      <c r="AD191" s="791"/>
      <c r="AE191" s="792"/>
    </row>
    <row r="192" spans="5:31" s="134" customFormat="1" ht="9" customHeight="1" x14ac:dyDescent="0.25">
      <c r="E192" s="789"/>
      <c r="F192" s="789"/>
      <c r="G192" s="789"/>
      <c r="H192" s="790"/>
      <c r="AD192" s="791"/>
      <c r="AE192" s="792"/>
    </row>
    <row r="193" spans="5:31" s="134" customFormat="1" ht="9" customHeight="1" x14ac:dyDescent="0.25">
      <c r="E193" s="789"/>
      <c r="F193" s="789"/>
      <c r="G193" s="789"/>
      <c r="H193" s="790"/>
      <c r="AD193" s="791"/>
      <c r="AE193" s="792"/>
    </row>
    <row r="194" spans="5:31" s="134" customFormat="1" ht="9" customHeight="1" x14ac:dyDescent="0.25">
      <c r="E194" s="789"/>
      <c r="F194" s="789"/>
      <c r="G194" s="789"/>
      <c r="H194" s="790"/>
      <c r="AD194" s="791"/>
      <c r="AE194" s="792"/>
    </row>
    <row r="195" spans="5:31" s="134" customFormat="1" ht="9" customHeight="1" x14ac:dyDescent="0.25">
      <c r="E195" s="789"/>
      <c r="F195" s="789"/>
      <c r="G195" s="789"/>
      <c r="H195" s="790"/>
      <c r="AD195" s="791"/>
      <c r="AE195" s="792"/>
    </row>
    <row r="196" spans="5:31" s="134" customFormat="1" ht="9" customHeight="1" x14ac:dyDescent="0.25">
      <c r="E196" s="789"/>
      <c r="F196" s="789"/>
      <c r="G196" s="789"/>
      <c r="H196" s="790"/>
      <c r="AD196" s="791"/>
      <c r="AE196" s="792"/>
    </row>
    <row r="197" spans="5:31" s="134" customFormat="1" ht="9" customHeight="1" x14ac:dyDescent="0.25">
      <c r="E197" s="789"/>
      <c r="F197" s="789"/>
      <c r="G197" s="789"/>
      <c r="H197" s="790"/>
      <c r="AD197" s="791"/>
      <c r="AE197" s="792"/>
    </row>
    <row r="198" spans="5:31" s="134" customFormat="1" ht="9" customHeight="1" x14ac:dyDescent="0.25">
      <c r="E198" s="789"/>
      <c r="F198" s="789"/>
      <c r="G198" s="789"/>
      <c r="H198" s="790"/>
      <c r="AD198" s="791"/>
      <c r="AE198" s="792"/>
    </row>
    <row r="199" spans="5:31" s="134" customFormat="1" ht="9" customHeight="1" x14ac:dyDescent="0.25">
      <c r="E199" s="789"/>
      <c r="F199" s="789"/>
      <c r="G199" s="789"/>
      <c r="H199" s="790"/>
      <c r="AD199" s="791"/>
      <c r="AE199" s="792"/>
    </row>
    <row r="200" spans="5:31" s="134" customFormat="1" ht="3" customHeight="1" x14ac:dyDescent="0.25">
      <c r="E200" s="789"/>
      <c r="F200" s="789"/>
      <c r="G200" s="789"/>
      <c r="H200" s="790"/>
      <c r="AD200" s="791"/>
      <c r="AE200" s="792"/>
    </row>
    <row r="201" spans="5:31" s="134" customFormat="1" ht="3" customHeight="1" x14ac:dyDescent="0.25">
      <c r="E201" s="789"/>
      <c r="F201" s="789"/>
      <c r="G201" s="789"/>
      <c r="H201" s="790"/>
      <c r="AD201" s="791"/>
      <c r="AE201" s="792"/>
    </row>
    <row r="202" spans="5:31" s="134" customFormat="1" ht="3" customHeight="1" x14ac:dyDescent="0.25">
      <c r="E202" s="789"/>
      <c r="F202" s="789"/>
      <c r="G202" s="789"/>
      <c r="H202" s="790"/>
      <c r="AD202" s="791"/>
      <c r="AE202" s="792"/>
    </row>
    <row r="203" spans="5:31" s="134" customFormat="1" ht="3" customHeight="1" x14ac:dyDescent="0.25">
      <c r="E203" s="789"/>
      <c r="F203" s="789"/>
      <c r="G203" s="789"/>
      <c r="H203" s="790"/>
      <c r="AD203" s="791"/>
      <c r="AE203" s="792"/>
    </row>
    <row r="204" spans="5:31" s="134" customFormat="1" ht="3" customHeight="1" x14ac:dyDescent="0.25">
      <c r="E204" s="789"/>
      <c r="F204" s="789"/>
      <c r="G204" s="789"/>
      <c r="H204" s="790"/>
      <c r="AD204" s="791"/>
      <c r="AE204" s="792"/>
    </row>
    <row r="205" spans="5:31" s="134" customFormat="1" ht="3" customHeight="1" x14ac:dyDescent="0.25">
      <c r="E205" s="789"/>
      <c r="F205" s="789"/>
      <c r="G205" s="789"/>
      <c r="H205" s="790"/>
      <c r="AD205" s="791"/>
      <c r="AE205" s="792"/>
    </row>
    <row r="206" spans="5:31" s="134" customFormat="1" ht="3" customHeight="1" x14ac:dyDescent="0.25">
      <c r="E206" s="789"/>
      <c r="F206" s="789"/>
      <c r="G206" s="789"/>
      <c r="H206" s="790"/>
      <c r="AD206" s="791"/>
      <c r="AE206" s="792"/>
    </row>
    <row r="207" spans="5:31" s="134" customFormat="1" ht="3" customHeight="1" x14ac:dyDescent="0.25">
      <c r="E207" s="789"/>
      <c r="F207" s="789"/>
      <c r="G207" s="789"/>
      <c r="H207" s="790"/>
      <c r="AD207" s="791"/>
      <c r="AE207" s="792"/>
    </row>
    <row r="208" spans="5:31" s="134" customFormat="1" ht="3" customHeight="1" x14ac:dyDescent="0.25">
      <c r="E208" s="789"/>
      <c r="F208" s="789"/>
      <c r="G208" s="789"/>
      <c r="H208" s="790"/>
      <c r="AD208" s="791"/>
      <c r="AE208" s="792"/>
    </row>
    <row r="209" spans="5:31" s="134" customFormat="1" ht="3" customHeight="1" x14ac:dyDescent="0.25">
      <c r="E209" s="789"/>
      <c r="F209" s="789"/>
      <c r="G209" s="789"/>
      <c r="H209" s="790"/>
      <c r="AD209" s="791"/>
      <c r="AE209" s="792"/>
    </row>
    <row r="210" spans="5:31" s="134" customFormat="1" ht="3" customHeight="1" x14ac:dyDescent="0.25">
      <c r="E210" s="789"/>
      <c r="F210" s="789"/>
      <c r="G210" s="789"/>
      <c r="H210" s="790"/>
      <c r="AD210" s="791"/>
      <c r="AE210" s="792"/>
    </row>
    <row r="211" spans="5:31" s="134" customFormat="1" ht="3" customHeight="1" x14ac:dyDescent="0.25">
      <c r="E211" s="789"/>
      <c r="F211" s="789"/>
      <c r="G211" s="789"/>
      <c r="H211" s="790"/>
      <c r="AD211" s="791"/>
      <c r="AE211" s="792"/>
    </row>
    <row r="212" spans="5:31" s="134" customFormat="1" ht="3" customHeight="1" x14ac:dyDescent="0.25">
      <c r="E212" s="789"/>
      <c r="F212" s="789"/>
      <c r="G212" s="789"/>
      <c r="H212" s="790"/>
      <c r="AD212" s="791"/>
      <c r="AE212" s="792"/>
    </row>
    <row r="213" spans="5:31" s="134" customFormat="1" ht="3" customHeight="1" x14ac:dyDescent="0.25">
      <c r="E213" s="789"/>
      <c r="F213" s="789"/>
      <c r="G213" s="789"/>
      <c r="H213" s="790"/>
      <c r="AD213" s="791"/>
      <c r="AE213" s="792"/>
    </row>
    <row r="214" spans="5:31" s="134" customFormat="1" ht="3" customHeight="1" x14ac:dyDescent="0.25">
      <c r="E214" s="789"/>
      <c r="F214" s="789"/>
      <c r="G214" s="789"/>
      <c r="H214" s="790"/>
      <c r="AD214" s="791"/>
      <c r="AE214" s="792"/>
    </row>
    <row r="215" spans="5:31" s="134" customFormat="1" ht="3" customHeight="1" x14ac:dyDescent="0.25">
      <c r="E215" s="789"/>
      <c r="F215" s="789"/>
      <c r="G215" s="789"/>
      <c r="H215" s="790"/>
      <c r="AD215" s="791"/>
      <c r="AE215" s="792"/>
    </row>
    <row r="216" spans="5:31" s="134" customFormat="1" ht="3" customHeight="1" x14ac:dyDescent="0.25">
      <c r="E216" s="789"/>
      <c r="F216" s="789"/>
      <c r="G216" s="789"/>
      <c r="H216" s="790"/>
      <c r="AD216" s="791"/>
      <c r="AE216" s="792"/>
    </row>
    <row r="217" spans="5:31" s="134" customFormat="1" ht="3" customHeight="1" x14ac:dyDescent="0.25">
      <c r="E217" s="789"/>
      <c r="F217" s="789"/>
      <c r="G217" s="789"/>
      <c r="H217" s="790"/>
      <c r="AD217" s="791"/>
      <c r="AE217" s="792"/>
    </row>
    <row r="218" spans="5:31" s="134" customFormat="1" ht="3" customHeight="1" x14ac:dyDescent="0.25">
      <c r="E218" s="789"/>
      <c r="F218" s="789"/>
      <c r="G218" s="789"/>
      <c r="H218" s="790"/>
      <c r="AD218" s="791"/>
      <c r="AE218" s="792"/>
    </row>
    <row r="219" spans="5:31" s="134" customFormat="1" ht="3" customHeight="1" x14ac:dyDescent="0.25">
      <c r="E219" s="789"/>
      <c r="F219" s="789"/>
      <c r="G219" s="789"/>
      <c r="H219" s="790"/>
      <c r="AD219" s="791"/>
      <c r="AE219" s="792"/>
    </row>
    <row r="220" spans="5:31" s="134" customFormat="1" ht="3" customHeight="1" x14ac:dyDescent="0.25">
      <c r="E220" s="789"/>
      <c r="F220" s="789"/>
      <c r="G220" s="789"/>
      <c r="H220" s="790"/>
      <c r="AD220" s="791"/>
      <c r="AE220" s="792"/>
    </row>
    <row r="221" spans="5:31" s="134" customFormat="1" ht="3" customHeight="1" x14ac:dyDescent="0.25">
      <c r="E221" s="789"/>
      <c r="F221" s="789"/>
      <c r="G221" s="789"/>
      <c r="H221" s="790"/>
      <c r="AD221" s="791"/>
      <c r="AE221" s="792"/>
    </row>
    <row r="222" spans="5:31" s="134" customFormat="1" ht="3" customHeight="1" x14ac:dyDescent="0.25">
      <c r="E222" s="789"/>
      <c r="F222" s="789"/>
      <c r="G222" s="789"/>
      <c r="H222" s="790"/>
      <c r="AD222" s="791"/>
      <c r="AE222" s="792"/>
    </row>
    <row r="223" spans="5:31" s="134" customFormat="1" ht="3" customHeight="1" x14ac:dyDescent="0.25">
      <c r="E223" s="789"/>
      <c r="F223" s="789"/>
      <c r="G223" s="789"/>
      <c r="H223" s="790"/>
      <c r="AD223" s="791"/>
      <c r="AE223" s="792"/>
    </row>
    <row r="224" spans="5:31" s="134" customFormat="1" ht="3" customHeight="1" x14ac:dyDescent="0.25">
      <c r="E224" s="789"/>
      <c r="F224" s="789"/>
      <c r="G224" s="789"/>
      <c r="H224" s="790"/>
      <c r="AD224" s="791"/>
      <c r="AE224" s="792"/>
    </row>
    <row r="225" spans="5:31" s="134" customFormat="1" ht="3" customHeight="1" x14ac:dyDescent="0.25">
      <c r="E225" s="789"/>
      <c r="F225" s="789"/>
      <c r="G225" s="789"/>
      <c r="H225" s="790"/>
      <c r="AD225" s="791"/>
      <c r="AE225" s="792"/>
    </row>
    <row r="226" spans="5:31" s="134" customFormat="1" ht="3" customHeight="1" x14ac:dyDescent="0.25">
      <c r="E226" s="789"/>
      <c r="F226" s="789"/>
      <c r="G226" s="789"/>
      <c r="H226" s="790"/>
      <c r="AD226" s="791"/>
      <c r="AE226" s="792"/>
    </row>
    <row r="227" spans="5:31" s="134" customFormat="1" ht="3" customHeight="1" x14ac:dyDescent="0.25">
      <c r="E227" s="789"/>
      <c r="F227" s="789"/>
      <c r="G227" s="789"/>
      <c r="H227" s="790"/>
      <c r="AD227" s="791"/>
      <c r="AE227" s="792"/>
    </row>
    <row r="228" spans="5:31" s="134" customFormat="1" ht="3" customHeight="1" x14ac:dyDescent="0.25">
      <c r="E228" s="789"/>
      <c r="F228" s="789"/>
      <c r="G228" s="789"/>
      <c r="H228" s="790"/>
      <c r="AD228" s="791"/>
      <c r="AE228" s="792"/>
    </row>
    <row r="229" spans="5:31" s="134" customFormat="1" ht="3" customHeight="1" x14ac:dyDescent="0.25">
      <c r="E229" s="789"/>
      <c r="F229" s="789"/>
      <c r="G229" s="789"/>
      <c r="H229" s="790"/>
      <c r="AD229" s="791"/>
      <c r="AE229" s="792"/>
    </row>
    <row r="230" spans="5:31" s="134" customFormat="1" ht="3" customHeight="1" x14ac:dyDescent="0.25">
      <c r="E230" s="789"/>
      <c r="F230" s="789"/>
      <c r="G230" s="789"/>
      <c r="H230" s="790"/>
      <c r="AD230" s="791"/>
      <c r="AE230" s="792"/>
    </row>
    <row r="231" spans="5:31" s="134" customFormat="1" ht="3" customHeight="1" x14ac:dyDescent="0.25">
      <c r="E231" s="789"/>
      <c r="F231" s="789"/>
      <c r="G231" s="789"/>
      <c r="H231" s="790"/>
      <c r="AD231" s="791"/>
      <c r="AE231" s="792"/>
    </row>
    <row r="232" spans="5:31" s="134" customFormat="1" ht="3" customHeight="1" x14ac:dyDescent="0.25">
      <c r="E232" s="789"/>
      <c r="F232" s="789"/>
      <c r="G232" s="789"/>
      <c r="H232" s="790"/>
      <c r="AD232" s="791"/>
      <c r="AE232" s="792"/>
    </row>
    <row r="233" spans="5:31" s="134" customFormat="1" ht="3" customHeight="1" x14ac:dyDescent="0.25">
      <c r="E233" s="789"/>
      <c r="F233" s="789"/>
      <c r="G233" s="789"/>
      <c r="H233" s="790"/>
      <c r="AD233" s="791"/>
      <c r="AE233" s="792"/>
    </row>
    <row r="234" spans="5:31" s="134" customFormat="1" ht="3" customHeight="1" x14ac:dyDescent="0.25">
      <c r="E234" s="789"/>
      <c r="F234" s="789"/>
      <c r="G234" s="789"/>
      <c r="H234" s="790"/>
      <c r="AD234" s="791"/>
      <c r="AE234" s="792"/>
    </row>
    <row r="235" spans="5:31" s="134" customFormat="1" ht="3" customHeight="1" x14ac:dyDescent="0.25">
      <c r="E235" s="789"/>
      <c r="F235" s="789"/>
      <c r="G235" s="789"/>
      <c r="H235" s="790"/>
      <c r="AD235" s="791"/>
      <c r="AE235" s="792"/>
    </row>
    <row r="236" spans="5:31" s="134" customFormat="1" ht="3" customHeight="1" x14ac:dyDescent="0.25">
      <c r="E236" s="789"/>
      <c r="F236" s="789"/>
      <c r="G236" s="789"/>
      <c r="H236" s="790"/>
      <c r="AD236" s="791"/>
      <c r="AE236" s="792"/>
    </row>
    <row r="237" spans="5:31" s="134" customFormat="1" ht="3" customHeight="1" x14ac:dyDescent="0.25">
      <c r="E237" s="789"/>
      <c r="F237" s="789"/>
      <c r="G237" s="789"/>
      <c r="H237" s="790"/>
      <c r="AD237" s="791"/>
      <c r="AE237" s="792"/>
    </row>
    <row r="238" spans="5:31" s="134" customFormat="1" ht="3" customHeight="1" x14ac:dyDescent="0.25">
      <c r="E238" s="789"/>
      <c r="F238" s="789"/>
      <c r="G238" s="789"/>
      <c r="H238" s="790"/>
      <c r="AD238" s="791"/>
      <c r="AE238" s="792"/>
    </row>
    <row r="239" spans="5:31" s="134" customFormat="1" ht="3" customHeight="1" x14ac:dyDescent="0.25">
      <c r="E239" s="789"/>
      <c r="F239" s="789"/>
      <c r="G239" s="789"/>
      <c r="H239" s="790"/>
      <c r="AD239" s="791"/>
      <c r="AE239" s="792"/>
    </row>
    <row r="240" spans="5:31" s="134" customFormat="1" ht="3" customHeight="1" x14ac:dyDescent="0.25">
      <c r="E240" s="789"/>
      <c r="F240" s="789"/>
      <c r="G240" s="789"/>
      <c r="H240" s="790"/>
      <c r="AD240" s="791"/>
      <c r="AE240" s="792"/>
    </row>
    <row r="241" spans="5:31" s="134" customFormat="1" ht="3" customHeight="1" x14ac:dyDescent="0.25">
      <c r="E241" s="789"/>
      <c r="F241" s="789"/>
      <c r="G241" s="789"/>
      <c r="H241" s="790"/>
      <c r="AD241" s="791"/>
      <c r="AE241" s="792"/>
    </row>
    <row r="242" spans="5:31" s="134" customFormat="1" ht="3" customHeight="1" x14ac:dyDescent="0.25">
      <c r="E242" s="789"/>
      <c r="F242" s="789"/>
      <c r="G242" s="789"/>
      <c r="H242" s="790"/>
      <c r="AD242" s="791"/>
      <c r="AE242" s="792"/>
    </row>
    <row r="243" spans="5:31" s="134" customFormat="1" ht="3" customHeight="1" x14ac:dyDescent="0.25">
      <c r="E243" s="789"/>
      <c r="F243" s="789"/>
      <c r="G243" s="789"/>
      <c r="H243" s="790"/>
      <c r="AD243" s="791"/>
      <c r="AE243" s="792"/>
    </row>
    <row r="244" spans="5:31" s="134" customFormat="1" ht="3" customHeight="1" x14ac:dyDescent="0.25">
      <c r="E244" s="789"/>
      <c r="F244" s="789"/>
      <c r="G244" s="789"/>
      <c r="H244" s="790"/>
      <c r="AD244" s="791"/>
      <c r="AE244" s="792"/>
    </row>
    <row r="245" spans="5:31" s="134" customFormat="1" ht="3" customHeight="1" x14ac:dyDescent="0.25">
      <c r="E245" s="789"/>
      <c r="F245" s="789"/>
      <c r="G245" s="789"/>
      <c r="H245" s="790"/>
      <c r="AD245" s="791"/>
      <c r="AE245" s="792"/>
    </row>
    <row r="246" spans="5:31" s="134" customFormat="1" ht="3" customHeight="1" x14ac:dyDescent="0.25">
      <c r="E246" s="789"/>
      <c r="F246" s="789"/>
      <c r="G246" s="789"/>
      <c r="H246" s="790"/>
      <c r="AD246" s="791"/>
      <c r="AE246" s="792"/>
    </row>
    <row r="247" spans="5:31" s="134" customFormat="1" ht="3" customHeight="1" x14ac:dyDescent="0.25">
      <c r="E247" s="789"/>
      <c r="F247" s="789"/>
      <c r="G247" s="789"/>
      <c r="H247" s="790"/>
      <c r="AD247" s="791"/>
      <c r="AE247" s="792"/>
    </row>
    <row r="248" spans="5:31" s="134" customFormat="1" ht="3" customHeight="1" x14ac:dyDescent="0.25">
      <c r="E248" s="789"/>
      <c r="F248" s="789"/>
      <c r="G248" s="789"/>
      <c r="H248" s="790"/>
      <c r="AD248" s="791"/>
      <c r="AE248" s="792"/>
    </row>
    <row r="249" spans="5:31" s="134" customFormat="1" ht="3" customHeight="1" x14ac:dyDescent="0.25">
      <c r="E249" s="789"/>
      <c r="F249" s="789"/>
      <c r="G249" s="789"/>
      <c r="H249" s="790"/>
      <c r="AD249" s="791"/>
      <c r="AE249" s="792"/>
    </row>
    <row r="250" spans="5:31" s="134" customFormat="1" ht="3" customHeight="1" x14ac:dyDescent="0.25">
      <c r="E250" s="789"/>
      <c r="F250" s="789"/>
      <c r="G250" s="789"/>
      <c r="H250" s="790"/>
      <c r="AD250" s="791"/>
      <c r="AE250" s="792"/>
    </row>
    <row r="251" spans="5:31" s="134" customFormat="1" ht="3" customHeight="1" x14ac:dyDescent="0.25">
      <c r="E251" s="789"/>
      <c r="F251" s="789"/>
      <c r="G251" s="789"/>
      <c r="H251" s="790"/>
      <c r="AD251" s="791"/>
      <c r="AE251" s="792"/>
    </row>
    <row r="252" spans="5:31" s="134" customFormat="1" ht="3" customHeight="1" x14ac:dyDescent="0.25">
      <c r="E252" s="789"/>
      <c r="F252" s="789"/>
      <c r="G252" s="789"/>
      <c r="H252" s="790"/>
      <c r="AD252" s="791"/>
      <c r="AE252" s="792"/>
    </row>
    <row r="253" spans="5:31" s="134" customFormat="1" ht="3" customHeight="1" x14ac:dyDescent="0.25">
      <c r="E253" s="789"/>
      <c r="F253" s="789"/>
      <c r="G253" s="789"/>
      <c r="H253" s="790"/>
      <c r="AD253" s="791"/>
      <c r="AE253" s="792"/>
    </row>
    <row r="254" spans="5:31" s="134" customFormat="1" ht="3" customHeight="1" x14ac:dyDescent="0.25">
      <c r="E254" s="789"/>
      <c r="F254" s="789"/>
      <c r="G254" s="789"/>
      <c r="H254" s="790"/>
      <c r="AD254" s="791"/>
      <c r="AE254" s="792"/>
    </row>
    <row r="255" spans="5:31" s="134" customFormat="1" ht="3" customHeight="1" x14ac:dyDescent="0.25">
      <c r="E255" s="789"/>
      <c r="F255" s="789"/>
      <c r="G255" s="789"/>
      <c r="H255" s="790"/>
      <c r="AD255" s="791"/>
      <c r="AE255" s="792"/>
    </row>
    <row r="256" spans="5:31" s="134" customFormat="1" ht="3" customHeight="1" x14ac:dyDescent="0.25">
      <c r="E256" s="789"/>
      <c r="F256" s="789"/>
      <c r="G256" s="789"/>
      <c r="H256" s="790"/>
      <c r="AD256" s="791"/>
      <c r="AE256" s="792"/>
    </row>
    <row r="257" spans="5:31" s="134" customFormat="1" ht="3" customHeight="1" x14ac:dyDescent="0.25">
      <c r="E257" s="789"/>
      <c r="F257" s="789"/>
      <c r="G257" s="789"/>
      <c r="H257" s="790"/>
      <c r="AD257" s="791"/>
      <c r="AE257" s="792"/>
    </row>
    <row r="258" spans="5:31" s="134" customFormat="1" ht="3" customHeight="1" x14ac:dyDescent="0.25">
      <c r="E258" s="789"/>
      <c r="F258" s="789"/>
      <c r="G258" s="789"/>
      <c r="H258" s="790"/>
      <c r="AD258" s="791"/>
      <c r="AE258" s="792"/>
    </row>
    <row r="259" spans="5:31" s="134" customFormat="1" ht="3" customHeight="1" x14ac:dyDescent="0.25">
      <c r="E259" s="789"/>
      <c r="F259" s="789"/>
      <c r="G259" s="789"/>
      <c r="H259" s="790"/>
      <c r="AD259" s="791"/>
      <c r="AE259" s="792"/>
    </row>
    <row r="260" spans="5:31" s="134" customFormat="1" ht="3" customHeight="1" x14ac:dyDescent="0.25">
      <c r="E260" s="789"/>
      <c r="F260" s="789"/>
      <c r="G260" s="789"/>
      <c r="H260" s="790"/>
      <c r="AD260" s="791"/>
      <c r="AE260" s="792"/>
    </row>
    <row r="261" spans="5:31" s="134" customFormat="1" ht="3" customHeight="1" x14ac:dyDescent="0.25">
      <c r="E261" s="789"/>
      <c r="F261" s="789"/>
      <c r="G261" s="789"/>
      <c r="H261" s="790"/>
      <c r="AD261" s="791"/>
      <c r="AE261" s="792"/>
    </row>
    <row r="262" spans="5:31" s="134" customFormat="1" ht="3" customHeight="1" x14ac:dyDescent="0.25">
      <c r="E262" s="789"/>
      <c r="F262" s="789"/>
      <c r="G262" s="789"/>
      <c r="H262" s="790"/>
      <c r="AD262" s="791"/>
      <c r="AE262" s="792"/>
    </row>
    <row r="263" spans="5:31" s="134" customFormat="1" ht="3" customHeight="1" x14ac:dyDescent="0.25">
      <c r="E263" s="789"/>
      <c r="F263" s="789"/>
      <c r="G263" s="789"/>
      <c r="H263" s="790"/>
      <c r="AD263" s="791"/>
      <c r="AE263" s="792"/>
    </row>
    <row r="264" spans="5:31" s="134" customFormat="1" ht="3" customHeight="1" x14ac:dyDescent="0.25">
      <c r="E264" s="789"/>
      <c r="F264" s="789"/>
      <c r="G264" s="789"/>
      <c r="H264" s="790"/>
      <c r="AD264" s="791"/>
      <c r="AE264" s="792"/>
    </row>
    <row r="265" spans="5:31" s="134" customFormat="1" ht="3" customHeight="1" x14ac:dyDescent="0.25">
      <c r="E265" s="789"/>
      <c r="F265" s="789"/>
      <c r="G265" s="789"/>
      <c r="H265" s="790"/>
      <c r="AD265" s="791"/>
      <c r="AE265" s="792"/>
    </row>
    <row r="266" spans="5:31" s="134" customFormat="1" ht="3" customHeight="1" x14ac:dyDescent="0.25">
      <c r="E266" s="789"/>
      <c r="F266" s="789"/>
      <c r="G266" s="789"/>
      <c r="H266" s="790"/>
      <c r="AD266" s="791"/>
      <c r="AE266" s="792"/>
    </row>
    <row r="267" spans="5:31" s="134" customFormat="1" ht="3" customHeight="1" x14ac:dyDescent="0.25">
      <c r="E267" s="789"/>
      <c r="F267" s="789"/>
      <c r="G267" s="789"/>
      <c r="H267" s="790"/>
      <c r="AD267" s="791"/>
      <c r="AE267" s="792"/>
    </row>
    <row r="268" spans="5:31" s="134" customFormat="1" ht="3" customHeight="1" x14ac:dyDescent="0.25">
      <c r="E268" s="789"/>
      <c r="F268" s="789"/>
      <c r="G268" s="789"/>
      <c r="H268" s="790"/>
      <c r="AD268" s="791"/>
      <c r="AE268" s="792"/>
    </row>
    <row r="269" spans="5:31" s="134" customFormat="1" ht="3" customHeight="1" x14ac:dyDescent="0.25">
      <c r="E269" s="789"/>
      <c r="F269" s="789"/>
      <c r="G269" s="789"/>
      <c r="H269" s="790"/>
      <c r="AD269" s="791"/>
      <c r="AE269" s="792"/>
    </row>
    <row r="270" spans="5:31" s="134" customFormat="1" ht="3" customHeight="1" x14ac:dyDescent="0.25">
      <c r="E270" s="789"/>
      <c r="F270" s="789"/>
      <c r="G270" s="789"/>
      <c r="H270" s="790"/>
      <c r="AD270" s="791"/>
      <c r="AE270" s="792"/>
    </row>
    <row r="271" spans="5:31" s="134" customFormat="1" ht="3" customHeight="1" x14ac:dyDescent="0.25">
      <c r="E271" s="789"/>
      <c r="F271" s="789"/>
      <c r="G271" s="789"/>
      <c r="H271" s="790"/>
      <c r="AD271" s="791"/>
      <c r="AE271" s="792"/>
    </row>
    <row r="272" spans="5:31" s="134" customFormat="1" ht="3" customHeight="1" x14ac:dyDescent="0.25">
      <c r="E272" s="789"/>
      <c r="F272" s="789"/>
      <c r="G272" s="789"/>
      <c r="H272" s="790"/>
      <c r="AD272" s="791"/>
      <c r="AE272" s="792"/>
    </row>
    <row r="273" spans="5:31" s="134" customFormat="1" ht="3" customHeight="1" x14ac:dyDescent="0.25">
      <c r="E273" s="789"/>
      <c r="F273" s="789"/>
      <c r="G273" s="789"/>
      <c r="H273" s="790"/>
      <c r="AD273" s="791"/>
      <c r="AE273" s="792"/>
    </row>
    <row r="274" spans="5:31" s="134" customFormat="1" ht="3" customHeight="1" x14ac:dyDescent="0.25">
      <c r="E274" s="789"/>
      <c r="F274" s="789"/>
      <c r="G274" s="789"/>
      <c r="H274" s="790"/>
      <c r="AD274" s="791"/>
      <c r="AE274" s="792"/>
    </row>
    <row r="275" spans="5:31" s="134" customFormat="1" ht="3" customHeight="1" x14ac:dyDescent="0.25">
      <c r="E275" s="789"/>
      <c r="F275" s="789"/>
      <c r="G275" s="789"/>
      <c r="H275" s="790"/>
      <c r="AD275" s="791"/>
      <c r="AE275" s="792"/>
    </row>
    <row r="276" spans="5:31" s="134" customFormat="1" ht="3" customHeight="1" x14ac:dyDescent="0.25">
      <c r="E276" s="789"/>
      <c r="F276" s="789"/>
      <c r="G276" s="789"/>
      <c r="H276" s="790"/>
      <c r="AD276" s="791"/>
      <c r="AE276" s="792"/>
    </row>
    <row r="277" spans="5:31" s="134" customFormat="1" ht="3" customHeight="1" x14ac:dyDescent="0.25">
      <c r="E277" s="789"/>
      <c r="F277" s="789"/>
      <c r="G277" s="789"/>
      <c r="H277" s="790"/>
      <c r="AD277" s="791"/>
      <c r="AE277" s="792"/>
    </row>
    <row r="278" spans="5:31" s="134" customFormat="1" ht="3" customHeight="1" x14ac:dyDescent="0.25">
      <c r="E278" s="789"/>
      <c r="F278" s="789"/>
      <c r="G278" s="789"/>
      <c r="H278" s="790"/>
      <c r="AD278" s="791"/>
      <c r="AE278" s="792"/>
    </row>
    <row r="279" spans="5:31" s="134" customFormat="1" ht="3" customHeight="1" x14ac:dyDescent="0.25">
      <c r="E279" s="789"/>
      <c r="F279" s="789"/>
      <c r="G279" s="789"/>
      <c r="H279" s="790"/>
      <c r="AD279" s="791"/>
      <c r="AE279" s="792"/>
    </row>
    <row r="280" spans="5:31" s="134" customFormat="1" ht="3" customHeight="1" x14ac:dyDescent="0.25">
      <c r="E280" s="789"/>
      <c r="F280" s="789"/>
      <c r="G280" s="789"/>
      <c r="H280" s="790"/>
      <c r="AD280" s="791"/>
      <c r="AE280" s="792"/>
    </row>
    <row r="281" spans="5:31" s="134" customFormat="1" ht="3" customHeight="1" x14ac:dyDescent="0.25">
      <c r="E281" s="789"/>
      <c r="F281" s="789"/>
      <c r="G281" s="789"/>
      <c r="H281" s="790"/>
      <c r="AD281" s="791"/>
      <c r="AE281" s="792"/>
    </row>
    <row r="282" spans="5:31" s="134" customFormat="1" ht="3" customHeight="1" x14ac:dyDescent="0.25">
      <c r="E282" s="789"/>
      <c r="F282" s="789"/>
      <c r="G282" s="789"/>
      <c r="H282" s="790"/>
      <c r="AD282" s="791"/>
      <c r="AE282" s="792"/>
    </row>
    <row r="283" spans="5:31" s="134" customFormat="1" ht="3" customHeight="1" x14ac:dyDescent="0.25">
      <c r="E283" s="789"/>
      <c r="F283" s="789"/>
      <c r="G283" s="789"/>
      <c r="H283" s="790"/>
      <c r="AD283" s="791"/>
      <c r="AE283" s="792"/>
    </row>
    <row r="284" spans="5:31" s="134" customFormat="1" ht="3" customHeight="1" x14ac:dyDescent="0.25">
      <c r="E284" s="789"/>
      <c r="F284" s="789"/>
      <c r="G284" s="789"/>
      <c r="H284" s="790"/>
      <c r="AD284" s="791"/>
      <c r="AE284" s="792"/>
    </row>
    <row r="285" spans="5:31" s="134" customFormat="1" ht="3" customHeight="1" x14ac:dyDescent="0.25">
      <c r="E285" s="789"/>
      <c r="F285" s="789"/>
      <c r="G285" s="789"/>
      <c r="H285" s="790"/>
      <c r="AD285" s="791"/>
      <c r="AE285" s="792"/>
    </row>
    <row r="286" spans="5:31" s="134" customFormat="1" ht="3" customHeight="1" x14ac:dyDescent="0.25">
      <c r="E286" s="789"/>
      <c r="F286" s="789"/>
      <c r="G286" s="789"/>
      <c r="H286" s="790"/>
      <c r="AD286" s="791"/>
      <c r="AE286" s="792"/>
    </row>
    <row r="287" spans="5:31" s="134" customFormat="1" ht="3" customHeight="1" x14ac:dyDescent="0.25">
      <c r="E287" s="789"/>
      <c r="F287" s="789"/>
      <c r="G287" s="789"/>
      <c r="H287" s="790"/>
      <c r="AD287" s="791"/>
      <c r="AE287" s="792"/>
    </row>
    <row r="288" spans="5:31" s="134" customFormat="1" ht="3" customHeight="1" x14ac:dyDescent="0.25">
      <c r="E288" s="789"/>
      <c r="F288" s="789"/>
      <c r="G288" s="789"/>
      <c r="H288" s="790"/>
      <c r="AD288" s="791"/>
      <c r="AE288" s="792"/>
    </row>
    <row r="289" spans="5:31" s="134" customFormat="1" ht="3" customHeight="1" x14ac:dyDescent="0.25">
      <c r="E289" s="789"/>
      <c r="F289" s="789"/>
      <c r="G289" s="789"/>
      <c r="H289" s="790"/>
      <c r="AD289" s="791"/>
      <c r="AE289" s="792"/>
    </row>
    <row r="290" spans="5:31" s="134" customFormat="1" ht="3" customHeight="1" x14ac:dyDescent="0.25">
      <c r="E290" s="789"/>
      <c r="F290" s="789"/>
      <c r="G290" s="789"/>
      <c r="H290" s="790"/>
      <c r="AD290" s="791"/>
      <c r="AE290" s="792"/>
    </row>
    <row r="291" spans="5:31" s="134" customFormat="1" ht="3" customHeight="1" x14ac:dyDescent="0.25">
      <c r="E291" s="789"/>
      <c r="F291" s="789"/>
      <c r="G291" s="789"/>
      <c r="H291" s="790"/>
      <c r="AD291" s="791"/>
      <c r="AE291" s="792"/>
    </row>
    <row r="292" spans="5:31" s="134" customFormat="1" ht="3" customHeight="1" x14ac:dyDescent="0.25">
      <c r="E292" s="789"/>
      <c r="F292" s="789"/>
      <c r="G292" s="789"/>
      <c r="H292" s="790"/>
      <c r="AD292" s="791"/>
      <c r="AE292" s="792"/>
    </row>
    <row r="293" spans="5:31" s="134" customFormat="1" ht="3" customHeight="1" x14ac:dyDescent="0.25">
      <c r="E293" s="789"/>
      <c r="F293" s="789"/>
      <c r="G293" s="789"/>
      <c r="H293" s="790"/>
      <c r="AD293" s="791"/>
      <c r="AE293" s="792"/>
    </row>
    <row r="294" spans="5:31" s="134" customFormat="1" ht="3" customHeight="1" x14ac:dyDescent="0.25">
      <c r="E294" s="789"/>
      <c r="F294" s="789"/>
      <c r="G294" s="789"/>
      <c r="H294" s="790"/>
      <c r="AD294" s="791"/>
      <c r="AE294" s="792"/>
    </row>
    <row r="295" spans="5:31" s="134" customFormat="1" ht="3" customHeight="1" x14ac:dyDescent="0.25">
      <c r="E295" s="789"/>
      <c r="F295" s="789"/>
      <c r="G295" s="789"/>
      <c r="H295" s="790"/>
      <c r="AD295" s="791"/>
      <c r="AE295" s="792"/>
    </row>
    <row r="296" spans="5:31" s="134" customFormat="1" ht="3" customHeight="1" x14ac:dyDescent="0.25">
      <c r="E296" s="789"/>
      <c r="F296" s="789"/>
      <c r="G296" s="789"/>
      <c r="H296" s="790"/>
      <c r="AD296" s="791"/>
      <c r="AE296" s="792"/>
    </row>
    <row r="297" spans="5:31" s="134" customFormat="1" ht="3" customHeight="1" x14ac:dyDescent="0.25">
      <c r="E297" s="789"/>
      <c r="F297" s="789"/>
      <c r="G297" s="789"/>
      <c r="H297" s="790"/>
      <c r="AD297" s="791"/>
      <c r="AE297" s="792"/>
    </row>
    <row r="298" spans="5:31" s="134" customFormat="1" ht="3" customHeight="1" x14ac:dyDescent="0.25">
      <c r="E298" s="789"/>
      <c r="F298" s="789"/>
      <c r="G298" s="789"/>
      <c r="H298" s="790"/>
      <c r="AD298" s="791"/>
      <c r="AE298" s="792"/>
    </row>
    <row r="299" spans="5:31" s="134" customFormat="1" ht="3" customHeight="1" x14ac:dyDescent="0.25">
      <c r="E299" s="789"/>
      <c r="F299" s="789"/>
      <c r="G299" s="789"/>
      <c r="H299" s="790"/>
      <c r="AD299" s="791"/>
      <c r="AE299" s="792"/>
    </row>
    <row r="300" spans="5:31" s="134" customFormat="1" ht="3" customHeight="1" x14ac:dyDescent="0.25">
      <c r="E300" s="789"/>
      <c r="F300" s="789"/>
      <c r="G300" s="789"/>
      <c r="H300" s="790"/>
      <c r="AD300" s="791"/>
      <c r="AE300" s="792"/>
    </row>
    <row r="301" spans="5:31" s="134" customFormat="1" ht="3" customHeight="1" x14ac:dyDescent="0.25">
      <c r="E301" s="789"/>
      <c r="F301" s="789"/>
      <c r="G301" s="789"/>
      <c r="H301" s="790"/>
      <c r="AD301" s="791"/>
      <c r="AE301" s="792"/>
    </row>
    <row r="302" spans="5:31" s="134" customFormat="1" ht="3" customHeight="1" x14ac:dyDescent="0.25">
      <c r="E302" s="789"/>
      <c r="F302" s="789"/>
      <c r="G302" s="789"/>
      <c r="H302" s="790"/>
      <c r="AD302" s="791"/>
      <c r="AE302" s="792"/>
    </row>
    <row r="303" spans="5:31" s="134" customFormat="1" ht="3" customHeight="1" x14ac:dyDescent="0.25">
      <c r="E303" s="789"/>
      <c r="F303" s="789"/>
      <c r="G303" s="789"/>
      <c r="H303" s="790"/>
      <c r="AD303" s="791"/>
      <c r="AE303" s="792"/>
    </row>
    <row r="304" spans="5:31" s="134" customFormat="1" ht="3" customHeight="1" x14ac:dyDescent="0.25">
      <c r="E304" s="789"/>
      <c r="F304" s="789"/>
      <c r="G304" s="789"/>
      <c r="H304" s="790"/>
      <c r="AD304" s="791"/>
      <c r="AE304" s="792"/>
    </row>
    <row r="305" spans="5:31" s="134" customFormat="1" ht="3" customHeight="1" x14ac:dyDescent="0.25">
      <c r="E305" s="789"/>
      <c r="F305" s="789"/>
      <c r="G305" s="789"/>
      <c r="H305" s="790"/>
      <c r="AD305" s="791"/>
      <c r="AE305" s="792"/>
    </row>
    <row r="306" spans="5:31" s="134" customFormat="1" ht="3" customHeight="1" x14ac:dyDescent="0.25">
      <c r="E306" s="789"/>
      <c r="F306" s="789"/>
      <c r="G306" s="789"/>
      <c r="H306" s="790"/>
      <c r="AD306" s="791"/>
      <c r="AE306" s="792"/>
    </row>
    <row r="307" spans="5:31" s="134" customFormat="1" ht="3" customHeight="1" x14ac:dyDescent="0.25">
      <c r="E307" s="789"/>
      <c r="F307" s="789"/>
      <c r="G307" s="789"/>
      <c r="H307" s="790"/>
      <c r="AD307" s="791"/>
      <c r="AE307" s="792"/>
    </row>
    <row r="308" spans="5:31" s="134" customFormat="1" ht="3" customHeight="1" x14ac:dyDescent="0.25">
      <c r="E308" s="789"/>
      <c r="F308" s="789"/>
      <c r="G308" s="789"/>
      <c r="H308" s="790"/>
      <c r="AD308" s="791"/>
      <c r="AE308" s="792"/>
    </row>
    <row r="309" spans="5:31" s="134" customFormat="1" ht="12.75" customHeight="1" x14ac:dyDescent="0.25">
      <c r="E309" s="789"/>
      <c r="F309" s="789"/>
      <c r="G309" s="789"/>
      <c r="H309" s="790"/>
      <c r="AD309" s="791"/>
      <c r="AE309" s="792"/>
    </row>
    <row r="310" spans="5:31" s="134" customFormat="1" ht="12.75" customHeight="1" x14ac:dyDescent="0.25">
      <c r="E310" s="789"/>
      <c r="F310" s="789"/>
      <c r="G310" s="789"/>
      <c r="H310" s="790"/>
      <c r="AD310" s="791"/>
      <c r="AE310" s="792"/>
    </row>
    <row r="311" spans="5:31" s="134" customFormat="1" ht="12.75" customHeight="1" x14ac:dyDescent="0.25">
      <c r="E311" s="789"/>
      <c r="F311" s="789"/>
      <c r="G311" s="789"/>
      <c r="H311" s="790"/>
      <c r="AD311" s="791"/>
      <c r="AE311" s="792"/>
    </row>
    <row r="312" spans="5:31" s="134" customFormat="1" ht="12.75" customHeight="1" x14ac:dyDescent="0.25">
      <c r="E312" s="789"/>
      <c r="F312" s="789"/>
      <c r="G312" s="789"/>
      <c r="H312" s="790"/>
      <c r="AD312" s="791"/>
      <c r="AE312" s="792"/>
    </row>
    <row r="313" spans="5:31" s="134" customFormat="1" ht="12.75" customHeight="1" x14ac:dyDescent="0.25">
      <c r="E313" s="789"/>
      <c r="F313" s="789"/>
      <c r="G313" s="789"/>
      <c r="H313" s="790"/>
      <c r="AD313" s="791"/>
      <c r="AE313" s="792"/>
    </row>
    <row r="314" spans="5:31" s="134" customFormat="1" ht="12.75" customHeight="1" x14ac:dyDescent="0.25">
      <c r="E314" s="789"/>
      <c r="F314" s="789"/>
      <c r="G314" s="789"/>
      <c r="H314" s="790"/>
      <c r="AD314" s="791"/>
      <c r="AE314" s="792"/>
    </row>
    <row r="315" spans="5:31" s="134" customFormat="1" ht="12.75" customHeight="1" x14ac:dyDescent="0.25">
      <c r="E315" s="789"/>
      <c r="F315" s="789"/>
      <c r="G315" s="789"/>
      <c r="H315" s="790"/>
      <c r="AD315" s="791"/>
      <c r="AE315" s="792"/>
    </row>
    <row r="316" spans="5:31" s="134" customFormat="1" ht="12.75" customHeight="1" x14ac:dyDescent="0.25">
      <c r="E316" s="789"/>
      <c r="F316" s="789"/>
      <c r="G316" s="789"/>
      <c r="H316" s="790"/>
      <c r="AD316" s="791"/>
      <c r="AE316" s="792"/>
    </row>
    <row r="317" spans="5:31" s="134" customFormat="1" ht="12.75" customHeight="1" x14ac:dyDescent="0.25">
      <c r="E317" s="789"/>
      <c r="F317" s="789"/>
      <c r="G317" s="789"/>
      <c r="H317" s="790"/>
      <c r="AD317" s="791"/>
      <c r="AE317" s="792"/>
    </row>
    <row r="318" spans="5:31" s="134" customFormat="1" ht="12.75" customHeight="1" x14ac:dyDescent="0.25">
      <c r="E318" s="789"/>
      <c r="F318" s="789"/>
      <c r="G318" s="789"/>
      <c r="H318" s="790"/>
      <c r="AD318" s="791"/>
      <c r="AE318" s="792"/>
    </row>
    <row r="319" spans="5:31" s="134" customFormat="1" ht="12.75" customHeight="1" x14ac:dyDescent="0.25">
      <c r="E319" s="789"/>
      <c r="F319" s="789"/>
      <c r="G319" s="789"/>
      <c r="H319" s="790"/>
      <c r="AD319" s="791"/>
      <c r="AE319" s="792"/>
    </row>
    <row r="320" spans="5:31" s="134" customFormat="1" ht="12.75" customHeight="1" x14ac:dyDescent="0.25">
      <c r="E320" s="789"/>
      <c r="F320" s="789"/>
      <c r="G320" s="789"/>
      <c r="H320" s="790"/>
      <c r="AD320" s="791"/>
      <c r="AE320" s="792"/>
    </row>
    <row r="321" spans="5:31" s="134" customFormat="1" ht="12.75" customHeight="1" x14ac:dyDescent="0.25">
      <c r="E321" s="789"/>
      <c r="F321" s="789"/>
      <c r="G321" s="789"/>
      <c r="H321" s="790"/>
      <c r="AD321" s="791"/>
      <c r="AE321" s="792"/>
    </row>
    <row r="322" spans="5:31" s="134" customFormat="1" ht="12.75" customHeight="1" x14ac:dyDescent="0.25">
      <c r="E322" s="789"/>
      <c r="F322" s="789"/>
      <c r="G322" s="789"/>
      <c r="H322" s="790"/>
      <c r="AD322" s="791"/>
      <c r="AE322" s="792"/>
    </row>
    <row r="323" spans="5:31" s="134" customFormat="1" ht="12.75" customHeight="1" x14ac:dyDescent="0.25">
      <c r="E323" s="789"/>
      <c r="F323" s="789"/>
      <c r="G323" s="789"/>
      <c r="H323" s="790"/>
      <c r="AD323" s="791"/>
      <c r="AE323" s="792"/>
    </row>
    <row r="324" spans="5:31" s="134" customFormat="1" ht="12.75" customHeight="1" x14ac:dyDescent="0.25">
      <c r="E324" s="789"/>
      <c r="F324" s="789"/>
      <c r="G324" s="789"/>
      <c r="H324" s="790"/>
      <c r="AD324" s="791"/>
      <c r="AE324" s="792"/>
    </row>
    <row r="325" spans="5:31" s="134" customFormat="1" ht="12.75" customHeight="1" x14ac:dyDescent="0.25">
      <c r="E325" s="789"/>
      <c r="F325" s="789"/>
      <c r="G325" s="789"/>
      <c r="H325" s="790"/>
      <c r="AD325" s="791"/>
      <c r="AE325" s="792"/>
    </row>
    <row r="326" spans="5:31" s="134" customFormat="1" ht="12.75" customHeight="1" x14ac:dyDescent="0.25">
      <c r="E326" s="789"/>
      <c r="F326" s="789"/>
      <c r="G326" s="789"/>
      <c r="H326" s="790"/>
      <c r="AD326" s="791"/>
      <c r="AE326" s="792"/>
    </row>
    <row r="327" spans="5:31" s="134" customFormat="1" ht="12.75" customHeight="1" x14ac:dyDescent="0.25">
      <c r="E327" s="789"/>
      <c r="F327" s="789"/>
      <c r="G327" s="789"/>
      <c r="H327" s="790"/>
      <c r="AD327" s="791"/>
      <c r="AE327" s="792"/>
    </row>
    <row r="328" spans="5:31" s="134" customFormat="1" ht="12.75" customHeight="1" x14ac:dyDescent="0.25">
      <c r="E328" s="789"/>
      <c r="F328" s="789"/>
      <c r="G328" s="789"/>
      <c r="H328" s="790"/>
      <c r="AD328" s="791"/>
      <c r="AE328" s="792"/>
    </row>
    <row r="329" spans="5:31" s="134" customFormat="1" ht="12.75" customHeight="1" x14ac:dyDescent="0.25">
      <c r="E329" s="789"/>
      <c r="F329" s="789"/>
      <c r="G329" s="789"/>
      <c r="H329" s="790"/>
      <c r="AD329" s="791"/>
      <c r="AE329" s="792"/>
    </row>
    <row r="330" spans="5:31" s="134" customFormat="1" ht="12.75" customHeight="1" x14ac:dyDescent="0.25">
      <c r="E330" s="789"/>
      <c r="F330" s="789"/>
      <c r="G330" s="789"/>
      <c r="H330" s="790"/>
      <c r="AD330" s="791"/>
      <c r="AE330" s="792"/>
    </row>
    <row r="331" spans="5:31" s="134" customFormat="1" ht="12.75" customHeight="1" x14ac:dyDescent="0.25">
      <c r="E331" s="789"/>
      <c r="F331" s="789"/>
      <c r="G331" s="789"/>
      <c r="H331" s="790"/>
      <c r="AD331" s="791"/>
      <c r="AE331" s="792"/>
    </row>
    <row r="332" spans="5:31" s="134" customFormat="1" ht="12.75" customHeight="1" x14ac:dyDescent="0.25">
      <c r="E332" s="789"/>
      <c r="F332" s="789"/>
      <c r="G332" s="789"/>
      <c r="H332" s="790"/>
      <c r="AD332" s="791"/>
      <c r="AE332" s="792"/>
    </row>
    <row r="333" spans="5:31" s="134" customFormat="1" ht="12.75" customHeight="1" x14ac:dyDescent="0.25">
      <c r="E333" s="789"/>
      <c r="F333" s="789"/>
      <c r="G333" s="789"/>
      <c r="H333" s="790"/>
      <c r="AD333" s="791"/>
      <c r="AE333" s="792"/>
    </row>
    <row r="334" spans="5:31" s="134" customFormat="1" ht="12.75" customHeight="1" x14ac:dyDescent="0.25">
      <c r="E334" s="789"/>
      <c r="F334" s="789"/>
      <c r="G334" s="789"/>
      <c r="H334" s="790"/>
      <c r="AD334" s="791"/>
      <c r="AE334" s="792"/>
    </row>
    <row r="335" spans="5:31" s="134" customFormat="1" ht="12.75" customHeight="1" x14ac:dyDescent="0.25">
      <c r="E335" s="789"/>
      <c r="F335" s="789"/>
      <c r="G335" s="789"/>
      <c r="H335" s="790"/>
      <c r="AD335" s="791"/>
      <c r="AE335" s="792"/>
    </row>
    <row r="336" spans="5:31" s="134" customFormat="1" ht="12.75" customHeight="1" x14ac:dyDescent="0.25">
      <c r="E336" s="789"/>
      <c r="F336" s="789"/>
      <c r="G336" s="789"/>
      <c r="H336" s="790"/>
      <c r="AD336" s="791"/>
      <c r="AE336" s="792"/>
    </row>
    <row r="337" spans="5:31" s="134" customFormat="1" ht="12.75" customHeight="1" x14ac:dyDescent="0.25">
      <c r="E337" s="789"/>
      <c r="F337" s="789"/>
      <c r="G337" s="789"/>
      <c r="H337" s="790"/>
      <c r="AD337" s="791"/>
      <c r="AE337" s="792"/>
    </row>
    <row r="338" spans="5:31" s="134" customFormat="1" ht="12.75" customHeight="1" x14ac:dyDescent="0.25">
      <c r="E338" s="789"/>
      <c r="F338" s="789"/>
      <c r="G338" s="789"/>
      <c r="H338" s="790"/>
      <c r="AD338" s="791"/>
      <c r="AE338" s="792"/>
    </row>
    <row r="339" spans="5:31" s="134" customFormat="1" ht="12.75" customHeight="1" x14ac:dyDescent="0.25">
      <c r="E339" s="789"/>
      <c r="F339" s="789"/>
      <c r="G339" s="789"/>
      <c r="H339" s="790"/>
      <c r="AD339" s="791"/>
      <c r="AE339" s="792"/>
    </row>
    <row r="340" spans="5:31" s="134" customFormat="1" ht="12.75" customHeight="1" x14ac:dyDescent="0.25">
      <c r="E340" s="789"/>
      <c r="F340" s="789"/>
      <c r="G340" s="789"/>
      <c r="H340" s="790"/>
      <c r="AD340" s="791"/>
      <c r="AE340" s="792"/>
    </row>
    <row r="341" spans="5:31" s="134" customFormat="1" ht="12.75" customHeight="1" x14ac:dyDescent="0.25">
      <c r="E341" s="789"/>
      <c r="F341" s="789"/>
      <c r="G341" s="789"/>
      <c r="H341" s="790"/>
      <c r="AD341" s="791"/>
      <c r="AE341" s="792"/>
    </row>
    <row r="342" spans="5:31" s="134" customFormat="1" ht="12.75" customHeight="1" x14ac:dyDescent="0.25">
      <c r="E342" s="789"/>
      <c r="F342" s="789"/>
      <c r="G342" s="789"/>
      <c r="H342" s="790"/>
      <c r="AD342" s="791"/>
      <c r="AE342" s="792"/>
    </row>
    <row r="343" spans="5:31" s="134" customFormat="1" ht="12.75" customHeight="1" x14ac:dyDescent="0.25">
      <c r="E343" s="789"/>
      <c r="F343" s="789"/>
      <c r="G343" s="789"/>
      <c r="H343" s="790"/>
      <c r="AD343" s="791"/>
      <c r="AE343" s="792"/>
    </row>
    <row r="344" spans="5:31" s="134" customFormat="1" ht="12.75" customHeight="1" x14ac:dyDescent="0.25">
      <c r="E344" s="789"/>
      <c r="F344" s="789"/>
      <c r="G344" s="789"/>
      <c r="H344" s="790"/>
      <c r="AD344" s="791"/>
      <c r="AE344" s="792"/>
    </row>
    <row r="345" spans="5:31" s="134" customFormat="1" ht="12.75" customHeight="1" x14ac:dyDescent="0.25">
      <c r="E345" s="789"/>
      <c r="F345" s="789"/>
      <c r="G345" s="789"/>
      <c r="H345" s="790"/>
      <c r="AD345" s="791"/>
      <c r="AE345" s="792"/>
    </row>
    <row r="346" spans="5:31" s="134" customFormat="1" ht="12.75" customHeight="1" x14ac:dyDescent="0.25">
      <c r="E346" s="789"/>
      <c r="F346" s="789"/>
      <c r="G346" s="789"/>
      <c r="H346" s="790"/>
      <c r="AD346" s="791"/>
      <c r="AE346" s="792"/>
    </row>
    <row r="347" spans="5:31" s="134" customFormat="1" ht="12.75" customHeight="1" x14ac:dyDescent="0.25">
      <c r="E347" s="789"/>
      <c r="F347" s="789"/>
      <c r="G347" s="789"/>
      <c r="H347" s="790"/>
      <c r="AD347" s="791"/>
      <c r="AE347" s="792"/>
    </row>
    <row r="348" spans="5:31" s="134" customFormat="1" ht="12.75" customHeight="1" x14ac:dyDescent="0.25">
      <c r="E348" s="789"/>
      <c r="F348" s="789"/>
      <c r="G348" s="789"/>
      <c r="H348" s="790"/>
      <c r="AD348" s="791"/>
      <c r="AE348" s="792"/>
    </row>
    <row r="349" spans="5:31" s="134" customFormat="1" ht="12.75" customHeight="1" x14ac:dyDescent="0.25">
      <c r="E349" s="789"/>
      <c r="F349" s="789"/>
      <c r="G349" s="789"/>
      <c r="H349" s="790"/>
      <c r="AD349" s="791"/>
      <c r="AE349" s="792"/>
    </row>
    <row r="350" spans="5:31" s="134" customFormat="1" ht="12.75" customHeight="1" x14ac:dyDescent="0.25">
      <c r="E350" s="789"/>
      <c r="F350" s="789"/>
      <c r="G350" s="789"/>
      <c r="H350" s="790"/>
      <c r="AD350" s="791"/>
      <c r="AE350" s="792"/>
    </row>
    <row r="351" spans="5:31" s="134" customFormat="1" ht="12.75" customHeight="1" x14ac:dyDescent="0.25">
      <c r="E351" s="789"/>
      <c r="F351" s="789"/>
      <c r="G351" s="789"/>
      <c r="H351" s="790"/>
      <c r="AD351" s="791"/>
      <c r="AE351" s="792"/>
    </row>
    <row r="352" spans="5:31" s="134" customFormat="1" ht="12.75" customHeight="1" x14ac:dyDescent="0.25">
      <c r="E352" s="789"/>
      <c r="F352" s="789"/>
      <c r="G352" s="789"/>
      <c r="H352" s="790"/>
      <c r="AD352" s="791"/>
      <c r="AE352" s="792"/>
    </row>
    <row r="353" spans="5:31" s="134" customFormat="1" ht="12.75" customHeight="1" x14ac:dyDescent="0.25">
      <c r="E353" s="789"/>
      <c r="F353" s="789"/>
      <c r="G353" s="789"/>
      <c r="H353" s="790"/>
      <c r="AD353" s="791"/>
      <c r="AE353" s="792"/>
    </row>
    <row r="354" spans="5:31" s="134" customFormat="1" ht="12.75" customHeight="1" x14ac:dyDescent="0.25">
      <c r="E354" s="789"/>
      <c r="F354" s="789"/>
      <c r="G354" s="789"/>
      <c r="H354" s="790"/>
      <c r="AD354" s="791"/>
      <c r="AE354" s="792"/>
    </row>
    <row r="355" spans="5:31" s="134" customFormat="1" ht="12.75" customHeight="1" x14ac:dyDescent="0.25">
      <c r="E355" s="789"/>
      <c r="F355" s="789"/>
      <c r="G355" s="789"/>
      <c r="H355" s="790"/>
      <c r="AD355" s="791"/>
      <c r="AE355" s="792"/>
    </row>
    <row r="356" spans="5:31" s="134" customFormat="1" ht="12.75" customHeight="1" x14ac:dyDescent="0.25">
      <c r="E356" s="789"/>
      <c r="F356" s="789"/>
      <c r="G356" s="789"/>
      <c r="H356" s="790"/>
      <c r="AD356" s="791"/>
      <c r="AE356" s="792"/>
    </row>
    <row r="357" spans="5:31" s="134" customFormat="1" ht="12.75" customHeight="1" x14ac:dyDescent="0.25">
      <c r="E357" s="789"/>
      <c r="F357" s="789"/>
      <c r="G357" s="789"/>
      <c r="H357" s="790"/>
      <c r="AD357" s="791"/>
      <c r="AE357" s="792"/>
    </row>
    <row r="358" spans="5:31" s="134" customFormat="1" ht="12.75" customHeight="1" x14ac:dyDescent="0.25">
      <c r="E358" s="789"/>
      <c r="F358" s="789"/>
      <c r="G358" s="789"/>
      <c r="H358" s="790"/>
      <c r="AD358" s="791"/>
      <c r="AE358" s="792"/>
    </row>
    <row r="359" spans="5:31" s="134" customFormat="1" ht="12.75" customHeight="1" x14ac:dyDescent="0.25">
      <c r="E359" s="789"/>
      <c r="F359" s="789"/>
      <c r="G359" s="789"/>
      <c r="H359" s="790"/>
      <c r="AD359" s="791"/>
      <c r="AE359" s="792"/>
    </row>
    <row r="360" spans="5:31" s="134" customFormat="1" ht="12.75" customHeight="1" x14ac:dyDescent="0.25">
      <c r="E360" s="789"/>
      <c r="F360" s="789"/>
      <c r="G360" s="789"/>
      <c r="H360" s="790"/>
      <c r="AD360" s="791"/>
      <c r="AE360" s="792"/>
    </row>
    <row r="361" spans="5:31" s="134" customFormat="1" ht="12.75" customHeight="1" x14ac:dyDescent="0.25">
      <c r="E361" s="789"/>
      <c r="F361" s="789"/>
      <c r="G361" s="789"/>
      <c r="H361" s="790"/>
      <c r="AD361" s="791"/>
      <c r="AE361" s="792"/>
    </row>
    <row r="362" spans="5:31" s="134" customFormat="1" ht="12.75" customHeight="1" x14ac:dyDescent="0.25">
      <c r="E362" s="789"/>
      <c r="F362" s="789"/>
      <c r="G362" s="789"/>
      <c r="H362" s="790"/>
      <c r="AD362" s="791"/>
      <c r="AE362" s="792"/>
    </row>
    <row r="363" spans="5:31" s="134" customFormat="1" ht="12.75" customHeight="1" x14ac:dyDescent="0.25">
      <c r="E363" s="789"/>
      <c r="F363" s="789"/>
      <c r="G363" s="789"/>
      <c r="H363" s="790"/>
      <c r="AD363" s="791"/>
      <c r="AE363" s="792"/>
    </row>
    <row r="364" spans="5:31" s="134" customFormat="1" ht="12.75" customHeight="1" x14ac:dyDescent="0.25">
      <c r="E364" s="789"/>
      <c r="F364" s="789"/>
      <c r="G364" s="789"/>
      <c r="H364" s="790"/>
      <c r="AD364" s="791"/>
      <c r="AE364" s="792"/>
    </row>
    <row r="365" spans="5:31" ht="12.75" customHeight="1" x14ac:dyDescent="0.25">
      <c r="E365" s="793"/>
      <c r="F365" s="793"/>
      <c r="G365" s="793"/>
      <c r="H365" s="794"/>
    </row>
    <row r="366" spans="5:31" ht="12.75" customHeight="1" x14ac:dyDescent="0.25">
      <c r="E366" s="793"/>
      <c r="F366" s="793"/>
      <c r="G366" s="793"/>
      <c r="H366" s="794"/>
    </row>
    <row r="367" spans="5:31" ht="12.75" customHeight="1" x14ac:dyDescent="0.25">
      <c r="E367" s="793"/>
      <c r="F367" s="793"/>
      <c r="G367" s="793"/>
      <c r="H367" s="794"/>
    </row>
    <row r="368" spans="5:31" ht="12.75" customHeight="1" x14ac:dyDescent="0.25">
      <c r="E368" s="793"/>
      <c r="F368" s="793"/>
      <c r="G368" s="793"/>
      <c r="H368" s="794"/>
    </row>
    <row r="369" spans="5:8" ht="12.75" customHeight="1" x14ac:dyDescent="0.25">
      <c r="E369" s="793"/>
      <c r="F369" s="793"/>
      <c r="G369" s="793"/>
      <c r="H369" s="794"/>
    </row>
    <row r="370" spans="5:8" ht="12.75" customHeight="1" x14ac:dyDescent="0.25">
      <c r="E370" s="793"/>
      <c r="F370" s="793"/>
      <c r="G370" s="793"/>
      <c r="H370" s="794"/>
    </row>
    <row r="371" spans="5:8" ht="12.75" customHeight="1" x14ac:dyDescent="0.25">
      <c r="E371" s="793"/>
      <c r="F371" s="793"/>
      <c r="G371" s="793"/>
      <c r="H371" s="794"/>
    </row>
    <row r="372" spans="5:8" ht="12.75" customHeight="1" x14ac:dyDescent="0.25">
      <c r="E372" s="793"/>
      <c r="F372" s="793"/>
      <c r="G372" s="793"/>
      <c r="H372" s="794"/>
    </row>
    <row r="373" spans="5:8" ht="12.75" customHeight="1" x14ac:dyDescent="0.25">
      <c r="E373" s="793"/>
      <c r="F373" s="793"/>
      <c r="G373" s="793"/>
      <c r="H373" s="794"/>
    </row>
    <row r="374" spans="5:8" ht="12.75" customHeight="1" x14ac:dyDescent="0.25">
      <c r="E374" s="793"/>
      <c r="F374" s="793"/>
      <c r="G374" s="793"/>
      <c r="H374" s="794"/>
    </row>
    <row r="375" spans="5:8" ht="12.75" customHeight="1" x14ac:dyDescent="0.25">
      <c r="E375" s="793"/>
      <c r="F375" s="793"/>
      <c r="G375" s="793"/>
      <c r="H375" s="794"/>
    </row>
    <row r="376" spans="5:8" ht="12.75" customHeight="1" x14ac:dyDescent="0.25">
      <c r="E376" s="793"/>
      <c r="F376" s="793"/>
      <c r="G376" s="793"/>
      <c r="H376" s="794"/>
    </row>
    <row r="377" spans="5:8" ht="12.75" customHeight="1" x14ac:dyDescent="0.25">
      <c r="E377" s="793"/>
      <c r="F377" s="793"/>
      <c r="G377" s="793"/>
      <c r="H377" s="794"/>
    </row>
    <row r="378" spans="5:8" ht="12.75" customHeight="1" x14ac:dyDescent="0.25">
      <c r="E378" s="793"/>
      <c r="F378" s="793"/>
      <c r="G378" s="793"/>
      <c r="H378" s="794"/>
    </row>
    <row r="379" spans="5:8" ht="12.75" customHeight="1" x14ac:dyDescent="0.25">
      <c r="E379" s="793"/>
      <c r="F379" s="793"/>
      <c r="G379" s="793"/>
      <c r="H379" s="794"/>
    </row>
    <row r="380" spans="5:8" ht="12.75" customHeight="1" x14ac:dyDescent="0.25">
      <c r="E380" s="793"/>
      <c r="F380" s="793"/>
      <c r="G380" s="793"/>
      <c r="H380" s="794"/>
    </row>
    <row r="381" spans="5:8" ht="12.75" customHeight="1" x14ac:dyDescent="0.25">
      <c r="E381" s="793"/>
      <c r="F381" s="793"/>
      <c r="G381" s="793"/>
      <c r="H381" s="794"/>
    </row>
    <row r="382" spans="5:8" ht="12.75" customHeight="1" x14ac:dyDescent="0.25">
      <c r="E382" s="793"/>
      <c r="F382" s="793"/>
      <c r="G382" s="793"/>
      <c r="H382" s="794"/>
    </row>
    <row r="383" spans="5:8" ht="12.75" customHeight="1" x14ac:dyDescent="0.25">
      <c r="E383" s="793"/>
      <c r="F383" s="793"/>
      <c r="G383" s="793"/>
      <c r="H383" s="794"/>
    </row>
    <row r="384" spans="5:8" ht="12.75" customHeight="1" x14ac:dyDescent="0.25">
      <c r="E384" s="793"/>
      <c r="F384" s="793"/>
      <c r="G384" s="793"/>
      <c r="H384" s="794"/>
    </row>
    <row r="385" spans="5:8" ht="12.75" customHeight="1" x14ac:dyDescent="0.25">
      <c r="E385" s="793"/>
      <c r="F385" s="793"/>
      <c r="G385" s="793"/>
      <c r="H385" s="794"/>
    </row>
    <row r="386" spans="5:8" ht="12.75" customHeight="1" x14ac:dyDescent="0.25">
      <c r="E386" s="793"/>
      <c r="F386" s="793"/>
      <c r="G386" s="793"/>
      <c r="H386" s="794"/>
    </row>
    <row r="387" spans="5:8" ht="12.75" customHeight="1" x14ac:dyDescent="0.25">
      <c r="E387" s="793"/>
      <c r="F387" s="793"/>
      <c r="G387" s="793"/>
      <c r="H387" s="794"/>
    </row>
    <row r="388" spans="5:8" ht="12.75" customHeight="1" x14ac:dyDescent="0.25">
      <c r="E388" s="793"/>
      <c r="F388" s="793"/>
      <c r="G388" s="793"/>
      <c r="H388" s="794"/>
    </row>
    <row r="389" spans="5:8" ht="12.75" customHeight="1" x14ac:dyDescent="0.25">
      <c r="E389" s="793"/>
      <c r="F389" s="793"/>
      <c r="G389" s="793"/>
      <c r="H389" s="794"/>
    </row>
    <row r="390" spans="5:8" ht="12.75" customHeight="1" x14ac:dyDescent="0.25">
      <c r="E390" s="793"/>
      <c r="F390" s="793"/>
      <c r="G390" s="793"/>
      <c r="H390" s="794"/>
    </row>
    <row r="391" spans="5:8" ht="12.75" customHeight="1" x14ac:dyDescent="0.25">
      <c r="E391" s="793"/>
      <c r="F391" s="793"/>
      <c r="G391" s="793"/>
      <c r="H391" s="794"/>
    </row>
    <row r="392" spans="5:8" ht="12.75" customHeight="1" x14ac:dyDescent="0.25">
      <c r="E392" s="793"/>
      <c r="F392" s="793"/>
      <c r="G392" s="793"/>
      <c r="H392" s="794"/>
    </row>
    <row r="393" spans="5:8" ht="12.75" customHeight="1" x14ac:dyDescent="0.25">
      <c r="E393" s="793"/>
      <c r="F393" s="793"/>
      <c r="G393" s="793"/>
      <c r="H393" s="794"/>
    </row>
    <row r="394" spans="5:8" ht="12.75" customHeight="1" x14ac:dyDescent="0.25">
      <c r="E394" s="793"/>
      <c r="F394" s="793"/>
      <c r="G394" s="793"/>
      <c r="H394" s="794"/>
    </row>
    <row r="395" spans="5:8" ht="12.75" customHeight="1" x14ac:dyDescent="0.25">
      <c r="E395" s="793"/>
      <c r="F395" s="793"/>
      <c r="G395" s="793"/>
      <c r="H395" s="794"/>
    </row>
    <row r="396" spans="5:8" ht="12.75" customHeight="1" x14ac:dyDescent="0.25">
      <c r="E396" s="793"/>
      <c r="F396" s="793"/>
      <c r="G396" s="793"/>
      <c r="H396" s="794"/>
    </row>
    <row r="397" spans="5:8" ht="12.75" customHeight="1" x14ac:dyDescent="0.25">
      <c r="E397" s="793"/>
      <c r="F397" s="793"/>
      <c r="G397" s="793"/>
      <c r="H397" s="794"/>
    </row>
    <row r="398" spans="5:8" ht="12.75" customHeight="1" x14ac:dyDescent="0.25">
      <c r="E398" s="793"/>
      <c r="F398" s="793"/>
      <c r="G398" s="793"/>
      <c r="H398" s="794"/>
    </row>
    <row r="399" spans="5:8" ht="12.75" customHeight="1" x14ac:dyDescent="0.25">
      <c r="E399" s="793"/>
      <c r="F399" s="793"/>
      <c r="G399" s="793"/>
      <c r="H399" s="794"/>
    </row>
    <row r="400" spans="5:8" ht="12.75" customHeight="1" x14ac:dyDescent="0.25">
      <c r="E400" s="793"/>
      <c r="F400" s="793"/>
      <c r="G400" s="793"/>
      <c r="H400" s="794"/>
    </row>
    <row r="401" spans="5:8" ht="12.75" customHeight="1" x14ac:dyDescent="0.25">
      <c r="E401" s="793"/>
      <c r="F401" s="793"/>
      <c r="G401" s="793"/>
      <c r="H401" s="794"/>
    </row>
    <row r="402" spans="5:8" ht="12.75" customHeight="1" x14ac:dyDescent="0.25">
      <c r="E402" s="793"/>
      <c r="F402" s="793"/>
      <c r="G402" s="793"/>
      <c r="H402" s="794"/>
    </row>
    <row r="403" spans="5:8" ht="12.75" customHeight="1" x14ac:dyDescent="0.25">
      <c r="E403" s="793"/>
      <c r="F403" s="793"/>
      <c r="G403" s="793"/>
      <c r="H403" s="794"/>
    </row>
    <row r="404" spans="5:8" ht="12.75" customHeight="1" x14ac:dyDescent="0.25">
      <c r="E404" s="793"/>
      <c r="F404" s="793"/>
      <c r="G404" s="793"/>
      <c r="H404" s="794"/>
    </row>
    <row r="405" spans="5:8" ht="12.75" customHeight="1" x14ac:dyDescent="0.25">
      <c r="E405" s="793"/>
      <c r="F405" s="793"/>
      <c r="G405" s="793"/>
      <c r="H405" s="794"/>
    </row>
    <row r="406" spans="5:8" ht="12.75" customHeight="1" x14ac:dyDescent="0.25">
      <c r="E406" s="793"/>
      <c r="F406" s="793"/>
      <c r="G406" s="793"/>
      <c r="H406" s="794"/>
    </row>
    <row r="407" spans="5:8" ht="12.75" customHeight="1" x14ac:dyDescent="0.25">
      <c r="E407" s="793"/>
      <c r="F407" s="793"/>
      <c r="G407" s="793"/>
      <c r="H407" s="794"/>
    </row>
    <row r="408" spans="5:8" ht="12.75" customHeight="1" x14ac:dyDescent="0.25">
      <c r="E408" s="793"/>
      <c r="F408" s="793"/>
      <c r="G408" s="793"/>
      <c r="H408" s="794"/>
    </row>
    <row r="409" spans="5:8" ht="12.75" customHeight="1" x14ac:dyDescent="0.25">
      <c r="E409" s="793"/>
      <c r="F409" s="793"/>
      <c r="G409" s="793"/>
      <c r="H409" s="794"/>
    </row>
    <row r="410" spans="5:8" ht="12.75" customHeight="1" x14ac:dyDescent="0.25">
      <c r="E410" s="793"/>
      <c r="F410" s="793"/>
      <c r="G410" s="793"/>
      <c r="H410" s="794"/>
    </row>
    <row r="411" spans="5:8" ht="12.75" customHeight="1" x14ac:dyDescent="0.25">
      <c r="E411" s="793"/>
      <c r="F411" s="793"/>
      <c r="G411" s="793"/>
      <c r="H411" s="794"/>
    </row>
    <row r="412" spans="5:8" ht="12.75" customHeight="1" x14ac:dyDescent="0.25">
      <c r="E412" s="793"/>
      <c r="F412" s="793"/>
      <c r="G412" s="793"/>
      <c r="H412" s="794"/>
    </row>
    <row r="413" spans="5:8" ht="12.75" customHeight="1" x14ac:dyDescent="0.25">
      <c r="E413" s="793"/>
      <c r="F413" s="793"/>
      <c r="G413" s="793"/>
      <c r="H413" s="794"/>
    </row>
    <row r="414" spans="5:8" ht="12.75" customHeight="1" x14ac:dyDescent="0.25">
      <c r="E414" s="793"/>
      <c r="F414" s="793"/>
      <c r="G414" s="793"/>
      <c r="H414" s="794"/>
    </row>
    <row r="415" spans="5:8" ht="12.75" customHeight="1" x14ac:dyDescent="0.25">
      <c r="E415" s="793"/>
      <c r="F415" s="793"/>
      <c r="G415" s="793"/>
      <c r="H415" s="794"/>
    </row>
    <row r="416" spans="5:8" ht="12.75" customHeight="1" x14ac:dyDescent="0.25">
      <c r="E416" s="793"/>
      <c r="F416" s="793"/>
      <c r="G416" s="793"/>
      <c r="H416" s="794"/>
    </row>
    <row r="417" spans="5:8" ht="12.75" customHeight="1" x14ac:dyDescent="0.25">
      <c r="E417" s="793"/>
      <c r="F417" s="793"/>
      <c r="G417" s="793"/>
      <c r="H417" s="794"/>
    </row>
    <row r="418" spans="5:8" ht="12.75" customHeight="1" x14ac:dyDescent="0.25">
      <c r="E418" s="793"/>
      <c r="F418" s="793"/>
      <c r="G418" s="793"/>
      <c r="H418" s="794"/>
    </row>
    <row r="419" spans="5:8" ht="12.75" customHeight="1" x14ac:dyDescent="0.25">
      <c r="E419" s="793"/>
      <c r="F419" s="793"/>
      <c r="G419" s="793"/>
      <c r="H419" s="794"/>
    </row>
    <row r="420" spans="5:8" ht="12.75" customHeight="1" x14ac:dyDescent="0.25">
      <c r="E420" s="793"/>
      <c r="F420" s="793"/>
      <c r="G420" s="793"/>
      <c r="H420" s="794"/>
    </row>
    <row r="421" spans="5:8" ht="12.75" customHeight="1" x14ac:dyDescent="0.25">
      <c r="E421" s="793"/>
      <c r="F421" s="793"/>
      <c r="G421" s="793"/>
      <c r="H421" s="794"/>
    </row>
    <row r="422" spans="5:8" ht="12.75" customHeight="1" x14ac:dyDescent="0.25">
      <c r="E422" s="793"/>
      <c r="F422" s="793"/>
      <c r="G422" s="793"/>
      <c r="H422" s="794"/>
    </row>
    <row r="423" spans="5:8" ht="12.75" customHeight="1" x14ac:dyDescent="0.25">
      <c r="E423" s="793"/>
      <c r="F423" s="793"/>
      <c r="G423" s="793"/>
      <c r="H423" s="794"/>
    </row>
    <row r="424" spans="5:8" ht="12.75" customHeight="1" x14ac:dyDescent="0.25">
      <c r="E424" s="793"/>
      <c r="F424" s="793"/>
      <c r="G424" s="793"/>
      <c r="H424" s="794"/>
    </row>
    <row r="425" spans="5:8" ht="12.75" customHeight="1" x14ac:dyDescent="0.25">
      <c r="E425" s="793"/>
      <c r="F425" s="793"/>
      <c r="G425" s="793"/>
      <c r="H425" s="794"/>
    </row>
    <row r="426" spans="5:8" ht="12.75" customHeight="1" x14ac:dyDescent="0.25">
      <c r="E426" s="793"/>
      <c r="F426" s="793"/>
      <c r="G426" s="793"/>
      <c r="H426" s="794"/>
    </row>
    <row r="427" spans="5:8" ht="12.75" customHeight="1" x14ac:dyDescent="0.25">
      <c r="E427" s="793"/>
      <c r="F427" s="793"/>
      <c r="G427" s="793"/>
      <c r="H427" s="794"/>
    </row>
    <row r="428" spans="5:8" ht="12.75" customHeight="1" x14ac:dyDescent="0.25">
      <c r="E428" s="793"/>
      <c r="F428" s="793"/>
      <c r="G428" s="793"/>
      <c r="H428" s="794"/>
    </row>
    <row r="429" spans="5:8" ht="12.75" customHeight="1" x14ac:dyDescent="0.25">
      <c r="E429" s="793"/>
      <c r="F429" s="793"/>
      <c r="G429" s="793"/>
      <c r="H429" s="794"/>
    </row>
    <row r="430" spans="5:8" ht="12.75" customHeight="1" x14ac:dyDescent="0.25">
      <c r="E430" s="793"/>
      <c r="F430" s="793"/>
      <c r="G430" s="793"/>
      <c r="H430" s="794"/>
    </row>
    <row r="431" spans="5:8" ht="12.75" customHeight="1" x14ac:dyDescent="0.25">
      <c r="E431" s="793"/>
      <c r="F431" s="793"/>
      <c r="G431" s="793"/>
      <c r="H431" s="794"/>
    </row>
    <row r="432" spans="5:8" ht="12.75" customHeight="1" x14ac:dyDescent="0.25">
      <c r="E432" s="793"/>
      <c r="F432" s="793"/>
      <c r="G432" s="793"/>
      <c r="H432" s="794"/>
    </row>
    <row r="433" spans="5:8" ht="12.75" customHeight="1" x14ac:dyDescent="0.25">
      <c r="E433" s="793"/>
      <c r="F433" s="793"/>
      <c r="G433" s="793"/>
      <c r="H433" s="794"/>
    </row>
    <row r="434" spans="5:8" ht="12.75" customHeight="1" x14ac:dyDescent="0.25">
      <c r="E434" s="793"/>
      <c r="F434" s="793"/>
      <c r="G434" s="793"/>
      <c r="H434" s="794"/>
    </row>
    <row r="435" spans="5:8" ht="12.75" customHeight="1" x14ac:dyDescent="0.25">
      <c r="E435" s="793"/>
      <c r="F435" s="793"/>
      <c r="G435" s="793"/>
      <c r="H435" s="794"/>
    </row>
    <row r="436" spans="5:8" ht="12.75" customHeight="1" x14ac:dyDescent="0.25">
      <c r="E436" s="793"/>
      <c r="F436" s="793"/>
      <c r="G436" s="793"/>
      <c r="H436" s="794"/>
    </row>
    <row r="437" spans="5:8" ht="12.75" customHeight="1" x14ac:dyDescent="0.25">
      <c r="E437" s="793"/>
      <c r="F437" s="793"/>
      <c r="G437" s="793"/>
      <c r="H437" s="794"/>
    </row>
    <row r="438" spans="5:8" ht="12.75" customHeight="1" x14ac:dyDescent="0.25">
      <c r="E438" s="793"/>
      <c r="F438" s="793"/>
      <c r="G438" s="793"/>
      <c r="H438" s="794"/>
    </row>
    <row r="439" spans="5:8" ht="12.75" customHeight="1" x14ac:dyDescent="0.25">
      <c r="E439" s="793"/>
      <c r="F439" s="793"/>
      <c r="G439" s="793"/>
      <c r="H439" s="794"/>
    </row>
    <row r="440" spans="5:8" ht="12.75" customHeight="1" x14ac:dyDescent="0.25">
      <c r="E440" s="793"/>
      <c r="F440" s="793"/>
      <c r="G440" s="793"/>
      <c r="H440" s="794"/>
    </row>
    <row r="441" spans="5:8" ht="12.75" customHeight="1" x14ac:dyDescent="0.25">
      <c r="E441" s="793"/>
      <c r="F441" s="793"/>
      <c r="G441" s="793"/>
      <c r="H441" s="794"/>
    </row>
    <row r="442" spans="5:8" ht="12.75" customHeight="1" x14ac:dyDescent="0.25">
      <c r="E442" s="793"/>
      <c r="F442" s="793"/>
      <c r="G442" s="793"/>
      <c r="H442" s="794"/>
    </row>
    <row r="443" spans="5:8" ht="12.75" customHeight="1" x14ac:dyDescent="0.25">
      <c r="E443" s="793"/>
      <c r="F443" s="793"/>
      <c r="G443" s="793"/>
      <c r="H443" s="794"/>
    </row>
    <row r="444" spans="5:8" ht="12.75" customHeight="1" x14ac:dyDescent="0.25">
      <c r="E444" s="793"/>
      <c r="F444" s="793"/>
      <c r="G444" s="793"/>
      <c r="H444" s="794"/>
    </row>
    <row r="445" spans="5:8" ht="12.75" customHeight="1" x14ac:dyDescent="0.25">
      <c r="E445" s="793"/>
      <c r="F445" s="793"/>
      <c r="G445" s="793"/>
      <c r="H445" s="794"/>
    </row>
    <row r="446" spans="5:8" ht="12.75" customHeight="1" x14ac:dyDescent="0.25">
      <c r="E446" s="793"/>
      <c r="F446" s="793"/>
      <c r="G446" s="793"/>
      <c r="H446" s="794"/>
    </row>
    <row r="447" spans="5:8" ht="12.75" customHeight="1" x14ac:dyDescent="0.25">
      <c r="E447" s="793"/>
      <c r="F447" s="793"/>
      <c r="G447" s="793"/>
      <c r="H447" s="794"/>
    </row>
    <row r="448" spans="5:8" ht="12.75" customHeight="1" x14ac:dyDescent="0.25">
      <c r="E448" s="793"/>
      <c r="F448" s="793"/>
      <c r="G448" s="793"/>
      <c r="H448" s="794"/>
    </row>
    <row r="449" spans="5:8" ht="12.75" customHeight="1" x14ac:dyDescent="0.25">
      <c r="E449" s="793"/>
      <c r="F449" s="793"/>
      <c r="G449" s="793"/>
      <c r="H449" s="794"/>
    </row>
    <row r="450" spans="5:8" ht="12.75" customHeight="1" x14ac:dyDescent="0.25">
      <c r="E450" s="793"/>
      <c r="F450" s="793"/>
      <c r="G450" s="793"/>
      <c r="H450" s="794"/>
    </row>
    <row r="451" spans="5:8" ht="12.75" customHeight="1" x14ac:dyDescent="0.25">
      <c r="E451" s="793"/>
      <c r="F451" s="793"/>
      <c r="G451" s="793"/>
      <c r="H451" s="794"/>
    </row>
    <row r="452" spans="5:8" ht="12.75" customHeight="1" x14ac:dyDescent="0.25">
      <c r="E452" s="793"/>
      <c r="F452" s="793"/>
      <c r="G452" s="793"/>
      <c r="H452" s="794"/>
    </row>
    <row r="453" spans="5:8" ht="12.75" customHeight="1" x14ac:dyDescent="0.25">
      <c r="E453" s="793"/>
      <c r="F453" s="793"/>
      <c r="G453" s="793"/>
      <c r="H453" s="794"/>
    </row>
    <row r="454" spans="5:8" ht="12.75" customHeight="1" x14ac:dyDescent="0.25">
      <c r="E454" s="793"/>
      <c r="F454" s="793"/>
      <c r="G454" s="793"/>
      <c r="H454" s="794"/>
    </row>
    <row r="455" spans="5:8" ht="12.75" customHeight="1" x14ac:dyDescent="0.25">
      <c r="E455" s="793"/>
      <c r="F455" s="793"/>
      <c r="G455" s="793"/>
      <c r="H455" s="794"/>
    </row>
    <row r="456" spans="5:8" ht="12.75" customHeight="1" x14ac:dyDescent="0.25">
      <c r="E456" s="793"/>
      <c r="F456" s="793"/>
      <c r="G456" s="793"/>
      <c r="H456" s="794"/>
    </row>
    <row r="457" spans="5:8" ht="12.75" customHeight="1" x14ac:dyDescent="0.25">
      <c r="E457" s="793"/>
      <c r="F457" s="793"/>
      <c r="G457" s="793"/>
      <c r="H457" s="794"/>
    </row>
    <row r="458" spans="5:8" ht="12.75" customHeight="1" x14ac:dyDescent="0.25">
      <c r="E458" s="793"/>
      <c r="F458" s="793"/>
      <c r="G458" s="793"/>
      <c r="H458" s="794"/>
    </row>
    <row r="459" spans="5:8" ht="12.75" customHeight="1" x14ac:dyDescent="0.25">
      <c r="E459" s="793"/>
      <c r="F459" s="793"/>
      <c r="G459" s="793"/>
      <c r="H459" s="794"/>
    </row>
    <row r="460" spans="5:8" ht="12.75" customHeight="1" x14ac:dyDescent="0.25">
      <c r="E460" s="793"/>
      <c r="F460" s="793"/>
      <c r="G460" s="793"/>
      <c r="H460" s="794"/>
    </row>
    <row r="461" spans="5:8" ht="12.75" customHeight="1" x14ac:dyDescent="0.25">
      <c r="E461" s="793"/>
      <c r="F461" s="793"/>
      <c r="G461" s="793"/>
      <c r="H461" s="794"/>
    </row>
    <row r="462" spans="5:8" ht="12.75" customHeight="1" x14ac:dyDescent="0.25">
      <c r="E462" s="793"/>
      <c r="F462" s="793"/>
      <c r="G462" s="793"/>
      <c r="H462" s="794"/>
    </row>
    <row r="463" spans="5:8" ht="12.75" customHeight="1" x14ac:dyDescent="0.25">
      <c r="E463" s="793"/>
      <c r="F463" s="793"/>
      <c r="G463" s="793"/>
      <c r="H463" s="794"/>
    </row>
    <row r="464" spans="5:8" ht="12.75" customHeight="1" x14ac:dyDescent="0.25">
      <c r="E464" s="793"/>
      <c r="F464" s="793"/>
      <c r="G464" s="793"/>
      <c r="H464" s="794"/>
    </row>
    <row r="465" spans="5:8" ht="12.75" customHeight="1" x14ac:dyDescent="0.25">
      <c r="E465" s="793"/>
      <c r="F465" s="793"/>
      <c r="G465" s="793"/>
      <c r="H465" s="794"/>
    </row>
    <row r="466" spans="5:8" ht="12.75" customHeight="1" x14ac:dyDescent="0.25">
      <c r="E466" s="793"/>
      <c r="F466" s="793"/>
      <c r="G466" s="793"/>
      <c r="H466" s="794"/>
    </row>
    <row r="467" spans="5:8" ht="12.75" customHeight="1" x14ac:dyDescent="0.25">
      <c r="E467" s="793"/>
      <c r="F467" s="793"/>
      <c r="G467" s="793"/>
      <c r="H467" s="794"/>
    </row>
    <row r="468" spans="5:8" ht="12.75" customHeight="1" x14ac:dyDescent="0.25">
      <c r="E468" s="793"/>
      <c r="F468" s="793"/>
      <c r="G468" s="793"/>
      <c r="H468" s="794"/>
    </row>
    <row r="469" spans="5:8" ht="12.75" customHeight="1" x14ac:dyDescent="0.25">
      <c r="E469" s="793"/>
      <c r="F469" s="793"/>
      <c r="G469" s="793"/>
      <c r="H469" s="794"/>
    </row>
    <row r="470" spans="5:8" ht="12.75" customHeight="1" x14ac:dyDescent="0.25">
      <c r="E470" s="793"/>
      <c r="F470" s="793"/>
      <c r="G470" s="793"/>
      <c r="H470" s="794"/>
    </row>
    <row r="471" spans="5:8" ht="12.75" customHeight="1" x14ac:dyDescent="0.25">
      <c r="E471" s="793"/>
      <c r="F471" s="793"/>
      <c r="G471" s="793"/>
      <c r="H471" s="794"/>
    </row>
    <row r="472" spans="5:8" ht="12.75" customHeight="1" x14ac:dyDescent="0.25">
      <c r="E472" s="793"/>
      <c r="F472" s="793"/>
      <c r="G472" s="793"/>
      <c r="H472" s="794"/>
    </row>
    <row r="473" spans="5:8" ht="12.75" customHeight="1" x14ac:dyDescent="0.25">
      <c r="E473" s="793"/>
      <c r="F473" s="793"/>
      <c r="G473" s="793"/>
      <c r="H473" s="794"/>
    </row>
    <row r="474" spans="5:8" ht="12.75" customHeight="1" x14ac:dyDescent="0.25">
      <c r="E474" s="793"/>
      <c r="F474" s="793"/>
      <c r="G474" s="793"/>
      <c r="H474" s="794"/>
    </row>
    <row r="475" spans="5:8" ht="12.75" customHeight="1" x14ac:dyDescent="0.25">
      <c r="E475" s="793"/>
      <c r="F475" s="793"/>
      <c r="G475" s="793"/>
      <c r="H475" s="794"/>
    </row>
    <row r="476" spans="5:8" ht="12.75" customHeight="1" x14ac:dyDescent="0.25">
      <c r="E476" s="793"/>
      <c r="F476" s="793"/>
      <c r="G476" s="793"/>
      <c r="H476" s="794"/>
    </row>
    <row r="477" spans="5:8" ht="12.75" customHeight="1" x14ac:dyDescent="0.25">
      <c r="E477" s="793"/>
      <c r="F477" s="793"/>
      <c r="G477" s="793"/>
      <c r="H477" s="794"/>
    </row>
    <row r="478" spans="5:8" ht="12.75" customHeight="1" x14ac:dyDescent="0.25">
      <c r="E478" s="793"/>
      <c r="F478" s="793"/>
      <c r="G478" s="793"/>
      <c r="H478" s="794"/>
    </row>
    <row r="479" spans="5:8" ht="12.75" customHeight="1" x14ac:dyDescent="0.25">
      <c r="E479" s="793"/>
      <c r="F479" s="793"/>
      <c r="G479" s="793"/>
      <c r="H479" s="794"/>
    </row>
    <row r="480" spans="5:8" ht="12.75" customHeight="1" x14ac:dyDescent="0.25">
      <c r="E480" s="793"/>
      <c r="F480" s="793"/>
      <c r="G480" s="793"/>
      <c r="H480" s="794"/>
    </row>
    <row r="481" spans="5:8" ht="12.75" customHeight="1" x14ac:dyDescent="0.25">
      <c r="E481" s="793"/>
      <c r="F481" s="793"/>
      <c r="G481" s="793"/>
      <c r="H481" s="794"/>
    </row>
    <row r="482" spans="5:8" ht="12.75" customHeight="1" x14ac:dyDescent="0.25">
      <c r="E482" s="793"/>
      <c r="F482" s="793"/>
      <c r="G482" s="793"/>
      <c r="H482" s="794"/>
    </row>
    <row r="483" spans="5:8" ht="12.75" customHeight="1" x14ac:dyDescent="0.25">
      <c r="E483" s="793"/>
      <c r="F483" s="793"/>
      <c r="G483" s="793"/>
      <c r="H483" s="794"/>
    </row>
    <row r="484" spans="5:8" ht="12.75" customHeight="1" x14ac:dyDescent="0.25">
      <c r="E484" s="793"/>
      <c r="F484" s="793"/>
      <c r="G484" s="793"/>
      <c r="H484" s="794"/>
    </row>
    <row r="485" spans="5:8" ht="12.75" customHeight="1" x14ac:dyDescent="0.25">
      <c r="E485" s="793"/>
      <c r="F485" s="793"/>
      <c r="G485" s="793"/>
      <c r="H485" s="794"/>
    </row>
    <row r="486" spans="5:8" ht="12.75" customHeight="1" x14ac:dyDescent="0.25">
      <c r="E486" s="793"/>
      <c r="F486" s="793"/>
      <c r="G486" s="793"/>
      <c r="H486" s="794"/>
    </row>
    <row r="487" spans="5:8" ht="12.75" customHeight="1" x14ac:dyDescent="0.25">
      <c r="E487" s="793"/>
      <c r="F487" s="793"/>
      <c r="G487" s="793"/>
      <c r="H487" s="794"/>
    </row>
    <row r="488" spans="5:8" ht="12.75" customHeight="1" x14ac:dyDescent="0.25">
      <c r="E488" s="793"/>
      <c r="F488" s="793"/>
      <c r="G488" s="793"/>
      <c r="H488" s="794"/>
    </row>
    <row r="489" spans="5:8" ht="12.75" customHeight="1" x14ac:dyDescent="0.25">
      <c r="E489" s="793"/>
      <c r="F489" s="793"/>
      <c r="G489" s="793"/>
      <c r="H489" s="794"/>
    </row>
    <row r="490" spans="5:8" ht="12.75" customHeight="1" x14ac:dyDescent="0.25">
      <c r="E490" s="793"/>
      <c r="F490" s="793"/>
      <c r="G490" s="793"/>
      <c r="H490" s="794"/>
    </row>
    <row r="491" spans="5:8" ht="12.75" customHeight="1" x14ac:dyDescent="0.25">
      <c r="E491" s="793"/>
      <c r="F491" s="793"/>
      <c r="G491" s="793"/>
      <c r="H491" s="794"/>
    </row>
    <row r="492" spans="5:8" ht="12.75" customHeight="1" x14ac:dyDescent="0.25">
      <c r="E492" s="793"/>
      <c r="F492" s="793"/>
      <c r="G492" s="793"/>
      <c r="H492" s="794"/>
    </row>
    <row r="493" spans="5:8" ht="12.75" customHeight="1" x14ac:dyDescent="0.25">
      <c r="E493" s="793"/>
      <c r="F493" s="793"/>
      <c r="G493" s="793"/>
      <c r="H493" s="794"/>
    </row>
    <row r="494" spans="5:8" ht="12.75" customHeight="1" x14ac:dyDescent="0.25">
      <c r="E494" s="793"/>
      <c r="F494" s="793"/>
      <c r="G494" s="793"/>
      <c r="H494" s="794"/>
    </row>
    <row r="495" spans="5:8" ht="12.75" customHeight="1" x14ac:dyDescent="0.25">
      <c r="E495" s="793"/>
      <c r="F495" s="793"/>
      <c r="G495" s="793"/>
      <c r="H495" s="794"/>
    </row>
    <row r="496" spans="5:8" ht="12.75" customHeight="1" x14ac:dyDescent="0.25">
      <c r="E496" s="793"/>
      <c r="F496" s="793"/>
      <c r="G496" s="793"/>
      <c r="H496" s="794"/>
    </row>
    <row r="497" spans="5:8" ht="12.75" customHeight="1" x14ac:dyDescent="0.25">
      <c r="E497" s="793"/>
      <c r="F497" s="793"/>
      <c r="G497" s="793"/>
      <c r="H497" s="794"/>
    </row>
    <row r="498" spans="5:8" ht="12.75" customHeight="1" x14ac:dyDescent="0.25">
      <c r="E498" s="793"/>
      <c r="F498" s="793"/>
      <c r="G498" s="793"/>
      <c r="H498" s="794"/>
    </row>
    <row r="499" spans="5:8" ht="12.75" customHeight="1" x14ac:dyDescent="0.25">
      <c r="E499" s="793"/>
      <c r="F499" s="793"/>
      <c r="G499" s="793"/>
      <c r="H499" s="794"/>
    </row>
    <row r="500" spans="5:8" ht="12.75" customHeight="1" x14ac:dyDescent="0.25">
      <c r="E500" s="793"/>
      <c r="F500" s="793"/>
      <c r="G500" s="793"/>
      <c r="H500" s="794"/>
    </row>
    <row r="501" spans="5:8" ht="12.75" customHeight="1" x14ac:dyDescent="0.25">
      <c r="E501" s="793"/>
      <c r="F501" s="793"/>
      <c r="G501" s="793"/>
      <c r="H501" s="794"/>
    </row>
    <row r="502" spans="5:8" ht="12.75" customHeight="1" x14ac:dyDescent="0.25">
      <c r="E502" s="793"/>
      <c r="F502" s="793"/>
      <c r="G502" s="793"/>
      <c r="H502" s="794"/>
    </row>
    <row r="503" spans="5:8" ht="12.75" customHeight="1" x14ac:dyDescent="0.25">
      <c r="E503" s="793"/>
      <c r="F503" s="793"/>
      <c r="G503" s="793"/>
      <c r="H503" s="794"/>
    </row>
    <row r="504" spans="5:8" ht="12.75" customHeight="1" x14ac:dyDescent="0.25">
      <c r="E504" s="793"/>
      <c r="F504" s="793"/>
      <c r="G504" s="793"/>
      <c r="H504" s="794"/>
    </row>
    <row r="505" spans="5:8" ht="12.75" customHeight="1" x14ac:dyDescent="0.25">
      <c r="E505" s="793"/>
      <c r="F505" s="793"/>
      <c r="G505" s="793"/>
      <c r="H505" s="794"/>
    </row>
    <row r="506" spans="5:8" ht="12.75" customHeight="1" x14ac:dyDescent="0.25">
      <c r="E506" s="793"/>
      <c r="F506" s="793"/>
      <c r="G506" s="793"/>
      <c r="H506" s="794"/>
    </row>
    <row r="507" spans="5:8" ht="12.75" customHeight="1" x14ac:dyDescent="0.25">
      <c r="E507" s="793"/>
      <c r="F507" s="793"/>
      <c r="G507" s="793"/>
      <c r="H507" s="794"/>
    </row>
    <row r="508" spans="5:8" ht="12.75" customHeight="1" x14ac:dyDescent="0.25">
      <c r="E508" s="793"/>
      <c r="F508" s="793"/>
      <c r="G508" s="793"/>
      <c r="H508" s="794"/>
    </row>
    <row r="509" spans="5:8" ht="12.75" customHeight="1" x14ac:dyDescent="0.25">
      <c r="E509" s="793"/>
      <c r="F509" s="793"/>
      <c r="G509" s="793"/>
      <c r="H509" s="794"/>
    </row>
    <row r="510" spans="5:8" ht="12.75" customHeight="1" x14ac:dyDescent="0.25">
      <c r="E510" s="793"/>
      <c r="F510" s="793"/>
      <c r="G510" s="793"/>
      <c r="H510" s="794"/>
    </row>
    <row r="511" spans="5:8" ht="12.75" customHeight="1" x14ac:dyDescent="0.25">
      <c r="E511" s="793"/>
      <c r="F511" s="793"/>
      <c r="G511" s="793"/>
      <c r="H511" s="794"/>
    </row>
    <row r="512" spans="5:8" ht="12.75" customHeight="1" x14ac:dyDescent="0.25">
      <c r="E512" s="793"/>
      <c r="F512" s="793"/>
      <c r="G512" s="793"/>
      <c r="H512" s="794"/>
    </row>
    <row r="513" spans="5:8" ht="12.75" customHeight="1" x14ac:dyDescent="0.25">
      <c r="E513" s="793"/>
      <c r="F513" s="793"/>
      <c r="G513" s="793"/>
      <c r="H513" s="794"/>
    </row>
    <row r="514" spans="5:8" ht="12.75" customHeight="1" x14ac:dyDescent="0.25">
      <c r="E514" s="793"/>
      <c r="F514" s="793"/>
      <c r="G514" s="793"/>
      <c r="H514" s="794"/>
    </row>
    <row r="515" spans="5:8" ht="12.75" customHeight="1" x14ac:dyDescent="0.25">
      <c r="E515" s="793"/>
      <c r="F515" s="793"/>
      <c r="G515" s="793"/>
      <c r="H515" s="794"/>
    </row>
    <row r="516" spans="5:8" ht="12.75" customHeight="1" x14ac:dyDescent="0.25">
      <c r="E516" s="793"/>
      <c r="F516" s="793"/>
      <c r="G516" s="793"/>
      <c r="H516" s="794"/>
    </row>
    <row r="517" spans="5:8" ht="12.75" customHeight="1" x14ac:dyDescent="0.25">
      <c r="E517" s="793"/>
      <c r="F517" s="793"/>
      <c r="G517" s="793"/>
      <c r="H517" s="794"/>
    </row>
    <row r="518" spans="5:8" ht="12.75" customHeight="1" x14ac:dyDescent="0.25">
      <c r="E518" s="793"/>
      <c r="F518" s="793"/>
      <c r="G518" s="793"/>
      <c r="H518" s="794"/>
    </row>
    <row r="519" spans="5:8" ht="12.75" customHeight="1" x14ac:dyDescent="0.25">
      <c r="E519" s="793"/>
      <c r="F519" s="793"/>
      <c r="G519" s="793"/>
      <c r="H519" s="794"/>
    </row>
    <row r="520" spans="5:8" ht="12.75" customHeight="1" x14ac:dyDescent="0.25">
      <c r="E520" s="793"/>
      <c r="F520" s="793"/>
      <c r="G520" s="793"/>
      <c r="H520" s="794"/>
    </row>
    <row r="521" spans="5:8" ht="12.75" customHeight="1" x14ac:dyDescent="0.25">
      <c r="E521" s="793"/>
      <c r="F521" s="793"/>
      <c r="G521" s="793"/>
      <c r="H521" s="794"/>
    </row>
    <row r="522" spans="5:8" ht="12.75" customHeight="1" x14ac:dyDescent="0.25">
      <c r="E522" s="793"/>
      <c r="F522" s="793"/>
      <c r="G522" s="793"/>
      <c r="H522" s="794"/>
    </row>
    <row r="523" spans="5:8" ht="12.75" customHeight="1" x14ac:dyDescent="0.25">
      <c r="E523" s="793"/>
      <c r="F523" s="793"/>
      <c r="G523" s="793"/>
      <c r="H523" s="794"/>
    </row>
    <row r="524" spans="5:8" ht="12.75" customHeight="1" x14ac:dyDescent="0.25">
      <c r="E524" s="793"/>
      <c r="F524" s="793"/>
      <c r="G524" s="793"/>
      <c r="H524" s="794"/>
    </row>
    <row r="525" spans="5:8" ht="12.75" customHeight="1" x14ac:dyDescent="0.25">
      <c r="E525" s="793"/>
      <c r="F525" s="793"/>
      <c r="G525" s="793"/>
      <c r="H525" s="794"/>
    </row>
    <row r="526" spans="5:8" ht="12.75" customHeight="1" x14ac:dyDescent="0.25">
      <c r="E526" s="793"/>
      <c r="F526" s="793"/>
      <c r="G526" s="793"/>
      <c r="H526" s="794"/>
    </row>
    <row r="527" spans="5:8" ht="12.75" customHeight="1" x14ac:dyDescent="0.25">
      <c r="E527" s="793"/>
      <c r="F527" s="793"/>
      <c r="G527" s="793"/>
      <c r="H527" s="794"/>
    </row>
    <row r="528" spans="5:8" ht="12.75" customHeight="1" x14ac:dyDescent="0.25">
      <c r="E528" s="793"/>
      <c r="F528" s="793"/>
      <c r="G528" s="793"/>
      <c r="H528" s="794"/>
    </row>
    <row r="529" spans="5:8" ht="12.75" customHeight="1" x14ac:dyDescent="0.25">
      <c r="E529" s="793"/>
      <c r="F529" s="793"/>
      <c r="G529" s="793"/>
      <c r="H529" s="794"/>
    </row>
    <row r="530" spans="5:8" ht="12.75" customHeight="1" x14ac:dyDescent="0.25">
      <c r="E530" s="793"/>
      <c r="F530" s="793"/>
      <c r="G530" s="793"/>
      <c r="H530" s="794"/>
    </row>
    <row r="531" spans="5:8" ht="12.75" customHeight="1" x14ac:dyDescent="0.25">
      <c r="E531" s="793"/>
      <c r="F531" s="793"/>
      <c r="G531" s="793"/>
      <c r="H531" s="794"/>
    </row>
    <row r="532" spans="5:8" ht="12.75" customHeight="1" x14ac:dyDescent="0.25">
      <c r="E532" s="793"/>
      <c r="F532" s="793"/>
      <c r="G532" s="793"/>
      <c r="H532" s="794"/>
    </row>
    <row r="533" spans="5:8" ht="12.75" customHeight="1" x14ac:dyDescent="0.25">
      <c r="E533" s="793"/>
      <c r="F533" s="793"/>
      <c r="G533" s="793"/>
      <c r="H533" s="794"/>
    </row>
    <row r="534" spans="5:8" ht="12.75" customHeight="1" x14ac:dyDescent="0.25">
      <c r="E534" s="793"/>
      <c r="F534" s="793"/>
      <c r="G534" s="793"/>
      <c r="H534" s="794"/>
    </row>
    <row r="535" spans="5:8" ht="12.75" customHeight="1" x14ac:dyDescent="0.25">
      <c r="E535" s="793"/>
      <c r="F535" s="793"/>
      <c r="G535" s="793"/>
      <c r="H535" s="794"/>
    </row>
    <row r="536" spans="5:8" ht="12.75" customHeight="1" x14ac:dyDescent="0.25">
      <c r="E536" s="793"/>
      <c r="F536" s="793"/>
      <c r="G536" s="793"/>
      <c r="H536" s="794"/>
    </row>
    <row r="537" spans="5:8" ht="12.75" customHeight="1" x14ac:dyDescent="0.25">
      <c r="E537" s="793"/>
      <c r="F537" s="793"/>
      <c r="G537" s="793"/>
      <c r="H537" s="794"/>
    </row>
    <row r="538" spans="5:8" ht="12.75" customHeight="1" x14ac:dyDescent="0.25">
      <c r="E538" s="793"/>
      <c r="F538" s="793"/>
      <c r="G538" s="793"/>
      <c r="H538" s="794"/>
    </row>
    <row r="539" spans="5:8" ht="12.75" customHeight="1" x14ac:dyDescent="0.25">
      <c r="E539" s="793"/>
      <c r="F539" s="793"/>
      <c r="G539" s="793"/>
      <c r="H539" s="794"/>
    </row>
    <row r="540" spans="5:8" ht="12.75" customHeight="1" x14ac:dyDescent="0.25">
      <c r="E540" s="793"/>
      <c r="F540" s="793"/>
      <c r="G540" s="793"/>
      <c r="H540" s="794"/>
    </row>
    <row r="541" spans="5:8" ht="12.75" customHeight="1" x14ac:dyDescent="0.25">
      <c r="E541" s="793"/>
      <c r="F541" s="793"/>
      <c r="G541" s="793"/>
      <c r="H541" s="794"/>
    </row>
    <row r="542" spans="5:8" ht="12.75" customHeight="1" x14ac:dyDescent="0.25">
      <c r="E542" s="793"/>
      <c r="F542" s="793"/>
      <c r="G542" s="793"/>
      <c r="H542" s="794"/>
    </row>
    <row r="543" spans="5:8" ht="12.75" customHeight="1" x14ac:dyDescent="0.25">
      <c r="E543" s="793"/>
      <c r="F543" s="793"/>
      <c r="G543" s="793"/>
      <c r="H543" s="794"/>
    </row>
    <row r="544" spans="5:8" ht="12.75" customHeight="1" x14ac:dyDescent="0.25">
      <c r="E544" s="793"/>
      <c r="F544" s="793"/>
      <c r="G544" s="793"/>
      <c r="H544" s="794"/>
    </row>
    <row r="545" spans="5:8" ht="12.75" customHeight="1" x14ac:dyDescent="0.25">
      <c r="E545" s="793"/>
      <c r="F545" s="793"/>
      <c r="G545" s="793"/>
      <c r="H545" s="794"/>
    </row>
    <row r="546" spans="5:8" ht="12.75" customHeight="1" x14ac:dyDescent="0.25">
      <c r="E546" s="793"/>
      <c r="F546" s="793"/>
      <c r="G546" s="793"/>
      <c r="H546" s="794"/>
    </row>
    <row r="547" spans="5:8" ht="12.75" customHeight="1" x14ac:dyDescent="0.25">
      <c r="E547" s="793"/>
      <c r="F547" s="793"/>
      <c r="G547" s="793"/>
      <c r="H547" s="794"/>
    </row>
    <row r="548" spans="5:8" ht="12.75" customHeight="1" x14ac:dyDescent="0.25">
      <c r="E548" s="793"/>
      <c r="F548" s="793"/>
      <c r="G548" s="793"/>
      <c r="H548" s="794"/>
    </row>
    <row r="549" spans="5:8" ht="12.75" customHeight="1" x14ac:dyDescent="0.25">
      <c r="E549" s="793"/>
      <c r="F549" s="793"/>
      <c r="G549" s="793"/>
      <c r="H549" s="794"/>
    </row>
    <row r="550" spans="5:8" ht="12.75" customHeight="1" x14ac:dyDescent="0.25">
      <c r="E550" s="793"/>
      <c r="F550" s="793"/>
      <c r="G550" s="793"/>
      <c r="H550" s="794"/>
    </row>
    <row r="551" spans="5:8" ht="12.75" customHeight="1" x14ac:dyDescent="0.25">
      <c r="E551" s="793"/>
      <c r="F551" s="793"/>
      <c r="G551" s="793"/>
      <c r="H551" s="794"/>
    </row>
    <row r="552" spans="5:8" ht="12.75" customHeight="1" x14ac:dyDescent="0.25">
      <c r="E552" s="793"/>
      <c r="F552" s="793"/>
      <c r="G552" s="793"/>
      <c r="H552" s="794"/>
    </row>
    <row r="553" spans="5:8" ht="12.75" customHeight="1" x14ac:dyDescent="0.25">
      <c r="E553" s="793"/>
      <c r="F553" s="793"/>
      <c r="G553" s="793"/>
      <c r="H553" s="794"/>
    </row>
    <row r="554" spans="5:8" ht="12.75" customHeight="1" x14ac:dyDescent="0.25">
      <c r="E554" s="793"/>
      <c r="F554" s="793"/>
      <c r="G554" s="793"/>
      <c r="H554" s="794"/>
    </row>
    <row r="555" spans="5:8" ht="12.75" customHeight="1" x14ac:dyDescent="0.25">
      <c r="E555" s="793"/>
      <c r="F555" s="793"/>
      <c r="G555" s="793"/>
      <c r="H555" s="794"/>
    </row>
    <row r="556" spans="5:8" ht="12.75" customHeight="1" x14ac:dyDescent="0.25">
      <c r="E556" s="793"/>
      <c r="F556" s="793"/>
      <c r="G556" s="793"/>
      <c r="H556" s="794"/>
    </row>
    <row r="557" spans="5:8" ht="12.75" customHeight="1" x14ac:dyDescent="0.25">
      <c r="E557" s="793"/>
      <c r="F557" s="793"/>
      <c r="G557" s="793"/>
      <c r="H557" s="794"/>
    </row>
    <row r="558" spans="5:8" ht="12.75" customHeight="1" x14ac:dyDescent="0.25">
      <c r="E558" s="793"/>
      <c r="F558" s="793"/>
      <c r="G558" s="793"/>
      <c r="H558" s="794"/>
    </row>
    <row r="559" spans="5:8" ht="12.75" customHeight="1" x14ac:dyDescent="0.25">
      <c r="E559" s="793"/>
      <c r="F559" s="793"/>
      <c r="G559" s="793"/>
      <c r="H559" s="794"/>
    </row>
    <row r="560" spans="5:8" ht="12.75" customHeight="1" x14ac:dyDescent="0.25">
      <c r="E560" s="793"/>
      <c r="F560" s="793"/>
      <c r="G560" s="793"/>
      <c r="H560" s="794"/>
    </row>
    <row r="561" spans="5:8" ht="12.75" customHeight="1" x14ac:dyDescent="0.25">
      <c r="E561" s="793"/>
      <c r="F561" s="793"/>
      <c r="G561" s="793"/>
      <c r="H561" s="794"/>
    </row>
    <row r="562" spans="5:8" ht="12.75" customHeight="1" x14ac:dyDescent="0.25">
      <c r="E562" s="793"/>
      <c r="F562" s="793"/>
      <c r="G562" s="793"/>
      <c r="H562" s="794"/>
    </row>
    <row r="563" spans="5:8" ht="12.75" customHeight="1" x14ac:dyDescent="0.25">
      <c r="E563" s="793"/>
      <c r="F563" s="793"/>
      <c r="G563" s="793"/>
      <c r="H563" s="794"/>
    </row>
    <row r="564" spans="5:8" ht="12.75" customHeight="1" x14ac:dyDescent="0.25">
      <c r="E564" s="793"/>
      <c r="F564" s="793"/>
      <c r="G564" s="793"/>
      <c r="H564" s="794"/>
    </row>
    <row r="565" spans="5:8" ht="12.75" customHeight="1" x14ac:dyDescent="0.25">
      <c r="E565" s="793"/>
      <c r="F565" s="793"/>
      <c r="G565" s="793"/>
      <c r="H565" s="794"/>
    </row>
    <row r="566" spans="5:8" ht="12.75" customHeight="1" x14ac:dyDescent="0.25">
      <c r="E566" s="793"/>
      <c r="F566" s="793"/>
      <c r="G566" s="793"/>
      <c r="H566" s="794"/>
    </row>
    <row r="567" spans="5:8" ht="12.75" customHeight="1" x14ac:dyDescent="0.25">
      <c r="E567" s="793"/>
      <c r="F567" s="793"/>
      <c r="G567" s="793"/>
      <c r="H567" s="794"/>
    </row>
    <row r="568" spans="5:8" ht="12.75" customHeight="1" x14ac:dyDescent="0.25">
      <c r="E568" s="793"/>
      <c r="F568" s="793"/>
      <c r="G568" s="793"/>
      <c r="H568" s="794"/>
    </row>
    <row r="569" spans="5:8" ht="12.75" customHeight="1" x14ac:dyDescent="0.25">
      <c r="E569" s="793"/>
      <c r="F569" s="793"/>
      <c r="G569" s="793"/>
      <c r="H569" s="794"/>
    </row>
    <row r="570" spans="5:8" ht="12.75" customHeight="1" x14ac:dyDescent="0.25">
      <c r="E570" s="793"/>
      <c r="F570" s="793"/>
      <c r="G570" s="793"/>
      <c r="H570" s="794"/>
    </row>
    <row r="571" spans="5:8" ht="12.75" customHeight="1" x14ac:dyDescent="0.25">
      <c r="E571" s="793"/>
      <c r="F571" s="793"/>
      <c r="G571" s="793"/>
      <c r="H571" s="794"/>
    </row>
    <row r="572" spans="5:8" ht="12.75" customHeight="1" x14ac:dyDescent="0.25">
      <c r="E572" s="793"/>
      <c r="F572" s="793"/>
      <c r="G572" s="793"/>
      <c r="H572" s="794"/>
    </row>
    <row r="573" spans="5:8" ht="12.75" customHeight="1" x14ac:dyDescent="0.25">
      <c r="E573" s="793"/>
      <c r="F573" s="793"/>
      <c r="G573" s="793"/>
      <c r="H573" s="794"/>
    </row>
    <row r="574" spans="5:8" ht="12.75" customHeight="1" x14ac:dyDescent="0.25">
      <c r="E574" s="793"/>
      <c r="F574" s="793"/>
      <c r="G574" s="793"/>
      <c r="H574" s="794"/>
    </row>
    <row r="575" spans="5:8" ht="12.75" customHeight="1" x14ac:dyDescent="0.25">
      <c r="E575" s="793"/>
      <c r="F575" s="793"/>
      <c r="G575" s="793"/>
      <c r="H575" s="794"/>
    </row>
    <row r="576" spans="5:8" ht="12.75" customHeight="1" x14ac:dyDescent="0.25">
      <c r="E576" s="793"/>
      <c r="F576" s="793"/>
      <c r="G576" s="793"/>
      <c r="H576" s="794"/>
    </row>
    <row r="577" spans="5:8" ht="12.75" customHeight="1" x14ac:dyDescent="0.25">
      <c r="E577" s="793"/>
      <c r="F577" s="793"/>
      <c r="G577" s="793"/>
      <c r="H577" s="794"/>
    </row>
    <row r="578" spans="5:8" ht="12.75" customHeight="1" x14ac:dyDescent="0.25">
      <c r="E578" s="793"/>
      <c r="F578" s="793"/>
      <c r="G578" s="793"/>
      <c r="H578" s="794"/>
    </row>
    <row r="579" spans="5:8" ht="12.75" customHeight="1" x14ac:dyDescent="0.25">
      <c r="E579" s="793"/>
      <c r="F579" s="793"/>
      <c r="G579" s="793"/>
      <c r="H579" s="794"/>
    </row>
    <row r="580" spans="5:8" ht="12.75" customHeight="1" x14ac:dyDescent="0.25">
      <c r="E580" s="793"/>
      <c r="F580" s="793"/>
      <c r="G580" s="793"/>
      <c r="H580" s="794"/>
    </row>
    <row r="581" spans="5:8" ht="12.75" customHeight="1" x14ac:dyDescent="0.25">
      <c r="E581" s="793"/>
      <c r="F581" s="793"/>
      <c r="G581" s="793"/>
      <c r="H581" s="794"/>
    </row>
    <row r="582" spans="5:8" ht="12.75" customHeight="1" x14ac:dyDescent="0.25">
      <c r="E582" s="793"/>
      <c r="F582" s="793"/>
      <c r="G582" s="793"/>
      <c r="H582" s="794"/>
    </row>
    <row r="583" spans="5:8" ht="12.75" customHeight="1" x14ac:dyDescent="0.25">
      <c r="E583" s="793"/>
      <c r="F583" s="793"/>
      <c r="G583" s="793"/>
      <c r="H583" s="794"/>
    </row>
    <row r="584" spans="5:8" ht="12.75" customHeight="1" x14ac:dyDescent="0.25">
      <c r="E584" s="793"/>
      <c r="F584" s="793"/>
      <c r="G584" s="793"/>
      <c r="H584" s="794"/>
    </row>
    <row r="585" spans="5:8" ht="12.75" customHeight="1" x14ac:dyDescent="0.25">
      <c r="E585" s="793"/>
      <c r="F585" s="793"/>
      <c r="G585" s="793"/>
      <c r="H585" s="794"/>
    </row>
    <row r="586" spans="5:8" ht="12.75" customHeight="1" x14ac:dyDescent="0.25">
      <c r="E586" s="793"/>
      <c r="F586" s="793"/>
      <c r="G586" s="793"/>
      <c r="H586" s="794"/>
    </row>
    <row r="587" spans="5:8" ht="12.75" customHeight="1" x14ac:dyDescent="0.25">
      <c r="E587" s="793"/>
      <c r="F587" s="793"/>
      <c r="G587" s="793"/>
      <c r="H587" s="794"/>
    </row>
    <row r="588" spans="5:8" ht="12.75" customHeight="1" x14ac:dyDescent="0.25">
      <c r="E588" s="793"/>
      <c r="F588" s="793"/>
      <c r="G588" s="793"/>
      <c r="H588" s="794"/>
    </row>
    <row r="589" spans="5:8" ht="12.75" customHeight="1" x14ac:dyDescent="0.25">
      <c r="E589" s="793"/>
      <c r="F589" s="793"/>
      <c r="G589" s="793"/>
      <c r="H589" s="794"/>
    </row>
    <row r="590" spans="5:8" ht="12.75" customHeight="1" x14ac:dyDescent="0.25">
      <c r="E590" s="793"/>
      <c r="F590" s="793"/>
      <c r="G590" s="793"/>
      <c r="H590" s="794"/>
    </row>
    <row r="591" spans="5:8" ht="12.75" customHeight="1" x14ac:dyDescent="0.25">
      <c r="E591" s="793"/>
      <c r="F591" s="793"/>
      <c r="G591" s="793"/>
      <c r="H591" s="794"/>
    </row>
    <row r="592" spans="5:8" ht="12.75" customHeight="1" x14ac:dyDescent="0.25">
      <c r="E592" s="793"/>
      <c r="F592" s="793"/>
      <c r="G592" s="793"/>
      <c r="H592" s="794"/>
    </row>
    <row r="593" spans="5:8" ht="12.75" customHeight="1" x14ac:dyDescent="0.25">
      <c r="E593" s="793"/>
      <c r="F593" s="793"/>
      <c r="G593" s="793"/>
      <c r="H593" s="794"/>
    </row>
    <row r="594" spans="5:8" ht="12.75" customHeight="1" x14ac:dyDescent="0.25">
      <c r="E594" s="793"/>
      <c r="F594" s="793"/>
      <c r="G594" s="793"/>
      <c r="H594" s="794"/>
    </row>
    <row r="595" spans="5:8" ht="12.75" customHeight="1" x14ac:dyDescent="0.25">
      <c r="E595" s="793"/>
      <c r="F595" s="793"/>
      <c r="G595" s="793"/>
      <c r="H595" s="794"/>
    </row>
    <row r="596" spans="5:8" ht="12.75" customHeight="1" x14ac:dyDescent="0.25">
      <c r="E596" s="793"/>
      <c r="F596" s="793"/>
      <c r="G596" s="793"/>
      <c r="H596" s="794"/>
    </row>
    <row r="597" spans="5:8" ht="12.75" customHeight="1" x14ac:dyDescent="0.25">
      <c r="E597" s="793"/>
      <c r="F597" s="793"/>
      <c r="G597" s="793"/>
      <c r="H597" s="794"/>
    </row>
    <row r="598" spans="5:8" ht="12.75" customHeight="1" x14ac:dyDescent="0.25">
      <c r="E598" s="793"/>
      <c r="F598" s="793"/>
      <c r="G598" s="793"/>
      <c r="H598" s="794"/>
    </row>
    <row r="599" spans="5:8" ht="12.75" customHeight="1" x14ac:dyDescent="0.25">
      <c r="E599" s="793"/>
      <c r="F599" s="793"/>
      <c r="G599" s="793"/>
      <c r="H599" s="794"/>
    </row>
    <row r="600" spans="5:8" ht="12.75" customHeight="1" x14ac:dyDescent="0.25">
      <c r="E600" s="793"/>
      <c r="F600" s="793"/>
      <c r="G600" s="793"/>
      <c r="H600" s="794"/>
    </row>
    <row r="601" spans="5:8" ht="12.75" customHeight="1" x14ac:dyDescent="0.25">
      <c r="E601" s="793"/>
      <c r="F601" s="793"/>
      <c r="G601" s="793"/>
      <c r="H601" s="794"/>
    </row>
    <row r="602" spans="5:8" ht="12.75" customHeight="1" x14ac:dyDescent="0.25">
      <c r="E602" s="793"/>
      <c r="F602" s="793"/>
      <c r="G602" s="793"/>
      <c r="H602" s="794"/>
    </row>
    <row r="603" spans="5:8" ht="12.75" customHeight="1" x14ac:dyDescent="0.25">
      <c r="E603" s="793"/>
      <c r="F603" s="793"/>
      <c r="G603" s="793"/>
      <c r="H603" s="794"/>
    </row>
    <row r="604" spans="5:8" ht="12.75" customHeight="1" x14ac:dyDescent="0.25">
      <c r="E604" s="793"/>
      <c r="F604" s="793"/>
      <c r="G604" s="793"/>
      <c r="H604" s="794"/>
    </row>
    <row r="605" spans="5:8" ht="12.75" customHeight="1" x14ac:dyDescent="0.25">
      <c r="E605" s="793"/>
      <c r="F605" s="793"/>
      <c r="G605" s="793"/>
      <c r="H605" s="794"/>
    </row>
    <row r="606" spans="5:8" ht="12.75" customHeight="1" x14ac:dyDescent="0.25">
      <c r="E606" s="793"/>
      <c r="F606" s="793"/>
      <c r="G606" s="793"/>
      <c r="H606" s="794"/>
    </row>
    <row r="607" spans="5:8" ht="12.75" customHeight="1" x14ac:dyDescent="0.25">
      <c r="E607" s="793"/>
      <c r="F607" s="793"/>
      <c r="G607" s="793"/>
      <c r="H607" s="794"/>
    </row>
    <row r="608" spans="5:8" ht="12.75" customHeight="1" x14ac:dyDescent="0.25">
      <c r="E608" s="793"/>
      <c r="F608" s="793"/>
      <c r="G608" s="793"/>
      <c r="H608" s="794"/>
    </row>
    <row r="609" spans="5:8" ht="12.75" customHeight="1" x14ac:dyDescent="0.25">
      <c r="E609" s="793"/>
      <c r="F609" s="793"/>
      <c r="G609" s="793"/>
      <c r="H609" s="794"/>
    </row>
    <row r="610" spans="5:8" ht="12.75" customHeight="1" x14ac:dyDescent="0.25">
      <c r="E610" s="793"/>
      <c r="F610" s="793"/>
      <c r="G610" s="793"/>
      <c r="H610" s="794"/>
    </row>
    <row r="611" spans="5:8" ht="12.75" customHeight="1" x14ac:dyDescent="0.25">
      <c r="E611" s="793"/>
      <c r="F611" s="793"/>
      <c r="G611" s="793"/>
      <c r="H611" s="794"/>
    </row>
    <row r="612" spans="5:8" ht="12.75" customHeight="1" x14ac:dyDescent="0.25">
      <c r="E612" s="793"/>
      <c r="F612" s="793"/>
      <c r="G612" s="793"/>
      <c r="H612" s="794"/>
    </row>
    <row r="613" spans="5:8" ht="12.75" customHeight="1" x14ac:dyDescent="0.25">
      <c r="E613" s="793"/>
      <c r="F613" s="793"/>
      <c r="G613" s="793"/>
      <c r="H613" s="794"/>
    </row>
    <row r="614" spans="5:8" ht="12.75" customHeight="1" x14ac:dyDescent="0.25">
      <c r="E614" s="793"/>
      <c r="F614" s="793"/>
      <c r="G614" s="793"/>
      <c r="H614" s="794"/>
    </row>
    <row r="615" spans="5:8" ht="12.75" customHeight="1" x14ac:dyDescent="0.25">
      <c r="E615" s="793"/>
      <c r="F615" s="793"/>
      <c r="G615" s="793"/>
      <c r="H615" s="794"/>
    </row>
    <row r="616" spans="5:8" ht="12.75" customHeight="1" x14ac:dyDescent="0.25">
      <c r="E616" s="793"/>
      <c r="F616" s="793"/>
      <c r="G616" s="793"/>
      <c r="H616" s="794"/>
    </row>
    <row r="617" spans="5:8" ht="12.75" customHeight="1" x14ac:dyDescent="0.25">
      <c r="E617" s="793"/>
      <c r="F617" s="793"/>
      <c r="G617" s="793"/>
      <c r="H617" s="794"/>
    </row>
    <row r="618" spans="5:8" ht="12.75" customHeight="1" x14ac:dyDescent="0.25">
      <c r="E618" s="793"/>
      <c r="F618" s="793"/>
      <c r="G618" s="793"/>
      <c r="H618" s="794"/>
    </row>
    <row r="619" spans="5:8" ht="12.75" customHeight="1" x14ac:dyDescent="0.25">
      <c r="E619" s="793"/>
      <c r="F619" s="793"/>
      <c r="G619" s="793"/>
      <c r="H619" s="794"/>
    </row>
    <row r="620" spans="5:8" ht="12.75" customHeight="1" x14ac:dyDescent="0.25">
      <c r="E620" s="793"/>
      <c r="F620" s="793"/>
      <c r="G620" s="793"/>
      <c r="H620" s="794"/>
    </row>
    <row r="621" spans="5:8" ht="12.75" customHeight="1" x14ac:dyDescent="0.25">
      <c r="E621" s="793"/>
      <c r="F621" s="793"/>
      <c r="G621" s="793"/>
      <c r="H621" s="794"/>
    </row>
    <row r="622" spans="5:8" ht="12.75" customHeight="1" x14ac:dyDescent="0.25">
      <c r="E622" s="793"/>
      <c r="F622" s="793"/>
      <c r="G622" s="793"/>
      <c r="H622" s="794"/>
    </row>
    <row r="623" spans="5:8" ht="12.75" customHeight="1" x14ac:dyDescent="0.25">
      <c r="E623" s="793"/>
      <c r="F623" s="793"/>
      <c r="G623" s="793"/>
      <c r="H623" s="794"/>
    </row>
    <row r="624" spans="5:8" ht="12.75" customHeight="1" x14ac:dyDescent="0.25">
      <c r="E624" s="793"/>
      <c r="F624" s="793"/>
      <c r="G624" s="793"/>
      <c r="H624" s="794"/>
    </row>
    <row r="625" spans="5:8" ht="12.75" customHeight="1" x14ac:dyDescent="0.25">
      <c r="E625" s="793"/>
      <c r="F625" s="793"/>
      <c r="G625" s="793"/>
      <c r="H625" s="794"/>
    </row>
    <row r="626" spans="5:8" ht="12.75" customHeight="1" x14ac:dyDescent="0.25">
      <c r="E626" s="793"/>
      <c r="F626" s="793"/>
      <c r="G626" s="793"/>
      <c r="H626" s="794"/>
    </row>
    <row r="627" spans="5:8" ht="12.75" customHeight="1" x14ac:dyDescent="0.25">
      <c r="E627" s="793"/>
      <c r="F627" s="793"/>
      <c r="G627" s="793"/>
      <c r="H627" s="794"/>
    </row>
    <row r="628" spans="5:8" ht="12.75" customHeight="1" x14ac:dyDescent="0.25">
      <c r="E628" s="793"/>
      <c r="F628" s="793"/>
      <c r="G628" s="793"/>
      <c r="H628" s="794"/>
    </row>
    <row r="629" spans="5:8" ht="12.75" customHeight="1" x14ac:dyDescent="0.25">
      <c r="E629" s="793"/>
      <c r="F629" s="793"/>
      <c r="G629" s="793"/>
      <c r="H629" s="794"/>
    </row>
    <row r="630" spans="5:8" ht="12.75" customHeight="1" x14ac:dyDescent="0.25">
      <c r="E630" s="793"/>
      <c r="F630" s="793"/>
      <c r="G630" s="793"/>
      <c r="H630" s="794"/>
    </row>
    <row r="631" spans="5:8" ht="12.75" customHeight="1" x14ac:dyDescent="0.25">
      <c r="E631" s="793"/>
      <c r="F631" s="793"/>
      <c r="G631" s="793"/>
      <c r="H631" s="794"/>
    </row>
    <row r="632" spans="5:8" ht="12.75" customHeight="1" x14ac:dyDescent="0.25">
      <c r="E632" s="793"/>
      <c r="F632" s="793"/>
      <c r="G632" s="793"/>
      <c r="H632" s="794"/>
    </row>
    <row r="633" spans="5:8" ht="12.75" customHeight="1" x14ac:dyDescent="0.25">
      <c r="E633" s="793"/>
      <c r="F633" s="793"/>
      <c r="G633" s="793"/>
      <c r="H633" s="794"/>
    </row>
    <row r="634" spans="5:8" ht="12.75" customHeight="1" x14ac:dyDescent="0.25">
      <c r="E634" s="793"/>
      <c r="F634" s="793"/>
      <c r="G634" s="793"/>
      <c r="H634" s="794"/>
    </row>
    <row r="635" spans="5:8" ht="12.75" customHeight="1" x14ac:dyDescent="0.25"/>
    <row r="636" spans="5:8" ht="12.75" customHeight="1" x14ac:dyDescent="0.25"/>
    <row r="637" spans="5:8" ht="12.75" customHeight="1" x14ac:dyDescent="0.25"/>
    <row r="638" spans="5:8" ht="12.75" customHeight="1" x14ac:dyDescent="0.25"/>
    <row r="639" spans="5:8" ht="12.75" customHeight="1" x14ac:dyDescent="0.25"/>
    <row r="640" spans="5:8"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row r="1068" ht="12.75" customHeight="1" x14ac:dyDescent="0.25"/>
    <row r="1069" ht="12.75" customHeight="1" x14ac:dyDescent="0.25"/>
    <row r="1070" ht="12.75" customHeight="1" x14ac:dyDescent="0.25"/>
    <row r="1071" ht="12.75" customHeight="1" x14ac:dyDescent="0.25"/>
    <row r="1072" ht="12.75" customHeight="1" x14ac:dyDescent="0.25"/>
    <row r="1073" ht="12.75" customHeight="1" x14ac:dyDescent="0.25"/>
    <row r="1074" ht="12.75" customHeight="1" x14ac:dyDescent="0.25"/>
    <row r="1075" ht="12.75" customHeight="1" x14ac:dyDescent="0.25"/>
    <row r="1076" ht="12.75" customHeight="1" x14ac:dyDescent="0.25"/>
    <row r="1077" ht="12.75" customHeight="1" x14ac:dyDescent="0.25"/>
    <row r="1078" ht="12.75" customHeight="1" x14ac:dyDescent="0.25"/>
    <row r="1079" ht="12.75" customHeight="1" x14ac:dyDescent="0.25"/>
    <row r="1080" ht="12.75" customHeight="1" x14ac:dyDescent="0.25"/>
    <row r="1081" ht="12.75" customHeight="1" x14ac:dyDescent="0.25"/>
    <row r="1082" ht="12.75" customHeight="1" x14ac:dyDescent="0.25"/>
    <row r="1083" ht="12.75" customHeight="1" x14ac:dyDescent="0.25"/>
    <row r="1084" ht="12.75" customHeight="1" x14ac:dyDescent="0.25"/>
    <row r="1085" ht="12.75" customHeight="1" x14ac:dyDescent="0.25"/>
    <row r="1086" ht="12.75" customHeight="1" x14ac:dyDescent="0.25"/>
    <row r="1087" ht="12.75" customHeight="1" x14ac:dyDescent="0.25"/>
    <row r="1088" ht="12.75" customHeight="1" x14ac:dyDescent="0.25"/>
    <row r="1089" ht="12.75" customHeight="1" x14ac:dyDescent="0.25"/>
    <row r="1090" ht="12.75" customHeight="1" x14ac:dyDescent="0.25"/>
    <row r="1091" ht="12.75" customHeight="1" x14ac:dyDescent="0.25"/>
    <row r="1092" ht="12.75" customHeight="1" x14ac:dyDescent="0.25"/>
    <row r="1093" ht="12.75" customHeight="1" x14ac:dyDescent="0.25"/>
    <row r="1094" ht="12.75" customHeight="1" x14ac:dyDescent="0.25"/>
    <row r="1095" ht="12.75" customHeight="1" x14ac:dyDescent="0.25"/>
    <row r="1096" ht="12.75" customHeight="1" x14ac:dyDescent="0.25"/>
    <row r="1097" ht="12.75" customHeight="1" x14ac:dyDescent="0.25"/>
    <row r="1098" ht="12.75" customHeight="1" x14ac:dyDescent="0.25"/>
    <row r="1099" ht="12.75" customHeight="1" x14ac:dyDescent="0.25"/>
    <row r="1100" ht="12.75" customHeight="1" x14ac:dyDescent="0.25"/>
    <row r="1101" ht="12.75" customHeight="1" x14ac:dyDescent="0.25"/>
    <row r="1102" ht="12.75" customHeight="1" x14ac:dyDescent="0.25"/>
    <row r="1103" ht="12.75" customHeight="1" x14ac:dyDescent="0.25"/>
    <row r="1104" ht="12.75" customHeight="1" x14ac:dyDescent="0.25"/>
    <row r="1105" ht="12.75" customHeight="1" x14ac:dyDescent="0.25"/>
    <row r="1106" ht="12.75" customHeight="1" x14ac:dyDescent="0.25"/>
    <row r="1107" ht="12.75" customHeight="1" x14ac:dyDescent="0.25"/>
    <row r="1108" ht="12.75" customHeight="1" x14ac:dyDescent="0.25"/>
    <row r="1109" ht="12.75" customHeight="1" x14ac:dyDescent="0.25"/>
  </sheetData>
  <sheetProtection algorithmName="SHA-512" hashValue="pRcPHRYmIVDAHP6LNswh/spg90hwKNoZNNjTH36r6Qc8PWTa7JmCG4OIvD5F7WX6MsrMWmK/7PLILwK5IwesGQ==" saltValue="WRTMQLKw7xxraaAdpWzKVQ==" spinCount="100000" sheet="1" autoFilter="0"/>
  <mergeCells count="85">
    <mergeCell ref="A1:B2"/>
    <mergeCell ref="E1:H2"/>
    <mergeCell ref="K1:M1"/>
    <mergeCell ref="N1:P1"/>
    <mergeCell ref="AD1:AE2"/>
    <mergeCell ref="AH1:AJ2"/>
    <mergeCell ref="AK1:AN3"/>
    <mergeCell ref="K2:M2"/>
    <mergeCell ref="N2:O17"/>
    <mergeCell ref="P2:P17"/>
    <mergeCell ref="A3:B3"/>
    <mergeCell ref="K3:M3"/>
    <mergeCell ref="AD3:AE3"/>
    <mergeCell ref="A6:A9"/>
    <mergeCell ref="B6:B9"/>
    <mergeCell ref="AD6:AD9"/>
    <mergeCell ref="AE6:AE9"/>
    <mergeCell ref="A10:A13"/>
    <mergeCell ref="B10:B13"/>
    <mergeCell ref="AD10:AD13"/>
    <mergeCell ref="AE10:AE13"/>
    <mergeCell ref="A14:A17"/>
    <mergeCell ref="B14:B17"/>
    <mergeCell ref="AD14:AD17"/>
    <mergeCell ref="AE14:AE17"/>
    <mergeCell ref="AD18:AD21"/>
    <mergeCell ref="AE18:AE21"/>
    <mergeCell ref="A22:A25"/>
    <mergeCell ref="B22:B25"/>
    <mergeCell ref="N22:P23"/>
    <mergeCell ref="AD22:AD25"/>
    <mergeCell ref="AE22:AE25"/>
    <mergeCell ref="A18:A21"/>
    <mergeCell ref="B18:B21"/>
    <mergeCell ref="N18:N21"/>
    <mergeCell ref="O18:O21"/>
    <mergeCell ref="P18:P21"/>
    <mergeCell ref="A26:A29"/>
    <mergeCell ref="B26:B29"/>
    <mergeCell ref="AD26:AD29"/>
    <mergeCell ref="AE26:AE29"/>
    <mergeCell ref="A30:A33"/>
    <mergeCell ref="B30:B33"/>
    <mergeCell ref="AD30:AD33"/>
    <mergeCell ref="AE30:AE33"/>
    <mergeCell ref="A34:A37"/>
    <mergeCell ref="B34:B37"/>
    <mergeCell ref="AD34:AD37"/>
    <mergeCell ref="AE34:AE37"/>
    <mergeCell ref="A70:A73"/>
    <mergeCell ref="B70:B73"/>
    <mergeCell ref="AD70:AD73"/>
    <mergeCell ref="AE70:AE73"/>
    <mergeCell ref="A74:A77"/>
    <mergeCell ref="B74:B77"/>
    <mergeCell ref="AD74:AD77"/>
    <mergeCell ref="AE74:AE77"/>
    <mergeCell ref="A78:A81"/>
    <mergeCell ref="B78:B81"/>
    <mergeCell ref="AD78:AD81"/>
    <mergeCell ref="AE78:AE81"/>
    <mergeCell ref="A82:A85"/>
    <mergeCell ref="B82:B85"/>
    <mergeCell ref="AD82:AD85"/>
    <mergeCell ref="AE82:AE85"/>
    <mergeCell ref="A86:A89"/>
    <mergeCell ref="B86:B89"/>
    <mergeCell ref="AD86:AD89"/>
    <mergeCell ref="AE86:AE89"/>
    <mergeCell ref="A90:A93"/>
    <mergeCell ref="B90:B93"/>
    <mergeCell ref="AD90:AD93"/>
    <mergeCell ref="AE90:AE93"/>
    <mergeCell ref="A94:A97"/>
    <mergeCell ref="B94:B97"/>
    <mergeCell ref="AD94:AD97"/>
    <mergeCell ref="AE94:AE97"/>
    <mergeCell ref="A98:A101"/>
    <mergeCell ref="B98:B101"/>
    <mergeCell ref="AD98:AD101"/>
    <mergeCell ref="AE98:AE101"/>
    <mergeCell ref="A102:A109"/>
    <mergeCell ref="B102:B109"/>
    <mergeCell ref="AD102:AD109"/>
    <mergeCell ref="AE102:AE109"/>
  </mergeCells>
  <conditionalFormatting sqref="E3:G65536">
    <cfRule type="cellIs" dxfId="74" priority="2" operator="equal">
      <formula>0</formula>
    </cfRule>
  </conditionalFormatting>
  <conditionalFormatting sqref="K4:K109">
    <cfRule type="cellIs" dxfId="73" priority="12" operator="between">
      <formula>8</formula>
      <formula>1</formula>
    </cfRule>
  </conditionalFormatting>
  <conditionalFormatting sqref="M4:M5 M30:M37 M44:M45 M52:M53 M60:M61 M68:M69 M94:M109">
    <cfRule type="cellIs" dxfId="72" priority="10" operator="equal">
      <formula>"BIT OLD MAYBE"</formula>
    </cfRule>
    <cfRule type="cellIs" dxfId="71" priority="11" operator="equal">
      <formula>"TOO YOUNG"</formula>
    </cfRule>
  </conditionalFormatting>
  <conditionalFormatting sqref="M4:M109">
    <cfRule type="cellIs" dxfId="70" priority="9" operator="equal">
      <formula>"OK"</formula>
    </cfRule>
  </conditionalFormatting>
  <conditionalFormatting sqref="M6:M29 M38:M43 M46:M51 M54:M59 M62:M67 M70:M93">
    <cfRule type="cellIs" dxfId="69" priority="13" operator="equal">
      <formula>"NOT ELIGIBLE"</formula>
    </cfRule>
    <cfRule type="cellIs" dxfId="68" priority="14" operator="equal">
      <formula>"TOO YOUNG"</formula>
    </cfRule>
  </conditionalFormatting>
  <conditionalFormatting sqref="N2">
    <cfRule type="cellIs" dxfId="67" priority="3" operator="greaterThan">
      <formula>0</formula>
    </cfRule>
  </conditionalFormatting>
  <conditionalFormatting sqref="N18:O21">
    <cfRule type="cellIs" dxfId="66" priority="6" operator="greaterThan">
      <formula>0</formula>
    </cfRule>
  </conditionalFormatting>
  <conditionalFormatting sqref="P2">
    <cfRule type="cellIs" dxfId="65" priority="7" operator="greaterThan">
      <formula>0</formula>
    </cfRule>
  </conditionalFormatting>
  <conditionalFormatting sqref="P18">
    <cfRule type="cellIs" dxfId="64" priority="5" operator="greaterThan">
      <formula>0</formula>
    </cfRule>
  </conditionalFormatting>
  <conditionalFormatting sqref="Q1:Q17 P2 Q22:Q23">
    <cfRule type="cellIs" dxfId="63" priority="4" operator="greaterThan">
      <formula>"A"</formula>
    </cfRule>
  </conditionalFormatting>
  <conditionalFormatting sqref="AH1:AJ1 AH3:AJ3 AH4:AO94 AK95:AO105 AH95:AJ109">
    <cfRule type="cellIs" dxfId="62" priority="8" operator="equal">
      <formula>0</formula>
    </cfRule>
  </conditionalFormatting>
  <dataValidations count="9">
    <dataValidation allowBlank="1" showInputMessage="1" showErrorMessage="1" promptTitle="DRAG &amp; DROP IS NOT PERMITTED" sqref="J4:J101" xr:uid="{00000000-0002-0000-0C00-000000000000}">
      <formula1>0</formula1>
      <formula2>0</formula2>
    </dataValidation>
    <dataValidation allowBlank="1" showInputMessage="1" showErrorMessage="1" promptTitle="IF EMPTY" prompt="Please add the row title GIVEN NAME in this box (See Left)" sqref="F3" xr:uid="{00000000-0002-0000-0C00-000001000000}">
      <formula1>0</formula1>
      <formula2>0</formula2>
    </dataValidation>
    <dataValidation allowBlank="1" showInputMessage="1" showErrorMessage="1" promptTitle="IF EMPTY" prompt="Please add the row title FAMILY NAME in this box (See Left)" sqref="G3" xr:uid="{00000000-0002-0000-0C00-000002000000}">
      <formula1>0</formula1>
      <formula2>0</formula2>
    </dataValidation>
    <dataValidation allowBlank="1" showInputMessage="1" showErrorMessage="1" promptTitle="IF EMPTY" prompt="Please add the row title ASA NO in this box (See Left)" sqref="E3" xr:uid="{00000000-0002-0000-0C00-000003000000}">
      <formula1>0</formula1>
      <formula2>0</formula2>
    </dataValidation>
    <dataValidation allowBlank="1" showInputMessage="1" showErrorMessage="1" promptTitle="IF EMPTY" prompt="Please add the row title D.O.B. in this box (See Left)" sqref="H3" xr:uid="{00000000-0002-0000-0C00-000004000000}">
      <formula1>0</formula1>
      <formula2>0</formula2>
    </dataValidation>
    <dataValidation allowBlank="1" showInputMessage="1" showErrorMessage="1" prompt="Enter the swimmers Family Name as registered with the ASA" sqref="G4 G30 G82" xr:uid="{00000000-0002-0000-0C00-000005000000}">
      <formula1>0</formula1>
      <formula2>0</formula2>
    </dataValidation>
    <dataValidation allowBlank="1" showInputMessage="1" showErrorMessage="1" prompt="Enter the Swimmers Given name (1st Name) as registered with the ASA_x000a_" sqref="F4 F30 F82" xr:uid="{00000000-0002-0000-0C00-000006000000}">
      <formula1>0</formula1>
      <formula2>0</formula2>
    </dataValidation>
    <dataValidation allowBlank="1" showInputMessage="1" showErrorMessage="1" prompt="Enter the Swimmers Date of birth.  Day, Month, Year  _x000a_ie 21/11/2011" sqref="H4 H52" xr:uid="{00000000-0002-0000-0C00-000007000000}">
      <formula1>0</formula1>
      <formula2>0</formula2>
    </dataValidation>
    <dataValidation allowBlank="1" showInputMessage="1" showErrorMessage="1" error="You must now &quot;undo&quot; drag and drop" sqref="F5:H5 F31:G31 H53 F83:G83" xr:uid="{00000000-0002-0000-0C00-000008000000}">
      <formula1>0</formula1>
      <formula2>0</formula2>
    </dataValidation>
  </dataValidations>
  <hyperlinks>
    <hyperlink ref="N18" location="'Gala Setup'!G2" display="Gala Setup" xr:uid="{00000000-0004-0000-0C00-000000000000}"/>
    <hyperlink ref="O18" location="Recording!C26" display="Gala Recording" xr:uid="{00000000-0004-0000-0C00-000001000000}"/>
    <hyperlink ref="P18" location="'Lane Timer sheets'!D1" display="Lane Timer Sheets" xr:uid="{00000000-0004-0000-0C00-000002000000}"/>
  </hyperlinks>
  <pageMargins left="0.75" right="0.75" top="1" bottom="1" header="0.511811023622047" footer="0.511811023622047"/>
  <pageSetup paperSize="9" scale="64"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Q1109"/>
  <sheetViews>
    <sheetView showRowColHeaders="0" topLeftCell="A67" zoomScale="80" zoomScaleNormal="80" workbookViewId="0">
      <selection activeCell="H84" sqref="H84"/>
    </sheetView>
  </sheetViews>
  <sheetFormatPr defaultColWidth="8.6640625" defaultRowHeight="13.2" x14ac:dyDescent="0.25"/>
  <cols>
    <col min="1" max="1" width="4.5546875" customWidth="1"/>
    <col min="2" max="2" width="31.88671875" customWidth="1"/>
    <col min="3" max="3" width="4.5546875" hidden="1" customWidth="1"/>
    <col min="4" max="4" width="9.6640625" hidden="1" customWidth="1"/>
    <col min="5" max="5" width="10.33203125" style="130" customWidth="1"/>
    <col min="6" max="6" width="23.6640625" style="130" customWidth="1"/>
    <col min="7" max="7" width="33.88671875" style="130" customWidth="1"/>
    <col min="8" max="8" width="12.109375" style="698" customWidth="1"/>
    <col min="9" max="10" width="12.109375" hidden="1" customWidth="1"/>
    <col min="11" max="11" width="10.6640625" customWidth="1"/>
    <col min="12" max="12" width="4.5546875" hidden="1" customWidth="1"/>
    <col min="13" max="13" width="17.6640625" customWidth="1"/>
    <col min="14" max="15" width="14.6640625" style="134" customWidth="1"/>
    <col min="16" max="16" width="29.6640625" style="134" customWidth="1"/>
    <col min="17" max="17" width="8.33203125" style="134" customWidth="1"/>
    <col min="18" max="29" width="8.88671875" style="134" customWidth="1"/>
    <col min="30" max="30" width="4.5546875" style="699" customWidth="1"/>
    <col min="31" max="31" width="26" style="700" customWidth="1"/>
    <col min="32" max="32" width="2.33203125" hidden="1" customWidth="1"/>
    <col min="33" max="33" width="3.6640625" hidden="1" customWidth="1"/>
    <col min="34" max="34" width="9.88671875" customWidth="1"/>
    <col min="35" max="35" width="23.6640625" customWidth="1"/>
    <col min="36" max="36" width="34.33203125" customWidth="1"/>
    <col min="41" max="41" width="9.109375" customWidth="1"/>
    <col min="42" max="42" width="23.6640625" customWidth="1"/>
    <col min="43" max="43" width="12.88671875" hidden="1" customWidth="1"/>
  </cols>
  <sheetData>
    <row r="1" spans="1:43" ht="42.75" customHeight="1" x14ac:dyDescent="0.25">
      <c r="A1" s="1267" t="s">
        <v>4621</v>
      </c>
      <c r="B1" s="1267"/>
      <c r="C1" s="701"/>
      <c r="D1" s="702"/>
      <c r="E1" s="1268" t="s">
        <v>5000</v>
      </c>
      <c r="F1" s="1268"/>
      <c r="G1" s="1268"/>
      <c r="H1" s="1268"/>
      <c r="I1" s="703"/>
      <c r="J1" s="704"/>
      <c r="K1" s="1269" t="s">
        <v>4623</v>
      </c>
      <c r="L1" s="1269"/>
      <c r="M1" s="1269"/>
      <c r="N1" s="1270" t="s">
        <v>4624</v>
      </c>
      <c r="O1" s="1270"/>
      <c r="P1" s="1270"/>
      <c r="Q1" s="705"/>
      <c r="AD1" s="1271" t="str">
        <f>'Team 1'!AD1</f>
        <v>TEAM NAME</v>
      </c>
      <c r="AE1" s="1271"/>
      <c r="AF1" s="706"/>
      <c r="AG1" s="707"/>
      <c r="AH1" s="1262" t="str">
        <f>E1</f>
        <v>Hillingdon 'B'</v>
      </c>
      <c r="AI1" s="1262"/>
      <c r="AJ1" s="1262"/>
      <c r="AK1" s="1263"/>
      <c r="AL1" s="1263"/>
      <c r="AM1" s="1263"/>
      <c r="AN1" s="1263"/>
      <c r="AO1" s="708"/>
    </row>
    <row r="2" spans="1:43" ht="42.75" customHeight="1" x14ac:dyDescent="0.25">
      <c r="A2" s="1267"/>
      <c r="B2" s="1267"/>
      <c r="C2" s="709"/>
      <c r="D2" s="710"/>
      <c r="E2" s="1268"/>
      <c r="F2" s="1268"/>
      <c r="G2" s="1268"/>
      <c r="H2" s="1268"/>
      <c r="I2" s="711"/>
      <c r="J2" s="712"/>
      <c r="K2" s="1264">
        <f ca="1">DATE(YEAR(NOW()),12,31)</f>
        <v>45291</v>
      </c>
      <c r="L2" s="1264"/>
      <c r="M2" s="1264"/>
      <c r="N2" s="1265" t="s">
        <v>5001</v>
      </c>
      <c r="O2" s="1265"/>
      <c r="P2" s="1266" t="s">
        <v>4627</v>
      </c>
      <c r="Q2" s="705"/>
      <c r="AD2" s="1271"/>
      <c r="AE2" s="1271"/>
      <c r="AF2" s="713"/>
      <c r="AG2" s="714"/>
      <c r="AH2" s="1262"/>
      <c r="AI2" s="1262"/>
      <c r="AJ2" s="1262"/>
      <c r="AK2" s="1263"/>
      <c r="AL2" s="1263"/>
      <c r="AM2" s="1263"/>
      <c r="AN2" s="1263"/>
      <c r="AO2" s="708"/>
      <c r="AP2" s="708"/>
    </row>
    <row r="3" spans="1:43" ht="46.5" customHeight="1" x14ac:dyDescent="0.25">
      <c r="A3" s="1260" t="s">
        <v>56</v>
      </c>
      <c r="B3" s="1260"/>
      <c r="C3" s="715"/>
      <c r="D3" s="716"/>
      <c r="E3" s="717" t="s">
        <v>4922</v>
      </c>
      <c r="F3" s="718" t="s">
        <v>4923</v>
      </c>
      <c r="G3" s="718" t="s">
        <v>4924</v>
      </c>
      <c r="H3" s="795" t="s">
        <v>4925</v>
      </c>
      <c r="I3" s="720"/>
      <c r="J3" s="721"/>
      <c r="K3" s="1261" t="s">
        <v>4632</v>
      </c>
      <c r="L3" s="1261"/>
      <c r="M3" s="1261"/>
      <c r="N3" s="1265"/>
      <c r="O3" s="1265"/>
      <c r="P3" s="1266"/>
      <c r="Q3" s="705"/>
      <c r="AD3" s="1244"/>
      <c r="AE3" s="1244"/>
      <c r="AF3" s="723"/>
      <c r="AG3" s="724"/>
      <c r="AH3" s="725" t="str">
        <f>'Team 1'!AH3</f>
        <v>SE No</v>
      </c>
      <c r="AI3" s="726" t="s">
        <v>4629</v>
      </c>
      <c r="AJ3" s="726" t="s">
        <v>4630</v>
      </c>
      <c r="AK3" s="1263"/>
      <c r="AL3" s="1263"/>
      <c r="AM3" s="1263"/>
      <c r="AN3" s="1263"/>
      <c r="AO3" s="726"/>
      <c r="AQ3">
        <v>8</v>
      </c>
    </row>
    <row r="4" spans="1:43" ht="20.25" customHeight="1" x14ac:dyDescent="0.25">
      <c r="A4" s="727">
        <v>1</v>
      </c>
      <c r="B4" s="728" t="s">
        <v>4634</v>
      </c>
      <c r="C4" s="728" t="s">
        <v>4635</v>
      </c>
      <c r="D4" s="729">
        <f>IF('Gala Setup'!J$9="100M",29,IF('Gala Setup'!J$9="200M",16))</f>
        <v>16</v>
      </c>
      <c r="E4" s="730">
        <v>57445</v>
      </c>
      <c r="F4" s="731" t="s">
        <v>4969</v>
      </c>
      <c r="G4" s="731" t="s">
        <v>5002</v>
      </c>
      <c r="H4" s="732">
        <v>32995</v>
      </c>
      <c r="I4" s="733" t="str">
        <f t="shared" ref="I4:I35" si="0">CONCATENATE(F4," ",G4)</f>
        <v>Laura Hibberd</v>
      </c>
      <c r="J4" s="734" t="str">
        <f t="shared" ref="J4:J35" si="1">CONCATENATE(G4,",",F4)</f>
        <v>Hibberd,Laura</v>
      </c>
      <c r="K4" s="735">
        <f t="shared" ref="K4:K35" ca="1" si="2">IF(K$2=0,0,IF(AQ4=0,0,IF(COUNTBLANK(AQ4)=1,"",YEAR(K$2)-YEAR(AQ4)-IF(DATE(YEAR(K$2),MONTH(AQ4),DAY(4638))&gt;K$2,1,0))))</f>
        <v>33</v>
      </c>
      <c r="L4" s="736" t="str">
        <f t="shared" ref="L4:L35" si="3">(TEXT(H4,"DDMMYY"))</f>
        <v>020590</v>
      </c>
      <c r="M4" s="737" t="str">
        <f ca="1">IF(K4=0,0,IF(K4&lt;9,"TOO YOUNG",IF(K4&lt;60,"OK","BIT OLD MAYBE")))</f>
        <v>OK</v>
      </c>
      <c r="N4" s="1265"/>
      <c r="O4" s="1265"/>
      <c r="P4" s="1266"/>
      <c r="Q4" s="705"/>
      <c r="AD4" s="722">
        <f t="shared" ref="AD4:AE6" si="4">A4</f>
        <v>1</v>
      </c>
      <c r="AE4" s="738" t="str">
        <f t="shared" si="4"/>
        <v>FEMALE 16+  200M  IM</v>
      </c>
      <c r="AF4" s="440" t="s">
        <v>4635</v>
      </c>
      <c r="AG4" s="739">
        <v>16</v>
      </c>
      <c r="AH4" s="740">
        <f t="shared" ref="AH4:AH35" si="5">E4</f>
        <v>57445</v>
      </c>
      <c r="AI4" s="740" t="str">
        <f t="shared" ref="AI4:AI35" si="6">F4</f>
        <v>Laura</v>
      </c>
      <c r="AJ4" s="740" t="str">
        <f t="shared" ref="AJ4:AJ35" si="7">G4</f>
        <v>Hibberd</v>
      </c>
      <c r="AK4" s="740"/>
      <c r="AL4" s="740"/>
      <c r="AM4" s="740"/>
      <c r="AN4" s="740"/>
      <c r="AO4" s="740"/>
      <c r="AQ4" s="741">
        <f t="shared" ref="AQ4:AQ35" ca="1" si="8">INDIRECT(ADDRESS(ROW(),AQ$3))</f>
        <v>32995</v>
      </c>
    </row>
    <row r="5" spans="1:43" ht="20.25" customHeight="1" x14ac:dyDescent="0.25">
      <c r="A5" s="727">
        <v>2</v>
      </c>
      <c r="B5" s="742" t="s">
        <v>4638</v>
      </c>
      <c r="C5" s="742" t="s">
        <v>328</v>
      </c>
      <c r="D5" s="729">
        <f>IF('Gala Setup'!J$9="100M",29,IF('Gala Setup'!J$9="200M",16))</f>
        <v>16</v>
      </c>
      <c r="E5" s="730">
        <v>1334985</v>
      </c>
      <c r="F5" s="731" t="s">
        <v>4891</v>
      </c>
      <c r="G5" s="731" t="s">
        <v>5003</v>
      </c>
      <c r="H5" s="732">
        <v>39340</v>
      </c>
      <c r="I5" s="733" t="str">
        <f t="shared" si="0"/>
        <v>Liam Treanor</v>
      </c>
      <c r="J5" s="734" t="str">
        <f t="shared" si="1"/>
        <v>Treanor,Liam</v>
      </c>
      <c r="K5" s="735">
        <f t="shared" ca="1" si="2"/>
        <v>16</v>
      </c>
      <c r="L5" s="736" t="str">
        <f t="shared" si="3"/>
        <v>150907</v>
      </c>
      <c r="M5" s="743" t="str">
        <f ca="1">IF(K5=0,0,IF(K5&lt;9,"TOO YOUNG",IF(K5&lt;60,"OK","BIT OLD MAYBE")))</f>
        <v>OK</v>
      </c>
      <c r="N5" s="1265"/>
      <c r="O5" s="1265"/>
      <c r="P5" s="1266"/>
      <c r="Q5" s="705"/>
      <c r="AD5" s="722">
        <f t="shared" si="4"/>
        <v>2</v>
      </c>
      <c r="AE5" s="738" t="str">
        <f t="shared" si="4"/>
        <v>OPEN/MALE 16+ 200M  IM</v>
      </c>
      <c r="AF5" s="443" t="s">
        <v>328</v>
      </c>
      <c r="AG5" s="744">
        <v>16</v>
      </c>
      <c r="AH5" s="740">
        <f t="shared" si="5"/>
        <v>1334985</v>
      </c>
      <c r="AI5" s="740" t="str">
        <f t="shared" si="6"/>
        <v>Liam</v>
      </c>
      <c r="AJ5" s="740" t="str">
        <f t="shared" si="7"/>
        <v>Treanor</v>
      </c>
      <c r="AK5" s="740"/>
      <c r="AL5" s="740"/>
      <c r="AM5" s="740"/>
      <c r="AN5" s="740"/>
      <c r="AO5" s="740"/>
      <c r="AQ5" s="741">
        <f t="shared" ca="1" si="8"/>
        <v>39340</v>
      </c>
    </row>
    <row r="6" spans="1:43" ht="20.25" customHeight="1" x14ac:dyDescent="0.25">
      <c r="A6" s="1254">
        <v>3</v>
      </c>
      <c r="B6" s="1255" t="s">
        <v>4641</v>
      </c>
      <c r="C6" s="746"/>
      <c r="D6" s="747"/>
      <c r="E6" s="730">
        <v>1600272</v>
      </c>
      <c r="F6" s="731" t="s">
        <v>5004</v>
      </c>
      <c r="G6" s="731" t="s">
        <v>5005</v>
      </c>
      <c r="H6" s="732">
        <v>41196</v>
      </c>
      <c r="I6" s="733" t="str">
        <f t="shared" si="0"/>
        <v>Zara Jobanputra</v>
      </c>
      <c r="J6" s="734" t="str">
        <f t="shared" si="1"/>
        <v>Jobanputra,Zara</v>
      </c>
      <c r="K6" s="735">
        <f t="shared" ca="1" si="2"/>
        <v>11</v>
      </c>
      <c r="L6" s="736" t="str">
        <f t="shared" si="3"/>
        <v>141012</v>
      </c>
      <c r="M6" s="748" t="str">
        <f t="shared" ref="M6:M13" ca="1" si="9">IF(K6=0,0,IF(K6&lt;9,"TOO YOUNG",IF(K6&lt;12,"OK","NOT ELIGIBLE")))</f>
        <v>OK</v>
      </c>
      <c r="N6" s="1265"/>
      <c r="O6" s="1265"/>
      <c r="P6" s="1266"/>
      <c r="Q6" s="705"/>
      <c r="AD6" s="1244">
        <f t="shared" si="4"/>
        <v>3</v>
      </c>
      <c r="AE6" s="1245" t="str">
        <f t="shared" si="4"/>
        <v>FEMALE 9/11 4 X 50M
FREESTYLE RELAY</v>
      </c>
      <c r="AF6" s="749"/>
      <c r="AG6" s="750"/>
      <c r="AH6" s="740">
        <f t="shared" si="5"/>
        <v>1600272</v>
      </c>
      <c r="AI6" s="740" t="str">
        <f t="shared" si="6"/>
        <v>Zara</v>
      </c>
      <c r="AJ6" s="740" t="str">
        <f t="shared" si="7"/>
        <v>Jobanputra</v>
      </c>
      <c r="AK6" s="740"/>
      <c r="AL6" s="740"/>
      <c r="AM6" s="740"/>
      <c r="AN6" s="740"/>
      <c r="AO6" s="740"/>
      <c r="AQ6" s="741">
        <f t="shared" ca="1" si="8"/>
        <v>41196</v>
      </c>
    </row>
    <row r="7" spans="1:43" ht="20.25" customHeight="1" x14ac:dyDescent="0.25">
      <c r="A7" s="1254"/>
      <c r="B7" s="1255"/>
      <c r="C7" s="751"/>
      <c r="D7" s="752"/>
      <c r="E7" s="730">
        <v>1613137</v>
      </c>
      <c r="F7" s="731" t="s">
        <v>5006</v>
      </c>
      <c r="G7" s="731" t="s">
        <v>5007</v>
      </c>
      <c r="H7" s="732">
        <v>41653</v>
      </c>
      <c r="I7" s="733" t="str">
        <f t="shared" si="0"/>
        <v>Alexa Homer</v>
      </c>
      <c r="J7" s="734" t="str">
        <f t="shared" si="1"/>
        <v>Homer,Alexa</v>
      </c>
      <c r="K7" s="735">
        <f t="shared" ca="1" si="2"/>
        <v>9</v>
      </c>
      <c r="L7" s="736" t="str">
        <f t="shared" si="3"/>
        <v>140114</v>
      </c>
      <c r="M7" s="748" t="str">
        <f t="shared" ca="1" si="9"/>
        <v>OK</v>
      </c>
      <c r="N7" s="1265"/>
      <c r="O7" s="1265"/>
      <c r="P7" s="1266"/>
      <c r="Q7" s="705"/>
      <c r="AD7" s="1244"/>
      <c r="AE7" s="1245"/>
      <c r="AF7" s="753"/>
      <c r="AG7" s="754"/>
      <c r="AH7" s="740">
        <f t="shared" si="5"/>
        <v>1613137</v>
      </c>
      <c r="AI7" s="740" t="str">
        <f t="shared" si="6"/>
        <v>Alexa</v>
      </c>
      <c r="AJ7" s="740" t="str">
        <f t="shared" si="7"/>
        <v>Homer</v>
      </c>
      <c r="AK7" s="740"/>
      <c r="AL7" s="740"/>
      <c r="AM7" s="740"/>
      <c r="AN7" s="740"/>
      <c r="AO7" s="740"/>
      <c r="AQ7" s="741">
        <f t="shared" ca="1" si="8"/>
        <v>41653</v>
      </c>
    </row>
    <row r="8" spans="1:43" ht="20.25" customHeight="1" x14ac:dyDescent="0.25">
      <c r="A8" s="1254"/>
      <c r="B8" s="1255"/>
      <c r="C8" s="751"/>
      <c r="D8" s="752"/>
      <c r="E8" s="730">
        <v>1359728</v>
      </c>
      <c r="F8" s="731" t="s">
        <v>5008</v>
      </c>
      <c r="G8" s="731" t="s">
        <v>5009</v>
      </c>
      <c r="H8" s="732">
        <v>40934</v>
      </c>
      <c r="I8" s="733" t="str">
        <f t="shared" si="0"/>
        <v>Lara Shah</v>
      </c>
      <c r="J8" s="734" t="str">
        <f t="shared" si="1"/>
        <v>Shah,Lara</v>
      </c>
      <c r="K8" s="735">
        <f t="shared" ca="1" si="2"/>
        <v>11</v>
      </c>
      <c r="L8" s="736" t="str">
        <f t="shared" si="3"/>
        <v>260112</v>
      </c>
      <c r="M8" s="748" t="str">
        <f t="shared" ca="1" si="9"/>
        <v>OK</v>
      </c>
      <c r="N8" s="1265"/>
      <c r="O8" s="1265"/>
      <c r="P8" s="1266"/>
      <c r="Q8" s="705"/>
      <c r="AD8" s="1244"/>
      <c r="AE8" s="1245"/>
      <c r="AF8" s="753"/>
      <c r="AG8" s="754"/>
      <c r="AH8" s="740">
        <f t="shared" si="5"/>
        <v>1359728</v>
      </c>
      <c r="AI8" s="740" t="str">
        <f t="shared" si="6"/>
        <v>Lara</v>
      </c>
      <c r="AJ8" s="740" t="str">
        <f t="shared" si="7"/>
        <v>Shah</v>
      </c>
      <c r="AK8" s="740"/>
      <c r="AL8" s="740"/>
      <c r="AM8" s="740"/>
      <c r="AN8" s="740"/>
      <c r="AO8" s="740"/>
      <c r="AQ8" s="741">
        <f t="shared" ca="1" si="8"/>
        <v>40934</v>
      </c>
    </row>
    <row r="9" spans="1:43" ht="20.25" customHeight="1" x14ac:dyDescent="0.25">
      <c r="A9" s="1254"/>
      <c r="B9" s="1255"/>
      <c r="C9" s="751"/>
      <c r="D9" s="752"/>
      <c r="E9" s="730">
        <v>1613127</v>
      </c>
      <c r="F9" s="731" t="s">
        <v>5010</v>
      </c>
      <c r="G9" s="731" t="s">
        <v>5011</v>
      </c>
      <c r="H9" s="732">
        <v>41114</v>
      </c>
      <c r="I9" s="733" t="str">
        <f t="shared" si="0"/>
        <v>Arabella Connick</v>
      </c>
      <c r="J9" s="734" t="str">
        <f t="shared" si="1"/>
        <v>Connick,Arabella</v>
      </c>
      <c r="K9" s="735">
        <f t="shared" ca="1" si="2"/>
        <v>11</v>
      </c>
      <c r="L9" s="736" t="str">
        <f t="shared" si="3"/>
        <v>240712</v>
      </c>
      <c r="M9" s="748" t="str">
        <f t="shared" ca="1" si="9"/>
        <v>OK</v>
      </c>
      <c r="N9" s="1265"/>
      <c r="O9" s="1265"/>
      <c r="P9" s="1266"/>
      <c r="Q9" s="705"/>
      <c r="AD9" s="1244"/>
      <c r="AE9" s="1245"/>
      <c r="AF9" s="753"/>
      <c r="AG9" s="754"/>
      <c r="AH9" s="740">
        <f t="shared" si="5"/>
        <v>1613127</v>
      </c>
      <c r="AI9" s="740" t="str">
        <f t="shared" si="6"/>
        <v>Arabella</v>
      </c>
      <c r="AJ9" s="740" t="str">
        <f t="shared" si="7"/>
        <v>Connick</v>
      </c>
      <c r="AK9" s="740"/>
      <c r="AL9" s="740"/>
      <c r="AM9" s="740"/>
      <c r="AN9" s="740"/>
      <c r="AO9" s="740"/>
      <c r="AQ9" s="741">
        <f t="shared" ca="1" si="8"/>
        <v>41114</v>
      </c>
    </row>
    <row r="10" spans="1:43" ht="20.25" customHeight="1" x14ac:dyDescent="0.25">
      <c r="A10" s="1254">
        <v>4</v>
      </c>
      <c r="B10" s="1255" t="s">
        <v>4650</v>
      </c>
      <c r="C10" s="746"/>
      <c r="D10" s="747"/>
      <c r="E10" s="730">
        <v>1461481</v>
      </c>
      <c r="F10" s="731" t="s">
        <v>5012</v>
      </c>
      <c r="G10" s="731" t="s">
        <v>5013</v>
      </c>
      <c r="H10" s="732">
        <v>41030</v>
      </c>
      <c r="I10" s="733" t="str">
        <f t="shared" si="0"/>
        <v>Arush Agarwal</v>
      </c>
      <c r="J10" s="734" t="str">
        <f t="shared" si="1"/>
        <v>Agarwal,Arush</v>
      </c>
      <c r="K10" s="735">
        <f t="shared" ca="1" si="2"/>
        <v>11</v>
      </c>
      <c r="L10" s="736" t="str">
        <f t="shared" si="3"/>
        <v>010512</v>
      </c>
      <c r="M10" s="748" t="str">
        <f t="shared" ca="1" si="9"/>
        <v>OK</v>
      </c>
      <c r="N10" s="1265"/>
      <c r="O10" s="1265"/>
      <c r="P10" s="1266"/>
      <c r="Q10" s="705"/>
      <c r="AD10" s="1244">
        <f>A10</f>
        <v>4</v>
      </c>
      <c r="AE10" s="1245" t="str">
        <f>B10</f>
        <v>OPEN/MALE 9/11 4 X50M
FREESTYLE RELAY</v>
      </c>
      <c r="AF10" s="749"/>
      <c r="AG10" s="750"/>
      <c r="AH10" s="740">
        <f t="shared" si="5"/>
        <v>1461481</v>
      </c>
      <c r="AI10" s="740" t="str">
        <f t="shared" si="6"/>
        <v>Arush</v>
      </c>
      <c r="AJ10" s="740" t="str">
        <f t="shared" si="7"/>
        <v>Agarwal</v>
      </c>
      <c r="AK10" s="740"/>
      <c r="AL10" s="740"/>
      <c r="AM10" s="740"/>
      <c r="AN10" s="740"/>
      <c r="AO10" s="740"/>
      <c r="AQ10" s="741">
        <f t="shared" ca="1" si="8"/>
        <v>41030</v>
      </c>
    </row>
    <row r="11" spans="1:43" ht="20.25" customHeight="1" x14ac:dyDescent="0.25">
      <c r="A11" s="1254"/>
      <c r="B11" s="1255"/>
      <c r="C11" s="751"/>
      <c r="D11" s="752"/>
      <c r="E11" s="730">
        <v>1595466</v>
      </c>
      <c r="F11" s="731" t="s">
        <v>5014</v>
      </c>
      <c r="G11" s="731" t="s">
        <v>5015</v>
      </c>
      <c r="H11" s="732">
        <v>41253</v>
      </c>
      <c r="I11" s="733" t="str">
        <f t="shared" si="0"/>
        <v>Christopher Li Mow Ching</v>
      </c>
      <c r="J11" s="734" t="str">
        <f t="shared" si="1"/>
        <v>Li Mow Ching,Christopher</v>
      </c>
      <c r="K11" s="735">
        <f t="shared" ca="1" si="2"/>
        <v>11</v>
      </c>
      <c r="L11" s="736" t="str">
        <f t="shared" si="3"/>
        <v>101212</v>
      </c>
      <c r="M11" s="748" t="str">
        <f t="shared" ca="1" si="9"/>
        <v>OK</v>
      </c>
      <c r="N11" s="1265"/>
      <c r="O11" s="1265"/>
      <c r="P11" s="1266"/>
      <c r="Q11" s="705"/>
      <c r="AD11" s="1244"/>
      <c r="AE11" s="1245"/>
      <c r="AF11" s="753"/>
      <c r="AG11" s="754"/>
      <c r="AH11" s="740">
        <f t="shared" si="5"/>
        <v>1595466</v>
      </c>
      <c r="AI11" s="740" t="str">
        <f t="shared" si="6"/>
        <v>Christopher</v>
      </c>
      <c r="AJ11" s="740" t="str">
        <f t="shared" si="7"/>
        <v>Li Mow Ching</v>
      </c>
      <c r="AK11" s="740"/>
      <c r="AL11" s="740"/>
      <c r="AM11" s="740"/>
      <c r="AN11" s="740"/>
      <c r="AO11" s="740"/>
      <c r="AQ11" s="741">
        <f t="shared" ca="1" si="8"/>
        <v>41253</v>
      </c>
    </row>
    <row r="12" spans="1:43" ht="20.25" customHeight="1" x14ac:dyDescent="0.25">
      <c r="A12" s="1254"/>
      <c r="B12" s="1255"/>
      <c r="C12" s="751"/>
      <c r="D12" s="752"/>
      <c r="E12" s="730">
        <v>1665907</v>
      </c>
      <c r="F12" s="731" t="s">
        <v>5016</v>
      </c>
      <c r="G12" s="731" t="s">
        <v>5017</v>
      </c>
      <c r="H12" s="732">
        <v>41000</v>
      </c>
      <c r="I12" s="733" t="str">
        <f t="shared" si="0"/>
        <v>Jai Bhuwania</v>
      </c>
      <c r="J12" s="734" t="str">
        <f t="shared" si="1"/>
        <v>Bhuwania,Jai</v>
      </c>
      <c r="K12" s="735">
        <f t="shared" ca="1" si="2"/>
        <v>11</v>
      </c>
      <c r="L12" s="736" t="str">
        <f t="shared" si="3"/>
        <v>010412</v>
      </c>
      <c r="M12" s="748" t="str">
        <f t="shared" ca="1" si="9"/>
        <v>OK</v>
      </c>
      <c r="N12" s="1265"/>
      <c r="O12" s="1265"/>
      <c r="P12" s="1266"/>
      <c r="Q12" s="705"/>
      <c r="AD12" s="1244"/>
      <c r="AE12" s="1245"/>
      <c r="AF12" s="753"/>
      <c r="AG12" s="754"/>
      <c r="AH12" s="740">
        <f t="shared" si="5"/>
        <v>1665907</v>
      </c>
      <c r="AI12" s="740" t="str">
        <f t="shared" si="6"/>
        <v>Jai</v>
      </c>
      <c r="AJ12" s="740" t="str">
        <f t="shared" si="7"/>
        <v>Bhuwania</v>
      </c>
      <c r="AK12" s="740"/>
      <c r="AL12" s="740"/>
      <c r="AM12" s="740"/>
      <c r="AN12" s="740"/>
      <c r="AO12" s="740"/>
      <c r="AQ12" s="741">
        <f t="shared" ca="1" si="8"/>
        <v>41000</v>
      </c>
    </row>
    <row r="13" spans="1:43" ht="20.25" customHeight="1" x14ac:dyDescent="0.25">
      <c r="A13" s="1254"/>
      <c r="B13" s="1255"/>
      <c r="C13" s="751"/>
      <c r="D13" s="752"/>
      <c r="E13" s="730">
        <v>1704570</v>
      </c>
      <c r="F13" s="731" t="s">
        <v>5018</v>
      </c>
      <c r="G13" s="731" t="s">
        <v>5019</v>
      </c>
      <c r="H13" s="732">
        <v>41078</v>
      </c>
      <c r="I13" s="733" t="str">
        <f t="shared" si="0"/>
        <v>Siddharth Kanjalkar</v>
      </c>
      <c r="J13" s="734" t="str">
        <f t="shared" si="1"/>
        <v>Kanjalkar,Siddharth</v>
      </c>
      <c r="K13" s="735">
        <f t="shared" ca="1" si="2"/>
        <v>11</v>
      </c>
      <c r="L13" s="736" t="str">
        <f t="shared" si="3"/>
        <v>180612</v>
      </c>
      <c r="M13" s="748" t="str">
        <f t="shared" ca="1" si="9"/>
        <v>OK</v>
      </c>
      <c r="N13" s="1265"/>
      <c r="O13" s="1265"/>
      <c r="P13" s="1266"/>
      <c r="Q13" s="705"/>
      <c r="AD13" s="1244"/>
      <c r="AE13" s="1245"/>
      <c r="AF13" s="753"/>
      <c r="AG13" s="754"/>
      <c r="AH13" s="740">
        <f t="shared" si="5"/>
        <v>1704570</v>
      </c>
      <c r="AI13" s="740" t="str">
        <f t="shared" si="6"/>
        <v>Siddharth</v>
      </c>
      <c r="AJ13" s="740" t="str">
        <f t="shared" si="7"/>
        <v>Kanjalkar</v>
      </c>
      <c r="AK13" s="740"/>
      <c r="AL13" s="740"/>
      <c r="AM13" s="740"/>
      <c r="AN13" s="740"/>
      <c r="AO13" s="740"/>
      <c r="AQ13" s="741">
        <f t="shared" ca="1" si="8"/>
        <v>41078</v>
      </c>
    </row>
    <row r="14" spans="1:43" ht="20.25" customHeight="1" x14ac:dyDescent="0.25">
      <c r="A14" s="1252">
        <v>5</v>
      </c>
      <c r="B14" s="1253" t="s">
        <v>4651</v>
      </c>
      <c r="C14" s="756"/>
      <c r="D14" s="757"/>
      <c r="E14" s="730">
        <v>1423788</v>
      </c>
      <c r="F14" s="731" t="s">
        <v>5020</v>
      </c>
      <c r="G14" s="731" t="s">
        <v>5021</v>
      </c>
      <c r="H14" s="732">
        <v>40262</v>
      </c>
      <c r="I14" s="733" t="str">
        <f t="shared" si="0"/>
        <v>Maria Tzanidaki</v>
      </c>
      <c r="J14" s="734" t="str">
        <f t="shared" si="1"/>
        <v>Tzanidaki,Maria</v>
      </c>
      <c r="K14" s="735">
        <f t="shared" ca="1" si="2"/>
        <v>13</v>
      </c>
      <c r="L14" s="736" t="str">
        <f t="shared" si="3"/>
        <v>250310</v>
      </c>
      <c r="M14" s="748" t="str">
        <f t="shared" ref="M14:M21" ca="1" si="10">IF(K14=0,0,IF(K14&lt;9,"TOO YOUNG",IF(K14&lt;14,"OK","NOT ELIGIBLE")))</f>
        <v>OK</v>
      </c>
      <c r="N14" s="1265"/>
      <c r="O14" s="1265"/>
      <c r="P14" s="1266"/>
      <c r="Q14" s="705"/>
      <c r="AD14" s="1244">
        <f>A14</f>
        <v>5</v>
      </c>
      <c r="AE14" s="1245" t="str">
        <f>B14</f>
        <v>FEMALE 13/U 4 X 50M
MEDLEY RELAY</v>
      </c>
      <c r="AF14" s="749"/>
      <c r="AG14" s="750"/>
      <c r="AH14" s="740">
        <f t="shared" si="5"/>
        <v>1423788</v>
      </c>
      <c r="AI14" s="740" t="str">
        <f t="shared" si="6"/>
        <v>Maria</v>
      </c>
      <c r="AJ14" s="740" t="str">
        <f t="shared" si="7"/>
        <v>Tzanidaki</v>
      </c>
      <c r="AK14" s="740"/>
      <c r="AL14" s="740"/>
      <c r="AM14" s="740"/>
      <c r="AN14" s="740"/>
      <c r="AO14" s="740"/>
      <c r="AQ14" s="741">
        <f t="shared" ca="1" si="8"/>
        <v>40262</v>
      </c>
    </row>
    <row r="15" spans="1:43" ht="20.25" customHeight="1" x14ac:dyDescent="0.25">
      <c r="A15" s="1252"/>
      <c r="B15" s="1253"/>
      <c r="C15" s="758"/>
      <c r="D15" s="759"/>
      <c r="E15" s="730">
        <v>1627300</v>
      </c>
      <c r="F15" s="731" t="s">
        <v>5022</v>
      </c>
      <c r="G15" s="731" t="s">
        <v>5023</v>
      </c>
      <c r="H15" s="732">
        <v>40633</v>
      </c>
      <c r="I15" s="733" t="str">
        <f t="shared" si="0"/>
        <v>Eliza Mayor</v>
      </c>
      <c r="J15" s="734" t="str">
        <f t="shared" si="1"/>
        <v>Mayor,Eliza</v>
      </c>
      <c r="K15" s="735">
        <f t="shared" ca="1" si="2"/>
        <v>12</v>
      </c>
      <c r="L15" s="736" t="str">
        <f t="shared" si="3"/>
        <v>310311</v>
      </c>
      <c r="M15" s="748" t="str">
        <f t="shared" ca="1" si="10"/>
        <v>OK</v>
      </c>
      <c r="N15" s="1265"/>
      <c r="O15" s="1265"/>
      <c r="P15" s="1266"/>
      <c r="Q15" s="705"/>
      <c r="AD15" s="1244"/>
      <c r="AE15" s="1245"/>
      <c r="AF15" s="753"/>
      <c r="AG15" s="754"/>
      <c r="AH15" s="740">
        <f t="shared" si="5"/>
        <v>1627300</v>
      </c>
      <c r="AI15" s="740" t="str">
        <f t="shared" si="6"/>
        <v>Eliza</v>
      </c>
      <c r="AJ15" s="740" t="str">
        <f t="shared" si="7"/>
        <v>Mayor</v>
      </c>
      <c r="AK15" s="740"/>
      <c r="AL15" s="740"/>
      <c r="AM15" s="740"/>
      <c r="AN15" s="740"/>
      <c r="AO15" s="740"/>
      <c r="AQ15" s="741">
        <f t="shared" ca="1" si="8"/>
        <v>40633</v>
      </c>
    </row>
    <row r="16" spans="1:43" ht="20.25" customHeight="1" x14ac:dyDescent="0.25">
      <c r="A16" s="1252"/>
      <c r="B16" s="1253"/>
      <c r="C16" s="758"/>
      <c r="D16" s="759"/>
      <c r="E16" s="730">
        <v>1578356</v>
      </c>
      <c r="F16" s="731" t="s">
        <v>4784</v>
      </c>
      <c r="G16" s="731" t="s">
        <v>5024</v>
      </c>
      <c r="H16" s="732">
        <v>40906</v>
      </c>
      <c r="I16" s="733" t="str">
        <f t="shared" si="0"/>
        <v>Mia Curle</v>
      </c>
      <c r="J16" s="734" t="str">
        <f t="shared" si="1"/>
        <v>Curle,Mia</v>
      </c>
      <c r="K16" s="735">
        <f t="shared" ca="1" si="2"/>
        <v>12</v>
      </c>
      <c r="L16" s="736" t="str">
        <f t="shared" si="3"/>
        <v>291211</v>
      </c>
      <c r="M16" s="748" t="str">
        <f t="shared" ca="1" si="10"/>
        <v>OK</v>
      </c>
      <c r="N16" s="1265"/>
      <c r="O16" s="1265"/>
      <c r="P16" s="1266"/>
      <c r="Q16" s="705"/>
      <c r="AD16" s="1244"/>
      <c r="AE16" s="1245"/>
      <c r="AF16" s="753"/>
      <c r="AG16" s="754"/>
      <c r="AH16" s="740">
        <f t="shared" si="5"/>
        <v>1578356</v>
      </c>
      <c r="AI16" s="740" t="str">
        <f t="shared" si="6"/>
        <v>Mia</v>
      </c>
      <c r="AJ16" s="740" t="str">
        <f t="shared" si="7"/>
        <v>Curle</v>
      </c>
      <c r="AK16" s="740"/>
      <c r="AL16" s="740"/>
      <c r="AM16" s="740"/>
      <c r="AN16" s="740"/>
      <c r="AO16" s="740"/>
      <c r="AQ16" s="741">
        <f t="shared" ca="1" si="8"/>
        <v>40906</v>
      </c>
    </row>
    <row r="17" spans="1:43" ht="20.25" customHeight="1" x14ac:dyDescent="0.25">
      <c r="A17" s="1252"/>
      <c r="B17" s="1253"/>
      <c r="C17" s="758"/>
      <c r="D17" s="759"/>
      <c r="E17" s="730">
        <v>1502280</v>
      </c>
      <c r="F17" s="731" t="s">
        <v>5025</v>
      </c>
      <c r="G17" s="731" t="s">
        <v>5026</v>
      </c>
      <c r="H17" s="732">
        <v>40450</v>
      </c>
      <c r="I17" s="733" t="str">
        <f t="shared" si="0"/>
        <v>Vaari Mepani</v>
      </c>
      <c r="J17" s="734" t="str">
        <f t="shared" si="1"/>
        <v>Mepani,Vaari</v>
      </c>
      <c r="K17" s="735">
        <f t="shared" ca="1" si="2"/>
        <v>13</v>
      </c>
      <c r="L17" s="736" t="str">
        <f t="shared" si="3"/>
        <v>290910</v>
      </c>
      <c r="M17" s="748" t="str">
        <f t="shared" ca="1" si="10"/>
        <v>OK</v>
      </c>
      <c r="N17" s="1265"/>
      <c r="O17" s="1265"/>
      <c r="P17" s="1266"/>
      <c r="Q17" s="705"/>
      <c r="AD17" s="1244"/>
      <c r="AE17" s="1245"/>
      <c r="AF17" s="753"/>
      <c r="AG17" s="754"/>
      <c r="AH17" s="740">
        <f t="shared" si="5"/>
        <v>1502280</v>
      </c>
      <c r="AI17" s="740" t="str">
        <f t="shared" si="6"/>
        <v>Vaari</v>
      </c>
      <c r="AJ17" s="740" t="str">
        <f t="shared" si="7"/>
        <v>Mepani</v>
      </c>
      <c r="AK17" s="740"/>
      <c r="AL17" s="740"/>
      <c r="AM17" s="740"/>
      <c r="AN17" s="740"/>
      <c r="AO17" s="740"/>
      <c r="AQ17" s="741">
        <f t="shared" ca="1" si="8"/>
        <v>40450</v>
      </c>
    </row>
    <row r="18" spans="1:43" ht="20.25" customHeight="1" x14ac:dyDescent="0.25">
      <c r="A18" s="1252">
        <v>6</v>
      </c>
      <c r="B18" s="1253" t="s">
        <v>4660</v>
      </c>
      <c r="C18" s="756"/>
      <c r="D18" s="757"/>
      <c r="E18" s="730">
        <v>1578364</v>
      </c>
      <c r="F18" s="731" t="s">
        <v>5027</v>
      </c>
      <c r="G18" s="731" t="s">
        <v>5028</v>
      </c>
      <c r="H18" s="732">
        <v>40572</v>
      </c>
      <c r="I18" s="733" t="str">
        <f t="shared" si="0"/>
        <v>Nikhil Dawett</v>
      </c>
      <c r="J18" s="734" t="str">
        <f t="shared" si="1"/>
        <v>Dawett,Nikhil</v>
      </c>
      <c r="K18" s="735">
        <f t="shared" ca="1" si="2"/>
        <v>12</v>
      </c>
      <c r="L18" s="736" t="str">
        <f t="shared" si="3"/>
        <v>290111</v>
      </c>
      <c r="M18" s="748" t="str">
        <f t="shared" ca="1" si="10"/>
        <v>OK</v>
      </c>
      <c r="N18" s="1258" t="s">
        <v>4319</v>
      </c>
      <c r="O18" s="1258" t="s">
        <v>4320</v>
      </c>
      <c r="P18" s="1259" t="s">
        <v>4663</v>
      </c>
      <c r="R18" s="760"/>
      <c r="S18" s="760"/>
      <c r="AD18" s="1244">
        <f>A18</f>
        <v>6</v>
      </c>
      <c r="AE18" s="1245" t="str">
        <f>B18</f>
        <v>OPEN/MALE 13/U 4 X 50M
MEDLEY RELAY</v>
      </c>
      <c r="AF18" s="749"/>
      <c r="AG18" s="750"/>
      <c r="AH18" s="740">
        <f t="shared" si="5"/>
        <v>1578364</v>
      </c>
      <c r="AI18" s="740" t="str">
        <f t="shared" si="6"/>
        <v>Nikhil</v>
      </c>
      <c r="AJ18" s="740" t="str">
        <f t="shared" si="7"/>
        <v>Dawett</v>
      </c>
      <c r="AK18" s="740"/>
      <c r="AL18" s="740"/>
      <c r="AM18" s="740"/>
      <c r="AN18" s="740"/>
      <c r="AO18" s="740"/>
      <c r="AQ18" s="741">
        <f t="shared" ca="1" si="8"/>
        <v>40572</v>
      </c>
    </row>
    <row r="19" spans="1:43" ht="20.25" customHeight="1" x14ac:dyDescent="0.25">
      <c r="A19" s="1252"/>
      <c r="B19" s="1253"/>
      <c r="C19" s="758"/>
      <c r="D19" s="759"/>
      <c r="E19" s="730">
        <v>1359724</v>
      </c>
      <c r="F19" s="731" t="s">
        <v>5029</v>
      </c>
      <c r="G19" s="731" t="s">
        <v>5030</v>
      </c>
      <c r="H19" s="732">
        <v>40431</v>
      </c>
      <c r="I19" s="733" t="str">
        <f t="shared" si="0"/>
        <v>Advay Bhatia</v>
      </c>
      <c r="J19" s="734" t="str">
        <f t="shared" si="1"/>
        <v>Bhatia,Advay</v>
      </c>
      <c r="K19" s="735">
        <f t="shared" ca="1" si="2"/>
        <v>13</v>
      </c>
      <c r="L19" s="736" t="str">
        <f t="shared" si="3"/>
        <v>100910</v>
      </c>
      <c r="M19" s="748" t="str">
        <f t="shared" ca="1" si="10"/>
        <v>OK</v>
      </c>
      <c r="N19" s="1258"/>
      <c r="O19" s="1258"/>
      <c r="P19" s="1259"/>
      <c r="R19" s="760"/>
      <c r="S19" s="760"/>
      <c r="AD19" s="1244"/>
      <c r="AE19" s="1245"/>
      <c r="AF19" s="753"/>
      <c r="AG19" s="754"/>
      <c r="AH19" s="740">
        <f t="shared" si="5"/>
        <v>1359724</v>
      </c>
      <c r="AI19" s="740" t="str">
        <f t="shared" si="6"/>
        <v>Advay</v>
      </c>
      <c r="AJ19" s="740" t="str">
        <f t="shared" si="7"/>
        <v>Bhatia</v>
      </c>
      <c r="AK19" s="740"/>
      <c r="AL19" s="740"/>
      <c r="AM19" s="740"/>
      <c r="AN19" s="740"/>
      <c r="AO19" s="740"/>
      <c r="AQ19" s="741">
        <f t="shared" ca="1" si="8"/>
        <v>40431</v>
      </c>
    </row>
    <row r="20" spans="1:43" ht="20.25" customHeight="1" x14ac:dyDescent="0.25">
      <c r="A20" s="1252"/>
      <c r="B20" s="1253"/>
      <c r="C20" s="758"/>
      <c r="D20" s="759"/>
      <c r="E20" s="730">
        <v>1578365</v>
      </c>
      <c r="F20" s="731" t="s">
        <v>4744</v>
      </c>
      <c r="G20" s="731" t="s">
        <v>5031</v>
      </c>
      <c r="H20" s="732">
        <v>40451</v>
      </c>
      <c r="I20" s="733" t="str">
        <f t="shared" si="0"/>
        <v>Daniel Celi</v>
      </c>
      <c r="J20" s="734" t="str">
        <f t="shared" si="1"/>
        <v>Celi,Daniel</v>
      </c>
      <c r="K20" s="735">
        <f t="shared" ca="1" si="2"/>
        <v>13</v>
      </c>
      <c r="L20" s="736" t="str">
        <f t="shared" si="3"/>
        <v>300910</v>
      </c>
      <c r="M20" s="748" t="str">
        <f t="shared" ca="1" si="10"/>
        <v>OK</v>
      </c>
      <c r="N20" s="1258"/>
      <c r="O20" s="1258"/>
      <c r="P20" s="1259"/>
      <c r="R20" s="760"/>
      <c r="S20" s="760"/>
      <c r="AD20" s="1244"/>
      <c r="AE20" s="1245"/>
      <c r="AF20" s="753"/>
      <c r="AG20" s="754"/>
      <c r="AH20" s="740">
        <f t="shared" si="5"/>
        <v>1578365</v>
      </c>
      <c r="AI20" s="740" t="str">
        <f t="shared" si="6"/>
        <v>Daniel</v>
      </c>
      <c r="AJ20" s="740" t="str">
        <f t="shared" si="7"/>
        <v>Celi</v>
      </c>
      <c r="AK20" s="740"/>
      <c r="AL20" s="740"/>
      <c r="AM20" s="740"/>
      <c r="AN20" s="740"/>
      <c r="AO20" s="740"/>
      <c r="AQ20" s="741">
        <f t="shared" ca="1" si="8"/>
        <v>40451</v>
      </c>
    </row>
    <row r="21" spans="1:43" ht="20.25" customHeight="1" x14ac:dyDescent="0.25">
      <c r="A21" s="1252"/>
      <c r="B21" s="1253"/>
      <c r="C21" s="758"/>
      <c r="D21" s="759"/>
      <c r="E21" s="730">
        <v>1385687</v>
      </c>
      <c r="F21" s="731" t="s">
        <v>5032</v>
      </c>
      <c r="G21" s="731" t="s">
        <v>5033</v>
      </c>
      <c r="H21" s="732">
        <v>40282</v>
      </c>
      <c r="I21" s="733" t="str">
        <f t="shared" si="0"/>
        <v>Bruno Francisco</v>
      </c>
      <c r="J21" s="734" t="str">
        <f t="shared" si="1"/>
        <v>Francisco,Bruno</v>
      </c>
      <c r="K21" s="735">
        <f t="shared" ca="1" si="2"/>
        <v>13</v>
      </c>
      <c r="L21" s="736" t="str">
        <f t="shared" si="3"/>
        <v>140410</v>
      </c>
      <c r="M21" s="748" t="str">
        <f t="shared" ca="1" si="10"/>
        <v>OK</v>
      </c>
      <c r="N21" s="1258"/>
      <c r="O21" s="1258"/>
      <c r="P21" s="1259"/>
      <c r="R21" s="760"/>
      <c r="S21" s="760"/>
      <c r="AD21" s="1244"/>
      <c r="AE21" s="1245"/>
      <c r="AF21" s="753"/>
      <c r="AG21" s="754"/>
      <c r="AH21" s="740">
        <f t="shared" si="5"/>
        <v>1385687</v>
      </c>
      <c r="AI21" s="740" t="str">
        <f t="shared" si="6"/>
        <v>Bruno</v>
      </c>
      <c r="AJ21" s="740" t="str">
        <f t="shared" si="7"/>
        <v>Francisco</v>
      </c>
      <c r="AK21" s="740"/>
      <c r="AL21" s="740"/>
      <c r="AM21" s="740"/>
      <c r="AN21" s="740"/>
      <c r="AO21" s="740"/>
      <c r="AQ21" s="741">
        <f t="shared" ca="1" si="8"/>
        <v>40282</v>
      </c>
    </row>
    <row r="22" spans="1:43" ht="20.25" customHeight="1" x14ac:dyDescent="0.25">
      <c r="A22" s="1256">
        <v>7</v>
      </c>
      <c r="B22" s="1249" t="s">
        <v>4667</v>
      </c>
      <c r="C22" s="761"/>
      <c r="D22" s="762"/>
      <c r="E22" s="730">
        <v>1448309</v>
      </c>
      <c r="F22" s="731" t="s">
        <v>5034</v>
      </c>
      <c r="G22" s="731" t="s">
        <v>5035</v>
      </c>
      <c r="H22" s="732">
        <v>39706</v>
      </c>
      <c r="I22" s="733" t="str">
        <f t="shared" si="0"/>
        <v>Keira Brannigan</v>
      </c>
      <c r="J22" s="734" t="str">
        <f t="shared" si="1"/>
        <v>Brannigan,Keira</v>
      </c>
      <c r="K22" s="735">
        <f t="shared" ca="1" si="2"/>
        <v>15</v>
      </c>
      <c r="L22" s="736" t="str">
        <f t="shared" si="3"/>
        <v>150908</v>
      </c>
      <c r="M22" s="748" t="str">
        <f t="shared" ref="M22:M29" ca="1" si="11">IF(K22=0,0,IF(K22&lt;9,"TOO YOUNG",IF(K22&lt;16,"OK","NOT ELIGIBLE")))</f>
        <v>OK</v>
      </c>
      <c r="N22" s="1257" t="str">
        <f>'Gala Setup'!S4</f>
        <v>NASL.2023 V6</v>
      </c>
      <c r="O22" s="1257"/>
      <c r="P22" s="1257"/>
      <c r="Q22" s="705"/>
      <c r="AD22" s="1244">
        <f>A22</f>
        <v>7</v>
      </c>
      <c r="AE22" s="1245" t="str">
        <f>B22</f>
        <v>FEMALE 15/U 4 X 50M
FREESTYLE RELAY</v>
      </c>
      <c r="AF22" s="749"/>
      <c r="AG22" s="750"/>
      <c r="AH22" s="740">
        <f t="shared" si="5"/>
        <v>1448309</v>
      </c>
      <c r="AI22" s="740" t="str">
        <f t="shared" si="6"/>
        <v>Keira</v>
      </c>
      <c r="AJ22" s="740" t="str">
        <f t="shared" si="7"/>
        <v>Brannigan</v>
      </c>
      <c r="AK22" s="740"/>
      <c r="AL22" s="740"/>
      <c r="AM22" s="740"/>
      <c r="AN22" s="740"/>
      <c r="AO22" s="740"/>
      <c r="AQ22" s="741">
        <f t="shared" ca="1" si="8"/>
        <v>39706</v>
      </c>
    </row>
    <row r="23" spans="1:43" ht="20.25" customHeight="1" x14ac:dyDescent="0.25">
      <c r="A23" s="1256"/>
      <c r="B23" s="1249"/>
      <c r="C23" s="763"/>
      <c r="D23" s="764"/>
      <c r="E23" s="730">
        <v>1408589</v>
      </c>
      <c r="F23" s="731" t="s">
        <v>4792</v>
      </c>
      <c r="G23" s="731" t="s">
        <v>5036</v>
      </c>
      <c r="H23" s="732">
        <v>39584</v>
      </c>
      <c r="I23" s="733" t="str">
        <f t="shared" si="0"/>
        <v>Jessica Sharp</v>
      </c>
      <c r="J23" s="734" t="str">
        <f t="shared" si="1"/>
        <v>Sharp,Jessica</v>
      </c>
      <c r="K23" s="735">
        <f t="shared" ca="1" si="2"/>
        <v>15</v>
      </c>
      <c r="L23" s="736" t="str">
        <f t="shared" si="3"/>
        <v>160508</v>
      </c>
      <c r="M23" s="748" t="str">
        <f t="shared" ca="1" si="11"/>
        <v>OK</v>
      </c>
      <c r="N23" s="1257"/>
      <c r="O23" s="1257"/>
      <c r="P23" s="1257"/>
      <c r="Q23" s="705"/>
      <c r="AD23" s="1244"/>
      <c r="AE23" s="1245"/>
      <c r="AF23" s="753"/>
      <c r="AG23" s="754"/>
      <c r="AH23" s="740">
        <f t="shared" si="5"/>
        <v>1408589</v>
      </c>
      <c r="AI23" s="740" t="str">
        <f t="shared" si="6"/>
        <v>Jessica</v>
      </c>
      <c r="AJ23" s="740" t="str">
        <f t="shared" si="7"/>
        <v>Sharp</v>
      </c>
      <c r="AK23" s="740"/>
      <c r="AL23" s="740"/>
      <c r="AM23" s="740"/>
      <c r="AN23" s="740"/>
      <c r="AO23" s="740"/>
      <c r="AQ23" s="741">
        <f t="shared" ca="1" si="8"/>
        <v>39584</v>
      </c>
    </row>
    <row r="24" spans="1:43" ht="20.25" customHeight="1" x14ac:dyDescent="0.25">
      <c r="A24" s="1256"/>
      <c r="B24" s="1249"/>
      <c r="C24" s="763"/>
      <c r="D24" s="764"/>
      <c r="E24" s="730">
        <v>1436495</v>
      </c>
      <c r="F24" s="731" t="s">
        <v>5008</v>
      </c>
      <c r="G24" s="731" t="s">
        <v>5037</v>
      </c>
      <c r="H24" s="732">
        <v>39846</v>
      </c>
      <c r="I24" s="733" t="str">
        <f t="shared" si="0"/>
        <v>Lara Lydon</v>
      </c>
      <c r="J24" s="734" t="str">
        <f t="shared" si="1"/>
        <v>Lydon,Lara</v>
      </c>
      <c r="K24" s="735">
        <f t="shared" ca="1" si="2"/>
        <v>14</v>
      </c>
      <c r="L24" s="736" t="str">
        <f t="shared" si="3"/>
        <v>020209</v>
      </c>
      <c r="M24" s="748" t="str">
        <f t="shared" ca="1" si="11"/>
        <v>OK</v>
      </c>
      <c r="N24" s="765"/>
      <c r="Q24" s="765"/>
      <c r="AD24" s="1244"/>
      <c r="AE24" s="1245"/>
      <c r="AF24" s="753"/>
      <c r="AG24" s="754"/>
      <c r="AH24" s="740">
        <f t="shared" si="5"/>
        <v>1436495</v>
      </c>
      <c r="AI24" s="740" t="str">
        <f t="shared" si="6"/>
        <v>Lara</v>
      </c>
      <c r="AJ24" s="740" t="str">
        <f t="shared" si="7"/>
        <v>Lydon</v>
      </c>
      <c r="AK24" s="740"/>
      <c r="AL24" s="740"/>
      <c r="AM24" s="740"/>
      <c r="AN24" s="740"/>
      <c r="AO24" s="740"/>
      <c r="AQ24" s="741">
        <f t="shared" ca="1" si="8"/>
        <v>39846</v>
      </c>
    </row>
    <row r="25" spans="1:43" ht="20.25" customHeight="1" x14ac:dyDescent="0.25">
      <c r="A25" s="1256"/>
      <c r="B25" s="1249"/>
      <c r="C25" s="763"/>
      <c r="D25" s="764"/>
      <c r="E25" s="730">
        <v>1502280</v>
      </c>
      <c r="F25" s="731" t="s">
        <v>5025</v>
      </c>
      <c r="G25" s="731" t="s">
        <v>5026</v>
      </c>
      <c r="H25" s="732">
        <v>40450</v>
      </c>
      <c r="I25" s="733" t="str">
        <f t="shared" si="0"/>
        <v>Vaari Mepani</v>
      </c>
      <c r="J25" s="734" t="str">
        <f t="shared" si="1"/>
        <v>Mepani,Vaari</v>
      </c>
      <c r="K25" s="735">
        <f t="shared" ca="1" si="2"/>
        <v>13</v>
      </c>
      <c r="L25" s="736" t="str">
        <f t="shared" si="3"/>
        <v>290910</v>
      </c>
      <c r="M25" s="748" t="str">
        <f t="shared" ca="1" si="11"/>
        <v>OK</v>
      </c>
      <c r="N25" s="765"/>
      <c r="Q25" s="765"/>
      <c r="AD25" s="1244"/>
      <c r="AE25" s="1245"/>
      <c r="AF25" s="753"/>
      <c r="AG25" s="754"/>
      <c r="AH25" s="740">
        <f t="shared" si="5"/>
        <v>1502280</v>
      </c>
      <c r="AI25" s="740" t="str">
        <f t="shared" si="6"/>
        <v>Vaari</v>
      </c>
      <c r="AJ25" s="740" t="str">
        <f t="shared" si="7"/>
        <v>Mepani</v>
      </c>
      <c r="AK25" s="740"/>
      <c r="AL25" s="740"/>
      <c r="AM25" s="740"/>
      <c r="AN25" s="740"/>
      <c r="AO25" s="740"/>
      <c r="AQ25" s="741">
        <f t="shared" ca="1" si="8"/>
        <v>40450</v>
      </c>
    </row>
    <row r="26" spans="1:43" ht="20.25" customHeight="1" x14ac:dyDescent="0.25">
      <c r="A26" s="1256">
        <v>8</v>
      </c>
      <c r="B26" s="1249" t="s">
        <v>4676</v>
      </c>
      <c r="C26" s="761"/>
      <c r="D26" s="762"/>
      <c r="E26" s="730">
        <v>1423814</v>
      </c>
      <c r="F26" s="731" t="s">
        <v>5038</v>
      </c>
      <c r="G26" s="731" t="s">
        <v>5039</v>
      </c>
      <c r="H26" s="732">
        <v>39876</v>
      </c>
      <c r="I26" s="733" t="str">
        <f t="shared" si="0"/>
        <v>Aaran Parmar</v>
      </c>
      <c r="J26" s="734" t="str">
        <f t="shared" si="1"/>
        <v>Parmar,Aaran</v>
      </c>
      <c r="K26" s="735">
        <f t="shared" ca="1" si="2"/>
        <v>14</v>
      </c>
      <c r="L26" s="736" t="str">
        <f t="shared" si="3"/>
        <v>040309</v>
      </c>
      <c r="M26" s="766" t="str">
        <f t="shared" ca="1" si="11"/>
        <v>OK</v>
      </c>
      <c r="N26" s="767"/>
      <c r="AD26" s="1244">
        <f>A26</f>
        <v>8</v>
      </c>
      <c r="AE26" s="1245" t="str">
        <f>B26</f>
        <v>OPEN/MALE 15/U 4 X 50M
FREESTYLE RELAY</v>
      </c>
      <c r="AF26" s="749"/>
      <c r="AG26" s="750"/>
      <c r="AH26" s="740">
        <f t="shared" si="5"/>
        <v>1423814</v>
      </c>
      <c r="AI26" s="740" t="str">
        <f t="shared" si="6"/>
        <v>Aaran</v>
      </c>
      <c r="AJ26" s="740" t="str">
        <f t="shared" si="7"/>
        <v>Parmar</v>
      </c>
      <c r="AK26" s="740"/>
      <c r="AL26" s="740"/>
      <c r="AM26" s="740"/>
      <c r="AN26" s="740"/>
      <c r="AO26" s="740"/>
      <c r="AQ26" s="741">
        <f t="shared" ca="1" si="8"/>
        <v>39876</v>
      </c>
    </row>
    <row r="27" spans="1:43" ht="20.25" customHeight="1" x14ac:dyDescent="0.25">
      <c r="A27" s="1256"/>
      <c r="B27" s="1249"/>
      <c r="C27" s="763"/>
      <c r="D27" s="764"/>
      <c r="E27" s="730">
        <v>1710400</v>
      </c>
      <c r="F27" s="731" t="s">
        <v>5040</v>
      </c>
      <c r="G27" s="731" t="s">
        <v>5041</v>
      </c>
      <c r="H27" s="732">
        <v>39852</v>
      </c>
      <c r="I27" s="733" t="str">
        <f t="shared" si="0"/>
        <v>Tsz Kwai Chan</v>
      </c>
      <c r="J27" s="734" t="str">
        <f t="shared" si="1"/>
        <v>Chan,Tsz Kwai</v>
      </c>
      <c r="K27" s="735">
        <f t="shared" ca="1" si="2"/>
        <v>14</v>
      </c>
      <c r="L27" s="736" t="str">
        <f t="shared" si="3"/>
        <v>080209</v>
      </c>
      <c r="M27" s="766" t="str">
        <f t="shared" ca="1" si="11"/>
        <v>OK</v>
      </c>
      <c r="N27" s="767"/>
      <c r="AD27" s="1244"/>
      <c r="AE27" s="1245"/>
      <c r="AF27" s="753"/>
      <c r="AG27" s="754"/>
      <c r="AH27" s="740">
        <f t="shared" si="5"/>
        <v>1710400</v>
      </c>
      <c r="AI27" s="740" t="str">
        <f t="shared" si="6"/>
        <v>Tsz Kwai</v>
      </c>
      <c r="AJ27" s="740" t="str">
        <f t="shared" si="7"/>
        <v>Chan</v>
      </c>
      <c r="AK27" s="740"/>
      <c r="AL27" s="740"/>
      <c r="AM27" s="740"/>
      <c r="AN27" s="740"/>
      <c r="AO27" s="740"/>
      <c r="AQ27" s="741">
        <f t="shared" ca="1" si="8"/>
        <v>39852</v>
      </c>
    </row>
    <row r="28" spans="1:43" ht="20.25" customHeight="1" x14ac:dyDescent="0.25">
      <c r="A28" s="1256"/>
      <c r="B28" s="1249"/>
      <c r="C28" s="763"/>
      <c r="D28" s="764"/>
      <c r="E28" s="730">
        <v>1359724</v>
      </c>
      <c r="F28" s="731" t="s">
        <v>5029</v>
      </c>
      <c r="G28" s="731" t="s">
        <v>5030</v>
      </c>
      <c r="H28" s="732">
        <v>40431</v>
      </c>
      <c r="I28" s="733" t="str">
        <f t="shared" si="0"/>
        <v>Advay Bhatia</v>
      </c>
      <c r="J28" s="734" t="str">
        <f t="shared" si="1"/>
        <v>Bhatia,Advay</v>
      </c>
      <c r="K28" s="735">
        <f t="shared" ca="1" si="2"/>
        <v>13</v>
      </c>
      <c r="L28" s="736" t="str">
        <f t="shared" si="3"/>
        <v>100910</v>
      </c>
      <c r="M28" s="766" t="str">
        <f t="shared" ca="1" si="11"/>
        <v>OK</v>
      </c>
      <c r="N28" s="767"/>
      <c r="AD28" s="1244"/>
      <c r="AE28" s="1245"/>
      <c r="AF28" s="753"/>
      <c r="AG28" s="754"/>
      <c r="AH28" s="740">
        <f t="shared" si="5"/>
        <v>1359724</v>
      </c>
      <c r="AI28" s="740" t="str">
        <f t="shared" si="6"/>
        <v>Advay</v>
      </c>
      <c r="AJ28" s="740" t="str">
        <f t="shared" si="7"/>
        <v>Bhatia</v>
      </c>
      <c r="AK28" s="740"/>
      <c r="AL28" s="740"/>
      <c r="AM28" s="740"/>
      <c r="AN28" s="740"/>
      <c r="AO28" s="740"/>
      <c r="AQ28" s="741">
        <f t="shared" ca="1" si="8"/>
        <v>40431</v>
      </c>
    </row>
    <row r="29" spans="1:43" ht="20.25" customHeight="1" x14ac:dyDescent="0.25">
      <c r="A29" s="1256"/>
      <c r="B29" s="1249"/>
      <c r="C29" s="763"/>
      <c r="D29" s="764"/>
      <c r="E29" s="730">
        <v>1578365</v>
      </c>
      <c r="F29" s="731" t="s">
        <v>4744</v>
      </c>
      <c r="G29" s="731" t="s">
        <v>5031</v>
      </c>
      <c r="H29" s="732">
        <v>40451</v>
      </c>
      <c r="I29" s="733" t="str">
        <f t="shared" si="0"/>
        <v>Daniel Celi</v>
      </c>
      <c r="J29" s="734" t="str">
        <f t="shared" si="1"/>
        <v>Celi,Daniel</v>
      </c>
      <c r="K29" s="735">
        <f t="shared" ca="1" si="2"/>
        <v>13</v>
      </c>
      <c r="L29" s="736" t="str">
        <f t="shared" si="3"/>
        <v>300910</v>
      </c>
      <c r="M29" s="766" t="str">
        <f t="shared" ca="1" si="11"/>
        <v>OK</v>
      </c>
      <c r="N29" s="767"/>
      <c r="AD29" s="1244"/>
      <c r="AE29" s="1245"/>
      <c r="AF29" s="753"/>
      <c r="AG29" s="754"/>
      <c r="AH29" s="740">
        <f t="shared" si="5"/>
        <v>1578365</v>
      </c>
      <c r="AI29" s="740" t="str">
        <f t="shared" si="6"/>
        <v>Daniel</v>
      </c>
      <c r="AJ29" s="740" t="str">
        <f t="shared" si="7"/>
        <v>Celi</v>
      </c>
      <c r="AK29" s="740"/>
      <c r="AL29" s="740"/>
      <c r="AM29" s="740"/>
      <c r="AN29" s="740"/>
      <c r="AO29" s="740"/>
      <c r="AQ29" s="741">
        <f t="shared" ca="1" si="8"/>
        <v>40451</v>
      </c>
    </row>
    <row r="30" spans="1:43" ht="20.25" customHeight="1" x14ac:dyDescent="0.25">
      <c r="A30" s="1250">
        <v>9</v>
      </c>
      <c r="B30" s="1251" t="s">
        <v>4681</v>
      </c>
      <c r="C30" s="768"/>
      <c r="D30" s="769"/>
      <c r="E30" s="730">
        <v>1176547</v>
      </c>
      <c r="F30" s="731" t="s">
        <v>4889</v>
      </c>
      <c r="G30" s="731" t="s">
        <v>5042</v>
      </c>
      <c r="H30" s="732">
        <v>38784</v>
      </c>
      <c r="I30" s="733" t="str">
        <f t="shared" si="0"/>
        <v>Kayla Van Zyl</v>
      </c>
      <c r="J30" s="734" t="str">
        <f t="shared" si="1"/>
        <v>Van Zyl,Kayla</v>
      </c>
      <c r="K30" s="735">
        <f t="shared" ca="1" si="2"/>
        <v>17</v>
      </c>
      <c r="L30" s="736" t="str">
        <f t="shared" si="3"/>
        <v>080306</v>
      </c>
      <c r="M30" s="770" t="str">
        <f t="shared" ref="M30:M37" ca="1" si="12">IF(K30=0,0,IF(K30&lt;9,"TOO YOUNG",IF(K30&lt;60,"OK","BIT OLD MAYBE")))</f>
        <v>OK</v>
      </c>
      <c r="N30" s="767"/>
      <c r="AD30" s="1244">
        <f>A30</f>
        <v>9</v>
      </c>
      <c r="AE30" s="1245" t="str">
        <f>B30</f>
        <v>FEMALE 16+ 4 X 50M
MEDLEY RELAY</v>
      </c>
      <c r="AF30" s="749"/>
      <c r="AG30" s="750"/>
      <c r="AH30" s="740">
        <f t="shared" si="5"/>
        <v>1176547</v>
      </c>
      <c r="AI30" s="740" t="str">
        <f t="shared" si="6"/>
        <v>Kayla</v>
      </c>
      <c r="AJ30" s="740" t="str">
        <f t="shared" si="7"/>
        <v>Van Zyl</v>
      </c>
      <c r="AK30" s="740"/>
      <c r="AL30" s="740"/>
      <c r="AM30" s="740"/>
      <c r="AN30" s="740"/>
      <c r="AO30" s="740"/>
      <c r="AQ30" s="741">
        <f t="shared" ca="1" si="8"/>
        <v>38784</v>
      </c>
    </row>
    <row r="31" spans="1:43" ht="20.25" customHeight="1" x14ac:dyDescent="0.25">
      <c r="A31" s="1250"/>
      <c r="B31" s="1251"/>
      <c r="C31" s="771"/>
      <c r="D31" s="772"/>
      <c r="E31" s="730">
        <v>1448309</v>
      </c>
      <c r="F31" s="731" t="s">
        <v>5034</v>
      </c>
      <c r="G31" s="731" t="s">
        <v>5035</v>
      </c>
      <c r="H31" s="732">
        <v>39706</v>
      </c>
      <c r="I31" s="733" t="str">
        <f t="shared" si="0"/>
        <v>Keira Brannigan</v>
      </c>
      <c r="J31" s="734" t="str">
        <f t="shared" si="1"/>
        <v>Brannigan,Keira</v>
      </c>
      <c r="K31" s="735">
        <f t="shared" ca="1" si="2"/>
        <v>15</v>
      </c>
      <c r="L31" s="736" t="str">
        <f t="shared" si="3"/>
        <v>150908</v>
      </c>
      <c r="M31" s="770" t="str">
        <f t="shared" ca="1" si="12"/>
        <v>OK</v>
      </c>
      <c r="N31" s="767"/>
      <c r="AD31" s="1244"/>
      <c r="AE31" s="1245"/>
      <c r="AF31" s="753"/>
      <c r="AG31" s="754"/>
      <c r="AH31" s="740">
        <f t="shared" si="5"/>
        <v>1448309</v>
      </c>
      <c r="AI31" s="740" t="str">
        <f t="shared" si="6"/>
        <v>Keira</v>
      </c>
      <c r="AJ31" s="740" t="str">
        <f t="shared" si="7"/>
        <v>Brannigan</v>
      </c>
      <c r="AK31" s="740"/>
      <c r="AL31" s="740"/>
      <c r="AM31" s="740"/>
      <c r="AN31" s="740"/>
      <c r="AO31" s="740"/>
      <c r="AQ31" s="741">
        <f t="shared" ca="1" si="8"/>
        <v>39706</v>
      </c>
    </row>
    <row r="32" spans="1:43" ht="20.25" customHeight="1" x14ac:dyDescent="0.25">
      <c r="A32" s="1250"/>
      <c r="B32" s="1251"/>
      <c r="C32" s="771"/>
      <c r="D32" s="772"/>
      <c r="E32" s="730">
        <v>57445</v>
      </c>
      <c r="F32" s="731" t="s">
        <v>4969</v>
      </c>
      <c r="G32" s="731" t="s">
        <v>5002</v>
      </c>
      <c r="H32" s="732">
        <v>32995</v>
      </c>
      <c r="I32" s="733" t="str">
        <f t="shared" si="0"/>
        <v>Laura Hibberd</v>
      </c>
      <c r="J32" s="734" t="str">
        <f t="shared" si="1"/>
        <v>Hibberd,Laura</v>
      </c>
      <c r="K32" s="735">
        <f t="shared" ca="1" si="2"/>
        <v>33</v>
      </c>
      <c r="L32" s="736" t="str">
        <f t="shared" si="3"/>
        <v>020590</v>
      </c>
      <c r="M32" s="770" t="str">
        <f t="shared" ca="1" si="12"/>
        <v>OK</v>
      </c>
      <c r="N32" s="767"/>
      <c r="AD32" s="1244"/>
      <c r="AE32" s="1245"/>
      <c r="AF32" s="753"/>
      <c r="AG32" s="754"/>
      <c r="AH32" s="740">
        <f t="shared" si="5"/>
        <v>57445</v>
      </c>
      <c r="AI32" s="740" t="str">
        <f t="shared" si="6"/>
        <v>Laura</v>
      </c>
      <c r="AJ32" s="740" t="str">
        <f t="shared" si="7"/>
        <v>Hibberd</v>
      </c>
      <c r="AK32" s="740"/>
      <c r="AL32" s="740"/>
      <c r="AM32" s="740"/>
      <c r="AN32" s="740"/>
      <c r="AO32" s="740"/>
      <c r="AQ32" s="741">
        <f t="shared" ca="1" si="8"/>
        <v>32995</v>
      </c>
    </row>
    <row r="33" spans="1:43" ht="20.25" customHeight="1" x14ac:dyDescent="0.25">
      <c r="A33" s="1250"/>
      <c r="B33" s="1251"/>
      <c r="C33" s="771"/>
      <c r="D33" s="772"/>
      <c r="E33" s="730">
        <v>1259297</v>
      </c>
      <c r="F33" s="731" t="s">
        <v>5043</v>
      </c>
      <c r="G33" s="731" t="s">
        <v>5044</v>
      </c>
      <c r="H33" s="732">
        <v>38809</v>
      </c>
      <c r="I33" s="733" t="str">
        <f t="shared" si="0"/>
        <v>Aoife O'Leary</v>
      </c>
      <c r="J33" s="734" t="str">
        <f t="shared" si="1"/>
        <v>O'Leary,Aoife</v>
      </c>
      <c r="K33" s="735">
        <f t="shared" ca="1" si="2"/>
        <v>17</v>
      </c>
      <c r="L33" s="736" t="str">
        <f t="shared" si="3"/>
        <v>020406</v>
      </c>
      <c r="M33" s="770" t="str">
        <f t="shared" ca="1" si="12"/>
        <v>OK</v>
      </c>
      <c r="N33" s="767"/>
      <c r="AD33" s="1244"/>
      <c r="AE33" s="1245"/>
      <c r="AF33" s="753"/>
      <c r="AG33" s="754"/>
      <c r="AH33" s="740">
        <f t="shared" si="5"/>
        <v>1259297</v>
      </c>
      <c r="AI33" s="740" t="str">
        <f t="shared" si="6"/>
        <v>Aoife</v>
      </c>
      <c r="AJ33" s="740" t="str">
        <f t="shared" si="7"/>
        <v>O'Leary</v>
      </c>
      <c r="AK33" s="740"/>
      <c r="AL33" s="740"/>
      <c r="AM33" s="740"/>
      <c r="AN33" s="740"/>
      <c r="AO33" s="740"/>
      <c r="AQ33" s="741">
        <f t="shared" ca="1" si="8"/>
        <v>38809</v>
      </c>
    </row>
    <row r="34" spans="1:43" ht="20.25" customHeight="1" x14ac:dyDescent="0.25">
      <c r="A34" s="1250">
        <v>10</v>
      </c>
      <c r="B34" s="1251" t="s">
        <v>4687</v>
      </c>
      <c r="C34" s="768"/>
      <c r="D34" s="769"/>
      <c r="E34" s="730">
        <v>1710400</v>
      </c>
      <c r="F34" s="731" t="s">
        <v>5040</v>
      </c>
      <c r="G34" s="731" t="s">
        <v>5041</v>
      </c>
      <c r="H34" s="732">
        <v>39852</v>
      </c>
      <c r="I34" s="733" t="str">
        <f t="shared" si="0"/>
        <v>Tsz Kwai Chan</v>
      </c>
      <c r="J34" s="734" t="str">
        <f t="shared" si="1"/>
        <v>Chan,Tsz Kwai</v>
      </c>
      <c r="K34" s="735">
        <f t="shared" ca="1" si="2"/>
        <v>14</v>
      </c>
      <c r="L34" s="736" t="str">
        <f t="shared" si="3"/>
        <v>080209</v>
      </c>
      <c r="M34" s="770" t="str">
        <f t="shared" ca="1" si="12"/>
        <v>OK</v>
      </c>
      <c r="N34" s="767"/>
      <c r="AD34" s="1244">
        <f>A34</f>
        <v>10</v>
      </c>
      <c r="AE34" s="1245" t="str">
        <f>B34</f>
        <v>OPEN/MALE 16+ 4 X 50M
MEDLEY RELAY</v>
      </c>
      <c r="AF34" s="749"/>
      <c r="AG34" s="750"/>
      <c r="AH34" s="740">
        <f t="shared" si="5"/>
        <v>1710400</v>
      </c>
      <c r="AI34" s="740" t="str">
        <f t="shared" si="6"/>
        <v>Tsz Kwai</v>
      </c>
      <c r="AJ34" s="740" t="str">
        <f t="shared" si="7"/>
        <v>Chan</v>
      </c>
      <c r="AK34" s="740"/>
      <c r="AL34" s="740"/>
      <c r="AM34" s="740"/>
      <c r="AN34" s="740"/>
      <c r="AO34" s="740"/>
      <c r="AQ34" s="741">
        <f t="shared" ca="1" si="8"/>
        <v>39852</v>
      </c>
    </row>
    <row r="35" spans="1:43" ht="20.25" customHeight="1" x14ac:dyDescent="0.25">
      <c r="A35" s="1250"/>
      <c r="B35" s="1251"/>
      <c r="C35" s="771"/>
      <c r="D35" s="772"/>
      <c r="E35" s="730">
        <v>923090</v>
      </c>
      <c r="F35" s="731" t="s">
        <v>5045</v>
      </c>
      <c r="G35" s="731" t="s">
        <v>5046</v>
      </c>
      <c r="H35" s="732">
        <v>39136</v>
      </c>
      <c r="I35" s="733" t="str">
        <f t="shared" si="0"/>
        <v>Andrew May</v>
      </c>
      <c r="J35" s="734" t="str">
        <f t="shared" si="1"/>
        <v>May,Andrew</v>
      </c>
      <c r="K35" s="735">
        <f t="shared" ca="1" si="2"/>
        <v>16</v>
      </c>
      <c r="L35" s="736" t="str">
        <f t="shared" si="3"/>
        <v>230207</v>
      </c>
      <c r="M35" s="770" t="str">
        <f t="shared" ca="1" si="12"/>
        <v>OK</v>
      </c>
      <c r="AD35" s="1244"/>
      <c r="AE35" s="1245"/>
      <c r="AF35" s="753"/>
      <c r="AG35" s="754"/>
      <c r="AH35" s="740">
        <f t="shared" si="5"/>
        <v>923090</v>
      </c>
      <c r="AI35" s="740" t="str">
        <f t="shared" si="6"/>
        <v>Andrew</v>
      </c>
      <c r="AJ35" s="740" t="str">
        <f t="shared" si="7"/>
        <v>May</v>
      </c>
      <c r="AK35" s="740"/>
      <c r="AL35" s="740"/>
      <c r="AM35" s="740"/>
      <c r="AN35" s="740"/>
      <c r="AO35" s="740"/>
      <c r="AQ35" s="741">
        <f t="shared" ca="1" si="8"/>
        <v>39136</v>
      </c>
    </row>
    <row r="36" spans="1:43" ht="20.25" customHeight="1" x14ac:dyDescent="0.25">
      <c r="A36" s="1250"/>
      <c r="B36" s="1251"/>
      <c r="C36" s="771"/>
      <c r="D36" s="772"/>
      <c r="E36" s="730">
        <v>1334985</v>
      </c>
      <c r="F36" s="731" t="s">
        <v>4891</v>
      </c>
      <c r="G36" s="731" t="s">
        <v>5003</v>
      </c>
      <c r="H36" s="732">
        <v>39340</v>
      </c>
      <c r="I36" s="733" t="str">
        <f t="shared" ref="I36:I67" si="13">CONCATENATE(F36," ",G36)</f>
        <v>Liam Treanor</v>
      </c>
      <c r="J36" s="734" t="str">
        <f t="shared" ref="J36:J67" si="14">CONCATENATE(G36,",",F36)</f>
        <v>Treanor,Liam</v>
      </c>
      <c r="K36" s="735">
        <f t="shared" ref="K36:K67" ca="1" si="15">IF(K$2=0,0,IF(AQ36=0,0,IF(COUNTBLANK(AQ36)=1,"",YEAR(K$2)-YEAR(AQ36)-IF(DATE(YEAR(K$2),MONTH(AQ36),DAY(4638))&gt;K$2,1,0))))</f>
        <v>16</v>
      </c>
      <c r="L36" s="736" t="str">
        <f t="shared" ref="L36:L67" si="16">(TEXT(H36,"DDMMYY"))</f>
        <v>150907</v>
      </c>
      <c r="M36" s="770" t="str">
        <f t="shared" ca="1" si="12"/>
        <v>OK</v>
      </c>
      <c r="AD36" s="1244"/>
      <c r="AE36" s="1245"/>
      <c r="AF36" s="753"/>
      <c r="AG36" s="754"/>
      <c r="AH36" s="740">
        <f t="shared" ref="AH36:AH67" si="17">E36</f>
        <v>1334985</v>
      </c>
      <c r="AI36" s="740" t="str">
        <f t="shared" ref="AI36:AI67" si="18">F36</f>
        <v>Liam</v>
      </c>
      <c r="AJ36" s="740" t="str">
        <f t="shared" ref="AJ36:AJ67" si="19">G36</f>
        <v>Treanor</v>
      </c>
      <c r="AK36" s="740"/>
      <c r="AL36" s="740"/>
      <c r="AM36" s="740"/>
      <c r="AN36" s="740"/>
      <c r="AO36" s="740"/>
      <c r="AQ36" s="741">
        <f t="shared" ref="AQ36:AQ67" ca="1" si="20">INDIRECT(ADDRESS(ROW(),AQ$3))</f>
        <v>39340</v>
      </c>
    </row>
    <row r="37" spans="1:43" ht="20.25" customHeight="1" x14ac:dyDescent="0.25">
      <c r="A37" s="1250"/>
      <c r="B37" s="1251"/>
      <c r="C37" s="771"/>
      <c r="D37" s="772"/>
      <c r="E37" s="730">
        <v>1436488</v>
      </c>
      <c r="F37" s="731" t="s">
        <v>4945</v>
      </c>
      <c r="G37" s="731" t="s">
        <v>4647</v>
      </c>
      <c r="H37" s="732">
        <v>38944</v>
      </c>
      <c r="I37" s="733" t="str">
        <f t="shared" si="13"/>
        <v>Aaron Skinner</v>
      </c>
      <c r="J37" s="734" t="str">
        <f t="shared" si="14"/>
        <v>Skinner,Aaron</v>
      </c>
      <c r="K37" s="735">
        <f t="shared" ca="1" si="15"/>
        <v>17</v>
      </c>
      <c r="L37" s="736" t="str">
        <f t="shared" si="16"/>
        <v>150806</v>
      </c>
      <c r="M37" s="770" t="str">
        <f t="shared" ca="1" si="12"/>
        <v>OK</v>
      </c>
      <c r="AD37" s="1244"/>
      <c r="AE37" s="1245"/>
      <c r="AF37" s="753"/>
      <c r="AG37" s="754"/>
      <c r="AH37" s="740">
        <f t="shared" si="17"/>
        <v>1436488</v>
      </c>
      <c r="AI37" s="740" t="str">
        <f t="shared" si="18"/>
        <v>Aaron</v>
      </c>
      <c r="AJ37" s="740" t="str">
        <f t="shared" si="19"/>
        <v>Skinner</v>
      </c>
      <c r="AK37" s="740"/>
      <c r="AL37" s="740"/>
      <c r="AM37" s="740"/>
      <c r="AN37" s="740"/>
      <c r="AO37" s="740"/>
      <c r="AQ37" s="741">
        <f t="shared" ca="1" si="20"/>
        <v>38944</v>
      </c>
    </row>
    <row r="38" spans="1:43" ht="20.25" customHeight="1" x14ac:dyDescent="0.25">
      <c r="A38" s="745">
        <v>11</v>
      </c>
      <c r="B38" s="773" t="s">
        <v>4339</v>
      </c>
      <c r="C38" s="774" t="s">
        <v>4635</v>
      </c>
      <c r="D38" s="775">
        <v>13</v>
      </c>
      <c r="E38" s="730">
        <v>1600272</v>
      </c>
      <c r="F38" s="731" t="s">
        <v>5004</v>
      </c>
      <c r="G38" s="731" t="s">
        <v>5005</v>
      </c>
      <c r="H38" s="732">
        <v>41196</v>
      </c>
      <c r="I38" s="733" t="str">
        <f t="shared" si="13"/>
        <v>Zara Jobanputra</v>
      </c>
      <c r="J38" s="734" t="str">
        <f t="shared" si="14"/>
        <v>Jobanputra,Zara</v>
      </c>
      <c r="K38" s="735">
        <f t="shared" ca="1" si="15"/>
        <v>11</v>
      </c>
      <c r="L38" s="736" t="str">
        <f t="shared" si="16"/>
        <v>141012</v>
      </c>
      <c r="M38" s="766" t="str">
        <f ca="1">IF(K38=0,0,IF(K38&lt;10,"TOO YOUNG",IF(K38&lt;12,"OK","NOT ELIGIBLE")))</f>
        <v>OK</v>
      </c>
      <c r="AD38" s="722">
        <f t="shared" ref="AD38:AD70" si="21">A38</f>
        <v>11</v>
      </c>
      <c r="AE38" s="443" t="str">
        <f t="shared" ref="AE38:AE70" si="22">B38</f>
        <v>Female 10/11 50m Backstroke</v>
      </c>
      <c r="AF38" s="440" t="s">
        <v>4635</v>
      </c>
      <c r="AG38" s="739">
        <v>13</v>
      </c>
      <c r="AH38" s="740">
        <f t="shared" si="17"/>
        <v>1600272</v>
      </c>
      <c r="AI38" s="740" t="str">
        <f t="shared" si="18"/>
        <v>Zara</v>
      </c>
      <c r="AJ38" s="740" t="str">
        <f t="shared" si="19"/>
        <v>Jobanputra</v>
      </c>
      <c r="AK38" s="740"/>
      <c r="AL38" s="740"/>
      <c r="AM38" s="740"/>
      <c r="AN38" s="740"/>
      <c r="AO38" s="740"/>
      <c r="AQ38" s="741">
        <f t="shared" ca="1" si="20"/>
        <v>41196</v>
      </c>
    </row>
    <row r="39" spans="1:43" ht="20.25" customHeight="1" x14ac:dyDescent="0.25">
      <c r="A39" s="745">
        <v>12</v>
      </c>
      <c r="B39" s="773" t="s">
        <v>4340</v>
      </c>
      <c r="C39" s="774" t="s">
        <v>328</v>
      </c>
      <c r="D39" s="775">
        <v>13</v>
      </c>
      <c r="E39" s="730">
        <v>1595466</v>
      </c>
      <c r="F39" s="731" t="s">
        <v>5014</v>
      </c>
      <c r="G39" s="731" t="s">
        <v>5015</v>
      </c>
      <c r="H39" s="732">
        <v>41253</v>
      </c>
      <c r="I39" s="733" t="str">
        <f t="shared" si="13"/>
        <v>Christopher Li Mow Ching</v>
      </c>
      <c r="J39" s="734" t="str">
        <f t="shared" si="14"/>
        <v>Li Mow Ching,Christopher</v>
      </c>
      <c r="K39" s="735">
        <f t="shared" ca="1" si="15"/>
        <v>11</v>
      </c>
      <c r="L39" s="736" t="str">
        <f t="shared" si="16"/>
        <v>101212</v>
      </c>
      <c r="M39" s="766" t="str">
        <f ca="1">IF(K39=0,0,IF(K39&lt;10,"TOO YOUNG",IF(K39&lt;12,"OK","NOT ELIGIBLE")))</f>
        <v>OK</v>
      </c>
      <c r="AD39" s="722">
        <f t="shared" si="21"/>
        <v>12</v>
      </c>
      <c r="AE39" s="443" t="str">
        <f t="shared" si="22"/>
        <v>Open/Male 10/11 50m Backstroke</v>
      </c>
      <c r="AF39" s="440" t="s">
        <v>328</v>
      </c>
      <c r="AG39" s="739">
        <v>13</v>
      </c>
      <c r="AH39" s="740">
        <f t="shared" si="17"/>
        <v>1595466</v>
      </c>
      <c r="AI39" s="740" t="str">
        <f t="shared" si="18"/>
        <v>Christopher</v>
      </c>
      <c r="AJ39" s="740" t="str">
        <f t="shared" si="19"/>
        <v>Li Mow Ching</v>
      </c>
      <c r="AK39" s="740"/>
      <c r="AL39" s="740"/>
      <c r="AM39" s="740"/>
      <c r="AN39" s="740"/>
      <c r="AO39" s="740"/>
      <c r="AQ39" s="741">
        <f t="shared" ca="1" si="20"/>
        <v>41253</v>
      </c>
    </row>
    <row r="40" spans="1:43" ht="20.25" customHeight="1" x14ac:dyDescent="0.25">
      <c r="A40" s="755">
        <v>13</v>
      </c>
      <c r="B40" s="776" t="s">
        <v>4341</v>
      </c>
      <c r="C40" s="777" t="s">
        <v>4635</v>
      </c>
      <c r="D40" s="778">
        <v>8</v>
      </c>
      <c r="E40" s="730">
        <v>1578356</v>
      </c>
      <c r="F40" s="731" t="s">
        <v>4784</v>
      </c>
      <c r="G40" s="731" t="s">
        <v>5024</v>
      </c>
      <c r="H40" s="732">
        <v>40906</v>
      </c>
      <c r="I40" s="733" t="str">
        <f t="shared" si="13"/>
        <v>Mia Curle</v>
      </c>
      <c r="J40" s="734" t="str">
        <f t="shared" si="14"/>
        <v>Curle,Mia</v>
      </c>
      <c r="K40" s="735">
        <f t="shared" ca="1" si="15"/>
        <v>12</v>
      </c>
      <c r="L40" s="736" t="str">
        <f t="shared" si="16"/>
        <v>291211</v>
      </c>
      <c r="M40" s="766" t="str">
        <f ca="1">IF(K40=0,0,IF(K40&lt;9,"TOO YOUNG",IF(K40&lt;14,"OK","NOT ELIGIBLE")))</f>
        <v>OK</v>
      </c>
      <c r="AD40" s="722">
        <f t="shared" si="21"/>
        <v>13</v>
      </c>
      <c r="AE40" s="443" t="str">
        <f t="shared" si="22"/>
        <v>Female 13/U 100m Breaststroke</v>
      </c>
      <c r="AF40" s="440" t="s">
        <v>4635</v>
      </c>
      <c r="AG40" s="739">
        <v>8</v>
      </c>
      <c r="AH40" s="740">
        <f t="shared" si="17"/>
        <v>1578356</v>
      </c>
      <c r="AI40" s="740" t="str">
        <f t="shared" si="18"/>
        <v>Mia</v>
      </c>
      <c r="AJ40" s="740" t="str">
        <f t="shared" si="19"/>
        <v>Curle</v>
      </c>
      <c r="AK40" s="740"/>
      <c r="AL40" s="740"/>
      <c r="AM40" s="740"/>
      <c r="AN40" s="740"/>
      <c r="AO40" s="740"/>
      <c r="AQ40" s="741">
        <f t="shared" ca="1" si="20"/>
        <v>40906</v>
      </c>
    </row>
    <row r="41" spans="1:43" ht="20.25" customHeight="1" x14ac:dyDescent="0.25">
      <c r="A41" s="755">
        <v>14</v>
      </c>
      <c r="B41" s="776" t="s">
        <v>4342</v>
      </c>
      <c r="C41" s="777" t="s">
        <v>328</v>
      </c>
      <c r="D41" s="778">
        <v>8</v>
      </c>
      <c r="E41" s="730">
        <v>1359724</v>
      </c>
      <c r="F41" s="731" t="s">
        <v>5029</v>
      </c>
      <c r="G41" s="731" t="s">
        <v>5030</v>
      </c>
      <c r="H41" s="732">
        <v>40431</v>
      </c>
      <c r="I41" s="733" t="str">
        <f t="shared" si="13"/>
        <v>Advay Bhatia</v>
      </c>
      <c r="J41" s="734" t="str">
        <f t="shared" si="14"/>
        <v>Bhatia,Advay</v>
      </c>
      <c r="K41" s="735">
        <f t="shared" ca="1" si="15"/>
        <v>13</v>
      </c>
      <c r="L41" s="736" t="str">
        <f t="shared" si="16"/>
        <v>100910</v>
      </c>
      <c r="M41" s="766" t="str">
        <f ca="1">IF(K41=0,0,IF(K41&lt;9,"TOO YOUNG",IF(K41&lt;14,"OK","NOT ELIGIBLE")))</f>
        <v>OK</v>
      </c>
      <c r="AD41" s="722">
        <f t="shared" si="21"/>
        <v>14</v>
      </c>
      <c r="AE41" s="443" t="str">
        <f t="shared" si="22"/>
        <v>Open/Male 13/U 100m Breaststroke</v>
      </c>
      <c r="AF41" s="440" t="s">
        <v>328</v>
      </c>
      <c r="AG41" s="739">
        <v>8</v>
      </c>
      <c r="AH41" s="740">
        <f t="shared" si="17"/>
        <v>1359724</v>
      </c>
      <c r="AI41" s="740" t="str">
        <f t="shared" si="18"/>
        <v>Advay</v>
      </c>
      <c r="AJ41" s="740" t="str">
        <f t="shared" si="19"/>
        <v>Bhatia</v>
      </c>
      <c r="AK41" s="740"/>
      <c r="AL41" s="740"/>
      <c r="AM41" s="740"/>
      <c r="AN41" s="740"/>
      <c r="AO41" s="740"/>
      <c r="AQ41" s="741">
        <f t="shared" ca="1" si="20"/>
        <v>40431</v>
      </c>
    </row>
    <row r="42" spans="1:43" ht="20.25" customHeight="1" x14ac:dyDescent="0.25">
      <c r="A42" s="779">
        <v>15</v>
      </c>
      <c r="B42" s="780" t="s">
        <v>4343</v>
      </c>
      <c r="C42" s="781" t="s">
        <v>4635</v>
      </c>
      <c r="D42" s="782">
        <v>14</v>
      </c>
      <c r="E42" s="730">
        <v>1665932</v>
      </c>
      <c r="F42" s="731" t="s">
        <v>5047</v>
      </c>
      <c r="G42" s="731" t="s">
        <v>5048</v>
      </c>
      <c r="H42" s="732">
        <v>40014</v>
      </c>
      <c r="I42" s="733" t="str">
        <f t="shared" si="13"/>
        <v>Keanna Roets</v>
      </c>
      <c r="J42" s="734" t="str">
        <f t="shared" si="14"/>
        <v>Roets,Keanna</v>
      </c>
      <c r="K42" s="735">
        <f t="shared" ca="1" si="15"/>
        <v>14</v>
      </c>
      <c r="L42" s="736" t="str">
        <f t="shared" si="16"/>
        <v>200709</v>
      </c>
      <c r="M42" s="766" t="str">
        <f ca="1">IF(K42=0,0,IF(K42&lt;9,"TOO YOUNG",IF(K42&lt;16,"OK","NOT ELIGIBLE")))</f>
        <v>OK</v>
      </c>
      <c r="AD42" s="722">
        <f t="shared" si="21"/>
        <v>15</v>
      </c>
      <c r="AE42" s="443" t="str">
        <f t="shared" si="22"/>
        <v>Female 15/U 100m Backstroke</v>
      </c>
      <c r="AF42" s="440" t="s">
        <v>4635</v>
      </c>
      <c r="AG42" s="739">
        <v>14</v>
      </c>
      <c r="AH42" s="740">
        <f t="shared" si="17"/>
        <v>1665932</v>
      </c>
      <c r="AI42" s="740" t="str">
        <f t="shared" si="18"/>
        <v>Keanna</v>
      </c>
      <c r="AJ42" s="740" t="str">
        <f t="shared" si="19"/>
        <v>Roets</v>
      </c>
      <c r="AK42" s="740"/>
      <c r="AL42" s="740"/>
      <c r="AM42" s="740"/>
      <c r="AN42" s="740"/>
      <c r="AO42" s="740"/>
      <c r="AQ42" s="741">
        <f t="shared" ca="1" si="20"/>
        <v>40014</v>
      </c>
    </row>
    <row r="43" spans="1:43" ht="20.25" customHeight="1" x14ac:dyDescent="0.25">
      <c r="A43" s="779">
        <v>16</v>
      </c>
      <c r="B43" s="780" t="s">
        <v>4694</v>
      </c>
      <c r="C43" s="781" t="s">
        <v>328</v>
      </c>
      <c r="D43" s="782">
        <v>14</v>
      </c>
      <c r="E43" s="730">
        <v>1710400</v>
      </c>
      <c r="F43" s="731" t="s">
        <v>5040</v>
      </c>
      <c r="G43" s="731" t="s">
        <v>5041</v>
      </c>
      <c r="H43" s="732">
        <v>39852</v>
      </c>
      <c r="I43" s="733" t="str">
        <f t="shared" si="13"/>
        <v>Tsz Kwai Chan</v>
      </c>
      <c r="J43" s="734" t="str">
        <f t="shared" si="14"/>
        <v>Chan,Tsz Kwai</v>
      </c>
      <c r="K43" s="735">
        <f t="shared" ca="1" si="15"/>
        <v>14</v>
      </c>
      <c r="L43" s="736" t="str">
        <f t="shared" si="16"/>
        <v>080209</v>
      </c>
      <c r="M43" s="766" t="str">
        <f ca="1">IF(K43=0,0,IF(K43&lt;9,"TOO YOUNG",IF(K43&lt;16,"OK","NOT ELIGIBLE")))</f>
        <v>OK</v>
      </c>
      <c r="AD43" s="722">
        <f t="shared" si="21"/>
        <v>16</v>
      </c>
      <c r="AE43" s="443" t="str">
        <f t="shared" si="22"/>
        <v>Open/Male 15/U 100m Backstroke</v>
      </c>
      <c r="AF43" s="440" t="s">
        <v>328</v>
      </c>
      <c r="AG43" s="739">
        <v>14</v>
      </c>
      <c r="AH43" s="740">
        <f t="shared" si="17"/>
        <v>1710400</v>
      </c>
      <c r="AI43" s="740" t="str">
        <f t="shared" si="18"/>
        <v>Tsz Kwai</v>
      </c>
      <c r="AJ43" s="740" t="str">
        <f t="shared" si="19"/>
        <v>Chan</v>
      </c>
      <c r="AK43" s="740"/>
      <c r="AL43" s="740"/>
      <c r="AM43" s="740"/>
      <c r="AN43" s="740"/>
      <c r="AO43" s="740"/>
      <c r="AQ43" s="741">
        <f t="shared" ca="1" si="20"/>
        <v>39852</v>
      </c>
    </row>
    <row r="44" spans="1:43" ht="20.25" customHeight="1" x14ac:dyDescent="0.25">
      <c r="A44" s="727">
        <v>17</v>
      </c>
      <c r="B44" s="742" t="s">
        <v>4345</v>
      </c>
      <c r="C44" s="728" t="s">
        <v>4635</v>
      </c>
      <c r="D44" s="729">
        <v>11</v>
      </c>
      <c r="E44" s="730">
        <v>1448309</v>
      </c>
      <c r="F44" s="731" t="s">
        <v>5034</v>
      </c>
      <c r="G44" s="731" t="s">
        <v>5035</v>
      </c>
      <c r="H44" s="732">
        <v>39706</v>
      </c>
      <c r="I44" s="733" t="str">
        <f t="shared" si="13"/>
        <v>Keira Brannigan</v>
      </c>
      <c r="J44" s="734" t="str">
        <f t="shared" si="14"/>
        <v>Brannigan,Keira</v>
      </c>
      <c r="K44" s="735">
        <f t="shared" ca="1" si="15"/>
        <v>15</v>
      </c>
      <c r="L44" s="736" t="str">
        <f t="shared" si="16"/>
        <v>150908</v>
      </c>
      <c r="M44" s="770" t="str">
        <f ca="1">IF(K44=0,0,IF(K44&lt;9,"TOO YOUNG",IF(K44&lt;60,"OK","BIT OLD MAYBE")))</f>
        <v>OK</v>
      </c>
      <c r="AD44" s="722">
        <f t="shared" si="21"/>
        <v>17</v>
      </c>
      <c r="AE44" s="443" t="str">
        <f t="shared" si="22"/>
        <v>Female 16+ 100m Butterfly</v>
      </c>
      <c r="AF44" s="440" t="s">
        <v>4635</v>
      </c>
      <c r="AG44" s="739">
        <v>11</v>
      </c>
      <c r="AH44" s="740">
        <f t="shared" si="17"/>
        <v>1448309</v>
      </c>
      <c r="AI44" s="740" t="str">
        <f t="shared" si="18"/>
        <v>Keira</v>
      </c>
      <c r="AJ44" s="740" t="str">
        <f t="shared" si="19"/>
        <v>Brannigan</v>
      </c>
      <c r="AK44" s="740"/>
      <c r="AL44" s="740"/>
      <c r="AM44" s="740"/>
      <c r="AN44" s="740"/>
      <c r="AO44" s="740"/>
      <c r="AQ44" s="741">
        <f t="shared" ca="1" si="20"/>
        <v>39706</v>
      </c>
    </row>
    <row r="45" spans="1:43" ht="20.25" customHeight="1" x14ac:dyDescent="0.25">
      <c r="A45" s="727">
        <v>18</v>
      </c>
      <c r="B45" s="742" t="s">
        <v>4346</v>
      </c>
      <c r="C45" s="728" t="s">
        <v>328</v>
      </c>
      <c r="D45" s="729">
        <v>11</v>
      </c>
      <c r="E45" s="730">
        <v>1334985</v>
      </c>
      <c r="F45" s="731" t="s">
        <v>4891</v>
      </c>
      <c r="G45" s="731" t="s">
        <v>5003</v>
      </c>
      <c r="H45" s="732">
        <v>39340</v>
      </c>
      <c r="I45" s="733" t="str">
        <f t="shared" si="13"/>
        <v>Liam Treanor</v>
      </c>
      <c r="J45" s="734" t="str">
        <f t="shared" si="14"/>
        <v>Treanor,Liam</v>
      </c>
      <c r="K45" s="735">
        <f t="shared" ca="1" si="15"/>
        <v>16</v>
      </c>
      <c r="L45" s="736" t="str">
        <f t="shared" si="16"/>
        <v>150907</v>
      </c>
      <c r="M45" s="770" t="str">
        <f ca="1">IF(K45=0,0,IF(K45&lt;9,"TOO YOUNG",IF(K45&lt;60,"OK","BIT OLD MAYBE")))</f>
        <v>OK</v>
      </c>
      <c r="AD45" s="722">
        <f t="shared" si="21"/>
        <v>18</v>
      </c>
      <c r="AE45" s="443" t="str">
        <f t="shared" si="22"/>
        <v>Open/Male 16+ 100m Butterfly</v>
      </c>
      <c r="AF45" s="440" t="s">
        <v>328</v>
      </c>
      <c r="AG45" s="739">
        <v>11</v>
      </c>
      <c r="AH45" s="740">
        <f t="shared" si="17"/>
        <v>1334985</v>
      </c>
      <c r="AI45" s="740" t="str">
        <f t="shared" si="18"/>
        <v>Liam</v>
      </c>
      <c r="AJ45" s="740" t="str">
        <f t="shared" si="19"/>
        <v>Treanor</v>
      </c>
      <c r="AK45" s="740"/>
      <c r="AL45" s="740"/>
      <c r="AM45" s="740"/>
      <c r="AN45" s="740"/>
      <c r="AO45" s="740"/>
      <c r="AQ45" s="741">
        <f t="shared" ca="1" si="20"/>
        <v>39340</v>
      </c>
    </row>
    <row r="46" spans="1:43" ht="20.25" customHeight="1" x14ac:dyDescent="0.25">
      <c r="A46" s="745">
        <v>19</v>
      </c>
      <c r="B46" s="773" t="s">
        <v>4347</v>
      </c>
      <c r="C46" s="774" t="s">
        <v>4635</v>
      </c>
      <c r="D46" s="775">
        <v>10</v>
      </c>
      <c r="E46" s="730">
        <v>1600272</v>
      </c>
      <c r="F46" s="731" t="s">
        <v>5004</v>
      </c>
      <c r="G46" s="731" t="s">
        <v>5005</v>
      </c>
      <c r="H46" s="732">
        <v>41196</v>
      </c>
      <c r="I46" s="733" t="str">
        <f t="shared" si="13"/>
        <v>Zara Jobanputra</v>
      </c>
      <c r="J46" s="734" t="str">
        <f t="shared" si="14"/>
        <v>Jobanputra,Zara</v>
      </c>
      <c r="K46" s="735">
        <f t="shared" ca="1" si="15"/>
        <v>11</v>
      </c>
      <c r="L46" s="736" t="str">
        <f t="shared" si="16"/>
        <v>141012</v>
      </c>
      <c r="M46" s="766" t="str">
        <f ca="1">IF(K46=0,0,IF(K46&lt;10,"TOO YOUNG",IF(K46&lt;12,"OK","NOT ELIGIBLE")))</f>
        <v>OK</v>
      </c>
      <c r="AD46" s="722">
        <f t="shared" si="21"/>
        <v>19</v>
      </c>
      <c r="AE46" s="443" t="str">
        <f t="shared" si="22"/>
        <v>Female 10/11 50m Butterfly</v>
      </c>
      <c r="AF46" s="440" t="s">
        <v>4635</v>
      </c>
      <c r="AG46" s="739">
        <v>10</v>
      </c>
      <c r="AH46" s="740">
        <f t="shared" si="17"/>
        <v>1600272</v>
      </c>
      <c r="AI46" s="740" t="str">
        <f t="shared" si="18"/>
        <v>Zara</v>
      </c>
      <c r="AJ46" s="740" t="str">
        <f t="shared" si="19"/>
        <v>Jobanputra</v>
      </c>
      <c r="AK46" s="740"/>
      <c r="AL46" s="740"/>
      <c r="AM46" s="740"/>
      <c r="AN46" s="740"/>
      <c r="AO46" s="740"/>
      <c r="AQ46" s="741">
        <f t="shared" ca="1" si="20"/>
        <v>41196</v>
      </c>
    </row>
    <row r="47" spans="1:43" ht="20.25" customHeight="1" x14ac:dyDescent="0.25">
      <c r="A47" s="745">
        <v>20</v>
      </c>
      <c r="B47" s="773" t="s">
        <v>4348</v>
      </c>
      <c r="C47" s="774" t="s">
        <v>328</v>
      </c>
      <c r="D47" s="775">
        <v>10</v>
      </c>
      <c r="E47" s="730">
        <v>1665907</v>
      </c>
      <c r="F47" s="731" t="s">
        <v>5016</v>
      </c>
      <c r="G47" s="731" t="s">
        <v>5017</v>
      </c>
      <c r="H47" s="732">
        <v>41000</v>
      </c>
      <c r="I47" s="733" t="str">
        <f t="shared" si="13"/>
        <v>Jai Bhuwania</v>
      </c>
      <c r="J47" s="734" t="str">
        <f t="shared" si="14"/>
        <v>Bhuwania,Jai</v>
      </c>
      <c r="K47" s="735">
        <f t="shared" ca="1" si="15"/>
        <v>11</v>
      </c>
      <c r="L47" s="736" t="str">
        <f t="shared" si="16"/>
        <v>010412</v>
      </c>
      <c r="M47" s="766" t="str">
        <f ca="1">IF(K47=0,0,IF(K47&lt;10,"TOO YOUNG",IF(K47&lt;12,"OK","NOT ELIGIBLE")))</f>
        <v>OK</v>
      </c>
      <c r="AD47" s="722">
        <f t="shared" si="21"/>
        <v>20</v>
      </c>
      <c r="AE47" s="443" t="str">
        <f t="shared" si="22"/>
        <v>Open/Male 10/11 50m Butterfly</v>
      </c>
      <c r="AF47" s="440" t="s">
        <v>328</v>
      </c>
      <c r="AG47" s="739">
        <v>10</v>
      </c>
      <c r="AH47" s="740">
        <f t="shared" si="17"/>
        <v>1665907</v>
      </c>
      <c r="AI47" s="740" t="str">
        <f t="shared" si="18"/>
        <v>Jai</v>
      </c>
      <c r="AJ47" s="740" t="str">
        <f t="shared" si="19"/>
        <v>Bhuwania</v>
      </c>
      <c r="AK47" s="740"/>
      <c r="AL47" s="740"/>
      <c r="AM47" s="740"/>
      <c r="AN47" s="740"/>
      <c r="AO47" s="740"/>
      <c r="AQ47" s="741">
        <f t="shared" ca="1" si="20"/>
        <v>41000</v>
      </c>
    </row>
    <row r="48" spans="1:43" ht="20.25" customHeight="1" x14ac:dyDescent="0.25">
      <c r="A48" s="755">
        <v>21</v>
      </c>
      <c r="B48" s="776" t="s">
        <v>4349</v>
      </c>
      <c r="C48" s="777" t="s">
        <v>4635</v>
      </c>
      <c r="D48" s="778">
        <v>14</v>
      </c>
      <c r="E48" s="730">
        <v>1431411</v>
      </c>
      <c r="F48" s="731" t="s">
        <v>4792</v>
      </c>
      <c r="G48" s="731" t="s">
        <v>5049</v>
      </c>
      <c r="H48" s="732">
        <v>40764</v>
      </c>
      <c r="I48" s="733" t="str">
        <f t="shared" si="13"/>
        <v>Jessica Riach</v>
      </c>
      <c r="J48" s="734" t="str">
        <f t="shared" si="14"/>
        <v>Riach,Jessica</v>
      </c>
      <c r="K48" s="735">
        <f t="shared" ca="1" si="15"/>
        <v>12</v>
      </c>
      <c r="L48" s="736" t="str">
        <f t="shared" si="16"/>
        <v>090811</v>
      </c>
      <c r="M48" s="766" t="str">
        <f ca="1">IF(K48=0,0,IF(K48&lt;9,"TOO YOUNG",IF(K48&lt;14,"OK","NOT ELIGIBLE")))</f>
        <v>OK</v>
      </c>
      <c r="AD48" s="722">
        <f t="shared" si="21"/>
        <v>21</v>
      </c>
      <c r="AE48" s="443" t="str">
        <f t="shared" si="22"/>
        <v>Female 13/U 100m Backstroke</v>
      </c>
      <c r="AF48" s="440" t="s">
        <v>4635</v>
      </c>
      <c r="AG48" s="739">
        <v>14</v>
      </c>
      <c r="AH48" s="740">
        <f t="shared" si="17"/>
        <v>1431411</v>
      </c>
      <c r="AI48" s="740" t="str">
        <f t="shared" si="18"/>
        <v>Jessica</v>
      </c>
      <c r="AJ48" s="740" t="str">
        <f t="shared" si="19"/>
        <v>Riach</v>
      </c>
      <c r="AK48" s="740"/>
      <c r="AL48" s="740"/>
      <c r="AM48" s="740"/>
      <c r="AN48" s="740"/>
      <c r="AO48" s="740"/>
      <c r="AQ48" s="741">
        <f t="shared" ca="1" si="20"/>
        <v>40764</v>
      </c>
    </row>
    <row r="49" spans="1:43" ht="20.25" customHeight="1" x14ac:dyDescent="0.25">
      <c r="A49" s="755">
        <v>22</v>
      </c>
      <c r="B49" s="776" t="s">
        <v>4350</v>
      </c>
      <c r="C49" s="777" t="s">
        <v>328</v>
      </c>
      <c r="D49" s="778">
        <v>14</v>
      </c>
      <c r="E49" s="730">
        <v>1359724</v>
      </c>
      <c r="F49" s="731" t="s">
        <v>5029</v>
      </c>
      <c r="G49" s="731" t="s">
        <v>5030</v>
      </c>
      <c r="H49" s="732">
        <v>40431</v>
      </c>
      <c r="I49" s="733" t="str">
        <f t="shared" si="13"/>
        <v>Advay Bhatia</v>
      </c>
      <c r="J49" s="734" t="str">
        <f t="shared" si="14"/>
        <v>Bhatia,Advay</v>
      </c>
      <c r="K49" s="735">
        <f t="shared" ca="1" si="15"/>
        <v>13</v>
      </c>
      <c r="L49" s="736" t="str">
        <f t="shared" si="16"/>
        <v>100910</v>
      </c>
      <c r="M49" s="766" t="str">
        <f ca="1">IF(K49=0,0,IF(K49&lt;9,"TOO YOUNG",IF(K49&lt;14,"OK","NOT ELIGIBLE")))</f>
        <v>OK</v>
      </c>
      <c r="AD49" s="722">
        <f t="shared" si="21"/>
        <v>22</v>
      </c>
      <c r="AE49" s="443" t="str">
        <f t="shared" si="22"/>
        <v>Open/Male 13/U 100m Backstroke</v>
      </c>
      <c r="AF49" s="440" t="s">
        <v>328</v>
      </c>
      <c r="AG49" s="739">
        <v>14</v>
      </c>
      <c r="AH49" s="740">
        <f t="shared" si="17"/>
        <v>1359724</v>
      </c>
      <c r="AI49" s="740" t="str">
        <f t="shared" si="18"/>
        <v>Advay</v>
      </c>
      <c r="AJ49" s="740" t="str">
        <f t="shared" si="19"/>
        <v>Bhatia</v>
      </c>
      <c r="AK49" s="740"/>
      <c r="AL49" s="740"/>
      <c r="AM49" s="740"/>
      <c r="AN49" s="740"/>
      <c r="AO49" s="740"/>
      <c r="AQ49" s="741">
        <f t="shared" ca="1" si="20"/>
        <v>40431</v>
      </c>
    </row>
    <row r="50" spans="1:43" ht="20.25" customHeight="1" x14ac:dyDescent="0.25">
      <c r="A50" s="779">
        <v>23</v>
      </c>
      <c r="B50" s="780" t="s">
        <v>4351</v>
      </c>
      <c r="C50" s="781" t="s">
        <v>4635</v>
      </c>
      <c r="D50" s="782">
        <v>11</v>
      </c>
      <c r="E50" s="730">
        <v>1448309</v>
      </c>
      <c r="F50" s="731" t="s">
        <v>5034</v>
      </c>
      <c r="G50" s="731" t="s">
        <v>5035</v>
      </c>
      <c r="H50" s="732">
        <v>39706</v>
      </c>
      <c r="I50" s="733" t="str">
        <f t="shared" si="13"/>
        <v>Keira Brannigan</v>
      </c>
      <c r="J50" s="734" t="str">
        <f t="shared" si="14"/>
        <v>Brannigan,Keira</v>
      </c>
      <c r="K50" s="735">
        <f t="shared" ca="1" si="15"/>
        <v>15</v>
      </c>
      <c r="L50" s="736" t="str">
        <f t="shared" si="16"/>
        <v>150908</v>
      </c>
      <c r="M50" s="766" t="str">
        <f ca="1">IF(K50=0,0,IF(K50&lt;9,"TOO YOUNG",IF(K50&lt;16,"OK","NOT ELIGIBLE")))</f>
        <v>OK</v>
      </c>
      <c r="AD50" s="722">
        <f t="shared" si="21"/>
        <v>23</v>
      </c>
      <c r="AE50" s="443" t="str">
        <f t="shared" si="22"/>
        <v>Female 15/U 100m Butterfly</v>
      </c>
      <c r="AF50" s="440" t="s">
        <v>4635</v>
      </c>
      <c r="AG50" s="739">
        <v>11</v>
      </c>
      <c r="AH50" s="740">
        <f t="shared" si="17"/>
        <v>1448309</v>
      </c>
      <c r="AI50" s="740" t="str">
        <f t="shared" si="18"/>
        <v>Keira</v>
      </c>
      <c r="AJ50" s="740" t="str">
        <f t="shared" si="19"/>
        <v>Brannigan</v>
      </c>
      <c r="AK50" s="740"/>
      <c r="AL50" s="740"/>
      <c r="AM50" s="740"/>
      <c r="AN50" s="740"/>
      <c r="AO50" s="740"/>
      <c r="AQ50" s="741">
        <f t="shared" ca="1" si="20"/>
        <v>39706</v>
      </c>
    </row>
    <row r="51" spans="1:43" ht="20.25" customHeight="1" x14ac:dyDescent="0.25">
      <c r="A51" s="779">
        <v>24</v>
      </c>
      <c r="B51" s="780" t="s">
        <v>4697</v>
      </c>
      <c r="C51" s="781" t="s">
        <v>328</v>
      </c>
      <c r="D51" s="782">
        <v>11</v>
      </c>
      <c r="E51" s="730">
        <v>1423814</v>
      </c>
      <c r="F51" s="731" t="s">
        <v>5038</v>
      </c>
      <c r="G51" s="731" t="s">
        <v>5039</v>
      </c>
      <c r="H51" s="732">
        <v>39876</v>
      </c>
      <c r="I51" s="733" t="str">
        <f t="shared" si="13"/>
        <v>Aaran Parmar</v>
      </c>
      <c r="J51" s="734" t="str">
        <f t="shared" si="14"/>
        <v>Parmar,Aaran</v>
      </c>
      <c r="K51" s="735">
        <f t="shared" ca="1" si="15"/>
        <v>14</v>
      </c>
      <c r="L51" s="736" t="str">
        <f t="shared" si="16"/>
        <v>040309</v>
      </c>
      <c r="M51" s="766" t="str">
        <f ca="1">IF(K51=0,0,IF(K51&lt;9,"TOO YOUNG",IF(K51&lt;16,"OK","NOT ELIGIBLE")))</f>
        <v>OK</v>
      </c>
      <c r="AD51" s="722">
        <f t="shared" si="21"/>
        <v>24</v>
      </c>
      <c r="AE51" s="443" t="str">
        <f t="shared" si="22"/>
        <v>Open/Male 15/U 100m Butterfly</v>
      </c>
      <c r="AF51" s="440" t="s">
        <v>328</v>
      </c>
      <c r="AG51" s="739">
        <v>11</v>
      </c>
      <c r="AH51" s="740">
        <f t="shared" si="17"/>
        <v>1423814</v>
      </c>
      <c r="AI51" s="740" t="str">
        <f t="shared" si="18"/>
        <v>Aaran</v>
      </c>
      <c r="AJ51" s="740" t="str">
        <f t="shared" si="19"/>
        <v>Parmar</v>
      </c>
      <c r="AK51" s="740"/>
      <c r="AL51" s="740"/>
      <c r="AM51" s="740"/>
      <c r="AN51" s="740"/>
      <c r="AO51" s="740"/>
      <c r="AQ51" s="741">
        <f t="shared" ca="1" si="20"/>
        <v>39876</v>
      </c>
    </row>
    <row r="52" spans="1:43" ht="20.25" customHeight="1" x14ac:dyDescent="0.25">
      <c r="A52" s="727">
        <v>25</v>
      </c>
      <c r="B52" s="742" t="s">
        <v>4353</v>
      </c>
      <c r="C52" s="728" t="s">
        <v>4635</v>
      </c>
      <c r="D52" s="729">
        <v>14</v>
      </c>
      <c r="E52" s="730">
        <v>1176547</v>
      </c>
      <c r="F52" s="731" t="s">
        <v>4889</v>
      </c>
      <c r="G52" s="731" t="s">
        <v>5042</v>
      </c>
      <c r="H52" s="732">
        <v>38784</v>
      </c>
      <c r="I52" s="733" t="str">
        <f t="shared" si="13"/>
        <v>Kayla Van Zyl</v>
      </c>
      <c r="J52" s="734" t="str">
        <f t="shared" si="14"/>
        <v>Van Zyl,Kayla</v>
      </c>
      <c r="K52" s="735">
        <f t="shared" ca="1" si="15"/>
        <v>17</v>
      </c>
      <c r="L52" s="736" t="str">
        <f t="shared" si="16"/>
        <v>080306</v>
      </c>
      <c r="M52" s="770" t="str">
        <f ca="1">IF(K52=0,0,IF(K52&lt;9,"TOO YOUNG",IF(K52&lt;60,"OK","BIT OLD MAYBE")))</f>
        <v>OK</v>
      </c>
      <c r="AD52" s="722">
        <f t="shared" si="21"/>
        <v>25</v>
      </c>
      <c r="AE52" s="443" t="str">
        <f t="shared" si="22"/>
        <v>Female 16+ 100m Backstroke</v>
      </c>
      <c r="AF52" s="440" t="s">
        <v>4635</v>
      </c>
      <c r="AG52" s="739">
        <v>14</v>
      </c>
      <c r="AH52" s="740">
        <f t="shared" si="17"/>
        <v>1176547</v>
      </c>
      <c r="AI52" s="740" t="str">
        <f t="shared" si="18"/>
        <v>Kayla</v>
      </c>
      <c r="AJ52" s="740" t="str">
        <f t="shared" si="19"/>
        <v>Van Zyl</v>
      </c>
      <c r="AK52" s="740"/>
      <c r="AL52" s="740"/>
      <c r="AM52" s="740"/>
      <c r="AN52" s="740"/>
      <c r="AO52" s="740"/>
      <c r="AQ52" s="741">
        <f t="shared" ca="1" si="20"/>
        <v>38784</v>
      </c>
    </row>
    <row r="53" spans="1:43" ht="20.25" customHeight="1" x14ac:dyDescent="0.25">
      <c r="A53" s="727">
        <v>26</v>
      </c>
      <c r="B53" s="742" t="s">
        <v>4698</v>
      </c>
      <c r="C53" s="728" t="s">
        <v>328</v>
      </c>
      <c r="D53" s="729">
        <v>14</v>
      </c>
      <c r="E53" s="730">
        <v>1710400</v>
      </c>
      <c r="F53" s="731" t="s">
        <v>5040</v>
      </c>
      <c r="G53" s="731" t="s">
        <v>5041</v>
      </c>
      <c r="H53" s="732">
        <v>39852</v>
      </c>
      <c r="I53" s="733" t="str">
        <f t="shared" si="13"/>
        <v>Tsz Kwai Chan</v>
      </c>
      <c r="J53" s="734" t="str">
        <f t="shared" si="14"/>
        <v>Chan,Tsz Kwai</v>
      </c>
      <c r="K53" s="735">
        <f t="shared" ca="1" si="15"/>
        <v>14</v>
      </c>
      <c r="L53" s="736" t="str">
        <f t="shared" si="16"/>
        <v>080209</v>
      </c>
      <c r="M53" s="770" t="str">
        <f ca="1">IF(K53=0,0,IF(K53&lt;9,"TOO YOUNG",IF(K53&lt;60,"OK","BIT OLD MAYBE")))</f>
        <v>OK</v>
      </c>
      <c r="AD53" s="722">
        <f t="shared" si="21"/>
        <v>26</v>
      </c>
      <c r="AE53" s="443" t="str">
        <f t="shared" si="22"/>
        <v>Open/Male 16+100m Backstroke</v>
      </c>
      <c r="AF53" s="440" t="s">
        <v>328</v>
      </c>
      <c r="AG53" s="739">
        <v>14</v>
      </c>
      <c r="AH53" s="740">
        <f t="shared" si="17"/>
        <v>1710400</v>
      </c>
      <c r="AI53" s="740" t="str">
        <f t="shared" si="18"/>
        <v>Tsz Kwai</v>
      </c>
      <c r="AJ53" s="740" t="str">
        <f t="shared" si="19"/>
        <v>Chan</v>
      </c>
      <c r="AK53" s="740"/>
      <c r="AL53" s="740"/>
      <c r="AM53" s="740"/>
      <c r="AN53" s="740"/>
      <c r="AO53" s="740"/>
      <c r="AQ53" s="741">
        <f t="shared" ca="1" si="20"/>
        <v>39852</v>
      </c>
    </row>
    <row r="54" spans="1:43" ht="20.25" customHeight="1" x14ac:dyDescent="0.25">
      <c r="A54" s="745">
        <v>27</v>
      </c>
      <c r="B54" s="773" t="s">
        <v>4355</v>
      </c>
      <c r="C54" s="774" t="s">
        <v>4635</v>
      </c>
      <c r="D54" s="775">
        <v>7</v>
      </c>
      <c r="E54" s="730">
        <v>1359728</v>
      </c>
      <c r="F54" s="731" t="s">
        <v>5008</v>
      </c>
      <c r="G54" s="731" t="s">
        <v>5009</v>
      </c>
      <c r="H54" s="732">
        <v>40934</v>
      </c>
      <c r="I54" s="733" t="str">
        <f t="shared" si="13"/>
        <v>Lara Shah</v>
      </c>
      <c r="J54" s="734" t="str">
        <f t="shared" si="14"/>
        <v>Shah,Lara</v>
      </c>
      <c r="K54" s="735">
        <f t="shared" ca="1" si="15"/>
        <v>11</v>
      </c>
      <c r="L54" s="736" t="str">
        <f t="shared" si="16"/>
        <v>260112</v>
      </c>
      <c r="M54" s="766" t="str">
        <f ca="1">IF(K54=0,0,IF(K54&lt;10,"TOO YOUNG",IF(K54&lt;12,"OK","NOT ELIGIBLE")))</f>
        <v>OK</v>
      </c>
      <c r="AD54" s="722">
        <f t="shared" si="21"/>
        <v>27</v>
      </c>
      <c r="AE54" s="443" t="str">
        <f t="shared" si="22"/>
        <v>Female 10/11 50m Breaststroke</v>
      </c>
      <c r="AF54" s="440" t="s">
        <v>4635</v>
      </c>
      <c r="AG54" s="739">
        <v>7</v>
      </c>
      <c r="AH54" s="740">
        <f t="shared" si="17"/>
        <v>1359728</v>
      </c>
      <c r="AI54" s="740" t="str">
        <f t="shared" si="18"/>
        <v>Lara</v>
      </c>
      <c r="AJ54" s="740" t="str">
        <f t="shared" si="19"/>
        <v>Shah</v>
      </c>
      <c r="AK54" s="740"/>
      <c r="AL54" s="740"/>
      <c r="AM54" s="740"/>
      <c r="AN54" s="740"/>
      <c r="AO54" s="740"/>
      <c r="AQ54" s="741">
        <f t="shared" ca="1" si="20"/>
        <v>40934</v>
      </c>
    </row>
    <row r="55" spans="1:43" ht="20.25" customHeight="1" x14ac:dyDescent="0.25">
      <c r="A55" s="745">
        <v>28</v>
      </c>
      <c r="B55" s="773" t="s">
        <v>4356</v>
      </c>
      <c r="C55" s="774" t="s">
        <v>328</v>
      </c>
      <c r="D55" s="775">
        <v>7</v>
      </c>
      <c r="E55" s="730">
        <v>1595466</v>
      </c>
      <c r="F55" s="731" t="s">
        <v>5014</v>
      </c>
      <c r="G55" s="731" t="s">
        <v>5015</v>
      </c>
      <c r="H55" s="732">
        <v>41253</v>
      </c>
      <c r="I55" s="733" t="str">
        <f t="shared" si="13"/>
        <v>Christopher Li Mow Ching</v>
      </c>
      <c r="J55" s="734" t="str">
        <f t="shared" si="14"/>
        <v>Li Mow Ching,Christopher</v>
      </c>
      <c r="K55" s="735">
        <f t="shared" ca="1" si="15"/>
        <v>11</v>
      </c>
      <c r="L55" s="736" t="str">
        <f t="shared" si="16"/>
        <v>101212</v>
      </c>
      <c r="M55" s="766" t="str">
        <f ca="1">IF(K55=0,0,IF(K55&lt;10,"TOO YOUNG",IF(K55&lt;12,"OK","NOT ELIGIBLE")))</f>
        <v>OK</v>
      </c>
      <c r="AD55" s="722">
        <f t="shared" si="21"/>
        <v>28</v>
      </c>
      <c r="AE55" s="443" t="str">
        <f t="shared" si="22"/>
        <v>Open/Male 10/11 50m Breaststroke</v>
      </c>
      <c r="AF55" s="440" t="s">
        <v>328</v>
      </c>
      <c r="AG55" s="739">
        <v>7</v>
      </c>
      <c r="AH55" s="740">
        <f t="shared" si="17"/>
        <v>1595466</v>
      </c>
      <c r="AI55" s="740" t="str">
        <f t="shared" si="18"/>
        <v>Christopher</v>
      </c>
      <c r="AJ55" s="740" t="str">
        <f t="shared" si="19"/>
        <v>Li Mow Ching</v>
      </c>
      <c r="AK55" s="740"/>
      <c r="AL55" s="740"/>
      <c r="AM55" s="740"/>
      <c r="AN55" s="740"/>
      <c r="AO55" s="740"/>
      <c r="AQ55" s="741">
        <f t="shared" ca="1" si="20"/>
        <v>41253</v>
      </c>
    </row>
    <row r="56" spans="1:43" ht="20.25" customHeight="1" x14ac:dyDescent="0.25">
      <c r="A56" s="755">
        <v>29</v>
      </c>
      <c r="B56" s="776" t="s">
        <v>4357</v>
      </c>
      <c r="C56" s="777" t="s">
        <v>4635</v>
      </c>
      <c r="D56" s="778">
        <v>11</v>
      </c>
      <c r="E56" s="730">
        <v>1578356</v>
      </c>
      <c r="F56" s="731" t="s">
        <v>4784</v>
      </c>
      <c r="G56" s="731" t="s">
        <v>5024</v>
      </c>
      <c r="H56" s="732">
        <v>40906</v>
      </c>
      <c r="I56" s="733" t="str">
        <f t="shared" si="13"/>
        <v>Mia Curle</v>
      </c>
      <c r="J56" s="734" t="str">
        <f t="shared" si="14"/>
        <v>Curle,Mia</v>
      </c>
      <c r="K56" s="735">
        <f t="shared" ca="1" si="15"/>
        <v>12</v>
      </c>
      <c r="L56" s="736" t="str">
        <f t="shared" si="16"/>
        <v>291211</v>
      </c>
      <c r="M56" s="766" t="str">
        <f ca="1">IF(K56=0,0,IF(K56&lt;9,"TOO YOUNG",IF(K56&lt;14,"OK","NOT ELIGIBLE")))</f>
        <v>OK</v>
      </c>
      <c r="AD56" s="722">
        <f t="shared" si="21"/>
        <v>29</v>
      </c>
      <c r="AE56" s="443" t="str">
        <f t="shared" si="22"/>
        <v>Female 13/U 100m Butterfly</v>
      </c>
      <c r="AF56" s="440" t="s">
        <v>4635</v>
      </c>
      <c r="AG56" s="739">
        <v>11</v>
      </c>
      <c r="AH56" s="740">
        <f t="shared" si="17"/>
        <v>1578356</v>
      </c>
      <c r="AI56" s="740" t="str">
        <f t="shared" si="18"/>
        <v>Mia</v>
      </c>
      <c r="AJ56" s="740" t="str">
        <f t="shared" si="19"/>
        <v>Curle</v>
      </c>
      <c r="AK56" s="740"/>
      <c r="AL56" s="740"/>
      <c r="AM56" s="740"/>
      <c r="AN56" s="740"/>
      <c r="AO56" s="740"/>
      <c r="AQ56" s="741">
        <f t="shared" ca="1" si="20"/>
        <v>40906</v>
      </c>
    </row>
    <row r="57" spans="1:43" ht="20.25" customHeight="1" x14ac:dyDescent="0.25">
      <c r="A57" s="755">
        <v>30</v>
      </c>
      <c r="B57" s="776" t="s">
        <v>4358</v>
      </c>
      <c r="C57" s="777" t="s">
        <v>328</v>
      </c>
      <c r="D57" s="778">
        <v>11</v>
      </c>
      <c r="E57" s="730">
        <v>1578365</v>
      </c>
      <c r="F57" s="731" t="s">
        <v>4744</v>
      </c>
      <c r="G57" s="731" t="s">
        <v>5031</v>
      </c>
      <c r="H57" s="732">
        <v>40451</v>
      </c>
      <c r="I57" s="733" t="str">
        <f t="shared" si="13"/>
        <v>Daniel Celi</v>
      </c>
      <c r="J57" s="734" t="str">
        <f t="shared" si="14"/>
        <v>Celi,Daniel</v>
      </c>
      <c r="K57" s="735">
        <f t="shared" ca="1" si="15"/>
        <v>13</v>
      </c>
      <c r="L57" s="736" t="str">
        <f t="shared" si="16"/>
        <v>300910</v>
      </c>
      <c r="M57" s="766" t="str">
        <f ca="1">IF(K57=0,0,IF(K57&lt;9,"TOO YOUNG",IF(K57&lt;14,"OK","NOT ELIGIBLE")))</f>
        <v>OK</v>
      </c>
      <c r="AD57" s="722">
        <f t="shared" si="21"/>
        <v>30</v>
      </c>
      <c r="AE57" s="443" t="str">
        <f t="shared" si="22"/>
        <v>Open/Male 13/U 100m Butterfly</v>
      </c>
      <c r="AF57" s="440" t="s">
        <v>328</v>
      </c>
      <c r="AG57" s="739">
        <v>11</v>
      </c>
      <c r="AH57" s="740">
        <f t="shared" si="17"/>
        <v>1578365</v>
      </c>
      <c r="AI57" s="740" t="str">
        <f t="shared" si="18"/>
        <v>Daniel</v>
      </c>
      <c r="AJ57" s="740" t="str">
        <f t="shared" si="19"/>
        <v>Celi</v>
      </c>
      <c r="AK57" s="740"/>
      <c r="AL57" s="740"/>
      <c r="AM57" s="740"/>
      <c r="AN57" s="740"/>
      <c r="AO57" s="740"/>
      <c r="AQ57" s="741">
        <f t="shared" ca="1" si="20"/>
        <v>40451</v>
      </c>
    </row>
    <row r="58" spans="1:43" ht="20.25" customHeight="1" x14ac:dyDescent="0.25">
      <c r="A58" s="779">
        <v>31</v>
      </c>
      <c r="B58" s="780" t="s">
        <v>4359</v>
      </c>
      <c r="C58" s="781" t="s">
        <v>4635</v>
      </c>
      <c r="D58" s="782">
        <v>2</v>
      </c>
      <c r="E58" s="730">
        <v>1408589</v>
      </c>
      <c r="F58" s="731" t="s">
        <v>4792</v>
      </c>
      <c r="G58" s="731" t="s">
        <v>5036</v>
      </c>
      <c r="H58" s="732">
        <v>39584</v>
      </c>
      <c r="I58" s="733" t="str">
        <f t="shared" si="13"/>
        <v>Jessica Sharp</v>
      </c>
      <c r="J58" s="734" t="str">
        <f t="shared" si="14"/>
        <v>Sharp,Jessica</v>
      </c>
      <c r="K58" s="735">
        <f t="shared" ca="1" si="15"/>
        <v>15</v>
      </c>
      <c r="L58" s="736" t="str">
        <f t="shared" si="16"/>
        <v>160508</v>
      </c>
      <c r="M58" s="766" t="str">
        <f ca="1">IF(K58=0,0,IF(K58&lt;9,"TOO YOUNG",IF(K58&lt;16,"OK","NOT ELIGIBLE")))</f>
        <v>OK</v>
      </c>
      <c r="AD58" s="722">
        <f t="shared" si="21"/>
        <v>31</v>
      </c>
      <c r="AE58" s="443" t="str">
        <f t="shared" si="22"/>
        <v>Female 15/U 100m Freestyle</v>
      </c>
      <c r="AF58" s="440" t="s">
        <v>4635</v>
      </c>
      <c r="AG58" s="739">
        <v>2</v>
      </c>
      <c r="AH58" s="740">
        <f t="shared" si="17"/>
        <v>1408589</v>
      </c>
      <c r="AI58" s="740" t="str">
        <f t="shared" si="18"/>
        <v>Jessica</v>
      </c>
      <c r="AJ58" s="740" t="str">
        <f t="shared" si="19"/>
        <v>Sharp</v>
      </c>
      <c r="AK58" s="740"/>
      <c r="AL58" s="740"/>
      <c r="AM58" s="740"/>
      <c r="AN58" s="740"/>
      <c r="AO58" s="740"/>
      <c r="AQ58" s="741">
        <f t="shared" ca="1" si="20"/>
        <v>39584</v>
      </c>
    </row>
    <row r="59" spans="1:43" ht="20.25" customHeight="1" x14ac:dyDescent="0.25">
      <c r="A59" s="779">
        <v>32</v>
      </c>
      <c r="B59" s="780" t="s">
        <v>4360</v>
      </c>
      <c r="C59" s="781" t="s">
        <v>328</v>
      </c>
      <c r="D59" s="782">
        <v>2</v>
      </c>
      <c r="E59" s="730">
        <v>1423814</v>
      </c>
      <c r="F59" s="731" t="s">
        <v>5038</v>
      </c>
      <c r="G59" s="731" t="s">
        <v>5039</v>
      </c>
      <c r="H59" s="732">
        <v>39876</v>
      </c>
      <c r="I59" s="733" t="str">
        <f t="shared" si="13"/>
        <v>Aaran Parmar</v>
      </c>
      <c r="J59" s="734" t="str">
        <f t="shared" si="14"/>
        <v>Parmar,Aaran</v>
      </c>
      <c r="K59" s="735">
        <f t="shared" ca="1" si="15"/>
        <v>14</v>
      </c>
      <c r="L59" s="736" t="str">
        <f t="shared" si="16"/>
        <v>040309</v>
      </c>
      <c r="M59" s="766" t="str">
        <f ca="1">IF(K59=0,0,IF(K59&lt;9,"TOO YOUNG",IF(K59&lt;16,"OK","NOT ELIGIBLE")))</f>
        <v>OK</v>
      </c>
      <c r="AD59" s="722">
        <f t="shared" si="21"/>
        <v>32</v>
      </c>
      <c r="AE59" s="443" t="str">
        <f t="shared" si="22"/>
        <v>Open/Male 15/U 100m Freestyle</v>
      </c>
      <c r="AF59" s="440" t="s">
        <v>328</v>
      </c>
      <c r="AG59" s="739">
        <v>2</v>
      </c>
      <c r="AH59" s="740">
        <f t="shared" si="17"/>
        <v>1423814</v>
      </c>
      <c r="AI59" s="740" t="str">
        <f t="shared" si="18"/>
        <v>Aaran</v>
      </c>
      <c r="AJ59" s="740" t="str">
        <f t="shared" si="19"/>
        <v>Parmar</v>
      </c>
      <c r="AK59" s="740"/>
      <c r="AL59" s="740"/>
      <c r="AM59" s="740"/>
      <c r="AN59" s="740"/>
      <c r="AO59" s="740"/>
      <c r="AQ59" s="741">
        <f t="shared" ca="1" si="20"/>
        <v>39876</v>
      </c>
    </row>
    <row r="60" spans="1:43" ht="20.25" customHeight="1" x14ac:dyDescent="0.25">
      <c r="A60" s="727">
        <v>33</v>
      </c>
      <c r="B60" s="742" t="s">
        <v>4361</v>
      </c>
      <c r="C60" s="742" t="s">
        <v>4635</v>
      </c>
      <c r="D60" s="783">
        <v>8</v>
      </c>
      <c r="E60" s="730">
        <v>1582455</v>
      </c>
      <c r="F60" s="731" t="s">
        <v>5050</v>
      </c>
      <c r="G60" s="731" t="s">
        <v>5051</v>
      </c>
      <c r="H60" s="732">
        <v>39034</v>
      </c>
      <c r="I60" s="733" t="str">
        <f t="shared" si="13"/>
        <v>Julia Ozen</v>
      </c>
      <c r="J60" s="734" t="str">
        <f t="shared" si="14"/>
        <v>Ozen,Julia</v>
      </c>
      <c r="K60" s="735">
        <f t="shared" ca="1" si="15"/>
        <v>17</v>
      </c>
      <c r="L60" s="736" t="str">
        <f t="shared" si="16"/>
        <v>131106</v>
      </c>
      <c r="M60" s="770" t="str">
        <f ca="1">IF(K60=0,0,IF(K60&lt;9,"TOO YOUNG",IF(K60&lt;60,"OK","BIT OLD MAYBE")))</f>
        <v>OK</v>
      </c>
      <c r="AD60" s="722">
        <f t="shared" si="21"/>
        <v>33</v>
      </c>
      <c r="AE60" s="443" t="str">
        <f t="shared" si="22"/>
        <v>Female 16+ 100m Breaststroke</v>
      </c>
      <c r="AF60" s="443" t="s">
        <v>4635</v>
      </c>
      <c r="AG60" s="744">
        <v>9</v>
      </c>
      <c r="AH60" s="740">
        <f t="shared" si="17"/>
        <v>1582455</v>
      </c>
      <c r="AI60" s="740" t="str">
        <f t="shared" si="18"/>
        <v>Julia</v>
      </c>
      <c r="AJ60" s="740" t="str">
        <f t="shared" si="19"/>
        <v>Ozen</v>
      </c>
      <c r="AK60" s="740"/>
      <c r="AL60" s="740"/>
      <c r="AM60" s="740"/>
      <c r="AN60" s="740"/>
      <c r="AO60" s="740"/>
      <c r="AQ60" s="741">
        <f t="shared" ca="1" si="20"/>
        <v>39034</v>
      </c>
    </row>
    <row r="61" spans="1:43" ht="20.25" customHeight="1" x14ac:dyDescent="0.25">
      <c r="A61" s="727">
        <v>34</v>
      </c>
      <c r="B61" s="742" t="s">
        <v>4362</v>
      </c>
      <c r="C61" s="742" t="s">
        <v>328</v>
      </c>
      <c r="D61" s="783">
        <v>8</v>
      </c>
      <c r="E61" s="730">
        <v>923090</v>
      </c>
      <c r="F61" s="731" t="s">
        <v>5045</v>
      </c>
      <c r="G61" s="731" t="s">
        <v>5046</v>
      </c>
      <c r="H61" s="732">
        <v>39136</v>
      </c>
      <c r="I61" s="733" t="str">
        <f t="shared" si="13"/>
        <v>Andrew May</v>
      </c>
      <c r="J61" s="734" t="str">
        <f t="shared" si="14"/>
        <v>May,Andrew</v>
      </c>
      <c r="K61" s="735">
        <f t="shared" ca="1" si="15"/>
        <v>16</v>
      </c>
      <c r="L61" s="736" t="str">
        <f t="shared" si="16"/>
        <v>230207</v>
      </c>
      <c r="M61" s="770" t="str">
        <f ca="1">IF(K61=0,0,IF(K61&lt;9,"TOO YOUNG",IF(K61&lt;60,"OK","BIT OLD MAYBE")))</f>
        <v>OK</v>
      </c>
      <c r="AD61" s="722">
        <f t="shared" si="21"/>
        <v>34</v>
      </c>
      <c r="AE61" s="443" t="str">
        <f t="shared" si="22"/>
        <v>Open/Male 16+ 100m Breaststroke</v>
      </c>
      <c r="AF61" s="443" t="s">
        <v>328</v>
      </c>
      <c r="AG61" s="744">
        <v>9</v>
      </c>
      <c r="AH61" s="740">
        <f t="shared" si="17"/>
        <v>923090</v>
      </c>
      <c r="AI61" s="740" t="str">
        <f t="shared" si="18"/>
        <v>Andrew</v>
      </c>
      <c r="AJ61" s="740" t="str">
        <f t="shared" si="19"/>
        <v>May</v>
      </c>
      <c r="AK61" s="740"/>
      <c r="AL61" s="740"/>
      <c r="AM61" s="740"/>
      <c r="AN61" s="740"/>
      <c r="AO61" s="740"/>
      <c r="AQ61" s="741">
        <f t="shared" ca="1" si="20"/>
        <v>39136</v>
      </c>
    </row>
    <row r="62" spans="1:43" ht="20.25" customHeight="1" x14ac:dyDescent="0.25">
      <c r="A62" s="745">
        <v>35</v>
      </c>
      <c r="B62" s="773" t="s">
        <v>4363</v>
      </c>
      <c r="C62" s="774" t="s">
        <v>4635</v>
      </c>
      <c r="D62" s="775">
        <v>1</v>
      </c>
      <c r="E62" s="730">
        <v>1613127</v>
      </c>
      <c r="F62" s="731" t="s">
        <v>5010</v>
      </c>
      <c r="G62" s="731" t="s">
        <v>5011</v>
      </c>
      <c r="H62" s="732">
        <v>41114</v>
      </c>
      <c r="I62" s="733" t="str">
        <f t="shared" si="13"/>
        <v>Arabella Connick</v>
      </c>
      <c r="J62" s="734" t="str">
        <f t="shared" si="14"/>
        <v>Connick,Arabella</v>
      </c>
      <c r="K62" s="735">
        <f t="shared" ca="1" si="15"/>
        <v>11</v>
      </c>
      <c r="L62" s="736" t="str">
        <f t="shared" si="16"/>
        <v>240712</v>
      </c>
      <c r="M62" s="766" t="str">
        <f ca="1">IF(K62=0,0,IF(K62&lt;10,"TOO YOUNG",IF(K62&lt;12,"OK","NOT ELIGIBLE")))</f>
        <v>OK</v>
      </c>
      <c r="AD62" s="722">
        <f t="shared" si="21"/>
        <v>35</v>
      </c>
      <c r="AE62" s="443" t="str">
        <f t="shared" si="22"/>
        <v>Female 10/11 50m Freestyle</v>
      </c>
      <c r="AF62" s="440" t="s">
        <v>4635</v>
      </c>
      <c r="AG62" s="739">
        <v>1</v>
      </c>
      <c r="AH62" s="740">
        <f t="shared" si="17"/>
        <v>1613127</v>
      </c>
      <c r="AI62" s="740" t="str">
        <f t="shared" si="18"/>
        <v>Arabella</v>
      </c>
      <c r="AJ62" s="740" t="str">
        <f t="shared" si="19"/>
        <v>Connick</v>
      </c>
      <c r="AK62" s="740"/>
      <c r="AL62" s="740"/>
      <c r="AM62" s="740"/>
      <c r="AN62" s="740"/>
      <c r="AO62" s="740"/>
      <c r="AQ62" s="741">
        <f t="shared" ca="1" si="20"/>
        <v>41114</v>
      </c>
    </row>
    <row r="63" spans="1:43" ht="20.25" customHeight="1" x14ac:dyDescent="0.25">
      <c r="A63" s="745">
        <v>36</v>
      </c>
      <c r="B63" s="773" t="s">
        <v>4699</v>
      </c>
      <c r="C63" s="774" t="s">
        <v>328</v>
      </c>
      <c r="D63" s="775">
        <v>1</v>
      </c>
      <c r="E63" s="730">
        <v>1461481</v>
      </c>
      <c r="F63" s="731" t="s">
        <v>5012</v>
      </c>
      <c r="G63" s="731" t="s">
        <v>5013</v>
      </c>
      <c r="H63" s="732">
        <v>41030</v>
      </c>
      <c r="I63" s="733" t="str">
        <f t="shared" si="13"/>
        <v>Arush Agarwal</v>
      </c>
      <c r="J63" s="734" t="str">
        <f t="shared" si="14"/>
        <v>Agarwal,Arush</v>
      </c>
      <c r="K63" s="735">
        <f t="shared" ca="1" si="15"/>
        <v>11</v>
      </c>
      <c r="L63" s="736" t="str">
        <f t="shared" si="16"/>
        <v>010512</v>
      </c>
      <c r="M63" s="766" t="str">
        <f ca="1">IF(K63=0,0,IF(K63&lt;10,"TOO YOUNG",IF(K63&lt;12,"OK","NOT ELIGIBLE")))</f>
        <v>OK</v>
      </c>
      <c r="AD63" s="722">
        <f t="shared" si="21"/>
        <v>36</v>
      </c>
      <c r="AE63" s="443" t="str">
        <f t="shared" si="22"/>
        <v>Open/Male 10/11 50m Freestyle</v>
      </c>
      <c r="AF63" s="440" t="s">
        <v>328</v>
      </c>
      <c r="AG63" s="739">
        <v>1</v>
      </c>
      <c r="AH63" s="740">
        <f t="shared" si="17"/>
        <v>1461481</v>
      </c>
      <c r="AI63" s="740" t="str">
        <f t="shared" si="18"/>
        <v>Arush</v>
      </c>
      <c r="AJ63" s="740" t="str">
        <f t="shared" si="19"/>
        <v>Agarwal</v>
      </c>
      <c r="AK63" s="740"/>
      <c r="AL63" s="740"/>
      <c r="AM63" s="740"/>
      <c r="AN63" s="740"/>
      <c r="AO63" s="740"/>
      <c r="AQ63" s="741">
        <f t="shared" ca="1" si="20"/>
        <v>41030</v>
      </c>
    </row>
    <row r="64" spans="1:43" ht="20.25" customHeight="1" x14ac:dyDescent="0.25">
      <c r="A64" s="755">
        <v>37</v>
      </c>
      <c r="B64" s="776" t="s">
        <v>4365</v>
      </c>
      <c r="C64" s="777" t="s">
        <v>4635</v>
      </c>
      <c r="D64" s="778">
        <v>2</v>
      </c>
      <c r="E64" s="730">
        <v>1502280</v>
      </c>
      <c r="F64" s="731" t="s">
        <v>5025</v>
      </c>
      <c r="G64" s="731" t="s">
        <v>5026</v>
      </c>
      <c r="H64" s="732">
        <v>40450</v>
      </c>
      <c r="I64" s="733" t="str">
        <f t="shared" si="13"/>
        <v>Vaari Mepani</v>
      </c>
      <c r="J64" s="734" t="str">
        <f t="shared" si="14"/>
        <v>Mepani,Vaari</v>
      </c>
      <c r="K64" s="735">
        <f t="shared" ca="1" si="15"/>
        <v>13</v>
      </c>
      <c r="L64" s="736" t="str">
        <f t="shared" si="16"/>
        <v>290910</v>
      </c>
      <c r="M64" s="766" t="str">
        <f ca="1">IF(K64=0,0,IF(K64&lt;9,"TOO YOUNG",IF(K64&lt;14,"OK","NOT ELIGIBLE")))</f>
        <v>OK</v>
      </c>
      <c r="AD64" s="722">
        <f t="shared" si="21"/>
        <v>37</v>
      </c>
      <c r="AE64" s="443" t="str">
        <f t="shared" si="22"/>
        <v>Female 13/U 100m Freestyle</v>
      </c>
      <c r="AF64" s="440" t="s">
        <v>4635</v>
      </c>
      <c r="AG64" s="739">
        <v>2</v>
      </c>
      <c r="AH64" s="740">
        <f t="shared" si="17"/>
        <v>1502280</v>
      </c>
      <c r="AI64" s="740" t="str">
        <f t="shared" si="18"/>
        <v>Vaari</v>
      </c>
      <c r="AJ64" s="740" t="str">
        <f t="shared" si="19"/>
        <v>Mepani</v>
      </c>
      <c r="AK64" s="740"/>
      <c r="AL64" s="740"/>
      <c r="AM64" s="740"/>
      <c r="AN64" s="740"/>
      <c r="AO64" s="740"/>
      <c r="AQ64" s="741">
        <f t="shared" ca="1" si="20"/>
        <v>40450</v>
      </c>
    </row>
    <row r="65" spans="1:43" ht="20.25" customHeight="1" x14ac:dyDescent="0.25">
      <c r="A65" s="755">
        <v>38</v>
      </c>
      <c r="B65" s="776" t="s">
        <v>4366</v>
      </c>
      <c r="C65" s="777" t="s">
        <v>328</v>
      </c>
      <c r="D65" s="778">
        <v>2</v>
      </c>
      <c r="E65" s="730">
        <v>1578365</v>
      </c>
      <c r="F65" s="731" t="s">
        <v>4744</v>
      </c>
      <c r="G65" s="731" t="s">
        <v>5031</v>
      </c>
      <c r="H65" s="732">
        <v>40451</v>
      </c>
      <c r="I65" s="733" t="str">
        <f t="shared" si="13"/>
        <v>Daniel Celi</v>
      </c>
      <c r="J65" s="734" t="str">
        <f t="shared" si="14"/>
        <v>Celi,Daniel</v>
      </c>
      <c r="K65" s="735">
        <f t="shared" ca="1" si="15"/>
        <v>13</v>
      </c>
      <c r="L65" s="736" t="str">
        <f t="shared" si="16"/>
        <v>300910</v>
      </c>
      <c r="M65" s="766" t="str">
        <f ca="1">IF(K65=0,0,IF(K65&lt;9,"TOO YOUNG",IF(K65&lt;14,"OK","NOT ELIGIBLE")))</f>
        <v>OK</v>
      </c>
      <c r="AD65" s="722">
        <f t="shared" si="21"/>
        <v>38</v>
      </c>
      <c r="AE65" s="443" t="str">
        <f t="shared" si="22"/>
        <v>Open/Male 13/U 100m Freestyle</v>
      </c>
      <c r="AF65" s="440" t="s">
        <v>328</v>
      </c>
      <c r="AG65" s="739">
        <v>2</v>
      </c>
      <c r="AH65" s="740">
        <f t="shared" si="17"/>
        <v>1578365</v>
      </c>
      <c r="AI65" s="740" t="str">
        <f t="shared" si="18"/>
        <v>Daniel</v>
      </c>
      <c r="AJ65" s="740" t="str">
        <f t="shared" si="19"/>
        <v>Celi</v>
      </c>
      <c r="AK65" s="740"/>
      <c r="AL65" s="740"/>
      <c r="AM65" s="740"/>
      <c r="AN65" s="740"/>
      <c r="AO65" s="740"/>
      <c r="AQ65" s="741">
        <f t="shared" ca="1" si="20"/>
        <v>40451</v>
      </c>
    </row>
    <row r="66" spans="1:43" ht="20.25" customHeight="1" x14ac:dyDescent="0.25">
      <c r="A66" s="779">
        <v>39</v>
      </c>
      <c r="B66" s="780" t="s">
        <v>4367</v>
      </c>
      <c r="C66" s="781" t="s">
        <v>4635</v>
      </c>
      <c r="D66" s="782">
        <v>8</v>
      </c>
      <c r="E66" s="730">
        <v>1448309</v>
      </c>
      <c r="F66" s="731" t="s">
        <v>5034</v>
      </c>
      <c r="G66" s="731" t="s">
        <v>5035</v>
      </c>
      <c r="H66" s="732">
        <v>39706</v>
      </c>
      <c r="I66" s="733" t="str">
        <f t="shared" si="13"/>
        <v>Keira Brannigan</v>
      </c>
      <c r="J66" s="734" t="str">
        <f t="shared" si="14"/>
        <v>Brannigan,Keira</v>
      </c>
      <c r="K66" s="735">
        <f t="shared" ca="1" si="15"/>
        <v>15</v>
      </c>
      <c r="L66" s="736" t="str">
        <f t="shared" si="16"/>
        <v>150908</v>
      </c>
      <c r="M66" s="766" t="str">
        <f ca="1">IF(K66=0,0,IF(K66&lt;9,"TOO YOUNG",IF(K66&lt;16,"OK","NOT ELIGIBLE")))</f>
        <v>OK</v>
      </c>
      <c r="AD66" s="722">
        <f t="shared" si="21"/>
        <v>39</v>
      </c>
      <c r="AE66" s="443" t="str">
        <f t="shared" si="22"/>
        <v>Female 15/U 100m Breaststroke</v>
      </c>
      <c r="AF66" s="440" t="s">
        <v>4635</v>
      </c>
      <c r="AG66" s="739">
        <v>9</v>
      </c>
      <c r="AH66" s="740">
        <f t="shared" si="17"/>
        <v>1448309</v>
      </c>
      <c r="AI66" s="740" t="str">
        <f t="shared" si="18"/>
        <v>Keira</v>
      </c>
      <c r="AJ66" s="740" t="str">
        <f t="shared" si="19"/>
        <v>Brannigan</v>
      </c>
      <c r="AK66" s="740"/>
      <c r="AL66" s="740"/>
      <c r="AM66" s="740"/>
      <c r="AN66" s="740"/>
      <c r="AO66" s="740"/>
      <c r="AQ66" s="741">
        <f t="shared" ca="1" si="20"/>
        <v>39706</v>
      </c>
    </row>
    <row r="67" spans="1:43" ht="20.25" customHeight="1" x14ac:dyDescent="0.25">
      <c r="A67" s="779">
        <v>40</v>
      </c>
      <c r="B67" s="780" t="s">
        <v>4368</v>
      </c>
      <c r="C67" s="781" t="s">
        <v>328</v>
      </c>
      <c r="D67" s="782">
        <v>8</v>
      </c>
      <c r="E67" s="730">
        <v>1359724</v>
      </c>
      <c r="F67" s="731" t="s">
        <v>5029</v>
      </c>
      <c r="G67" s="731" t="s">
        <v>5030</v>
      </c>
      <c r="H67" s="732">
        <v>40431</v>
      </c>
      <c r="I67" s="733" t="str">
        <f t="shared" si="13"/>
        <v>Advay Bhatia</v>
      </c>
      <c r="J67" s="734" t="str">
        <f t="shared" si="14"/>
        <v>Bhatia,Advay</v>
      </c>
      <c r="K67" s="735">
        <f t="shared" ca="1" si="15"/>
        <v>13</v>
      </c>
      <c r="L67" s="736" t="str">
        <f t="shared" si="16"/>
        <v>100910</v>
      </c>
      <c r="M67" s="766" t="str">
        <f ca="1">IF(K67=0,0,IF(K67&lt;9,"TOO YOUNG",IF(K67&lt;16,"OK","NOT ELIGIBLE")))</f>
        <v>OK</v>
      </c>
      <c r="AD67" s="722">
        <f t="shared" si="21"/>
        <v>40</v>
      </c>
      <c r="AE67" s="443" t="str">
        <f t="shared" si="22"/>
        <v>Open/Male 15/U 100m Breaststroke</v>
      </c>
      <c r="AF67" s="440" t="s">
        <v>328</v>
      </c>
      <c r="AG67" s="739">
        <v>9</v>
      </c>
      <c r="AH67" s="740">
        <f t="shared" si="17"/>
        <v>1359724</v>
      </c>
      <c r="AI67" s="740" t="str">
        <f t="shared" si="18"/>
        <v>Advay</v>
      </c>
      <c r="AJ67" s="740" t="str">
        <f t="shared" si="19"/>
        <v>Bhatia</v>
      </c>
      <c r="AK67" s="740"/>
      <c r="AL67" s="740"/>
      <c r="AM67" s="740"/>
      <c r="AN67" s="740"/>
      <c r="AO67" s="740"/>
      <c r="AQ67" s="741">
        <f t="shared" ca="1" si="20"/>
        <v>40431</v>
      </c>
    </row>
    <row r="68" spans="1:43" ht="20.25" customHeight="1" x14ac:dyDescent="0.25">
      <c r="A68" s="727">
        <v>41</v>
      </c>
      <c r="B68" s="742" t="s">
        <v>4369</v>
      </c>
      <c r="C68" s="728" t="s">
        <v>4635</v>
      </c>
      <c r="D68" s="729">
        <v>2</v>
      </c>
      <c r="E68" s="730">
        <v>57445</v>
      </c>
      <c r="F68" s="731" t="s">
        <v>4969</v>
      </c>
      <c r="G68" s="731" t="s">
        <v>5002</v>
      </c>
      <c r="H68" s="732">
        <v>32995</v>
      </c>
      <c r="I68" s="733" t="str">
        <f t="shared" ref="I68:I101" si="23">CONCATENATE(F68," ",G68)</f>
        <v>Laura Hibberd</v>
      </c>
      <c r="J68" s="734" t="str">
        <f t="shared" ref="J68:J101" si="24">CONCATENATE(G68,",",F68)</f>
        <v>Hibberd,Laura</v>
      </c>
      <c r="K68" s="735">
        <f t="shared" ref="K68:K99" ca="1" si="25">IF(K$2=0,0,IF(AQ68=0,0,IF(COUNTBLANK(AQ68)=1,"",YEAR(K$2)-YEAR(AQ68)-IF(DATE(YEAR(K$2),MONTH(AQ68),DAY(4638))&gt;K$2,1,0))))</f>
        <v>33</v>
      </c>
      <c r="L68" s="736" t="str">
        <f t="shared" ref="L68:L99" si="26">(TEXT(H68,"DDMMYY"))</f>
        <v>020590</v>
      </c>
      <c r="M68" s="770" t="str">
        <f ca="1">IF(K68=0,0,IF(K68&lt;9,"TOO YOUNG",IF(K68&lt;60,"OK","BIT OLD MAYBE")))</f>
        <v>OK</v>
      </c>
      <c r="AD68" s="722">
        <f t="shared" si="21"/>
        <v>41</v>
      </c>
      <c r="AE68" s="443" t="str">
        <f t="shared" si="22"/>
        <v>Female 16+ 100m Freestyle</v>
      </c>
      <c r="AF68" s="440" t="s">
        <v>4635</v>
      </c>
      <c r="AG68" s="739">
        <v>2</v>
      </c>
      <c r="AH68" s="740">
        <f t="shared" ref="AH68:AH99" si="27">E68</f>
        <v>57445</v>
      </c>
      <c r="AI68" s="740" t="str">
        <f t="shared" ref="AI68:AI99" si="28">F68</f>
        <v>Laura</v>
      </c>
      <c r="AJ68" s="740" t="str">
        <f t="shared" ref="AJ68:AJ99" si="29">G68</f>
        <v>Hibberd</v>
      </c>
      <c r="AK68" s="740"/>
      <c r="AL68" s="740"/>
      <c r="AM68" s="740"/>
      <c r="AN68" s="740"/>
      <c r="AO68" s="740"/>
      <c r="AQ68" s="741">
        <f t="shared" ref="AQ68:AQ99" ca="1" si="30">INDIRECT(ADDRESS(ROW(),AQ$3))</f>
        <v>32995</v>
      </c>
    </row>
    <row r="69" spans="1:43" ht="20.25" customHeight="1" x14ac:dyDescent="0.25">
      <c r="A69" s="727">
        <v>42</v>
      </c>
      <c r="B69" s="742" t="s">
        <v>4370</v>
      </c>
      <c r="C69" s="728" t="s">
        <v>328</v>
      </c>
      <c r="D69" s="729">
        <v>2</v>
      </c>
      <c r="E69" s="730">
        <v>1334985</v>
      </c>
      <c r="F69" s="731" t="s">
        <v>4891</v>
      </c>
      <c r="G69" s="731" t="s">
        <v>5003</v>
      </c>
      <c r="H69" s="732">
        <v>39340</v>
      </c>
      <c r="I69" s="733" t="str">
        <f t="shared" si="23"/>
        <v>Liam Treanor</v>
      </c>
      <c r="J69" s="734" t="str">
        <f t="shared" si="24"/>
        <v>Treanor,Liam</v>
      </c>
      <c r="K69" s="735">
        <f t="shared" ca="1" si="25"/>
        <v>16</v>
      </c>
      <c r="L69" s="736" t="str">
        <f t="shared" si="26"/>
        <v>150907</v>
      </c>
      <c r="M69" s="770" t="str">
        <f ca="1">IF(K69=0,0,IF(K69&lt;9,"TOO YOUNG",IF(K69&lt;60,"OK","BIT OLD MAYBE")))</f>
        <v>OK</v>
      </c>
      <c r="AD69" s="722">
        <f t="shared" si="21"/>
        <v>42</v>
      </c>
      <c r="AE69" s="443" t="str">
        <f t="shared" si="22"/>
        <v>Open/Male 16+ 100m Freestyle</v>
      </c>
      <c r="AF69" s="440" t="s">
        <v>328</v>
      </c>
      <c r="AG69" s="739">
        <v>2</v>
      </c>
      <c r="AH69" s="740">
        <f t="shared" si="27"/>
        <v>1334985</v>
      </c>
      <c r="AI69" s="740" t="str">
        <f t="shared" si="28"/>
        <v>Liam</v>
      </c>
      <c r="AJ69" s="740" t="str">
        <f t="shared" si="29"/>
        <v>Treanor</v>
      </c>
      <c r="AK69" s="740"/>
      <c r="AL69" s="740"/>
      <c r="AM69" s="740"/>
      <c r="AN69" s="740"/>
      <c r="AO69" s="740"/>
      <c r="AQ69" s="741">
        <f t="shared" ca="1" si="30"/>
        <v>39340</v>
      </c>
    </row>
    <row r="70" spans="1:43" ht="20.25" customHeight="1" x14ac:dyDescent="0.25">
      <c r="A70" s="1254">
        <v>43</v>
      </c>
      <c r="B70" s="1255" t="s">
        <v>4700</v>
      </c>
      <c r="C70" s="746"/>
      <c r="D70" s="747"/>
      <c r="E70" s="730">
        <v>1613137</v>
      </c>
      <c r="F70" s="731" t="s">
        <v>5006</v>
      </c>
      <c r="G70" s="731" t="s">
        <v>5007</v>
      </c>
      <c r="H70" s="732">
        <v>41653</v>
      </c>
      <c r="I70" s="733" t="str">
        <f t="shared" si="23"/>
        <v>Alexa Homer</v>
      </c>
      <c r="J70" s="734" t="str">
        <f t="shared" si="24"/>
        <v>Homer,Alexa</v>
      </c>
      <c r="K70" s="735">
        <f t="shared" ca="1" si="25"/>
        <v>9</v>
      </c>
      <c r="L70" s="736" t="str">
        <f t="shared" si="26"/>
        <v>140114</v>
      </c>
      <c r="M70" s="766" t="str">
        <f t="shared" ref="M70:M77" ca="1" si="31">IF(K70=0,0,IF(K70&lt;9,"TOO YOUNG",IF(K70&lt;12,"OK","NOT ELIGIBLE")))</f>
        <v>OK</v>
      </c>
      <c r="AD70" s="1244">
        <f t="shared" si="21"/>
        <v>43</v>
      </c>
      <c r="AE70" s="1245" t="str">
        <f t="shared" si="22"/>
        <v>FEMALE 9/11 4 X 50M
MEDLEY RELAY</v>
      </c>
      <c r="AF70" s="749"/>
      <c r="AG70" s="750"/>
      <c r="AH70" s="740">
        <f t="shared" si="27"/>
        <v>1613137</v>
      </c>
      <c r="AI70" s="740" t="str">
        <f t="shared" si="28"/>
        <v>Alexa</v>
      </c>
      <c r="AJ70" s="740" t="str">
        <f t="shared" si="29"/>
        <v>Homer</v>
      </c>
      <c r="AK70" s="740"/>
      <c r="AL70" s="740"/>
      <c r="AM70" s="740"/>
      <c r="AN70" s="740"/>
      <c r="AO70" s="740"/>
      <c r="AQ70" s="741">
        <f t="shared" ca="1" si="30"/>
        <v>41653</v>
      </c>
    </row>
    <row r="71" spans="1:43" ht="20.25" customHeight="1" x14ac:dyDescent="0.25">
      <c r="A71" s="1254"/>
      <c r="B71" s="1255"/>
      <c r="C71" s="751"/>
      <c r="D71" s="752"/>
      <c r="E71" s="730">
        <v>1359728</v>
      </c>
      <c r="F71" s="731" t="s">
        <v>5008</v>
      </c>
      <c r="G71" s="731" t="s">
        <v>5009</v>
      </c>
      <c r="H71" s="732">
        <v>40934</v>
      </c>
      <c r="I71" s="733" t="str">
        <f t="shared" si="23"/>
        <v>Lara Shah</v>
      </c>
      <c r="J71" s="734" t="str">
        <f t="shared" si="24"/>
        <v>Shah,Lara</v>
      </c>
      <c r="K71" s="735">
        <f t="shared" ca="1" si="25"/>
        <v>11</v>
      </c>
      <c r="L71" s="736" t="str">
        <f t="shared" si="26"/>
        <v>260112</v>
      </c>
      <c r="M71" s="766" t="str">
        <f t="shared" ca="1" si="31"/>
        <v>OK</v>
      </c>
      <c r="AD71" s="1244"/>
      <c r="AE71" s="1245"/>
      <c r="AF71" s="753"/>
      <c r="AG71" s="754"/>
      <c r="AH71" s="740">
        <f t="shared" si="27"/>
        <v>1359728</v>
      </c>
      <c r="AI71" s="740" t="str">
        <f t="shared" si="28"/>
        <v>Lara</v>
      </c>
      <c r="AJ71" s="740" t="str">
        <f t="shared" si="29"/>
        <v>Shah</v>
      </c>
      <c r="AK71" s="740"/>
      <c r="AL71" s="740"/>
      <c r="AM71" s="740"/>
      <c r="AN71" s="740"/>
      <c r="AO71" s="740"/>
      <c r="AQ71" s="741">
        <f t="shared" ca="1" si="30"/>
        <v>40934</v>
      </c>
    </row>
    <row r="72" spans="1:43" ht="20.25" customHeight="1" x14ac:dyDescent="0.25">
      <c r="A72" s="1254"/>
      <c r="B72" s="1255"/>
      <c r="C72" s="751"/>
      <c r="D72" s="752"/>
      <c r="E72" s="730">
        <v>1600272</v>
      </c>
      <c r="F72" s="731" t="s">
        <v>5004</v>
      </c>
      <c r="G72" s="731" t="s">
        <v>5005</v>
      </c>
      <c r="H72" s="732">
        <v>41196</v>
      </c>
      <c r="I72" s="733" t="str">
        <f t="shared" si="23"/>
        <v>Zara Jobanputra</v>
      </c>
      <c r="J72" s="734" t="str">
        <f t="shared" si="24"/>
        <v>Jobanputra,Zara</v>
      </c>
      <c r="K72" s="735">
        <f t="shared" ca="1" si="25"/>
        <v>11</v>
      </c>
      <c r="L72" s="736" t="str">
        <f t="shared" si="26"/>
        <v>141012</v>
      </c>
      <c r="M72" s="766" t="str">
        <f t="shared" ca="1" si="31"/>
        <v>OK</v>
      </c>
      <c r="AD72" s="1244"/>
      <c r="AE72" s="1245"/>
      <c r="AF72" s="753"/>
      <c r="AG72" s="754"/>
      <c r="AH72" s="740">
        <f t="shared" si="27"/>
        <v>1600272</v>
      </c>
      <c r="AI72" s="740" t="str">
        <f t="shared" si="28"/>
        <v>Zara</v>
      </c>
      <c r="AJ72" s="740" t="str">
        <f t="shared" si="29"/>
        <v>Jobanputra</v>
      </c>
      <c r="AK72" s="740"/>
      <c r="AL72" s="740"/>
      <c r="AM72" s="740"/>
      <c r="AN72" s="740"/>
      <c r="AO72" s="740"/>
      <c r="AQ72" s="741">
        <f t="shared" ca="1" si="30"/>
        <v>41196</v>
      </c>
    </row>
    <row r="73" spans="1:43" ht="20.25" customHeight="1" x14ac:dyDescent="0.25">
      <c r="A73" s="1254"/>
      <c r="B73" s="1255"/>
      <c r="C73" s="751"/>
      <c r="D73" s="752"/>
      <c r="E73" s="730">
        <v>1613127</v>
      </c>
      <c r="F73" s="731" t="s">
        <v>5010</v>
      </c>
      <c r="G73" s="731" t="s">
        <v>5011</v>
      </c>
      <c r="H73" s="732">
        <v>41114</v>
      </c>
      <c r="I73" s="733" t="str">
        <f t="shared" si="23"/>
        <v>Arabella Connick</v>
      </c>
      <c r="J73" s="734" t="str">
        <f t="shared" si="24"/>
        <v>Connick,Arabella</v>
      </c>
      <c r="K73" s="735">
        <f t="shared" ca="1" si="25"/>
        <v>11</v>
      </c>
      <c r="L73" s="736" t="str">
        <f t="shared" si="26"/>
        <v>240712</v>
      </c>
      <c r="M73" s="766" t="str">
        <f t="shared" ca="1" si="31"/>
        <v>OK</v>
      </c>
      <c r="AD73" s="1244"/>
      <c r="AE73" s="1245"/>
      <c r="AF73" s="753"/>
      <c r="AG73" s="754"/>
      <c r="AH73" s="740">
        <f t="shared" si="27"/>
        <v>1613127</v>
      </c>
      <c r="AI73" s="740" t="str">
        <f t="shared" si="28"/>
        <v>Arabella</v>
      </c>
      <c r="AJ73" s="740" t="str">
        <f t="shared" si="29"/>
        <v>Connick</v>
      </c>
      <c r="AK73" s="740"/>
      <c r="AL73" s="740"/>
      <c r="AM73" s="740"/>
      <c r="AN73" s="740"/>
      <c r="AO73" s="740"/>
      <c r="AQ73" s="741">
        <f t="shared" ca="1" si="30"/>
        <v>41114</v>
      </c>
    </row>
    <row r="74" spans="1:43" ht="20.25" customHeight="1" x14ac:dyDescent="0.25">
      <c r="A74" s="1254">
        <v>44</v>
      </c>
      <c r="B74" s="1255" t="s">
        <v>4701</v>
      </c>
      <c r="C74" s="746"/>
      <c r="D74" s="747"/>
      <c r="E74" s="730">
        <v>1595466</v>
      </c>
      <c r="F74" s="731" t="s">
        <v>5014</v>
      </c>
      <c r="G74" s="731" t="s">
        <v>5015</v>
      </c>
      <c r="H74" s="732">
        <v>41253</v>
      </c>
      <c r="I74" s="733" t="str">
        <f t="shared" si="23"/>
        <v>Christopher Li Mow Ching</v>
      </c>
      <c r="J74" s="734" t="str">
        <f t="shared" si="24"/>
        <v>Li Mow Ching,Christopher</v>
      </c>
      <c r="K74" s="735">
        <f t="shared" ca="1" si="25"/>
        <v>11</v>
      </c>
      <c r="L74" s="736" t="str">
        <f t="shared" si="26"/>
        <v>101212</v>
      </c>
      <c r="M74" s="766" t="str">
        <f t="shared" ca="1" si="31"/>
        <v>OK</v>
      </c>
      <c r="AD74" s="1244">
        <f>A74</f>
        <v>44</v>
      </c>
      <c r="AE74" s="1245" t="str">
        <f>B74</f>
        <v>OPEN/MALE 9/11 4 X 50M
MEDLEY RELAY</v>
      </c>
      <c r="AF74" s="749"/>
      <c r="AG74" s="750"/>
      <c r="AH74" s="740">
        <f t="shared" si="27"/>
        <v>1595466</v>
      </c>
      <c r="AI74" s="740" t="str">
        <f t="shared" si="28"/>
        <v>Christopher</v>
      </c>
      <c r="AJ74" s="740" t="str">
        <f t="shared" si="29"/>
        <v>Li Mow Ching</v>
      </c>
      <c r="AK74" s="740"/>
      <c r="AL74" s="740"/>
      <c r="AM74" s="740"/>
      <c r="AN74" s="740"/>
      <c r="AO74" s="740"/>
      <c r="AQ74" s="741">
        <f t="shared" ca="1" si="30"/>
        <v>41253</v>
      </c>
    </row>
    <row r="75" spans="1:43" ht="20.25" customHeight="1" x14ac:dyDescent="0.25">
      <c r="A75" s="1254"/>
      <c r="B75" s="1255"/>
      <c r="C75" s="751"/>
      <c r="D75" s="752"/>
      <c r="E75" s="730">
        <v>1461481</v>
      </c>
      <c r="F75" s="731" t="s">
        <v>5012</v>
      </c>
      <c r="G75" s="731" t="s">
        <v>5013</v>
      </c>
      <c r="H75" s="732">
        <v>41030</v>
      </c>
      <c r="I75" s="733" t="str">
        <f t="shared" si="23"/>
        <v>Arush Agarwal</v>
      </c>
      <c r="J75" s="734" t="str">
        <f t="shared" si="24"/>
        <v>Agarwal,Arush</v>
      </c>
      <c r="K75" s="735">
        <f t="shared" ca="1" si="25"/>
        <v>11</v>
      </c>
      <c r="L75" s="736" t="str">
        <f t="shared" si="26"/>
        <v>010512</v>
      </c>
      <c r="M75" s="766" t="str">
        <f t="shared" ca="1" si="31"/>
        <v>OK</v>
      </c>
      <c r="AD75" s="1244"/>
      <c r="AE75" s="1245"/>
      <c r="AF75" s="753"/>
      <c r="AG75" s="754"/>
      <c r="AH75" s="740">
        <f t="shared" si="27"/>
        <v>1461481</v>
      </c>
      <c r="AI75" s="740" t="str">
        <f t="shared" si="28"/>
        <v>Arush</v>
      </c>
      <c r="AJ75" s="740" t="str">
        <f t="shared" si="29"/>
        <v>Agarwal</v>
      </c>
      <c r="AK75" s="740"/>
      <c r="AL75" s="740"/>
      <c r="AM75" s="740"/>
      <c r="AN75" s="740"/>
      <c r="AO75" s="740"/>
      <c r="AQ75" s="741">
        <f t="shared" ca="1" si="30"/>
        <v>41030</v>
      </c>
    </row>
    <row r="76" spans="1:43" ht="20.25" customHeight="1" x14ac:dyDescent="0.25">
      <c r="A76" s="1254"/>
      <c r="B76" s="1255"/>
      <c r="C76" s="751"/>
      <c r="D76" s="752"/>
      <c r="E76" s="730">
        <v>1665907</v>
      </c>
      <c r="F76" s="731" t="s">
        <v>5016</v>
      </c>
      <c r="G76" s="731" t="s">
        <v>5017</v>
      </c>
      <c r="H76" s="732">
        <v>41000</v>
      </c>
      <c r="I76" s="733" t="str">
        <f t="shared" si="23"/>
        <v>Jai Bhuwania</v>
      </c>
      <c r="J76" s="734" t="str">
        <f t="shared" si="24"/>
        <v>Bhuwania,Jai</v>
      </c>
      <c r="K76" s="735">
        <f t="shared" ca="1" si="25"/>
        <v>11</v>
      </c>
      <c r="L76" s="736" t="str">
        <f t="shared" si="26"/>
        <v>010412</v>
      </c>
      <c r="M76" s="766" t="str">
        <f t="shared" ca="1" si="31"/>
        <v>OK</v>
      </c>
      <c r="AD76" s="1244"/>
      <c r="AE76" s="1245"/>
      <c r="AF76" s="753"/>
      <c r="AG76" s="754"/>
      <c r="AH76" s="740">
        <f t="shared" si="27"/>
        <v>1665907</v>
      </c>
      <c r="AI76" s="740" t="str">
        <f t="shared" si="28"/>
        <v>Jai</v>
      </c>
      <c r="AJ76" s="740" t="str">
        <f t="shared" si="29"/>
        <v>Bhuwania</v>
      </c>
      <c r="AK76" s="740"/>
      <c r="AL76" s="740"/>
      <c r="AM76" s="740"/>
      <c r="AN76" s="740"/>
      <c r="AO76" s="740"/>
      <c r="AQ76" s="741">
        <f t="shared" ca="1" si="30"/>
        <v>41000</v>
      </c>
    </row>
    <row r="77" spans="1:43" ht="20.25" customHeight="1" x14ac:dyDescent="0.25">
      <c r="A77" s="1254"/>
      <c r="B77" s="1255"/>
      <c r="C77" s="751"/>
      <c r="D77" s="752"/>
      <c r="E77" s="730">
        <v>1704570</v>
      </c>
      <c r="F77" s="731" t="s">
        <v>5018</v>
      </c>
      <c r="G77" s="731" t="s">
        <v>5019</v>
      </c>
      <c r="H77" s="732">
        <v>41078</v>
      </c>
      <c r="I77" s="733" t="str">
        <f t="shared" si="23"/>
        <v>Siddharth Kanjalkar</v>
      </c>
      <c r="J77" s="734" t="str">
        <f t="shared" si="24"/>
        <v>Kanjalkar,Siddharth</v>
      </c>
      <c r="K77" s="735">
        <f t="shared" ca="1" si="25"/>
        <v>11</v>
      </c>
      <c r="L77" s="736" t="str">
        <f t="shared" si="26"/>
        <v>180612</v>
      </c>
      <c r="M77" s="766" t="str">
        <f t="shared" ca="1" si="31"/>
        <v>OK</v>
      </c>
      <c r="AD77" s="1244"/>
      <c r="AE77" s="1245"/>
      <c r="AF77" s="753"/>
      <c r="AG77" s="754"/>
      <c r="AH77" s="740">
        <f t="shared" si="27"/>
        <v>1704570</v>
      </c>
      <c r="AI77" s="740" t="str">
        <f t="shared" si="28"/>
        <v>Siddharth</v>
      </c>
      <c r="AJ77" s="740" t="str">
        <f t="shared" si="29"/>
        <v>Kanjalkar</v>
      </c>
      <c r="AK77" s="740"/>
      <c r="AL77" s="740"/>
      <c r="AM77" s="740"/>
      <c r="AN77" s="740"/>
      <c r="AO77" s="740"/>
      <c r="AQ77" s="741">
        <f t="shared" ca="1" si="30"/>
        <v>41078</v>
      </c>
    </row>
    <row r="78" spans="1:43" ht="20.25" customHeight="1" x14ac:dyDescent="0.25">
      <c r="A78" s="1252">
        <v>45</v>
      </c>
      <c r="B78" s="1253" t="s">
        <v>4702</v>
      </c>
      <c r="C78" s="756"/>
      <c r="D78" s="757"/>
      <c r="E78" s="730">
        <v>1502280</v>
      </c>
      <c r="F78" s="731" t="s">
        <v>5025</v>
      </c>
      <c r="G78" s="731" t="s">
        <v>5026</v>
      </c>
      <c r="H78" s="732">
        <v>40450</v>
      </c>
      <c r="I78" s="733" t="str">
        <f t="shared" si="23"/>
        <v>Vaari Mepani</v>
      </c>
      <c r="J78" s="734" t="str">
        <f t="shared" si="24"/>
        <v>Mepani,Vaari</v>
      </c>
      <c r="K78" s="735">
        <f t="shared" ca="1" si="25"/>
        <v>13</v>
      </c>
      <c r="L78" s="736" t="str">
        <f t="shared" si="26"/>
        <v>290910</v>
      </c>
      <c r="M78" s="766" t="str">
        <f t="shared" ref="M78:M85" ca="1" si="32">IF(K78=0,0,IF(K78&lt;9,"TOO YOUNG",IF(K78&lt;14,"OK","NOT ELIGIBLE")))</f>
        <v>OK</v>
      </c>
      <c r="AD78" s="1244">
        <f>A78</f>
        <v>45</v>
      </c>
      <c r="AE78" s="1245" t="str">
        <f>B78</f>
        <v>FEMALE 13/U 4 X 50M
FREESTYLE RELAY</v>
      </c>
      <c r="AF78" s="749"/>
      <c r="AG78" s="750"/>
      <c r="AH78" s="740">
        <f t="shared" si="27"/>
        <v>1502280</v>
      </c>
      <c r="AI78" s="740" t="str">
        <f t="shared" si="28"/>
        <v>Vaari</v>
      </c>
      <c r="AJ78" s="740" t="str">
        <f t="shared" si="29"/>
        <v>Mepani</v>
      </c>
      <c r="AK78" s="740"/>
      <c r="AL78" s="740"/>
      <c r="AM78" s="740"/>
      <c r="AN78" s="740"/>
      <c r="AO78" s="740"/>
      <c r="AQ78" s="741">
        <f t="shared" ca="1" si="30"/>
        <v>40450</v>
      </c>
    </row>
    <row r="79" spans="1:43" ht="20.25" customHeight="1" x14ac:dyDescent="0.25">
      <c r="A79" s="1252"/>
      <c r="B79" s="1253"/>
      <c r="C79" s="758"/>
      <c r="D79" s="759"/>
      <c r="E79" s="730">
        <v>1627300</v>
      </c>
      <c r="F79" s="731" t="s">
        <v>5022</v>
      </c>
      <c r="G79" s="731" t="s">
        <v>5023</v>
      </c>
      <c r="H79" s="732">
        <v>40633</v>
      </c>
      <c r="I79" s="733" t="str">
        <f t="shared" si="23"/>
        <v>Eliza Mayor</v>
      </c>
      <c r="J79" s="734" t="str">
        <f t="shared" si="24"/>
        <v>Mayor,Eliza</v>
      </c>
      <c r="K79" s="735">
        <f t="shared" ca="1" si="25"/>
        <v>12</v>
      </c>
      <c r="L79" s="736" t="str">
        <f t="shared" si="26"/>
        <v>310311</v>
      </c>
      <c r="M79" s="766" t="str">
        <f t="shared" ca="1" si="32"/>
        <v>OK</v>
      </c>
      <c r="AD79" s="1244"/>
      <c r="AE79" s="1245"/>
      <c r="AF79" s="753"/>
      <c r="AG79" s="754"/>
      <c r="AH79" s="740">
        <f t="shared" si="27"/>
        <v>1627300</v>
      </c>
      <c r="AI79" s="740" t="str">
        <f t="shared" si="28"/>
        <v>Eliza</v>
      </c>
      <c r="AJ79" s="740" t="str">
        <f t="shared" si="29"/>
        <v>Mayor</v>
      </c>
      <c r="AK79" s="740"/>
      <c r="AL79" s="740"/>
      <c r="AM79" s="740"/>
      <c r="AN79" s="740"/>
      <c r="AO79" s="740"/>
      <c r="AQ79" s="741">
        <f t="shared" ca="1" si="30"/>
        <v>40633</v>
      </c>
    </row>
    <row r="80" spans="1:43" ht="20.25" customHeight="1" x14ac:dyDescent="0.25">
      <c r="A80" s="1252"/>
      <c r="B80" s="1253"/>
      <c r="C80" s="758"/>
      <c r="D80" s="759"/>
      <c r="E80" s="730">
        <v>1423788</v>
      </c>
      <c r="F80" s="731" t="s">
        <v>5020</v>
      </c>
      <c r="G80" s="731" t="s">
        <v>5021</v>
      </c>
      <c r="H80" s="732">
        <v>40262</v>
      </c>
      <c r="I80" s="733" t="str">
        <f t="shared" si="23"/>
        <v>Maria Tzanidaki</v>
      </c>
      <c r="J80" s="734" t="str">
        <f t="shared" si="24"/>
        <v>Tzanidaki,Maria</v>
      </c>
      <c r="K80" s="735">
        <f t="shared" ca="1" si="25"/>
        <v>13</v>
      </c>
      <c r="L80" s="736" t="str">
        <f t="shared" si="26"/>
        <v>250310</v>
      </c>
      <c r="M80" s="766" t="str">
        <f t="shared" ca="1" si="32"/>
        <v>OK</v>
      </c>
      <c r="AD80" s="1244"/>
      <c r="AE80" s="1245"/>
      <c r="AF80" s="753"/>
      <c r="AG80" s="754"/>
      <c r="AH80" s="740">
        <f t="shared" si="27"/>
        <v>1423788</v>
      </c>
      <c r="AI80" s="740" t="str">
        <f t="shared" si="28"/>
        <v>Maria</v>
      </c>
      <c r="AJ80" s="740" t="str">
        <f t="shared" si="29"/>
        <v>Tzanidaki</v>
      </c>
      <c r="AK80" s="740"/>
      <c r="AL80" s="740"/>
      <c r="AM80" s="740"/>
      <c r="AN80" s="740"/>
      <c r="AO80" s="740"/>
      <c r="AQ80" s="741">
        <f t="shared" ca="1" si="30"/>
        <v>40262</v>
      </c>
    </row>
    <row r="81" spans="1:43" ht="20.25" customHeight="1" x14ac:dyDescent="0.25">
      <c r="A81" s="1252"/>
      <c r="B81" s="1253"/>
      <c r="C81" s="758"/>
      <c r="D81" s="759"/>
      <c r="E81" s="730">
        <v>1578356</v>
      </c>
      <c r="F81" s="731" t="s">
        <v>4784</v>
      </c>
      <c r="G81" s="731" t="s">
        <v>5024</v>
      </c>
      <c r="H81" s="732">
        <v>40906</v>
      </c>
      <c r="I81" s="733" t="str">
        <f t="shared" si="23"/>
        <v>Mia Curle</v>
      </c>
      <c r="J81" s="734" t="str">
        <f t="shared" si="24"/>
        <v>Curle,Mia</v>
      </c>
      <c r="K81" s="735">
        <f t="shared" ca="1" si="25"/>
        <v>12</v>
      </c>
      <c r="L81" s="736" t="str">
        <f t="shared" si="26"/>
        <v>291211</v>
      </c>
      <c r="M81" s="766" t="str">
        <f t="shared" ca="1" si="32"/>
        <v>OK</v>
      </c>
      <c r="AD81" s="1244"/>
      <c r="AE81" s="1245"/>
      <c r="AF81" s="753"/>
      <c r="AG81" s="754"/>
      <c r="AH81" s="740">
        <f t="shared" si="27"/>
        <v>1578356</v>
      </c>
      <c r="AI81" s="740" t="str">
        <f t="shared" si="28"/>
        <v>Mia</v>
      </c>
      <c r="AJ81" s="740" t="str">
        <f t="shared" si="29"/>
        <v>Curle</v>
      </c>
      <c r="AK81" s="740"/>
      <c r="AL81" s="740"/>
      <c r="AM81" s="740"/>
      <c r="AN81" s="740"/>
      <c r="AO81" s="740"/>
      <c r="AQ81" s="741">
        <f t="shared" ca="1" si="30"/>
        <v>40906</v>
      </c>
    </row>
    <row r="82" spans="1:43" ht="20.25" customHeight="1" x14ac:dyDescent="0.25">
      <c r="A82" s="1252">
        <v>46</v>
      </c>
      <c r="B82" s="1253" t="s">
        <v>4703</v>
      </c>
      <c r="C82" s="756"/>
      <c r="D82" s="757"/>
      <c r="E82" s="730">
        <v>1578365</v>
      </c>
      <c r="F82" s="731" t="s">
        <v>4744</v>
      </c>
      <c r="G82" s="731" t="s">
        <v>5031</v>
      </c>
      <c r="H82" s="732">
        <v>40451</v>
      </c>
      <c r="I82" s="733" t="str">
        <f t="shared" si="23"/>
        <v>Daniel Celi</v>
      </c>
      <c r="J82" s="734" t="str">
        <f t="shared" si="24"/>
        <v>Celi,Daniel</v>
      </c>
      <c r="K82" s="735">
        <f t="shared" ca="1" si="25"/>
        <v>13</v>
      </c>
      <c r="L82" s="736" t="str">
        <f t="shared" si="26"/>
        <v>300910</v>
      </c>
      <c r="M82" s="766" t="str">
        <f t="shared" ca="1" si="32"/>
        <v>OK</v>
      </c>
      <c r="AD82" s="1244">
        <f>A82</f>
        <v>46</v>
      </c>
      <c r="AE82" s="1245" t="str">
        <f>B82</f>
        <v>OPEN/MALE 13/U 4 X 50M
FREESTYLE RELAY</v>
      </c>
      <c r="AF82" s="749"/>
      <c r="AG82" s="750"/>
      <c r="AH82" s="740">
        <f t="shared" si="27"/>
        <v>1578365</v>
      </c>
      <c r="AI82" s="740" t="str">
        <f t="shared" si="28"/>
        <v>Daniel</v>
      </c>
      <c r="AJ82" s="740" t="str">
        <f t="shared" si="29"/>
        <v>Celi</v>
      </c>
      <c r="AK82" s="740"/>
      <c r="AL82" s="740"/>
      <c r="AM82" s="740"/>
      <c r="AN82" s="740"/>
      <c r="AO82" s="740"/>
      <c r="AQ82" s="741">
        <f t="shared" ca="1" si="30"/>
        <v>40451</v>
      </c>
    </row>
    <row r="83" spans="1:43" ht="20.25" customHeight="1" x14ac:dyDescent="0.25">
      <c r="A83" s="1252"/>
      <c r="B83" s="1253"/>
      <c r="C83" s="758"/>
      <c r="D83" s="759"/>
      <c r="E83" s="730">
        <v>1578364</v>
      </c>
      <c r="F83" s="731" t="s">
        <v>5027</v>
      </c>
      <c r="G83" s="731" t="s">
        <v>5028</v>
      </c>
      <c r="H83" s="732">
        <v>40572</v>
      </c>
      <c r="I83" s="733" t="str">
        <f t="shared" si="23"/>
        <v>Nikhil Dawett</v>
      </c>
      <c r="J83" s="734" t="str">
        <f t="shared" si="24"/>
        <v>Dawett,Nikhil</v>
      </c>
      <c r="K83" s="735">
        <f t="shared" ca="1" si="25"/>
        <v>12</v>
      </c>
      <c r="L83" s="736" t="str">
        <f t="shared" si="26"/>
        <v>290111</v>
      </c>
      <c r="M83" s="766" t="str">
        <f t="shared" ca="1" si="32"/>
        <v>OK</v>
      </c>
      <c r="AD83" s="1244"/>
      <c r="AE83" s="1245"/>
      <c r="AF83" s="753"/>
      <c r="AG83" s="754"/>
      <c r="AH83" s="740">
        <f t="shared" si="27"/>
        <v>1578364</v>
      </c>
      <c r="AI83" s="740" t="str">
        <f t="shared" si="28"/>
        <v>Nikhil</v>
      </c>
      <c r="AJ83" s="740" t="str">
        <f t="shared" si="29"/>
        <v>Dawett</v>
      </c>
      <c r="AK83" s="740"/>
      <c r="AL83" s="740"/>
      <c r="AM83" s="740"/>
      <c r="AN83" s="740"/>
      <c r="AO83" s="740"/>
      <c r="AQ83" s="741">
        <f t="shared" ca="1" si="30"/>
        <v>40572</v>
      </c>
    </row>
    <row r="84" spans="1:43" ht="20.25" customHeight="1" x14ac:dyDescent="0.25">
      <c r="A84" s="1252"/>
      <c r="B84" s="1253"/>
      <c r="C84" s="758"/>
      <c r="D84" s="759"/>
      <c r="E84" s="730">
        <v>1359724</v>
      </c>
      <c r="F84" s="731" t="s">
        <v>5029</v>
      </c>
      <c r="G84" s="731" t="s">
        <v>5030</v>
      </c>
      <c r="H84" s="732">
        <v>40431</v>
      </c>
      <c r="I84" s="733" t="str">
        <f t="shared" si="23"/>
        <v>Advay Bhatia</v>
      </c>
      <c r="J84" s="734" t="str">
        <f t="shared" si="24"/>
        <v>Bhatia,Advay</v>
      </c>
      <c r="K84" s="735">
        <f t="shared" ca="1" si="25"/>
        <v>13</v>
      </c>
      <c r="L84" s="736" t="str">
        <f t="shared" si="26"/>
        <v>100910</v>
      </c>
      <c r="M84" s="766" t="str">
        <f t="shared" ca="1" si="32"/>
        <v>OK</v>
      </c>
      <c r="AD84" s="1244"/>
      <c r="AE84" s="1245"/>
      <c r="AF84" s="753"/>
      <c r="AG84" s="754"/>
      <c r="AH84" s="740">
        <f t="shared" si="27"/>
        <v>1359724</v>
      </c>
      <c r="AI84" s="740" t="str">
        <f t="shared" si="28"/>
        <v>Advay</v>
      </c>
      <c r="AJ84" s="740" t="str">
        <f t="shared" si="29"/>
        <v>Bhatia</v>
      </c>
      <c r="AK84" s="740"/>
      <c r="AL84" s="740"/>
      <c r="AM84" s="740"/>
      <c r="AN84" s="740"/>
      <c r="AO84" s="740"/>
      <c r="AQ84" s="741">
        <f t="shared" ca="1" si="30"/>
        <v>40431</v>
      </c>
    </row>
    <row r="85" spans="1:43" ht="20.25" customHeight="1" x14ac:dyDescent="0.25">
      <c r="A85" s="1252"/>
      <c r="B85" s="1253"/>
      <c r="C85" s="758"/>
      <c r="D85" s="759"/>
      <c r="E85" s="730">
        <v>1385687</v>
      </c>
      <c r="F85" s="731" t="s">
        <v>5032</v>
      </c>
      <c r="G85" s="731" t="s">
        <v>5033</v>
      </c>
      <c r="H85" s="732">
        <v>40282</v>
      </c>
      <c r="I85" s="733" t="str">
        <f t="shared" si="23"/>
        <v>Bruno Francisco</v>
      </c>
      <c r="J85" s="734" t="str">
        <f t="shared" si="24"/>
        <v>Francisco,Bruno</v>
      </c>
      <c r="K85" s="735">
        <f t="shared" ca="1" si="25"/>
        <v>13</v>
      </c>
      <c r="L85" s="736" t="str">
        <f t="shared" si="26"/>
        <v>140410</v>
      </c>
      <c r="M85" s="766" t="str">
        <f t="shared" ca="1" si="32"/>
        <v>OK</v>
      </c>
      <c r="AD85" s="1244"/>
      <c r="AE85" s="1245"/>
      <c r="AF85" s="753"/>
      <c r="AG85" s="754"/>
      <c r="AH85" s="740">
        <f t="shared" si="27"/>
        <v>1385687</v>
      </c>
      <c r="AI85" s="740" t="str">
        <f t="shared" si="28"/>
        <v>Bruno</v>
      </c>
      <c r="AJ85" s="740" t="str">
        <f t="shared" si="29"/>
        <v>Francisco</v>
      </c>
      <c r="AK85" s="740"/>
      <c r="AL85" s="740"/>
      <c r="AM85" s="740"/>
      <c r="AN85" s="740"/>
      <c r="AO85" s="740"/>
      <c r="AQ85" s="741">
        <f t="shared" ca="1" si="30"/>
        <v>40282</v>
      </c>
    </row>
    <row r="86" spans="1:43" ht="20.25" customHeight="1" x14ac:dyDescent="0.25">
      <c r="A86" s="1248">
        <v>47</v>
      </c>
      <c r="B86" s="1249" t="s">
        <v>4704</v>
      </c>
      <c r="C86" s="761"/>
      <c r="D86" s="762"/>
      <c r="E86" s="730">
        <v>1665932</v>
      </c>
      <c r="F86" s="731" t="s">
        <v>5047</v>
      </c>
      <c r="G86" s="731" t="s">
        <v>5048</v>
      </c>
      <c r="H86" s="732">
        <v>40014</v>
      </c>
      <c r="I86" s="733" t="str">
        <f t="shared" si="23"/>
        <v>Keanna Roets</v>
      </c>
      <c r="J86" s="734" t="str">
        <f t="shared" si="24"/>
        <v>Roets,Keanna</v>
      </c>
      <c r="K86" s="735">
        <f t="shared" ca="1" si="25"/>
        <v>14</v>
      </c>
      <c r="L86" s="736" t="str">
        <f t="shared" si="26"/>
        <v>200709</v>
      </c>
      <c r="M86" s="766" t="str">
        <f t="shared" ref="M86:M93" ca="1" si="33">IF(K86=0,0,IF(K86&lt;9,"TOO YOUNG",IF(K86&lt;16,"OK","NOT ELIGIBLE")))</f>
        <v>OK</v>
      </c>
      <c r="AD86" s="1244">
        <f>A86</f>
        <v>47</v>
      </c>
      <c r="AE86" s="1245" t="str">
        <f>B86</f>
        <v>FEMALE 15/U 4 X 50M
MEDLEY RELAY</v>
      </c>
      <c r="AF86" s="749"/>
      <c r="AG86" s="750"/>
      <c r="AH86" s="740">
        <f t="shared" si="27"/>
        <v>1665932</v>
      </c>
      <c r="AI86" s="740" t="str">
        <f t="shared" si="28"/>
        <v>Keanna</v>
      </c>
      <c r="AJ86" s="740" t="str">
        <f t="shared" si="29"/>
        <v>Roets</v>
      </c>
      <c r="AK86" s="740"/>
      <c r="AL86" s="740"/>
      <c r="AM86" s="740"/>
      <c r="AN86" s="740"/>
      <c r="AO86" s="740"/>
      <c r="AQ86" s="741">
        <f t="shared" ca="1" si="30"/>
        <v>40014</v>
      </c>
    </row>
    <row r="87" spans="1:43" ht="20.25" customHeight="1" x14ac:dyDescent="0.25">
      <c r="A87" s="1248"/>
      <c r="B87" s="1249"/>
      <c r="C87" s="763"/>
      <c r="D87" s="764"/>
      <c r="E87" s="730">
        <v>1448309</v>
      </c>
      <c r="F87" s="731" t="s">
        <v>5034</v>
      </c>
      <c r="G87" s="731" t="s">
        <v>5035</v>
      </c>
      <c r="H87" s="732">
        <v>39706</v>
      </c>
      <c r="I87" s="733" t="str">
        <f t="shared" si="23"/>
        <v>Keira Brannigan</v>
      </c>
      <c r="J87" s="734" t="str">
        <f t="shared" si="24"/>
        <v>Brannigan,Keira</v>
      </c>
      <c r="K87" s="735">
        <f t="shared" ca="1" si="25"/>
        <v>15</v>
      </c>
      <c r="L87" s="736" t="str">
        <f t="shared" si="26"/>
        <v>150908</v>
      </c>
      <c r="M87" s="766" t="str">
        <f t="shared" ca="1" si="33"/>
        <v>OK</v>
      </c>
      <c r="AD87" s="1244"/>
      <c r="AE87" s="1245"/>
      <c r="AF87" s="753"/>
      <c r="AG87" s="754"/>
      <c r="AH87" s="740">
        <f t="shared" si="27"/>
        <v>1448309</v>
      </c>
      <c r="AI87" s="740" t="str">
        <f t="shared" si="28"/>
        <v>Keira</v>
      </c>
      <c r="AJ87" s="740" t="str">
        <f t="shared" si="29"/>
        <v>Brannigan</v>
      </c>
      <c r="AK87" s="740"/>
      <c r="AL87" s="740"/>
      <c r="AM87" s="740"/>
      <c r="AN87" s="740"/>
      <c r="AO87" s="740"/>
      <c r="AQ87" s="741">
        <f t="shared" ca="1" si="30"/>
        <v>39706</v>
      </c>
    </row>
    <row r="88" spans="1:43" ht="20.25" customHeight="1" x14ac:dyDescent="0.25">
      <c r="A88" s="1248"/>
      <c r="B88" s="1249"/>
      <c r="C88" s="763"/>
      <c r="D88" s="764"/>
      <c r="E88" s="730">
        <v>1408589</v>
      </c>
      <c r="F88" s="731" t="s">
        <v>4792</v>
      </c>
      <c r="G88" s="731" t="s">
        <v>5036</v>
      </c>
      <c r="H88" s="732">
        <v>39584</v>
      </c>
      <c r="I88" s="733" t="str">
        <f t="shared" si="23"/>
        <v>Jessica Sharp</v>
      </c>
      <c r="J88" s="734" t="str">
        <f t="shared" si="24"/>
        <v>Sharp,Jessica</v>
      </c>
      <c r="K88" s="735">
        <f t="shared" ca="1" si="25"/>
        <v>15</v>
      </c>
      <c r="L88" s="736" t="str">
        <f t="shared" si="26"/>
        <v>160508</v>
      </c>
      <c r="M88" s="766" t="str">
        <f t="shared" ca="1" si="33"/>
        <v>OK</v>
      </c>
      <c r="AD88" s="1244"/>
      <c r="AE88" s="1245"/>
      <c r="AF88" s="753"/>
      <c r="AG88" s="754"/>
      <c r="AH88" s="740">
        <f t="shared" si="27"/>
        <v>1408589</v>
      </c>
      <c r="AI88" s="740" t="str">
        <f t="shared" si="28"/>
        <v>Jessica</v>
      </c>
      <c r="AJ88" s="740" t="str">
        <f t="shared" si="29"/>
        <v>Sharp</v>
      </c>
      <c r="AK88" s="740"/>
      <c r="AL88" s="740"/>
      <c r="AM88" s="740"/>
      <c r="AN88" s="740"/>
      <c r="AO88" s="740"/>
      <c r="AQ88" s="741">
        <f t="shared" ca="1" si="30"/>
        <v>39584</v>
      </c>
    </row>
    <row r="89" spans="1:43" ht="20.25" customHeight="1" x14ac:dyDescent="0.25">
      <c r="A89" s="1248"/>
      <c r="B89" s="1249"/>
      <c r="C89" s="763"/>
      <c r="D89" s="764"/>
      <c r="E89" s="730">
        <v>1502280</v>
      </c>
      <c r="F89" s="731" t="s">
        <v>5025</v>
      </c>
      <c r="G89" s="731" t="s">
        <v>5026</v>
      </c>
      <c r="H89" s="732">
        <v>40450</v>
      </c>
      <c r="I89" s="733" t="str">
        <f t="shared" si="23"/>
        <v>Vaari Mepani</v>
      </c>
      <c r="J89" s="734" t="str">
        <f t="shared" si="24"/>
        <v>Mepani,Vaari</v>
      </c>
      <c r="K89" s="735">
        <f t="shared" ca="1" si="25"/>
        <v>13</v>
      </c>
      <c r="L89" s="736" t="str">
        <f t="shared" si="26"/>
        <v>290910</v>
      </c>
      <c r="M89" s="766" t="str">
        <f t="shared" ca="1" si="33"/>
        <v>OK</v>
      </c>
      <c r="AD89" s="1244"/>
      <c r="AE89" s="1245"/>
      <c r="AF89" s="753"/>
      <c r="AG89" s="754"/>
      <c r="AH89" s="740">
        <f t="shared" si="27"/>
        <v>1502280</v>
      </c>
      <c r="AI89" s="740" t="str">
        <f t="shared" si="28"/>
        <v>Vaari</v>
      </c>
      <c r="AJ89" s="740" t="str">
        <f t="shared" si="29"/>
        <v>Mepani</v>
      </c>
      <c r="AK89" s="740"/>
      <c r="AL89" s="740"/>
      <c r="AM89" s="740"/>
      <c r="AN89" s="740"/>
      <c r="AO89" s="740"/>
      <c r="AQ89" s="741">
        <f t="shared" ca="1" si="30"/>
        <v>40450</v>
      </c>
    </row>
    <row r="90" spans="1:43" ht="20.25" customHeight="1" x14ac:dyDescent="0.25">
      <c r="A90" s="1248">
        <v>48</v>
      </c>
      <c r="B90" s="1249" t="s">
        <v>4705</v>
      </c>
      <c r="C90" s="761"/>
      <c r="D90" s="762"/>
      <c r="E90" s="730">
        <v>1710400</v>
      </c>
      <c r="F90" s="731" t="s">
        <v>5040</v>
      </c>
      <c r="G90" s="731" t="s">
        <v>5041</v>
      </c>
      <c r="H90" s="732">
        <v>39852</v>
      </c>
      <c r="I90" s="733" t="str">
        <f t="shared" si="23"/>
        <v>Tsz Kwai Chan</v>
      </c>
      <c r="J90" s="734" t="str">
        <f t="shared" si="24"/>
        <v>Chan,Tsz Kwai</v>
      </c>
      <c r="K90" s="735">
        <f t="shared" ca="1" si="25"/>
        <v>14</v>
      </c>
      <c r="L90" s="736" t="str">
        <f t="shared" si="26"/>
        <v>080209</v>
      </c>
      <c r="M90" s="766" t="str">
        <f t="shared" ca="1" si="33"/>
        <v>OK</v>
      </c>
      <c r="AD90" s="1244">
        <f>A90</f>
        <v>48</v>
      </c>
      <c r="AE90" s="1245" t="str">
        <f>B90</f>
        <v>OPEN/MALE 15/U 4 X 50M
MEDLEY RELAY</v>
      </c>
      <c r="AF90" s="749"/>
      <c r="AG90" s="750"/>
      <c r="AH90" s="740">
        <f t="shared" si="27"/>
        <v>1710400</v>
      </c>
      <c r="AI90" s="740" t="str">
        <f t="shared" si="28"/>
        <v>Tsz Kwai</v>
      </c>
      <c r="AJ90" s="740" t="str">
        <f t="shared" si="29"/>
        <v>Chan</v>
      </c>
      <c r="AK90" s="740"/>
      <c r="AL90" s="740"/>
      <c r="AM90" s="740"/>
      <c r="AN90" s="740"/>
      <c r="AO90" s="740"/>
      <c r="AQ90" s="741">
        <f t="shared" ca="1" si="30"/>
        <v>39852</v>
      </c>
    </row>
    <row r="91" spans="1:43" ht="20.25" customHeight="1" x14ac:dyDescent="0.25">
      <c r="A91" s="1248"/>
      <c r="B91" s="1249"/>
      <c r="C91" s="763"/>
      <c r="D91" s="764"/>
      <c r="E91" s="730">
        <v>1359724</v>
      </c>
      <c r="F91" s="731" t="s">
        <v>5029</v>
      </c>
      <c r="G91" s="731" t="s">
        <v>5030</v>
      </c>
      <c r="H91" s="732">
        <v>40431</v>
      </c>
      <c r="I91" s="733" t="str">
        <f t="shared" si="23"/>
        <v>Advay Bhatia</v>
      </c>
      <c r="J91" s="734" t="str">
        <f t="shared" si="24"/>
        <v>Bhatia,Advay</v>
      </c>
      <c r="K91" s="735">
        <f t="shared" ca="1" si="25"/>
        <v>13</v>
      </c>
      <c r="L91" s="736" t="str">
        <f t="shared" si="26"/>
        <v>100910</v>
      </c>
      <c r="M91" s="766" t="str">
        <f t="shared" ca="1" si="33"/>
        <v>OK</v>
      </c>
      <c r="AD91" s="1244"/>
      <c r="AE91" s="1245"/>
      <c r="AF91" s="753"/>
      <c r="AG91" s="754"/>
      <c r="AH91" s="740">
        <f t="shared" si="27"/>
        <v>1359724</v>
      </c>
      <c r="AI91" s="740" t="str">
        <f t="shared" si="28"/>
        <v>Advay</v>
      </c>
      <c r="AJ91" s="740" t="str">
        <f t="shared" si="29"/>
        <v>Bhatia</v>
      </c>
      <c r="AK91" s="740"/>
      <c r="AL91" s="740"/>
      <c r="AM91" s="740"/>
      <c r="AN91" s="740"/>
      <c r="AO91" s="740"/>
      <c r="AQ91" s="741">
        <f t="shared" ca="1" si="30"/>
        <v>40431</v>
      </c>
    </row>
    <row r="92" spans="1:43" ht="20.25" customHeight="1" x14ac:dyDescent="0.25">
      <c r="A92" s="1248"/>
      <c r="B92" s="1249"/>
      <c r="C92" s="763"/>
      <c r="D92" s="764"/>
      <c r="E92" s="730">
        <v>1423814</v>
      </c>
      <c r="F92" s="731" t="s">
        <v>5038</v>
      </c>
      <c r="G92" s="731" t="s">
        <v>5039</v>
      </c>
      <c r="H92" s="732">
        <v>39876</v>
      </c>
      <c r="I92" s="733" t="str">
        <f t="shared" si="23"/>
        <v>Aaran Parmar</v>
      </c>
      <c r="J92" s="734" t="str">
        <f t="shared" si="24"/>
        <v>Parmar,Aaran</v>
      </c>
      <c r="K92" s="735">
        <f t="shared" ca="1" si="25"/>
        <v>14</v>
      </c>
      <c r="L92" s="736" t="str">
        <f t="shared" si="26"/>
        <v>040309</v>
      </c>
      <c r="M92" s="766" t="str">
        <f t="shared" ca="1" si="33"/>
        <v>OK</v>
      </c>
      <c r="AD92" s="1244"/>
      <c r="AE92" s="1245"/>
      <c r="AF92" s="753"/>
      <c r="AG92" s="754"/>
      <c r="AH92" s="740">
        <f t="shared" si="27"/>
        <v>1423814</v>
      </c>
      <c r="AI92" s="740" t="str">
        <f t="shared" si="28"/>
        <v>Aaran</v>
      </c>
      <c r="AJ92" s="740" t="str">
        <f t="shared" si="29"/>
        <v>Parmar</v>
      </c>
      <c r="AK92" s="740"/>
      <c r="AL92" s="740"/>
      <c r="AM92" s="740"/>
      <c r="AN92" s="740"/>
      <c r="AO92" s="740"/>
      <c r="AQ92" s="741">
        <f t="shared" ca="1" si="30"/>
        <v>39876</v>
      </c>
    </row>
    <row r="93" spans="1:43" ht="20.25" customHeight="1" x14ac:dyDescent="0.25">
      <c r="A93" s="1248"/>
      <c r="B93" s="1249"/>
      <c r="C93" s="763"/>
      <c r="D93" s="764"/>
      <c r="E93" s="730">
        <v>1578365</v>
      </c>
      <c r="F93" s="731" t="s">
        <v>4744</v>
      </c>
      <c r="G93" s="731" t="s">
        <v>5031</v>
      </c>
      <c r="H93" s="732">
        <v>40451</v>
      </c>
      <c r="I93" s="733" t="str">
        <f t="shared" si="23"/>
        <v>Daniel Celi</v>
      </c>
      <c r="J93" s="734" t="str">
        <f t="shared" si="24"/>
        <v>Celi,Daniel</v>
      </c>
      <c r="K93" s="735">
        <f t="shared" ca="1" si="25"/>
        <v>13</v>
      </c>
      <c r="L93" s="736" t="str">
        <f t="shared" si="26"/>
        <v>300910</v>
      </c>
      <c r="M93" s="766" t="str">
        <f t="shared" ca="1" si="33"/>
        <v>OK</v>
      </c>
      <c r="AD93" s="1244"/>
      <c r="AE93" s="1245"/>
      <c r="AF93" s="753"/>
      <c r="AG93" s="754"/>
      <c r="AH93" s="740">
        <f t="shared" si="27"/>
        <v>1578365</v>
      </c>
      <c r="AI93" s="740" t="str">
        <f t="shared" si="28"/>
        <v>Daniel</v>
      </c>
      <c r="AJ93" s="740" t="str">
        <f t="shared" si="29"/>
        <v>Celi</v>
      </c>
      <c r="AK93" s="740"/>
      <c r="AL93" s="740"/>
      <c r="AM93" s="740"/>
      <c r="AN93" s="740"/>
      <c r="AO93" s="740"/>
      <c r="AQ93" s="741">
        <f t="shared" ca="1" si="30"/>
        <v>40451</v>
      </c>
    </row>
    <row r="94" spans="1:43" ht="20.25" customHeight="1" x14ac:dyDescent="0.25">
      <c r="A94" s="1250">
        <v>49</v>
      </c>
      <c r="B94" s="1251" t="s">
        <v>4706</v>
      </c>
      <c r="C94" s="768"/>
      <c r="D94" s="769"/>
      <c r="E94" s="731">
        <v>1259297</v>
      </c>
      <c r="F94" s="731" t="s">
        <v>5043</v>
      </c>
      <c r="G94" s="731" t="s">
        <v>5044</v>
      </c>
      <c r="H94" s="732">
        <v>38809</v>
      </c>
      <c r="I94" s="733" t="str">
        <f t="shared" si="23"/>
        <v>Aoife O'Leary</v>
      </c>
      <c r="J94" s="734" t="str">
        <f t="shared" si="24"/>
        <v>O'Leary,Aoife</v>
      </c>
      <c r="K94" s="735">
        <f t="shared" ca="1" si="25"/>
        <v>17</v>
      </c>
      <c r="L94" s="736" t="str">
        <f t="shared" si="26"/>
        <v>020406</v>
      </c>
      <c r="M94" s="770" t="str">
        <f t="shared" ref="M94:M109" ca="1" si="34">IF(K94=0,0,IF(K94&lt;9,"TOO YOUNG",IF(K94&lt;60,"OK","BIT OLD MAYBE")))</f>
        <v>OK</v>
      </c>
      <c r="AD94" s="1244">
        <f>A94</f>
        <v>49</v>
      </c>
      <c r="AE94" s="1245" t="str">
        <f>B94</f>
        <v>FEMALE 16+4 X 50M
FREESTYLE RELAY</v>
      </c>
      <c r="AF94" s="749"/>
      <c r="AG94" s="750"/>
      <c r="AH94" s="740">
        <f t="shared" si="27"/>
        <v>1259297</v>
      </c>
      <c r="AI94" s="740" t="str">
        <f t="shared" si="28"/>
        <v>Aoife</v>
      </c>
      <c r="AJ94" s="740" t="str">
        <f t="shared" si="29"/>
        <v>O'Leary</v>
      </c>
      <c r="AK94" s="740"/>
      <c r="AL94" s="740"/>
      <c r="AM94" s="740"/>
      <c r="AN94" s="740"/>
      <c r="AO94" s="740"/>
      <c r="AQ94" s="741">
        <f t="shared" ca="1" si="30"/>
        <v>38809</v>
      </c>
    </row>
    <row r="95" spans="1:43" ht="20.25" customHeight="1" x14ac:dyDescent="0.25">
      <c r="A95" s="1250"/>
      <c r="B95" s="1251"/>
      <c r="C95" s="771"/>
      <c r="D95" s="772"/>
      <c r="E95" s="730">
        <v>57445</v>
      </c>
      <c r="F95" s="731" t="s">
        <v>4969</v>
      </c>
      <c r="G95" s="731" t="s">
        <v>5002</v>
      </c>
      <c r="H95" s="732">
        <v>32995</v>
      </c>
      <c r="I95" s="733" t="str">
        <f t="shared" si="23"/>
        <v>Laura Hibberd</v>
      </c>
      <c r="J95" s="734" t="str">
        <f t="shared" si="24"/>
        <v>Hibberd,Laura</v>
      </c>
      <c r="K95" s="735">
        <f t="shared" ca="1" si="25"/>
        <v>33</v>
      </c>
      <c r="L95" s="736" t="str">
        <f t="shared" si="26"/>
        <v>020590</v>
      </c>
      <c r="M95" s="770" t="str">
        <f t="shared" ca="1" si="34"/>
        <v>OK</v>
      </c>
      <c r="AD95" s="1244"/>
      <c r="AE95" s="1245"/>
      <c r="AF95" s="753"/>
      <c r="AG95" s="754"/>
      <c r="AH95" s="740">
        <f t="shared" si="27"/>
        <v>57445</v>
      </c>
      <c r="AI95" s="740" t="str">
        <f t="shared" si="28"/>
        <v>Laura</v>
      </c>
      <c r="AJ95" s="740" t="str">
        <f t="shared" si="29"/>
        <v>Hibberd</v>
      </c>
      <c r="AK95" s="740"/>
      <c r="AL95" s="740"/>
      <c r="AM95" s="740"/>
      <c r="AN95" s="740"/>
      <c r="AO95" s="740"/>
      <c r="AQ95" s="741">
        <f t="shared" ca="1" si="30"/>
        <v>32995</v>
      </c>
    </row>
    <row r="96" spans="1:43" ht="20.25" customHeight="1" x14ac:dyDescent="0.25">
      <c r="A96" s="1250"/>
      <c r="B96" s="1251"/>
      <c r="C96" s="771"/>
      <c r="D96" s="772"/>
      <c r="E96" s="730">
        <v>1176547</v>
      </c>
      <c r="F96" s="731" t="s">
        <v>4889</v>
      </c>
      <c r="G96" s="731" t="s">
        <v>5042</v>
      </c>
      <c r="H96" s="732">
        <v>38784</v>
      </c>
      <c r="I96" s="733" t="str">
        <f t="shared" si="23"/>
        <v>Kayla Van Zyl</v>
      </c>
      <c r="J96" s="734" t="str">
        <f t="shared" si="24"/>
        <v>Van Zyl,Kayla</v>
      </c>
      <c r="K96" s="735">
        <f t="shared" ca="1" si="25"/>
        <v>17</v>
      </c>
      <c r="L96" s="736" t="str">
        <f t="shared" si="26"/>
        <v>080306</v>
      </c>
      <c r="M96" s="770" t="str">
        <f t="shared" ca="1" si="34"/>
        <v>OK</v>
      </c>
      <c r="AD96" s="1244"/>
      <c r="AE96" s="1245"/>
      <c r="AF96" s="753"/>
      <c r="AG96" s="754"/>
      <c r="AH96" s="740">
        <f t="shared" si="27"/>
        <v>1176547</v>
      </c>
      <c r="AI96" s="740" t="str">
        <f t="shared" si="28"/>
        <v>Kayla</v>
      </c>
      <c r="AJ96" s="740" t="str">
        <f t="shared" si="29"/>
        <v>Van Zyl</v>
      </c>
      <c r="AK96" s="740"/>
      <c r="AL96" s="740"/>
      <c r="AM96" s="740"/>
      <c r="AN96" s="740"/>
      <c r="AO96" s="740"/>
      <c r="AQ96" s="741">
        <f t="shared" ca="1" si="30"/>
        <v>38784</v>
      </c>
    </row>
    <row r="97" spans="1:43" ht="20.25" customHeight="1" x14ac:dyDescent="0.25">
      <c r="A97" s="1250"/>
      <c r="B97" s="1251"/>
      <c r="C97" s="771"/>
      <c r="D97" s="772"/>
      <c r="E97" s="730">
        <v>1408589</v>
      </c>
      <c r="F97" s="731" t="s">
        <v>4792</v>
      </c>
      <c r="G97" s="731" t="s">
        <v>5036</v>
      </c>
      <c r="H97" s="732">
        <v>39584</v>
      </c>
      <c r="I97" s="733" t="str">
        <f t="shared" si="23"/>
        <v>Jessica Sharp</v>
      </c>
      <c r="J97" s="734" t="str">
        <f t="shared" si="24"/>
        <v>Sharp,Jessica</v>
      </c>
      <c r="K97" s="735">
        <f t="shared" ca="1" si="25"/>
        <v>15</v>
      </c>
      <c r="L97" s="736" t="str">
        <f t="shared" si="26"/>
        <v>160508</v>
      </c>
      <c r="M97" s="770" t="str">
        <f t="shared" ca="1" si="34"/>
        <v>OK</v>
      </c>
      <c r="AD97" s="1244"/>
      <c r="AE97" s="1245"/>
      <c r="AF97" s="753"/>
      <c r="AG97" s="754"/>
      <c r="AH97" s="740">
        <f t="shared" si="27"/>
        <v>1408589</v>
      </c>
      <c r="AI97" s="740" t="str">
        <f t="shared" si="28"/>
        <v>Jessica</v>
      </c>
      <c r="AJ97" s="740" t="str">
        <f t="shared" si="29"/>
        <v>Sharp</v>
      </c>
      <c r="AK97" s="740"/>
      <c r="AL97" s="740"/>
      <c r="AM97" s="740"/>
      <c r="AN97" s="740"/>
      <c r="AO97" s="740"/>
      <c r="AQ97" s="741">
        <f t="shared" ca="1" si="30"/>
        <v>39584</v>
      </c>
    </row>
    <row r="98" spans="1:43" ht="20.25" customHeight="1" x14ac:dyDescent="0.25">
      <c r="A98" s="1242">
        <v>50</v>
      </c>
      <c r="B98" s="1243" t="s">
        <v>4707</v>
      </c>
      <c r="C98" s="768"/>
      <c r="D98" s="769"/>
      <c r="E98" s="730">
        <v>923090</v>
      </c>
      <c r="F98" s="731" t="s">
        <v>5045</v>
      </c>
      <c r="G98" s="731" t="s">
        <v>5046</v>
      </c>
      <c r="H98" s="732">
        <v>39136</v>
      </c>
      <c r="I98" s="733" t="str">
        <f t="shared" si="23"/>
        <v>Andrew May</v>
      </c>
      <c r="J98" s="734" t="str">
        <f t="shared" si="24"/>
        <v>May,Andrew</v>
      </c>
      <c r="K98" s="735">
        <f t="shared" ca="1" si="25"/>
        <v>16</v>
      </c>
      <c r="L98" s="736" t="str">
        <f t="shared" si="26"/>
        <v>230207</v>
      </c>
      <c r="M98" s="770" t="str">
        <f t="shared" ca="1" si="34"/>
        <v>OK</v>
      </c>
      <c r="AD98" s="1244">
        <f>A98</f>
        <v>50</v>
      </c>
      <c r="AE98" s="1245" t="str">
        <f>B98</f>
        <v>OPEN/MALE 16+4 X 50M
FREESTYLE RELAY</v>
      </c>
      <c r="AF98" s="749"/>
      <c r="AG98" s="750"/>
      <c r="AH98" s="740">
        <f t="shared" si="27"/>
        <v>923090</v>
      </c>
      <c r="AI98" s="740" t="str">
        <f t="shared" si="28"/>
        <v>Andrew</v>
      </c>
      <c r="AJ98" s="740" t="str">
        <f t="shared" si="29"/>
        <v>May</v>
      </c>
      <c r="AK98" s="740"/>
      <c r="AL98" s="740"/>
      <c r="AM98" s="740"/>
      <c r="AN98" s="740"/>
      <c r="AO98" s="740"/>
      <c r="AQ98" s="741">
        <f t="shared" ca="1" si="30"/>
        <v>39136</v>
      </c>
    </row>
    <row r="99" spans="1:43" ht="20.25" customHeight="1" x14ac:dyDescent="0.25">
      <c r="A99" s="1242"/>
      <c r="B99" s="1243"/>
      <c r="C99" s="771"/>
      <c r="D99" s="772"/>
      <c r="E99" s="730">
        <v>1436494</v>
      </c>
      <c r="F99" s="731" t="s">
        <v>5052</v>
      </c>
      <c r="G99" s="731" t="s">
        <v>5053</v>
      </c>
      <c r="H99" s="732">
        <v>38535</v>
      </c>
      <c r="I99" s="733" t="str">
        <f t="shared" si="23"/>
        <v>Adam Zoubiri</v>
      </c>
      <c r="J99" s="734" t="str">
        <f t="shared" si="24"/>
        <v>Zoubiri,Adam</v>
      </c>
      <c r="K99" s="735">
        <f t="shared" ca="1" si="25"/>
        <v>18</v>
      </c>
      <c r="L99" s="736" t="str">
        <f t="shared" si="26"/>
        <v>020705</v>
      </c>
      <c r="M99" s="770" t="str">
        <f t="shared" ca="1" si="34"/>
        <v>OK</v>
      </c>
      <c r="AD99" s="1244"/>
      <c r="AE99" s="1245"/>
      <c r="AF99" s="753"/>
      <c r="AG99" s="754"/>
      <c r="AH99" s="740">
        <f t="shared" si="27"/>
        <v>1436494</v>
      </c>
      <c r="AI99" s="740" t="str">
        <f t="shared" si="28"/>
        <v>Adam</v>
      </c>
      <c r="AJ99" s="740" t="str">
        <f t="shared" si="29"/>
        <v>Zoubiri</v>
      </c>
      <c r="AK99" s="740"/>
      <c r="AL99" s="740"/>
      <c r="AM99" s="740"/>
      <c r="AN99" s="740"/>
      <c r="AO99" s="740"/>
      <c r="AQ99" s="741">
        <f t="shared" ca="1" si="30"/>
        <v>38535</v>
      </c>
    </row>
    <row r="100" spans="1:43" ht="20.25" customHeight="1" x14ac:dyDescent="0.25">
      <c r="A100" s="1242"/>
      <c r="B100" s="1243"/>
      <c r="C100" s="771"/>
      <c r="D100" s="772"/>
      <c r="E100" s="730">
        <v>1334985</v>
      </c>
      <c r="F100" s="731" t="s">
        <v>4891</v>
      </c>
      <c r="G100" s="731" t="s">
        <v>5003</v>
      </c>
      <c r="H100" s="732">
        <v>39340</v>
      </c>
      <c r="I100" s="733" t="str">
        <f t="shared" si="23"/>
        <v>Liam Treanor</v>
      </c>
      <c r="J100" s="734" t="str">
        <f t="shared" si="24"/>
        <v>Treanor,Liam</v>
      </c>
      <c r="K100" s="735">
        <f t="shared" ref="K100:K109" ca="1" si="35">IF(K$2=0,0,IF(AQ100=0,0,IF(COUNTBLANK(AQ100)=1,"",YEAR(K$2)-YEAR(AQ100)-IF(DATE(YEAR(K$2),MONTH(AQ100),DAY(4638))&gt;K$2,1,0))))</f>
        <v>16</v>
      </c>
      <c r="L100" s="736" t="str">
        <f t="shared" ref="L100:L109" si="36">(TEXT(H100,"DDMMYY"))</f>
        <v>150907</v>
      </c>
      <c r="M100" s="770" t="str">
        <f t="shared" ca="1" si="34"/>
        <v>OK</v>
      </c>
      <c r="AD100" s="1244"/>
      <c r="AE100" s="1245"/>
      <c r="AF100" s="753"/>
      <c r="AG100" s="754"/>
      <c r="AH100" s="740">
        <f t="shared" ref="AH100:AH105" si="37">E100</f>
        <v>1334985</v>
      </c>
      <c r="AI100" s="740" t="str">
        <f t="shared" ref="AI100:AI105" si="38">F100</f>
        <v>Liam</v>
      </c>
      <c r="AJ100" s="740" t="str">
        <f t="shared" ref="AJ100:AJ105" si="39">G100</f>
        <v>Treanor</v>
      </c>
      <c r="AK100" s="740"/>
      <c r="AL100" s="740"/>
      <c r="AM100" s="740"/>
      <c r="AN100" s="740"/>
      <c r="AO100" s="740"/>
      <c r="AQ100" s="741">
        <f t="shared" ref="AQ100:AQ109" ca="1" si="40">INDIRECT(ADDRESS(ROW(),AQ$3))</f>
        <v>39340</v>
      </c>
    </row>
    <row r="101" spans="1:43" ht="20.25" customHeight="1" x14ac:dyDescent="0.25">
      <c r="A101" s="1242"/>
      <c r="B101" s="1243"/>
      <c r="C101" s="771"/>
      <c r="D101" s="772"/>
      <c r="E101" s="730">
        <v>1436488</v>
      </c>
      <c r="F101" s="731" t="s">
        <v>4945</v>
      </c>
      <c r="G101" s="731" t="s">
        <v>4647</v>
      </c>
      <c r="H101" s="732">
        <v>38944</v>
      </c>
      <c r="I101" s="733" t="str">
        <f t="shared" si="23"/>
        <v>Aaron Skinner</v>
      </c>
      <c r="J101" s="734" t="str">
        <f t="shared" si="24"/>
        <v>Skinner,Aaron</v>
      </c>
      <c r="K101" s="735">
        <f t="shared" ca="1" si="35"/>
        <v>17</v>
      </c>
      <c r="L101" s="736" t="str">
        <f t="shared" si="36"/>
        <v>150806</v>
      </c>
      <c r="M101" s="770" t="str">
        <f t="shared" ca="1" si="34"/>
        <v>OK</v>
      </c>
      <c r="AD101" s="1244"/>
      <c r="AE101" s="1245"/>
      <c r="AF101" s="753"/>
      <c r="AG101" s="754"/>
      <c r="AH101" s="740">
        <f t="shared" si="37"/>
        <v>1436488</v>
      </c>
      <c r="AI101" s="740" t="str">
        <f t="shared" si="38"/>
        <v>Aaron</v>
      </c>
      <c r="AJ101" s="740" t="str">
        <f t="shared" si="39"/>
        <v>Skinner</v>
      </c>
      <c r="AK101" s="740"/>
      <c r="AL101" s="740"/>
      <c r="AM101" s="740"/>
      <c r="AN101" s="740"/>
      <c r="AO101" s="740"/>
      <c r="AQ101" s="741">
        <f t="shared" ca="1" si="40"/>
        <v>38944</v>
      </c>
    </row>
    <row r="102" spans="1:43" ht="20.25" customHeight="1" x14ac:dyDescent="0.25">
      <c r="A102" s="1246">
        <v>51</v>
      </c>
      <c r="B102" s="1247" t="s">
        <v>4708</v>
      </c>
      <c r="C102" s="20"/>
      <c r="D102" s="784"/>
      <c r="E102" s="730">
        <v>1423814</v>
      </c>
      <c r="F102" s="731" t="s">
        <v>5038</v>
      </c>
      <c r="G102" s="731" t="s">
        <v>5039</v>
      </c>
      <c r="H102" s="732">
        <v>39876</v>
      </c>
      <c r="I102" s="785"/>
      <c r="J102" s="785"/>
      <c r="K102" s="735">
        <f t="shared" ca="1" si="35"/>
        <v>14</v>
      </c>
      <c r="L102" s="736" t="str">
        <f t="shared" si="36"/>
        <v>040309</v>
      </c>
      <c r="M102" s="770" t="str">
        <f t="shared" ca="1" si="34"/>
        <v>OK</v>
      </c>
      <c r="AD102" s="1244">
        <f>A102</f>
        <v>51</v>
      </c>
      <c r="AE102" s="1245" t="str">
        <f>B102</f>
        <v>SQUADRON RELAY 8 X 50M
1 MALE &amp; 1 FEMALE FROM EACH AGE GROUP
SWIM IN ANY ORDER</v>
      </c>
      <c r="AF102" s="786"/>
      <c r="AG102" s="787"/>
      <c r="AH102" s="740">
        <f t="shared" si="37"/>
        <v>1423814</v>
      </c>
      <c r="AI102" s="740" t="str">
        <f t="shared" si="38"/>
        <v>Aaran</v>
      </c>
      <c r="AJ102" s="740" t="str">
        <f t="shared" si="39"/>
        <v>Parmar</v>
      </c>
      <c r="AK102" s="740"/>
      <c r="AL102" s="740"/>
      <c r="AM102" s="740"/>
      <c r="AN102" s="740"/>
      <c r="AO102" s="740"/>
      <c r="AQ102" s="741">
        <f t="shared" ca="1" si="40"/>
        <v>39876</v>
      </c>
    </row>
    <row r="103" spans="1:43" ht="20.25" customHeight="1" x14ac:dyDescent="0.25">
      <c r="A103" s="1246"/>
      <c r="B103" s="1247"/>
      <c r="C103" s="20"/>
      <c r="D103" s="784"/>
      <c r="E103" s="730">
        <v>1578365</v>
      </c>
      <c r="F103" s="731" t="s">
        <v>4744</v>
      </c>
      <c r="G103" s="731" t="s">
        <v>5031</v>
      </c>
      <c r="H103" s="732">
        <v>40451</v>
      </c>
      <c r="I103" s="785"/>
      <c r="J103" s="785"/>
      <c r="K103" s="735">
        <f t="shared" ca="1" si="35"/>
        <v>13</v>
      </c>
      <c r="L103" s="736" t="str">
        <f t="shared" si="36"/>
        <v>300910</v>
      </c>
      <c r="M103" s="770" t="str">
        <f t="shared" ca="1" si="34"/>
        <v>OK</v>
      </c>
      <c r="AD103" s="1244"/>
      <c r="AE103" s="1245"/>
      <c r="AF103" s="786"/>
      <c r="AG103" s="787"/>
      <c r="AH103" s="740">
        <f t="shared" si="37"/>
        <v>1578365</v>
      </c>
      <c r="AI103" s="740" t="str">
        <f t="shared" si="38"/>
        <v>Daniel</v>
      </c>
      <c r="AJ103" s="740" t="str">
        <f t="shared" si="39"/>
        <v>Celi</v>
      </c>
      <c r="AK103" s="740"/>
      <c r="AL103" s="740"/>
      <c r="AM103" s="740"/>
      <c r="AN103" s="740"/>
      <c r="AO103" s="740"/>
      <c r="AQ103" s="741">
        <f t="shared" ca="1" si="40"/>
        <v>40451</v>
      </c>
    </row>
    <row r="104" spans="1:43" ht="20.25" customHeight="1" x14ac:dyDescent="0.25">
      <c r="A104" s="1246"/>
      <c r="B104" s="1247"/>
      <c r="C104" s="20"/>
      <c r="D104" s="784"/>
      <c r="E104" s="730">
        <v>1448309</v>
      </c>
      <c r="F104" s="731" t="s">
        <v>5034</v>
      </c>
      <c r="G104" s="731" t="s">
        <v>5035</v>
      </c>
      <c r="H104" s="732">
        <v>39706</v>
      </c>
      <c r="I104" s="785"/>
      <c r="J104" s="785"/>
      <c r="K104" s="735">
        <f t="shared" ca="1" si="35"/>
        <v>15</v>
      </c>
      <c r="L104" s="736" t="str">
        <f t="shared" si="36"/>
        <v>150908</v>
      </c>
      <c r="M104" s="770" t="str">
        <f t="shared" ca="1" si="34"/>
        <v>OK</v>
      </c>
      <c r="AD104" s="1244"/>
      <c r="AE104" s="1245"/>
      <c r="AF104" s="786"/>
      <c r="AG104" s="787"/>
      <c r="AH104" s="740">
        <f t="shared" si="37"/>
        <v>1448309</v>
      </c>
      <c r="AI104" s="740" t="str">
        <f t="shared" si="38"/>
        <v>Keira</v>
      </c>
      <c r="AJ104" s="740" t="str">
        <f t="shared" si="39"/>
        <v>Brannigan</v>
      </c>
      <c r="AK104" s="740"/>
      <c r="AL104" s="740"/>
      <c r="AM104" s="740"/>
      <c r="AN104" s="740"/>
      <c r="AO104" s="740"/>
      <c r="AQ104" s="741">
        <f t="shared" ca="1" si="40"/>
        <v>39706</v>
      </c>
    </row>
    <row r="105" spans="1:43" ht="20.25" customHeight="1" x14ac:dyDescent="0.25">
      <c r="A105" s="1246"/>
      <c r="B105" s="1247"/>
      <c r="C105" s="20"/>
      <c r="D105" s="784"/>
      <c r="E105" s="730">
        <v>1461481</v>
      </c>
      <c r="F105" s="731" t="s">
        <v>5012</v>
      </c>
      <c r="G105" s="731" t="s">
        <v>5013</v>
      </c>
      <c r="H105" s="732">
        <v>41030</v>
      </c>
      <c r="I105" s="785"/>
      <c r="J105" s="785"/>
      <c r="K105" s="735">
        <f t="shared" ca="1" si="35"/>
        <v>11</v>
      </c>
      <c r="L105" s="736" t="str">
        <f t="shared" si="36"/>
        <v>010512</v>
      </c>
      <c r="M105" s="770" t="str">
        <f t="shared" ca="1" si="34"/>
        <v>OK</v>
      </c>
      <c r="AD105" s="1244"/>
      <c r="AE105" s="1245"/>
      <c r="AF105" s="786"/>
      <c r="AG105" s="787"/>
      <c r="AH105" s="740">
        <f t="shared" si="37"/>
        <v>1461481</v>
      </c>
      <c r="AI105" s="740" t="str">
        <f t="shared" si="38"/>
        <v>Arush</v>
      </c>
      <c r="AJ105" s="740" t="str">
        <f t="shared" si="39"/>
        <v>Agarwal</v>
      </c>
      <c r="AK105" s="740"/>
      <c r="AL105" s="740"/>
      <c r="AM105" s="740"/>
      <c r="AN105" s="740"/>
      <c r="AO105" s="740"/>
      <c r="AQ105" s="741">
        <f t="shared" ca="1" si="40"/>
        <v>41030</v>
      </c>
    </row>
    <row r="106" spans="1:43" ht="20.25" customHeight="1" x14ac:dyDescent="0.25">
      <c r="A106" s="1246"/>
      <c r="B106" s="1247"/>
      <c r="E106" s="730">
        <v>1600272</v>
      </c>
      <c r="F106" s="731" t="s">
        <v>5004</v>
      </c>
      <c r="G106" s="731" t="s">
        <v>5005</v>
      </c>
      <c r="H106" s="732">
        <v>41196</v>
      </c>
      <c r="I106" s="785"/>
      <c r="J106" s="785"/>
      <c r="K106" s="735">
        <f t="shared" ca="1" si="35"/>
        <v>11</v>
      </c>
      <c r="L106" s="736" t="str">
        <f t="shared" si="36"/>
        <v>141012</v>
      </c>
      <c r="M106" s="770" t="str">
        <f t="shared" ca="1" si="34"/>
        <v>OK</v>
      </c>
      <c r="AD106" s="1244"/>
      <c r="AE106" s="1245"/>
      <c r="AH106" s="211"/>
      <c r="AI106" s="211"/>
      <c r="AJ106" s="211"/>
      <c r="AK106" s="211"/>
      <c r="AL106" s="211"/>
      <c r="AM106" s="211"/>
      <c r="AN106" s="211"/>
      <c r="AO106" s="211"/>
      <c r="AQ106" s="741">
        <f t="shared" ca="1" si="40"/>
        <v>41196</v>
      </c>
    </row>
    <row r="107" spans="1:43" ht="20.25" customHeight="1" x14ac:dyDescent="0.25">
      <c r="A107" s="1246"/>
      <c r="B107" s="1247"/>
      <c r="E107" s="730">
        <v>1502280</v>
      </c>
      <c r="F107" s="731" t="s">
        <v>5025</v>
      </c>
      <c r="G107" s="731" t="s">
        <v>5026</v>
      </c>
      <c r="H107" s="732">
        <v>40450</v>
      </c>
      <c r="I107" s="785"/>
      <c r="J107" s="785"/>
      <c r="K107" s="735">
        <f t="shared" ca="1" si="35"/>
        <v>13</v>
      </c>
      <c r="L107" s="736" t="str">
        <f t="shared" si="36"/>
        <v>290910</v>
      </c>
      <c r="M107" s="770" t="str">
        <f t="shared" ca="1" si="34"/>
        <v>OK</v>
      </c>
      <c r="AD107" s="1244"/>
      <c r="AE107" s="1245"/>
      <c r="AH107" s="211"/>
      <c r="AI107" s="211"/>
      <c r="AJ107" s="211"/>
      <c r="AK107" s="211"/>
      <c r="AL107" s="211"/>
      <c r="AM107" s="211"/>
      <c r="AN107" s="211"/>
      <c r="AO107" s="211"/>
      <c r="AQ107" s="741">
        <f t="shared" ca="1" si="40"/>
        <v>40450</v>
      </c>
    </row>
    <row r="108" spans="1:43" ht="20.25" customHeight="1" x14ac:dyDescent="0.25">
      <c r="A108" s="1246"/>
      <c r="B108" s="1247"/>
      <c r="E108" s="730">
        <v>1259297</v>
      </c>
      <c r="F108" s="731" t="s">
        <v>5043</v>
      </c>
      <c r="G108" s="731" t="s">
        <v>5044</v>
      </c>
      <c r="H108" s="732">
        <v>38809</v>
      </c>
      <c r="I108" s="785"/>
      <c r="J108" s="785"/>
      <c r="K108" s="735">
        <f t="shared" ca="1" si="35"/>
        <v>17</v>
      </c>
      <c r="L108" s="736" t="str">
        <f t="shared" si="36"/>
        <v>020406</v>
      </c>
      <c r="M108" s="770" t="str">
        <f t="shared" ca="1" si="34"/>
        <v>OK</v>
      </c>
      <c r="AD108" s="1244"/>
      <c r="AE108" s="1245"/>
      <c r="AH108" s="211"/>
      <c r="AI108" s="211"/>
      <c r="AJ108" s="211"/>
      <c r="AK108" s="211"/>
      <c r="AL108" s="211"/>
      <c r="AM108" s="211"/>
      <c r="AN108" s="211"/>
      <c r="AO108" s="211"/>
      <c r="AQ108" s="741">
        <f t="shared" ca="1" si="40"/>
        <v>38809</v>
      </c>
    </row>
    <row r="109" spans="1:43" ht="20.25" customHeight="1" x14ac:dyDescent="0.25">
      <c r="A109" s="1246"/>
      <c r="B109" s="1247"/>
      <c r="E109" s="730">
        <v>923090</v>
      </c>
      <c r="F109" s="731" t="s">
        <v>5045</v>
      </c>
      <c r="G109" s="731" t="s">
        <v>5046</v>
      </c>
      <c r="H109" s="732">
        <v>39136</v>
      </c>
      <c r="I109" s="785"/>
      <c r="J109" s="785"/>
      <c r="K109" s="735">
        <f t="shared" ca="1" si="35"/>
        <v>16</v>
      </c>
      <c r="L109" s="736" t="str">
        <f t="shared" si="36"/>
        <v>230207</v>
      </c>
      <c r="M109" s="770" t="str">
        <f t="shared" ca="1" si="34"/>
        <v>OK</v>
      </c>
      <c r="AD109" s="1244"/>
      <c r="AE109" s="1245"/>
      <c r="AH109" s="211"/>
      <c r="AI109" s="211"/>
      <c r="AJ109" s="211"/>
      <c r="AK109" s="211"/>
      <c r="AL109" s="211"/>
      <c r="AM109" s="211"/>
      <c r="AN109" s="211"/>
      <c r="AO109" s="211"/>
      <c r="AQ109" s="741">
        <f t="shared" ca="1" si="40"/>
        <v>39136</v>
      </c>
    </row>
    <row r="110" spans="1:43" s="134" customFormat="1" ht="9" customHeight="1" x14ac:dyDescent="0.25">
      <c r="E110" s="788"/>
      <c r="F110" s="789"/>
      <c r="G110" s="789"/>
      <c r="H110" s="790"/>
      <c r="AD110" s="791"/>
      <c r="AE110" s="792"/>
    </row>
    <row r="111" spans="1:43" s="134" customFormat="1" ht="9" customHeight="1" x14ac:dyDescent="0.25">
      <c r="E111" s="788"/>
      <c r="F111" s="789"/>
      <c r="G111" s="789"/>
      <c r="H111" s="790"/>
      <c r="AD111" s="791"/>
      <c r="AE111" s="792"/>
    </row>
    <row r="112" spans="1:43" s="134" customFormat="1" ht="9" customHeight="1" x14ac:dyDescent="0.25">
      <c r="E112" s="788"/>
      <c r="F112" s="789"/>
      <c r="G112" s="789"/>
      <c r="H112" s="790"/>
      <c r="AD112" s="791"/>
      <c r="AE112" s="792"/>
    </row>
    <row r="113" spans="5:31" s="134" customFormat="1" ht="9" customHeight="1" x14ac:dyDescent="0.25">
      <c r="E113" s="788"/>
      <c r="F113" s="789"/>
      <c r="G113" s="789"/>
      <c r="H113" s="790"/>
      <c r="AD113" s="791"/>
      <c r="AE113" s="792"/>
    </row>
    <row r="114" spans="5:31" s="134" customFormat="1" ht="9" customHeight="1" x14ac:dyDescent="0.25">
      <c r="E114" s="788"/>
      <c r="F114" s="789"/>
      <c r="G114" s="789"/>
      <c r="H114" s="790"/>
      <c r="AD114" s="791"/>
      <c r="AE114" s="792"/>
    </row>
    <row r="115" spans="5:31" s="134" customFormat="1" ht="9" customHeight="1" x14ac:dyDescent="0.25">
      <c r="E115" s="788"/>
      <c r="F115" s="789"/>
      <c r="G115" s="789"/>
      <c r="H115" s="790"/>
      <c r="AD115" s="791"/>
      <c r="AE115" s="792"/>
    </row>
    <row r="116" spans="5:31" s="134" customFormat="1" ht="9" customHeight="1" x14ac:dyDescent="0.25">
      <c r="E116" s="788"/>
      <c r="F116" s="789"/>
      <c r="G116" s="789"/>
      <c r="H116" s="790"/>
      <c r="AD116" s="791"/>
      <c r="AE116" s="792"/>
    </row>
    <row r="117" spans="5:31" s="134" customFormat="1" ht="9" customHeight="1" x14ac:dyDescent="0.25">
      <c r="E117" s="788"/>
      <c r="F117" s="789"/>
      <c r="G117" s="789"/>
      <c r="H117" s="790"/>
      <c r="AD117" s="791"/>
      <c r="AE117" s="792"/>
    </row>
    <row r="118" spans="5:31" s="134" customFormat="1" ht="9" customHeight="1" x14ac:dyDescent="0.25">
      <c r="E118" s="788"/>
      <c r="F118" s="789"/>
      <c r="G118" s="789"/>
      <c r="H118" s="790"/>
      <c r="AD118" s="791"/>
      <c r="AE118" s="792"/>
    </row>
    <row r="119" spans="5:31" s="134" customFormat="1" ht="9" customHeight="1" x14ac:dyDescent="0.25">
      <c r="E119" s="788"/>
      <c r="F119" s="789"/>
      <c r="G119" s="789"/>
      <c r="H119" s="790"/>
      <c r="AD119" s="791"/>
      <c r="AE119" s="792"/>
    </row>
    <row r="120" spans="5:31" s="134" customFormat="1" ht="9" customHeight="1" x14ac:dyDescent="0.25">
      <c r="E120" s="788"/>
      <c r="F120" s="789"/>
      <c r="G120" s="789"/>
      <c r="H120" s="790"/>
      <c r="AD120" s="791"/>
      <c r="AE120" s="792"/>
    </row>
    <row r="121" spans="5:31" s="134" customFormat="1" ht="9" customHeight="1" x14ac:dyDescent="0.25">
      <c r="E121" s="788"/>
      <c r="F121" s="789"/>
      <c r="G121" s="789"/>
      <c r="H121" s="790"/>
      <c r="AD121" s="791"/>
      <c r="AE121" s="792"/>
    </row>
    <row r="122" spans="5:31" s="134" customFormat="1" ht="9" customHeight="1" x14ac:dyDescent="0.25">
      <c r="E122" s="788"/>
      <c r="F122" s="789"/>
      <c r="G122" s="789"/>
      <c r="H122" s="790"/>
      <c r="AD122" s="791"/>
      <c r="AE122" s="792"/>
    </row>
    <row r="123" spans="5:31" s="134" customFormat="1" ht="9" customHeight="1" x14ac:dyDescent="0.25">
      <c r="E123" s="788"/>
      <c r="F123" s="789"/>
      <c r="G123" s="789"/>
      <c r="H123" s="790"/>
      <c r="AD123" s="791"/>
      <c r="AE123" s="792"/>
    </row>
    <row r="124" spans="5:31" s="134" customFormat="1" ht="9" customHeight="1" x14ac:dyDescent="0.25">
      <c r="E124" s="788"/>
      <c r="F124" s="789"/>
      <c r="G124" s="789"/>
      <c r="H124" s="790"/>
      <c r="AD124" s="791"/>
      <c r="AE124" s="792"/>
    </row>
    <row r="125" spans="5:31" s="134" customFormat="1" ht="9" customHeight="1" x14ac:dyDescent="0.25">
      <c r="E125" s="788"/>
      <c r="F125" s="789"/>
      <c r="G125" s="789"/>
      <c r="H125" s="790"/>
      <c r="AD125" s="791"/>
      <c r="AE125" s="792"/>
    </row>
    <row r="126" spans="5:31" s="134" customFormat="1" ht="9" customHeight="1" x14ac:dyDescent="0.25">
      <c r="E126" s="788"/>
      <c r="F126" s="789"/>
      <c r="G126" s="789"/>
      <c r="H126" s="790"/>
      <c r="AD126" s="791"/>
      <c r="AE126" s="792"/>
    </row>
    <row r="127" spans="5:31" s="134" customFormat="1" ht="9" customHeight="1" x14ac:dyDescent="0.25">
      <c r="E127" s="788"/>
      <c r="F127" s="789"/>
      <c r="G127" s="789"/>
      <c r="H127" s="790"/>
      <c r="AD127" s="791"/>
      <c r="AE127" s="792"/>
    </row>
    <row r="128" spans="5:31" s="134" customFormat="1" ht="9" customHeight="1" x14ac:dyDescent="0.25">
      <c r="E128" s="788"/>
      <c r="F128" s="789"/>
      <c r="G128" s="789"/>
      <c r="H128" s="790"/>
      <c r="AD128" s="791"/>
      <c r="AE128" s="792"/>
    </row>
    <row r="129" spans="5:31" s="134" customFormat="1" ht="9" customHeight="1" x14ac:dyDescent="0.25">
      <c r="E129" s="788"/>
      <c r="F129" s="789"/>
      <c r="G129" s="789"/>
      <c r="H129" s="790"/>
      <c r="AD129" s="791"/>
      <c r="AE129" s="792"/>
    </row>
    <row r="130" spans="5:31" s="134" customFormat="1" ht="9" customHeight="1" x14ac:dyDescent="0.25">
      <c r="E130" s="788"/>
      <c r="F130" s="789"/>
      <c r="G130" s="789"/>
      <c r="H130" s="790"/>
      <c r="AD130" s="791"/>
      <c r="AE130" s="792"/>
    </row>
    <row r="131" spans="5:31" s="134" customFormat="1" ht="9" customHeight="1" x14ac:dyDescent="0.25">
      <c r="E131" s="788"/>
      <c r="F131" s="789"/>
      <c r="G131" s="789"/>
      <c r="H131" s="790"/>
      <c r="AD131" s="791"/>
      <c r="AE131" s="792"/>
    </row>
    <row r="132" spans="5:31" s="134" customFormat="1" ht="9" customHeight="1" x14ac:dyDescent="0.25">
      <c r="E132" s="788"/>
      <c r="F132" s="789"/>
      <c r="G132" s="789"/>
      <c r="H132" s="790"/>
      <c r="AD132" s="791"/>
      <c r="AE132" s="792"/>
    </row>
    <row r="133" spans="5:31" s="134" customFormat="1" ht="9" customHeight="1" x14ac:dyDescent="0.25">
      <c r="E133" s="788"/>
      <c r="F133" s="789"/>
      <c r="G133" s="789"/>
      <c r="H133" s="790"/>
      <c r="AD133" s="791"/>
      <c r="AE133" s="792"/>
    </row>
    <row r="134" spans="5:31" s="134" customFormat="1" ht="9" customHeight="1" x14ac:dyDescent="0.25">
      <c r="E134" s="788"/>
      <c r="F134" s="789"/>
      <c r="G134" s="789"/>
      <c r="H134" s="790"/>
      <c r="AD134" s="791"/>
      <c r="AE134" s="792"/>
    </row>
    <row r="135" spans="5:31" s="134" customFormat="1" ht="9" customHeight="1" x14ac:dyDescent="0.25">
      <c r="E135" s="788"/>
      <c r="F135" s="789"/>
      <c r="G135" s="789"/>
      <c r="H135" s="790"/>
      <c r="AD135" s="791"/>
      <c r="AE135" s="792"/>
    </row>
    <row r="136" spans="5:31" s="134" customFormat="1" ht="9" customHeight="1" x14ac:dyDescent="0.25">
      <c r="E136" s="788"/>
      <c r="F136" s="789"/>
      <c r="G136" s="789"/>
      <c r="H136" s="790"/>
      <c r="AD136" s="791"/>
      <c r="AE136" s="792"/>
    </row>
    <row r="137" spans="5:31" s="134" customFormat="1" ht="9" customHeight="1" x14ac:dyDescent="0.25">
      <c r="E137" s="788"/>
      <c r="F137" s="789"/>
      <c r="G137" s="789"/>
      <c r="H137" s="790"/>
      <c r="AD137" s="791"/>
      <c r="AE137" s="792"/>
    </row>
    <row r="138" spans="5:31" s="134" customFormat="1" ht="9" customHeight="1" x14ac:dyDescent="0.25">
      <c r="E138" s="788"/>
      <c r="F138" s="789"/>
      <c r="G138" s="789"/>
      <c r="H138" s="790"/>
      <c r="AD138" s="791"/>
      <c r="AE138" s="792"/>
    </row>
    <row r="139" spans="5:31" s="134" customFormat="1" ht="9" customHeight="1" x14ac:dyDescent="0.25">
      <c r="E139" s="788"/>
      <c r="F139" s="789"/>
      <c r="G139" s="789"/>
      <c r="H139" s="790"/>
      <c r="AD139" s="791"/>
      <c r="AE139" s="792"/>
    </row>
    <row r="140" spans="5:31" s="134" customFormat="1" ht="9" customHeight="1" x14ac:dyDescent="0.25">
      <c r="E140" s="788"/>
      <c r="F140" s="789"/>
      <c r="G140" s="789"/>
      <c r="H140" s="790"/>
      <c r="AD140" s="791"/>
      <c r="AE140" s="792"/>
    </row>
    <row r="141" spans="5:31" s="134" customFormat="1" ht="9" customHeight="1" x14ac:dyDescent="0.25">
      <c r="E141" s="789"/>
      <c r="F141" s="789"/>
      <c r="G141" s="789"/>
      <c r="H141" s="790"/>
      <c r="AD141" s="791"/>
      <c r="AE141" s="792"/>
    </row>
    <row r="142" spans="5:31" s="134" customFormat="1" ht="9" customHeight="1" x14ac:dyDescent="0.25">
      <c r="E142" s="789"/>
      <c r="F142" s="789"/>
      <c r="G142" s="789"/>
      <c r="H142" s="790"/>
      <c r="AD142" s="791"/>
      <c r="AE142" s="792"/>
    </row>
    <row r="143" spans="5:31" s="134" customFormat="1" ht="9" customHeight="1" x14ac:dyDescent="0.25">
      <c r="E143" s="789"/>
      <c r="F143" s="789"/>
      <c r="G143" s="789"/>
      <c r="H143" s="790"/>
      <c r="AD143" s="791"/>
      <c r="AE143" s="792"/>
    </row>
    <row r="144" spans="5:31" s="134" customFormat="1" ht="9" customHeight="1" x14ac:dyDescent="0.25">
      <c r="E144" s="789"/>
      <c r="F144" s="789"/>
      <c r="G144" s="789"/>
      <c r="H144" s="790"/>
      <c r="AD144" s="791"/>
      <c r="AE144" s="792"/>
    </row>
    <row r="145" spans="5:31" s="134" customFormat="1" ht="9" customHeight="1" x14ac:dyDescent="0.25">
      <c r="E145" s="789"/>
      <c r="F145" s="789"/>
      <c r="G145" s="789"/>
      <c r="H145" s="790"/>
      <c r="AD145" s="791"/>
      <c r="AE145" s="792"/>
    </row>
    <row r="146" spans="5:31" s="134" customFormat="1" ht="9" customHeight="1" x14ac:dyDescent="0.25">
      <c r="E146" s="789"/>
      <c r="F146" s="789"/>
      <c r="G146" s="789"/>
      <c r="H146" s="790"/>
      <c r="AD146" s="791"/>
      <c r="AE146" s="792"/>
    </row>
    <row r="147" spans="5:31" s="134" customFormat="1" ht="9" customHeight="1" x14ac:dyDescent="0.25">
      <c r="E147" s="789"/>
      <c r="F147" s="789"/>
      <c r="G147" s="789"/>
      <c r="H147" s="790"/>
      <c r="AD147" s="791"/>
      <c r="AE147" s="792"/>
    </row>
    <row r="148" spans="5:31" s="134" customFormat="1" ht="9" customHeight="1" x14ac:dyDescent="0.25">
      <c r="E148" s="789"/>
      <c r="F148" s="789"/>
      <c r="G148" s="789"/>
      <c r="H148" s="790"/>
      <c r="AD148" s="791"/>
      <c r="AE148" s="792"/>
    </row>
    <row r="149" spans="5:31" s="134" customFormat="1" ht="9" customHeight="1" x14ac:dyDescent="0.25">
      <c r="E149" s="789"/>
      <c r="F149" s="789"/>
      <c r="G149" s="789"/>
      <c r="H149" s="790"/>
      <c r="AD149" s="791"/>
      <c r="AE149" s="792"/>
    </row>
    <row r="150" spans="5:31" s="134" customFormat="1" ht="9" customHeight="1" x14ac:dyDescent="0.25">
      <c r="E150" s="789"/>
      <c r="F150" s="789"/>
      <c r="G150" s="789"/>
      <c r="H150" s="790"/>
      <c r="AD150" s="791"/>
      <c r="AE150" s="792"/>
    </row>
    <row r="151" spans="5:31" s="134" customFormat="1" ht="9" customHeight="1" x14ac:dyDescent="0.25">
      <c r="E151" s="789"/>
      <c r="F151" s="789"/>
      <c r="G151" s="789"/>
      <c r="H151" s="790"/>
      <c r="AD151" s="791"/>
      <c r="AE151" s="792"/>
    </row>
    <row r="152" spans="5:31" s="134" customFormat="1" ht="9" customHeight="1" x14ac:dyDescent="0.25">
      <c r="E152" s="789"/>
      <c r="F152" s="789"/>
      <c r="G152" s="789"/>
      <c r="H152" s="790"/>
      <c r="AD152" s="791"/>
      <c r="AE152" s="792"/>
    </row>
    <row r="153" spans="5:31" s="134" customFormat="1" ht="9" customHeight="1" x14ac:dyDescent="0.25">
      <c r="E153" s="789"/>
      <c r="F153" s="789"/>
      <c r="G153" s="789"/>
      <c r="H153" s="790"/>
      <c r="AD153" s="791"/>
      <c r="AE153" s="792"/>
    </row>
    <row r="154" spans="5:31" s="134" customFormat="1" ht="9" customHeight="1" x14ac:dyDescent="0.25">
      <c r="E154" s="789"/>
      <c r="F154" s="789"/>
      <c r="G154" s="789"/>
      <c r="H154" s="790"/>
      <c r="AD154" s="791"/>
      <c r="AE154" s="792"/>
    </row>
    <row r="155" spans="5:31" s="134" customFormat="1" ht="9" customHeight="1" x14ac:dyDescent="0.25">
      <c r="E155" s="789"/>
      <c r="F155" s="789"/>
      <c r="G155" s="789"/>
      <c r="H155" s="790"/>
      <c r="AD155" s="791"/>
      <c r="AE155" s="792"/>
    </row>
    <row r="156" spans="5:31" s="134" customFormat="1" ht="9" customHeight="1" x14ac:dyDescent="0.25">
      <c r="E156" s="789"/>
      <c r="F156" s="789"/>
      <c r="G156" s="789"/>
      <c r="H156" s="790"/>
      <c r="AD156" s="791"/>
      <c r="AE156" s="792"/>
    </row>
    <row r="157" spans="5:31" s="134" customFormat="1" ht="9" customHeight="1" x14ac:dyDescent="0.25">
      <c r="E157" s="789"/>
      <c r="F157" s="789"/>
      <c r="G157" s="789"/>
      <c r="H157" s="790"/>
      <c r="AD157" s="791"/>
      <c r="AE157" s="792"/>
    </row>
    <row r="158" spans="5:31" s="134" customFormat="1" ht="9" customHeight="1" x14ac:dyDescent="0.25">
      <c r="E158" s="789"/>
      <c r="F158" s="789"/>
      <c r="G158" s="789"/>
      <c r="H158" s="790"/>
      <c r="AD158" s="791"/>
      <c r="AE158" s="792"/>
    </row>
    <row r="159" spans="5:31" s="134" customFormat="1" ht="9" customHeight="1" x14ac:dyDescent="0.25">
      <c r="E159" s="789"/>
      <c r="F159" s="789"/>
      <c r="G159" s="789"/>
      <c r="H159" s="790"/>
      <c r="AD159" s="791"/>
      <c r="AE159" s="792"/>
    </row>
    <row r="160" spans="5:31" s="134" customFormat="1" ht="9" customHeight="1" x14ac:dyDescent="0.25">
      <c r="E160" s="789"/>
      <c r="F160" s="789"/>
      <c r="G160" s="789"/>
      <c r="H160" s="790"/>
      <c r="AD160" s="791"/>
      <c r="AE160" s="792"/>
    </row>
    <row r="161" spans="5:31" s="134" customFormat="1" ht="9" customHeight="1" x14ac:dyDescent="0.25">
      <c r="E161" s="789"/>
      <c r="F161" s="789"/>
      <c r="G161" s="789"/>
      <c r="H161" s="790"/>
      <c r="AD161" s="791"/>
      <c r="AE161" s="792"/>
    </row>
    <row r="162" spans="5:31" s="134" customFormat="1" ht="9" customHeight="1" x14ac:dyDescent="0.25">
      <c r="E162" s="789"/>
      <c r="F162" s="789"/>
      <c r="G162" s="789"/>
      <c r="H162" s="790"/>
      <c r="AD162" s="791"/>
      <c r="AE162" s="792"/>
    </row>
    <row r="163" spans="5:31" s="134" customFormat="1" ht="9" customHeight="1" x14ac:dyDescent="0.25">
      <c r="E163" s="789"/>
      <c r="F163" s="789"/>
      <c r="G163" s="789"/>
      <c r="H163" s="790"/>
      <c r="AD163" s="791"/>
      <c r="AE163" s="792"/>
    </row>
    <row r="164" spans="5:31" s="134" customFormat="1" ht="9" customHeight="1" x14ac:dyDescent="0.25">
      <c r="E164" s="789"/>
      <c r="F164" s="789"/>
      <c r="G164" s="789"/>
      <c r="H164" s="790"/>
      <c r="AD164" s="791"/>
      <c r="AE164" s="792"/>
    </row>
    <row r="165" spans="5:31" s="134" customFormat="1" ht="9" customHeight="1" x14ac:dyDescent="0.25">
      <c r="E165" s="789"/>
      <c r="F165" s="789"/>
      <c r="G165" s="789"/>
      <c r="H165" s="790"/>
      <c r="AD165" s="791"/>
      <c r="AE165" s="792"/>
    </row>
    <row r="166" spans="5:31" s="134" customFormat="1" ht="9" customHeight="1" x14ac:dyDescent="0.25">
      <c r="E166" s="789"/>
      <c r="F166" s="789"/>
      <c r="G166" s="789"/>
      <c r="H166" s="790"/>
      <c r="AD166" s="791"/>
      <c r="AE166" s="792"/>
    </row>
    <row r="167" spans="5:31" s="134" customFormat="1" ht="9" customHeight="1" x14ac:dyDescent="0.25">
      <c r="E167" s="789"/>
      <c r="F167" s="789"/>
      <c r="G167" s="789"/>
      <c r="H167" s="790"/>
      <c r="AD167" s="791"/>
      <c r="AE167" s="792"/>
    </row>
    <row r="168" spans="5:31" s="134" customFormat="1" ht="9" customHeight="1" x14ac:dyDescent="0.25">
      <c r="E168" s="789"/>
      <c r="F168" s="789"/>
      <c r="G168" s="789"/>
      <c r="H168" s="790"/>
      <c r="AD168" s="791"/>
      <c r="AE168" s="792"/>
    </row>
    <row r="169" spans="5:31" s="134" customFormat="1" ht="9" customHeight="1" x14ac:dyDescent="0.25">
      <c r="E169" s="789"/>
      <c r="F169" s="789"/>
      <c r="G169" s="789"/>
      <c r="H169" s="790"/>
      <c r="AD169" s="791"/>
      <c r="AE169" s="792"/>
    </row>
    <row r="170" spans="5:31" s="134" customFormat="1" ht="9" customHeight="1" x14ac:dyDescent="0.25">
      <c r="E170" s="789"/>
      <c r="F170" s="789"/>
      <c r="G170" s="789"/>
      <c r="H170" s="790"/>
      <c r="AD170" s="791"/>
      <c r="AE170" s="792"/>
    </row>
    <row r="171" spans="5:31" s="134" customFormat="1" ht="9" customHeight="1" x14ac:dyDescent="0.25">
      <c r="E171" s="789"/>
      <c r="F171" s="789"/>
      <c r="G171" s="789"/>
      <c r="H171" s="790"/>
      <c r="AD171" s="791"/>
      <c r="AE171" s="792"/>
    </row>
    <row r="172" spans="5:31" s="134" customFormat="1" ht="9" customHeight="1" x14ac:dyDescent="0.25">
      <c r="E172" s="789"/>
      <c r="F172" s="789"/>
      <c r="G172" s="789"/>
      <c r="H172" s="790"/>
      <c r="AD172" s="791"/>
      <c r="AE172" s="792"/>
    </row>
    <row r="173" spans="5:31" s="134" customFormat="1" ht="9" customHeight="1" x14ac:dyDescent="0.25">
      <c r="E173" s="789"/>
      <c r="F173" s="789"/>
      <c r="G173" s="789"/>
      <c r="H173" s="790"/>
      <c r="AD173" s="791"/>
      <c r="AE173" s="792"/>
    </row>
    <row r="174" spans="5:31" s="134" customFormat="1" ht="9" customHeight="1" x14ac:dyDescent="0.25">
      <c r="E174" s="789"/>
      <c r="F174" s="789"/>
      <c r="G174" s="789"/>
      <c r="H174" s="790"/>
      <c r="AD174" s="791"/>
      <c r="AE174" s="792"/>
    </row>
    <row r="175" spans="5:31" s="134" customFormat="1" ht="9" customHeight="1" x14ac:dyDescent="0.25">
      <c r="E175" s="789"/>
      <c r="F175" s="789"/>
      <c r="G175" s="789"/>
      <c r="H175" s="790"/>
      <c r="AD175" s="791"/>
      <c r="AE175" s="792"/>
    </row>
    <row r="176" spans="5:31" s="134" customFormat="1" ht="9" customHeight="1" x14ac:dyDescent="0.25">
      <c r="E176" s="789"/>
      <c r="F176" s="789"/>
      <c r="G176" s="789"/>
      <c r="H176" s="790"/>
      <c r="AD176" s="791"/>
      <c r="AE176" s="792"/>
    </row>
    <row r="177" spans="5:31" s="134" customFormat="1" ht="9" customHeight="1" x14ac:dyDescent="0.25">
      <c r="E177" s="789"/>
      <c r="F177" s="789"/>
      <c r="G177" s="789"/>
      <c r="H177" s="790"/>
      <c r="AD177" s="791"/>
      <c r="AE177" s="792"/>
    </row>
    <row r="178" spans="5:31" s="134" customFormat="1" ht="9" customHeight="1" x14ac:dyDescent="0.25">
      <c r="E178" s="789"/>
      <c r="F178" s="789"/>
      <c r="G178" s="789"/>
      <c r="H178" s="790"/>
      <c r="AD178" s="791"/>
      <c r="AE178" s="792"/>
    </row>
    <row r="179" spans="5:31" s="134" customFormat="1" ht="9" customHeight="1" x14ac:dyDescent="0.25">
      <c r="E179" s="789"/>
      <c r="F179" s="789"/>
      <c r="G179" s="789"/>
      <c r="H179" s="790"/>
      <c r="AD179" s="791"/>
      <c r="AE179" s="792"/>
    </row>
    <row r="180" spans="5:31" s="134" customFormat="1" ht="9" customHeight="1" x14ac:dyDescent="0.25">
      <c r="E180" s="789"/>
      <c r="F180" s="789"/>
      <c r="G180" s="789"/>
      <c r="H180" s="790"/>
      <c r="AD180" s="791"/>
      <c r="AE180" s="792"/>
    </row>
    <row r="181" spans="5:31" s="134" customFormat="1" ht="9" customHeight="1" x14ac:dyDescent="0.25">
      <c r="E181" s="789"/>
      <c r="F181" s="789"/>
      <c r="G181" s="789"/>
      <c r="H181" s="790"/>
      <c r="AD181" s="791"/>
      <c r="AE181" s="792"/>
    </row>
    <row r="182" spans="5:31" s="134" customFormat="1" ht="9" customHeight="1" x14ac:dyDescent="0.25">
      <c r="E182" s="789"/>
      <c r="F182" s="789"/>
      <c r="G182" s="789"/>
      <c r="H182" s="790"/>
      <c r="AD182" s="791"/>
      <c r="AE182" s="792"/>
    </row>
    <row r="183" spans="5:31" s="134" customFormat="1" ht="9" customHeight="1" x14ac:dyDescent="0.25">
      <c r="E183" s="789"/>
      <c r="F183" s="789"/>
      <c r="G183" s="789"/>
      <c r="H183" s="790"/>
      <c r="AD183" s="791"/>
      <c r="AE183" s="792"/>
    </row>
    <row r="184" spans="5:31" s="134" customFormat="1" ht="9" customHeight="1" x14ac:dyDescent="0.25">
      <c r="E184" s="789"/>
      <c r="F184" s="789"/>
      <c r="G184" s="789"/>
      <c r="H184" s="790"/>
      <c r="AD184" s="791"/>
      <c r="AE184" s="792"/>
    </row>
    <row r="185" spans="5:31" s="134" customFormat="1" ht="9" customHeight="1" x14ac:dyDescent="0.25">
      <c r="E185" s="789"/>
      <c r="F185" s="789"/>
      <c r="G185" s="789"/>
      <c r="H185" s="790"/>
      <c r="AD185" s="791"/>
      <c r="AE185" s="792"/>
    </row>
    <row r="186" spans="5:31" s="134" customFormat="1" ht="9" customHeight="1" x14ac:dyDescent="0.25">
      <c r="E186" s="789"/>
      <c r="F186" s="789"/>
      <c r="G186" s="789"/>
      <c r="H186" s="790"/>
      <c r="AD186" s="791"/>
      <c r="AE186" s="792"/>
    </row>
    <row r="187" spans="5:31" s="134" customFormat="1" ht="9" customHeight="1" x14ac:dyDescent="0.25">
      <c r="E187" s="789"/>
      <c r="F187" s="789"/>
      <c r="G187" s="789"/>
      <c r="H187" s="790"/>
      <c r="AD187" s="791"/>
      <c r="AE187" s="792"/>
    </row>
    <row r="188" spans="5:31" s="134" customFormat="1" ht="9" customHeight="1" x14ac:dyDescent="0.25">
      <c r="E188" s="789"/>
      <c r="F188" s="789"/>
      <c r="G188" s="789"/>
      <c r="H188" s="790"/>
      <c r="AD188" s="791"/>
      <c r="AE188" s="792"/>
    </row>
    <row r="189" spans="5:31" s="134" customFormat="1" ht="9" customHeight="1" x14ac:dyDescent="0.25">
      <c r="E189" s="789"/>
      <c r="F189" s="789"/>
      <c r="G189" s="789"/>
      <c r="H189" s="790"/>
      <c r="AD189" s="791"/>
      <c r="AE189" s="792"/>
    </row>
    <row r="190" spans="5:31" s="134" customFormat="1" ht="9" customHeight="1" x14ac:dyDescent="0.25">
      <c r="E190" s="789"/>
      <c r="F190" s="789"/>
      <c r="G190" s="789"/>
      <c r="H190" s="790"/>
      <c r="AD190" s="791"/>
      <c r="AE190" s="792"/>
    </row>
    <row r="191" spans="5:31" s="134" customFormat="1" ht="9" customHeight="1" x14ac:dyDescent="0.25">
      <c r="E191" s="789"/>
      <c r="F191" s="789"/>
      <c r="G191" s="789"/>
      <c r="H191" s="790"/>
      <c r="AD191" s="791"/>
      <c r="AE191" s="792"/>
    </row>
    <row r="192" spans="5:31" s="134" customFormat="1" ht="9" customHeight="1" x14ac:dyDescent="0.25">
      <c r="E192" s="789"/>
      <c r="F192" s="789"/>
      <c r="G192" s="789"/>
      <c r="H192" s="790"/>
      <c r="AD192" s="791"/>
      <c r="AE192" s="792"/>
    </row>
    <row r="193" spans="5:31" s="134" customFormat="1" ht="9" customHeight="1" x14ac:dyDescent="0.25">
      <c r="E193" s="789"/>
      <c r="F193" s="789"/>
      <c r="G193" s="789"/>
      <c r="H193" s="790"/>
      <c r="AD193" s="791"/>
      <c r="AE193" s="792"/>
    </row>
    <row r="194" spans="5:31" s="134" customFormat="1" ht="9" customHeight="1" x14ac:dyDescent="0.25">
      <c r="E194" s="789"/>
      <c r="F194" s="789"/>
      <c r="G194" s="789"/>
      <c r="H194" s="790"/>
      <c r="AD194" s="791"/>
      <c r="AE194" s="792"/>
    </row>
    <row r="195" spans="5:31" s="134" customFormat="1" ht="9" customHeight="1" x14ac:dyDescent="0.25">
      <c r="E195" s="789"/>
      <c r="F195" s="789"/>
      <c r="G195" s="789"/>
      <c r="H195" s="790"/>
      <c r="AD195" s="791"/>
      <c r="AE195" s="792"/>
    </row>
    <row r="196" spans="5:31" s="134" customFormat="1" ht="9" customHeight="1" x14ac:dyDescent="0.25">
      <c r="E196" s="789"/>
      <c r="F196" s="789"/>
      <c r="G196" s="789"/>
      <c r="H196" s="790"/>
      <c r="AD196" s="791"/>
      <c r="AE196" s="792"/>
    </row>
    <row r="197" spans="5:31" s="134" customFormat="1" ht="9" customHeight="1" x14ac:dyDescent="0.25">
      <c r="E197" s="789"/>
      <c r="F197" s="789"/>
      <c r="G197" s="789"/>
      <c r="H197" s="790"/>
      <c r="AD197" s="791"/>
      <c r="AE197" s="792"/>
    </row>
    <row r="198" spans="5:31" s="134" customFormat="1" ht="9" customHeight="1" x14ac:dyDescent="0.25">
      <c r="E198" s="789"/>
      <c r="F198" s="789"/>
      <c r="G198" s="789"/>
      <c r="H198" s="790"/>
      <c r="AD198" s="791"/>
      <c r="AE198" s="792"/>
    </row>
    <row r="199" spans="5:31" s="134" customFormat="1" ht="9" customHeight="1" x14ac:dyDescent="0.25">
      <c r="E199" s="789"/>
      <c r="F199" s="789"/>
      <c r="G199" s="789"/>
      <c r="H199" s="790"/>
      <c r="AD199" s="791"/>
      <c r="AE199" s="792"/>
    </row>
    <row r="200" spans="5:31" s="134" customFormat="1" ht="3" customHeight="1" x14ac:dyDescent="0.25">
      <c r="E200" s="789"/>
      <c r="F200" s="789"/>
      <c r="G200" s="789"/>
      <c r="H200" s="790"/>
      <c r="AD200" s="791"/>
      <c r="AE200" s="792"/>
    </row>
    <row r="201" spans="5:31" s="134" customFormat="1" ht="3" customHeight="1" x14ac:dyDescent="0.25">
      <c r="E201" s="789"/>
      <c r="F201" s="789"/>
      <c r="G201" s="789"/>
      <c r="H201" s="790"/>
      <c r="AD201" s="791"/>
      <c r="AE201" s="792"/>
    </row>
    <row r="202" spans="5:31" s="134" customFormat="1" ht="3" customHeight="1" x14ac:dyDescent="0.25">
      <c r="E202" s="789"/>
      <c r="F202" s="789"/>
      <c r="G202" s="789"/>
      <c r="H202" s="790"/>
      <c r="AD202" s="791"/>
      <c r="AE202" s="792"/>
    </row>
    <row r="203" spans="5:31" s="134" customFormat="1" ht="3" customHeight="1" x14ac:dyDescent="0.25">
      <c r="E203" s="789"/>
      <c r="F203" s="789"/>
      <c r="G203" s="789"/>
      <c r="H203" s="790"/>
      <c r="AD203" s="791"/>
      <c r="AE203" s="792"/>
    </row>
    <row r="204" spans="5:31" s="134" customFormat="1" ht="3" customHeight="1" x14ac:dyDescent="0.25">
      <c r="E204" s="789"/>
      <c r="F204" s="789"/>
      <c r="G204" s="789"/>
      <c r="H204" s="790"/>
      <c r="AD204" s="791"/>
      <c r="AE204" s="792"/>
    </row>
    <row r="205" spans="5:31" s="134" customFormat="1" ht="3" customHeight="1" x14ac:dyDescent="0.25">
      <c r="E205" s="789"/>
      <c r="F205" s="789"/>
      <c r="G205" s="789"/>
      <c r="H205" s="790"/>
      <c r="AD205" s="791"/>
      <c r="AE205" s="792"/>
    </row>
    <row r="206" spans="5:31" s="134" customFormat="1" ht="3" customHeight="1" x14ac:dyDescent="0.25">
      <c r="E206" s="789"/>
      <c r="F206" s="789"/>
      <c r="G206" s="789"/>
      <c r="H206" s="790"/>
      <c r="AD206" s="791"/>
      <c r="AE206" s="792"/>
    </row>
    <row r="207" spans="5:31" s="134" customFormat="1" ht="3" customHeight="1" x14ac:dyDescent="0.25">
      <c r="E207" s="789"/>
      <c r="F207" s="789"/>
      <c r="G207" s="789"/>
      <c r="H207" s="790"/>
      <c r="AD207" s="791"/>
      <c r="AE207" s="792"/>
    </row>
    <row r="208" spans="5:31" s="134" customFormat="1" ht="3" customHeight="1" x14ac:dyDescent="0.25">
      <c r="E208" s="789"/>
      <c r="F208" s="789"/>
      <c r="G208" s="789"/>
      <c r="H208" s="790"/>
      <c r="AD208" s="791"/>
      <c r="AE208" s="792"/>
    </row>
    <row r="209" spans="5:31" s="134" customFormat="1" ht="3" customHeight="1" x14ac:dyDescent="0.25">
      <c r="E209" s="789"/>
      <c r="F209" s="789"/>
      <c r="G209" s="789"/>
      <c r="H209" s="790"/>
      <c r="AD209" s="791"/>
      <c r="AE209" s="792"/>
    </row>
    <row r="210" spans="5:31" s="134" customFormat="1" ht="3" customHeight="1" x14ac:dyDescent="0.25">
      <c r="E210" s="789"/>
      <c r="F210" s="789"/>
      <c r="G210" s="789"/>
      <c r="H210" s="790"/>
      <c r="AD210" s="791"/>
      <c r="AE210" s="792"/>
    </row>
    <row r="211" spans="5:31" s="134" customFormat="1" ht="3" customHeight="1" x14ac:dyDescent="0.25">
      <c r="E211" s="789"/>
      <c r="F211" s="789"/>
      <c r="G211" s="789"/>
      <c r="H211" s="790"/>
      <c r="AD211" s="791"/>
      <c r="AE211" s="792"/>
    </row>
    <row r="212" spans="5:31" s="134" customFormat="1" ht="3" customHeight="1" x14ac:dyDescent="0.25">
      <c r="E212" s="789"/>
      <c r="F212" s="789"/>
      <c r="G212" s="789"/>
      <c r="H212" s="790"/>
      <c r="AD212" s="791"/>
      <c r="AE212" s="792"/>
    </row>
    <row r="213" spans="5:31" s="134" customFormat="1" ht="3" customHeight="1" x14ac:dyDescent="0.25">
      <c r="E213" s="789"/>
      <c r="F213" s="789"/>
      <c r="G213" s="789"/>
      <c r="H213" s="790"/>
      <c r="AD213" s="791"/>
      <c r="AE213" s="792"/>
    </row>
    <row r="214" spans="5:31" s="134" customFormat="1" ht="3" customHeight="1" x14ac:dyDescent="0.25">
      <c r="E214" s="789"/>
      <c r="F214" s="789"/>
      <c r="G214" s="789"/>
      <c r="H214" s="790"/>
      <c r="AD214" s="791"/>
      <c r="AE214" s="792"/>
    </row>
    <row r="215" spans="5:31" s="134" customFormat="1" ht="3" customHeight="1" x14ac:dyDescent="0.25">
      <c r="E215" s="789"/>
      <c r="F215" s="789"/>
      <c r="G215" s="789"/>
      <c r="H215" s="790"/>
      <c r="AD215" s="791"/>
      <c r="AE215" s="792"/>
    </row>
    <row r="216" spans="5:31" s="134" customFormat="1" ht="3" customHeight="1" x14ac:dyDescent="0.25">
      <c r="E216" s="789"/>
      <c r="F216" s="789"/>
      <c r="G216" s="789"/>
      <c r="H216" s="790"/>
      <c r="AD216" s="791"/>
      <c r="AE216" s="792"/>
    </row>
    <row r="217" spans="5:31" s="134" customFormat="1" ht="3" customHeight="1" x14ac:dyDescent="0.25">
      <c r="E217" s="789"/>
      <c r="F217" s="789"/>
      <c r="G217" s="789"/>
      <c r="H217" s="790"/>
      <c r="AD217" s="791"/>
      <c r="AE217" s="792"/>
    </row>
    <row r="218" spans="5:31" s="134" customFormat="1" ht="3" customHeight="1" x14ac:dyDescent="0.25">
      <c r="E218" s="789"/>
      <c r="F218" s="789"/>
      <c r="G218" s="789"/>
      <c r="H218" s="790"/>
      <c r="AD218" s="791"/>
      <c r="AE218" s="792"/>
    </row>
    <row r="219" spans="5:31" s="134" customFormat="1" ht="3" customHeight="1" x14ac:dyDescent="0.25">
      <c r="E219" s="789"/>
      <c r="F219" s="789"/>
      <c r="G219" s="789"/>
      <c r="H219" s="790"/>
      <c r="AD219" s="791"/>
      <c r="AE219" s="792"/>
    </row>
    <row r="220" spans="5:31" s="134" customFormat="1" ht="3" customHeight="1" x14ac:dyDescent="0.25">
      <c r="E220" s="789"/>
      <c r="F220" s="789"/>
      <c r="G220" s="789"/>
      <c r="H220" s="790"/>
      <c r="AD220" s="791"/>
      <c r="AE220" s="792"/>
    </row>
    <row r="221" spans="5:31" s="134" customFormat="1" ht="3" customHeight="1" x14ac:dyDescent="0.25">
      <c r="E221" s="789"/>
      <c r="F221" s="789"/>
      <c r="G221" s="789"/>
      <c r="H221" s="790"/>
      <c r="AD221" s="791"/>
      <c r="AE221" s="792"/>
    </row>
    <row r="222" spans="5:31" s="134" customFormat="1" ht="3" customHeight="1" x14ac:dyDescent="0.25">
      <c r="E222" s="789"/>
      <c r="F222" s="789"/>
      <c r="G222" s="789"/>
      <c r="H222" s="790"/>
      <c r="AD222" s="791"/>
      <c r="AE222" s="792"/>
    </row>
    <row r="223" spans="5:31" s="134" customFormat="1" ht="3" customHeight="1" x14ac:dyDescent="0.25">
      <c r="E223" s="789"/>
      <c r="F223" s="789"/>
      <c r="G223" s="789"/>
      <c r="H223" s="790"/>
      <c r="AD223" s="791"/>
      <c r="AE223" s="792"/>
    </row>
    <row r="224" spans="5:31" s="134" customFormat="1" ht="3" customHeight="1" x14ac:dyDescent="0.25">
      <c r="E224" s="789"/>
      <c r="F224" s="789"/>
      <c r="G224" s="789"/>
      <c r="H224" s="790"/>
      <c r="AD224" s="791"/>
      <c r="AE224" s="792"/>
    </row>
    <row r="225" spans="5:31" s="134" customFormat="1" ht="3" customHeight="1" x14ac:dyDescent="0.25">
      <c r="E225" s="789"/>
      <c r="F225" s="789"/>
      <c r="G225" s="789"/>
      <c r="H225" s="790"/>
      <c r="AD225" s="791"/>
      <c r="AE225" s="792"/>
    </row>
    <row r="226" spans="5:31" s="134" customFormat="1" ht="3" customHeight="1" x14ac:dyDescent="0.25">
      <c r="E226" s="789"/>
      <c r="F226" s="789"/>
      <c r="G226" s="789"/>
      <c r="H226" s="790"/>
      <c r="AD226" s="791"/>
      <c r="AE226" s="792"/>
    </row>
    <row r="227" spans="5:31" s="134" customFormat="1" ht="3" customHeight="1" x14ac:dyDescent="0.25">
      <c r="E227" s="789"/>
      <c r="F227" s="789"/>
      <c r="G227" s="789"/>
      <c r="H227" s="790"/>
      <c r="AD227" s="791"/>
      <c r="AE227" s="792"/>
    </row>
    <row r="228" spans="5:31" s="134" customFormat="1" ht="3" customHeight="1" x14ac:dyDescent="0.25">
      <c r="E228" s="789"/>
      <c r="F228" s="789"/>
      <c r="G228" s="789"/>
      <c r="H228" s="790"/>
      <c r="AD228" s="791"/>
      <c r="AE228" s="792"/>
    </row>
    <row r="229" spans="5:31" s="134" customFormat="1" ht="3" customHeight="1" x14ac:dyDescent="0.25">
      <c r="E229" s="789"/>
      <c r="F229" s="789"/>
      <c r="G229" s="789"/>
      <c r="H229" s="790"/>
      <c r="AD229" s="791"/>
      <c r="AE229" s="792"/>
    </row>
    <row r="230" spans="5:31" s="134" customFormat="1" ht="3" customHeight="1" x14ac:dyDescent="0.25">
      <c r="E230" s="789"/>
      <c r="F230" s="789"/>
      <c r="G230" s="789"/>
      <c r="H230" s="790"/>
      <c r="AD230" s="791"/>
      <c r="AE230" s="792"/>
    </row>
    <row r="231" spans="5:31" s="134" customFormat="1" ht="3" customHeight="1" x14ac:dyDescent="0.25">
      <c r="E231" s="789"/>
      <c r="F231" s="789"/>
      <c r="G231" s="789"/>
      <c r="H231" s="790"/>
      <c r="AD231" s="791"/>
      <c r="AE231" s="792"/>
    </row>
    <row r="232" spans="5:31" s="134" customFormat="1" ht="3" customHeight="1" x14ac:dyDescent="0.25">
      <c r="E232" s="789"/>
      <c r="F232" s="789"/>
      <c r="G232" s="789"/>
      <c r="H232" s="790"/>
      <c r="AD232" s="791"/>
      <c r="AE232" s="792"/>
    </row>
    <row r="233" spans="5:31" s="134" customFormat="1" ht="3" customHeight="1" x14ac:dyDescent="0.25">
      <c r="E233" s="789"/>
      <c r="F233" s="789"/>
      <c r="G233" s="789"/>
      <c r="H233" s="790"/>
      <c r="AD233" s="791"/>
      <c r="AE233" s="792"/>
    </row>
    <row r="234" spans="5:31" s="134" customFormat="1" ht="3" customHeight="1" x14ac:dyDescent="0.25">
      <c r="E234" s="789"/>
      <c r="F234" s="789"/>
      <c r="G234" s="789"/>
      <c r="H234" s="790"/>
      <c r="AD234" s="791"/>
      <c r="AE234" s="792"/>
    </row>
    <row r="235" spans="5:31" s="134" customFormat="1" ht="3" customHeight="1" x14ac:dyDescent="0.25">
      <c r="E235" s="789"/>
      <c r="F235" s="789"/>
      <c r="G235" s="789"/>
      <c r="H235" s="790"/>
      <c r="AD235" s="791"/>
      <c r="AE235" s="792"/>
    </row>
    <row r="236" spans="5:31" s="134" customFormat="1" ht="3" customHeight="1" x14ac:dyDescent="0.25">
      <c r="E236" s="789"/>
      <c r="F236" s="789"/>
      <c r="G236" s="789"/>
      <c r="H236" s="790"/>
      <c r="AD236" s="791"/>
      <c r="AE236" s="792"/>
    </row>
    <row r="237" spans="5:31" s="134" customFormat="1" ht="3" customHeight="1" x14ac:dyDescent="0.25">
      <c r="E237" s="789"/>
      <c r="F237" s="789"/>
      <c r="G237" s="789"/>
      <c r="H237" s="790"/>
      <c r="AD237" s="791"/>
      <c r="AE237" s="792"/>
    </row>
    <row r="238" spans="5:31" s="134" customFormat="1" ht="3" customHeight="1" x14ac:dyDescent="0.25">
      <c r="E238" s="789"/>
      <c r="F238" s="789"/>
      <c r="G238" s="789"/>
      <c r="H238" s="790"/>
      <c r="AD238" s="791"/>
      <c r="AE238" s="792"/>
    </row>
    <row r="239" spans="5:31" s="134" customFormat="1" ht="3" customHeight="1" x14ac:dyDescent="0.25">
      <c r="E239" s="789"/>
      <c r="F239" s="789"/>
      <c r="G239" s="789"/>
      <c r="H239" s="790"/>
      <c r="AD239" s="791"/>
      <c r="AE239" s="792"/>
    </row>
    <row r="240" spans="5:31" s="134" customFormat="1" ht="3" customHeight="1" x14ac:dyDescent="0.25">
      <c r="E240" s="789"/>
      <c r="F240" s="789"/>
      <c r="G240" s="789"/>
      <c r="H240" s="790"/>
      <c r="AD240" s="791"/>
      <c r="AE240" s="792"/>
    </row>
    <row r="241" spans="5:31" s="134" customFormat="1" ht="3" customHeight="1" x14ac:dyDescent="0.25">
      <c r="E241" s="789"/>
      <c r="F241" s="789"/>
      <c r="G241" s="789"/>
      <c r="H241" s="790"/>
      <c r="AD241" s="791"/>
      <c r="AE241" s="792"/>
    </row>
    <row r="242" spans="5:31" s="134" customFormat="1" ht="3" customHeight="1" x14ac:dyDescent="0.25">
      <c r="E242" s="789"/>
      <c r="F242" s="789"/>
      <c r="G242" s="789"/>
      <c r="H242" s="790"/>
      <c r="AD242" s="791"/>
      <c r="AE242" s="792"/>
    </row>
    <row r="243" spans="5:31" s="134" customFormat="1" ht="3" customHeight="1" x14ac:dyDescent="0.25">
      <c r="E243" s="789"/>
      <c r="F243" s="789"/>
      <c r="G243" s="789"/>
      <c r="H243" s="790"/>
      <c r="AD243" s="791"/>
      <c r="AE243" s="792"/>
    </row>
    <row r="244" spans="5:31" s="134" customFormat="1" ht="3" customHeight="1" x14ac:dyDescent="0.25">
      <c r="E244" s="789"/>
      <c r="F244" s="789"/>
      <c r="G244" s="789"/>
      <c r="H244" s="790"/>
      <c r="AD244" s="791"/>
      <c r="AE244" s="792"/>
    </row>
    <row r="245" spans="5:31" s="134" customFormat="1" ht="3" customHeight="1" x14ac:dyDescent="0.25">
      <c r="E245" s="789"/>
      <c r="F245" s="789"/>
      <c r="G245" s="789"/>
      <c r="H245" s="790"/>
      <c r="AD245" s="791"/>
      <c r="AE245" s="792"/>
    </row>
    <row r="246" spans="5:31" s="134" customFormat="1" ht="3" customHeight="1" x14ac:dyDescent="0.25">
      <c r="E246" s="789"/>
      <c r="F246" s="789"/>
      <c r="G246" s="789"/>
      <c r="H246" s="790"/>
      <c r="AD246" s="791"/>
      <c r="AE246" s="792"/>
    </row>
    <row r="247" spans="5:31" s="134" customFormat="1" ht="3" customHeight="1" x14ac:dyDescent="0.25">
      <c r="E247" s="789"/>
      <c r="F247" s="789"/>
      <c r="G247" s="789"/>
      <c r="H247" s="790"/>
      <c r="AD247" s="791"/>
      <c r="AE247" s="792"/>
    </row>
    <row r="248" spans="5:31" s="134" customFormat="1" ht="3" customHeight="1" x14ac:dyDescent="0.25">
      <c r="E248" s="789"/>
      <c r="F248" s="789"/>
      <c r="G248" s="789"/>
      <c r="H248" s="790"/>
      <c r="AD248" s="791"/>
      <c r="AE248" s="792"/>
    </row>
    <row r="249" spans="5:31" s="134" customFormat="1" ht="3" customHeight="1" x14ac:dyDescent="0.25">
      <c r="E249" s="789"/>
      <c r="F249" s="789"/>
      <c r="G249" s="789"/>
      <c r="H249" s="790"/>
      <c r="AD249" s="791"/>
      <c r="AE249" s="792"/>
    </row>
    <row r="250" spans="5:31" s="134" customFormat="1" ht="3" customHeight="1" x14ac:dyDescent="0.25">
      <c r="E250" s="789"/>
      <c r="F250" s="789"/>
      <c r="G250" s="789"/>
      <c r="H250" s="790"/>
      <c r="AD250" s="791"/>
      <c r="AE250" s="792"/>
    </row>
    <row r="251" spans="5:31" s="134" customFormat="1" ht="3" customHeight="1" x14ac:dyDescent="0.25">
      <c r="E251" s="789"/>
      <c r="F251" s="789"/>
      <c r="G251" s="789"/>
      <c r="H251" s="790"/>
      <c r="AD251" s="791"/>
      <c r="AE251" s="792"/>
    </row>
    <row r="252" spans="5:31" s="134" customFormat="1" ht="3" customHeight="1" x14ac:dyDescent="0.25">
      <c r="E252" s="789"/>
      <c r="F252" s="789"/>
      <c r="G252" s="789"/>
      <c r="H252" s="790"/>
      <c r="AD252" s="791"/>
      <c r="AE252" s="792"/>
    </row>
    <row r="253" spans="5:31" s="134" customFormat="1" ht="3" customHeight="1" x14ac:dyDescent="0.25">
      <c r="E253" s="789"/>
      <c r="F253" s="789"/>
      <c r="G253" s="789"/>
      <c r="H253" s="790"/>
      <c r="AD253" s="791"/>
      <c r="AE253" s="792"/>
    </row>
    <row r="254" spans="5:31" s="134" customFormat="1" ht="3" customHeight="1" x14ac:dyDescent="0.25">
      <c r="E254" s="789"/>
      <c r="F254" s="789"/>
      <c r="G254" s="789"/>
      <c r="H254" s="790"/>
      <c r="AD254" s="791"/>
      <c r="AE254" s="792"/>
    </row>
    <row r="255" spans="5:31" s="134" customFormat="1" ht="3" customHeight="1" x14ac:dyDescent="0.25">
      <c r="E255" s="789"/>
      <c r="F255" s="789"/>
      <c r="G255" s="789"/>
      <c r="H255" s="790"/>
      <c r="AD255" s="791"/>
      <c r="AE255" s="792"/>
    </row>
    <row r="256" spans="5:31" s="134" customFormat="1" ht="3" customHeight="1" x14ac:dyDescent="0.25">
      <c r="E256" s="789"/>
      <c r="F256" s="789"/>
      <c r="G256" s="789"/>
      <c r="H256" s="790"/>
      <c r="AD256" s="791"/>
      <c r="AE256" s="792"/>
    </row>
    <row r="257" spans="5:31" s="134" customFormat="1" ht="3" customHeight="1" x14ac:dyDescent="0.25">
      <c r="E257" s="789"/>
      <c r="F257" s="789"/>
      <c r="G257" s="789"/>
      <c r="H257" s="790"/>
      <c r="AD257" s="791"/>
      <c r="AE257" s="792"/>
    </row>
    <row r="258" spans="5:31" s="134" customFormat="1" ht="3" customHeight="1" x14ac:dyDescent="0.25">
      <c r="E258" s="789"/>
      <c r="F258" s="789"/>
      <c r="G258" s="789"/>
      <c r="H258" s="790"/>
      <c r="AD258" s="791"/>
      <c r="AE258" s="792"/>
    </row>
    <row r="259" spans="5:31" s="134" customFormat="1" ht="3" customHeight="1" x14ac:dyDescent="0.25">
      <c r="E259" s="789"/>
      <c r="F259" s="789"/>
      <c r="G259" s="789"/>
      <c r="H259" s="790"/>
      <c r="AD259" s="791"/>
      <c r="AE259" s="792"/>
    </row>
    <row r="260" spans="5:31" s="134" customFormat="1" ht="3" customHeight="1" x14ac:dyDescent="0.25">
      <c r="E260" s="789"/>
      <c r="F260" s="789"/>
      <c r="G260" s="789"/>
      <c r="H260" s="790"/>
      <c r="AD260" s="791"/>
      <c r="AE260" s="792"/>
    </row>
    <row r="261" spans="5:31" s="134" customFormat="1" ht="3" customHeight="1" x14ac:dyDescent="0.25">
      <c r="E261" s="789"/>
      <c r="F261" s="789"/>
      <c r="G261" s="789"/>
      <c r="H261" s="790"/>
      <c r="AD261" s="791"/>
      <c r="AE261" s="792"/>
    </row>
    <row r="262" spans="5:31" s="134" customFormat="1" ht="3" customHeight="1" x14ac:dyDescent="0.25">
      <c r="E262" s="789"/>
      <c r="F262" s="789"/>
      <c r="G262" s="789"/>
      <c r="H262" s="790"/>
      <c r="AD262" s="791"/>
      <c r="AE262" s="792"/>
    </row>
    <row r="263" spans="5:31" s="134" customFormat="1" ht="3" customHeight="1" x14ac:dyDescent="0.25">
      <c r="E263" s="789"/>
      <c r="F263" s="789"/>
      <c r="G263" s="789"/>
      <c r="H263" s="790"/>
      <c r="AD263" s="791"/>
      <c r="AE263" s="792"/>
    </row>
    <row r="264" spans="5:31" s="134" customFormat="1" ht="3" customHeight="1" x14ac:dyDescent="0.25">
      <c r="E264" s="789"/>
      <c r="F264" s="789"/>
      <c r="G264" s="789"/>
      <c r="H264" s="790"/>
      <c r="AD264" s="791"/>
      <c r="AE264" s="792"/>
    </row>
    <row r="265" spans="5:31" s="134" customFormat="1" ht="3" customHeight="1" x14ac:dyDescent="0.25">
      <c r="E265" s="789"/>
      <c r="F265" s="789"/>
      <c r="G265" s="789"/>
      <c r="H265" s="790"/>
      <c r="AD265" s="791"/>
      <c r="AE265" s="792"/>
    </row>
    <row r="266" spans="5:31" s="134" customFormat="1" ht="3" customHeight="1" x14ac:dyDescent="0.25">
      <c r="E266" s="789"/>
      <c r="F266" s="789"/>
      <c r="G266" s="789"/>
      <c r="H266" s="790"/>
      <c r="AD266" s="791"/>
      <c r="AE266" s="792"/>
    </row>
    <row r="267" spans="5:31" s="134" customFormat="1" ht="3" customHeight="1" x14ac:dyDescent="0.25">
      <c r="E267" s="789"/>
      <c r="F267" s="789"/>
      <c r="G267" s="789"/>
      <c r="H267" s="790"/>
      <c r="AD267" s="791"/>
      <c r="AE267" s="792"/>
    </row>
    <row r="268" spans="5:31" s="134" customFormat="1" ht="3" customHeight="1" x14ac:dyDescent="0.25">
      <c r="E268" s="789"/>
      <c r="F268" s="789"/>
      <c r="G268" s="789"/>
      <c r="H268" s="790"/>
      <c r="AD268" s="791"/>
      <c r="AE268" s="792"/>
    </row>
    <row r="269" spans="5:31" s="134" customFormat="1" ht="3" customHeight="1" x14ac:dyDescent="0.25">
      <c r="E269" s="789"/>
      <c r="F269" s="789"/>
      <c r="G269" s="789"/>
      <c r="H269" s="790"/>
      <c r="AD269" s="791"/>
      <c r="AE269" s="792"/>
    </row>
    <row r="270" spans="5:31" s="134" customFormat="1" ht="3" customHeight="1" x14ac:dyDescent="0.25">
      <c r="E270" s="789"/>
      <c r="F270" s="789"/>
      <c r="G270" s="789"/>
      <c r="H270" s="790"/>
      <c r="AD270" s="791"/>
      <c r="AE270" s="792"/>
    </row>
    <row r="271" spans="5:31" s="134" customFormat="1" ht="3" customHeight="1" x14ac:dyDescent="0.25">
      <c r="E271" s="789"/>
      <c r="F271" s="789"/>
      <c r="G271" s="789"/>
      <c r="H271" s="790"/>
      <c r="AD271" s="791"/>
      <c r="AE271" s="792"/>
    </row>
    <row r="272" spans="5:31" s="134" customFormat="1" ht="3" customHeight="1" x14ac:dyDescent="0.25">
      <c r="E272" s="789"/>
      <c r="F272" s="789"/>
      <c r="G272" s="789"/>
      <c r="H272" s="790"/>
      <c r="AD272" s="791"/>
      <c r="AE272" s="792"/>
    </row>
    <row r="273" spans="5:31" s="134" customFormat="1" ht="3" customHeight="1" x14ac:dyDescent="0.25">
      <c r="E273" s="789"/>
      <c r="F273" s="789"/>
      <c r="G273" s="789"/>
      <c r="H273" s="790"/>
      <c r="AD273" s="791"/>
      <c r="AE273" s="792"/>
    </row>
    <row r="274" spans="5:31" s="134" customFormat="1" ht="3" customHeight="1" x14ac:dyDescent="0.25">
      <c r="E274" s="789"/>
      <c r="F274" s="789"/>
      <c r="G274" s="789"/>
      <c r="H274" s="790"/>
      <c r="AD274" s="791"/>
      <c r="AE274" s="792"/>
    </row>
    <row r="275" spans="5:31" s="134" customFormat="1" ht="3" customHeight="1" x14ac:dyDescent="0.25">
      <c r="E275" s="789"/>
      <c r="F275" s="789"/>
      <c r="G275" s="789"/>
      <c r="H275" s="790"/>
      <c r="AD275" s="791"/>
      <c r="AE275" s="792"/>
    </row>
    <row r="276" spans="5:31" s="134" customFormat="1" ht="3" customHeight="1" x14ac:dyDescent="0.25">
      <c r="E276" s="789"/>
      <c r="F276" s="789"/>
      <c r="G276" s="789"/>
      <c r="H276" s="790"/>
      <c r="AD276" s="791"/>
      <c r="AE276" s="792"/>
    </row>
    <row r="277" spans="5:31" s="134" customFormat="1" ht="3" customHeight="1" x14ac:dyDescent="0.25">
      <c r="E277" s="789"/>
      <c r="F277" s="789"/>
      <c r="G277" s="789"/>
      <c r="H277" s="790"/>
      <c r="AD277" s="791"/>
      <c r="AE277" s="792"/>
    </row>
    <row r="278" spans="5:31" s="134" customFormat="1" ht="3" customHeight="1" x14ac:dyDescent="0.25">
      <c r="E278" s="789"/>
      <c r="F278" s="789"/>
      <c r="G278" s="789"/>
      <c r="H278" s="790"/>
      <c r="AD278" s="791"/>
      <c r="AE278" s="792"/>
    </row>
    <row r="279" spans="5:31" s="134" customFormat="1" ht="3" customHeight="1" x14ac:dyDescent="0.25">
      <c r="E279" s="789"/>
      <c r="F279" s="789"/>
      <c r="G279" s="789"/>
      <c r="H279" s="790"/>
      <c r="AD279" s="791"/>
      <c r="AE279" s="792"/>
    </row>
    <row r="280" spans="5:31" s="134" customFormat="1" ht="3" customHeight="1" x14ac:dyDescent="0.25">
      <c r="E280" s="789"/>
      <c r="F280" s="789"/>
      <c r="G280" s="789"/>
      <c r="H280" s="790"/>
      <c r="AD280" s="791"/>
      <c r="AE280" s="792"/>
    </row>
    <row r="281" spans="5:31" s="134" customFormat="1" ht="3" customHeight="1" x14ac:dyDescent="0.25">
      <c r="E281" s="789"/>
      <c r="F281" s="789"/>
      <c r="G281" s="789"/>
      <c r="H281" s="790"/>
      <c r="AD281" s="791"/>
      <c r="AE281" s="792"/>
    </row>
    <row r="282" spans="5:31" s="134" customFormat="1" ht="3" customHeight="1" x14ac:dyDescent="0.25">
      <c r="E282" s="789"/>
      <c r="F282" s="789"/>
      <c r="G282" s="789"/>
      <c r="H282" s="790"/>
      <c r="AD282" s="791"/>
      <c r="AE282" s="792"/>
    </row>
    <row r="283" spans="5:31" s="134" customFormat="1" ht="3" customHeight="1" x14ac:dyDescent="0.25">
      <c r="E283" s="789"/>
      <c r="F283" s="789"/>
      <c r="G283" s="789"/>
      <c r="H283" s="790"/>
      <c r="AD283" s="791"/>
      <c r="AE283" s="792"/>
    </row>
    <row r="284" spans="5:31" s="134" customFormat="1" ht="3" customHeight="1" x14ac:dyDescent="0.25">
      <c r="E284" s="789"/>
      <c r="F284" s="789"/>
      <c r="G284" s="789"/>
      <c r="H284" s="790"/>
      <c r="AD284" s="791"/>
      <c r="AE284" s="792"/>
    </row>
    <row r="285" spans="5:31" s="134" customFormat="1" ht="3" customHeight="1" x14ac:dyDescent="0.25">
      <c r="E285" s="789"/>
      <c r="F285" s="789"/>
      <c r="G285" s="789"/>
      <c r="H285" s="790"/>
      <c r="AD285" s="791"/>
      <c r="AE285" s="792"/>
    </row>
    <row r="286" spans="5:31" s="134" customFormat="1" ht="3" customHeight="1" x14ac:dyDescent="0.25">
      <c r="E286" s="789"/>
      <c r="F286" s="789"/>
      <c r="G286" s="789"/>
      <c r="H286" s="790"/>
      <c r="AD286" s="791"/>
      <c r="AE286" s="792"/>
    </row>
    <row r="287" spans="5:31" s="134" customFormat="1" ht="3" customHeight="1" x14ac:dyDescent="0.25">
      <c r="E287" s="789"/>
      <c r="F287" s="789"/>
      <c r="G287" s="789"/>
      <c r="H287" s="790"/>
      <c r="AD287" s="791"/>
      <c r="AE287" s="792"/>
    </row>
    <row r="288" spans="5:31" s="134" customFormat="1" ht="3" customHeight="1" x14ac:dyDescent="0.25">
      <c r="E288" s="789"/>
      <c r="F288" s="789"/>
      <c r="G288" s="789"/>
      <c r="H288" s="790"/>
      <c r="AD288" s="791"/>
      <c r="AE288" s="792"/>
    </row>
    <row r="289" spans="5:31" s="134" customFormat="1" ht="3" customHeight="1" x14ac:dyDescent="0.25">
      <c r="E289" s="789"/>
      <c r="F289" s="789"/>
      <c r="G289" s="789"/>
      <c r="H289" s="790"/>
      <c r="AD289" s="791"/>
      <c r="AE289" s="792"/>
    </row>
    <row r="290" spans="5:31" s="134" customFormat="1" ht="3" customHeight="1" x14ac:dyDescent="0.25">
      <c r="E290" s="789"/>
      <c r="F290" s="789"/>
      <c r="G290" s="789"/>
      <c r="H290" s="790"/>
      <c r="AD290" s="791"/>
      <c r="AE290" s="792"/>
    </row>
    <row r="291" spans="5:31" s="134" customFormat="1" ht="3" customHeight="1" x14ac:dyDescent="0.25">
      <c r="E291" s="789"/>
      <c r="F291" s="789"/>
      <c r="G291" s="789"/>
      <c r="H291" s="790"/>
      <c r="AD291" s="791"/>
      <c r="AE291" s="792"/>
    </row>
    <row r="292" spans="5:31" s="134" customFormat="1" ht="3" customHeight="1" x14ac:dyDescent="0.25">
      <c r="E292" s="789"/>
      <c r="F292" s="789"/>
      <c r="G292" s="789"/>
      <c r="H292" s="790"/>
      <c r="AD292" s="791"/>
      <c r="AE292" s="792"/>
    </row>
    <row r="293" spans="5:31" s="134" customFormat="1" ht="3" customHeight="1" x14ac:dyDescent="0.25">
      <c r="E293" s="789"/>
      <c r="F293" s="789"/>
      <c r="G293" s="789"/>
      <c r="H293" s="790"/>
      <c r="AD293" s="791"/>
      <c r="AE293" s="792"/>
    </row>
    <row r="294" spans="5:31" s="134" customFormat="1" ht="3" customHeight="1" x14ac:dyDescent="0.25">
      <c r="E294" s="789"/>
      <c r="F294" s="789"/>
      <c r="G294" s="789"/>
      <c r="H294" s="790"/>
      <c r="AD294" s="791"/>
      <c r="AE294" s="792"/>
    </row>
    <row r="295" spans="5:31" s="134" customFormat="1" ht="3" customHeight="1" x14ac:dyDescent="0.25">
      <c r="E295" s="789"/>
      <c r="F295" s="789"/>
      <c r="G295" s="789"/>
      <c r="H295" s="790"/>
      <c r="AD295" s="791"/>
      <c r="AE295" s="792"/>
    </row>
    <row r="296" spans="5:31" s="134" customFormat="1" ht="3" customHeight="1" x14ac:dyDescent="0.25">
      <c r="E296" s="789"/>
      <c r="F296" s="789"/>
      <c r="G296" s="789"/>
      <c r="H296" s="790"/>
      <c r="AD296" s="791"/>
      <c r="AE296" s="792"/>
    </row>
    <row r="297" spans="5:31" s="134" customFormat="1" ht="3" customHeight="1" x14ac:dyDescent="0.25">
      <c r="E297" s="789"/>
      <c r="F297" s="789"/>
      <c r="G297" s="789"/>
      <c r="H297" s="790"/>
      <c r="AD297" s="791"/>
      <c r="AE297" s="792"/>
    </row>
    <row r="298" spans="5:31" s="134" customFormat="1" ht="3" customHeight="1" x14ac:dyDescent="0.25">
      <c r="E298" s="789"/>
      <c r="F298" s="789"/>
      <c r="G298" s="789"/>
      <c r="H298" s="790"/>
      <c r="AD298" s="791"/>
      <c r="AE298" s="792"/>
    </row>
    <row r="299" spans="5:31" s="134" customFormat="1" ht="3" customHeight="1" x14ac:dyDescent="0.25">
      <c r="E299" s="789"/>
      <c r="F299" s="789"/>
      <c r="G299" s="789"/>
      <c r="H299" s="790"/>
      <c r="AD299" s="791"/>
      <c r="AE299" s="792"/>
    </row>
    <row r="300" spans="5:31" s="134" customFormat="1" ht="3" customHeight="1" x14ac:dyDescent="0.25">
      <c r="E300" s="789"/>
      <c r="F300" s="789"/>
      <c r="G300" s="789"/>
      <c r="H300" s="790"/>
      <c r="AD300" s="791"/>
      <c r="AE300" s="792"/>
    </row>
    <row r="301" spans="5:31" s="134" customFormat="1" ht="3" customHeight="1" x14ac:dyDescent="0.25">
      <c r="E301" s="789"/>
      <c r="F301" s="789"/>
      <c r="G301" s="789"/>
      <c r="H301" s="790"/>
      <c r="AD301" s="791"/>
      <c r="AE301" s="792"/>
    </row>
    <row r="302" spans="5:31" s="134" customFormat="1" ht="3" customHeight="1" x14ac:dyDescent="0.25">
      <c r="E302" s="789"/>
      <c r="F302" s="789"/>
      <c r="G302" s="789"/>
      <c r="H302" s="790"/>
      <c r="AD302" s="791"/>
      <c r="AE302" s="792"/>
    </row>
    <row r="303" spans="5:31" s="134" customFormat="1" ht="3" customHeight="1" x14ac:dyDescent="0.25">
      <c r="E303" s="789"/>
      <c r="F303" s="789"/>
      <c r="G303" s="789"/>
      <c r="H303" s="790"/>
      <c r="AD303" s="791"/>
      <c r="AE303" s="792"/>
    </row>
    <row r="304" spans="5:31" s="134" customFormat="1" ht="3" customHeight="1" x14ac:dyDescent="0.25">
      <c r="E304" s="789"/>
      <c r="F304" s="789"/>
      <c r="G304" s="789"/>
      <c r="H304" s="790"/>
      <c r="AD304" s="791"/>
      <c r="AE304" s="792"/>
    </row>
    <row r="305" spans="5:31" s="134" customFormat="1" ht="3" customHeight="1" x14ac:dyDescent="0.25">
      <c r="E305" s="789"/>
      <c r="F305" s="789"/>
      <c r="G305" s="789"/>
      <c r="H305" s="790"/>
      <c r="AD305" s="791"/>
      <c r="AE305" s="792"/>
    </row>
    <row r="306" spans="5:31" s="134" customFormat="1" ht="3" customHeight="1" x14ac:dyDescent="0.25">
      <c r="E306" s="789"/>
      <c r="F306" s="789"/>
      <c r="G306" s="789"/>
      <c r="H306" s="790"/>
      <c r="AD306" s="791"/>
      <c r="AE306" s="792"/>
    </row>
    <row r="307" spans="5:31" s="134" customFormat="1" ht="3" customHeight="1" x14ac:dyDescent="0.25">
      <c r="E307" s="789"/>
      <c r="F307" s="789"/>
      <c r="G307" s="789"/>
      <c r="H307" s="790"/>
      <c r="AD307" s="791"/>
      <c r="AE307" s="792"/>
    </row>
    <row r="308" spans="5:31" s="134" customFormat="1" ht="3" customHeight="1" x14ac:dyDescent="0.25">
      <c r="E308" s="789"/>
      <c r="F308" s="789"/>
      <c r="G308" s="789"/>
      <c r="H308" s="790"/>
      <c r="AD308" s="791"/>
      <c r="AE308" s="792"/>
    </row>
    <row r="309" spans="5:31" s="134" customFormat="1" ht="12.75" customHeight="1" x14ac:dyDescent="0.25">
      <c r="E309" s="789"/>
      <c r="F309" s="789"/>
      <c r="G309" s="789"/>
      <c r="H309" s="790"/>
      <c r="AD309" s="791"/>
      <c r="AE309" s="792"/>
    </row>
    <row r="310" spans="5:31" s="134" customFormat="1" ht="12.75" customHeight="1" x14ac:dyDescent="0.25">
      <c r="E310" s="789"/>
      <c r="F310" s="789"/>
      <c r="G310" s="789"/>
      <c r="H310" s="790"/>
      <c r="AD310" s="791"/>
      <c r="AE310" s="792"/>
    </row>
    <row r="311" spans="5:31" s="134" customFormat="1" ht="12.75" customHeight="1" x14ac:dyDescent="0.25">
      <c r="E311" s="789"/>
      <c r="F311" s="789"/>
      <c r="G311" s="789"/>
      <c r="H311" s="790"/>
      <c r="AD311" s="791"/>
      <c r="AE311" s="792"/>
    </row>
    <row r="312" spans="5:31" s="134" customFormat="1" ht="12.75" customHeight="1" x14ac:dyDescent="0.25">
      <c r="E312" s="789"/>
      <c r="F312" s="789"/>
      <c r="G312" s="789"/>
      <c r="H312" s="790"/>
      <c r="AD312" s="791"/>
      <c r="AE312" s="792"/>
    </row>
    <row r="313" spans="5:31" s="134" customFormat="1" ht="12.75" customHeight="1" x14ac:dyDescent="0.25">
      <c r="E313" s="789"/>
      <c r="F313" s="789"/>
      <c r="G313" s="789"/>
      <c r="H313" s="790"/>
      <c r="AD313" s="791"/>
      <c r="AE313" s="792"/>
    </row>
    <row r="314" spans="5:31" s="134" customFormat="1" ht="12.75" customHeight="1" x14ac:dyDescent="0.25">
      <c r="E314" s="789"/>
      <c r="F314" s="789"/>
      <c r="G314" s="789"/>
      <c r="H314" s="790"/>
      <c r="AD314" s="791"/>
      <c r="AE314" s="792"/>
    </row>
    <row r="315" spans="5:31" s="134" customFormat="1" ht="12.75" customHeight="1" x14ac:dyDescent="0.25">
      <c r="E315" s="789"/>
      <c r="F315" s="789"/>
      <c r="G315" s="789"/>
      <c r="H315" s="790"/>
      <c r="AD315" s="791"/>
      <c r="AE315" s="792"/>
    </row>
    <row r="316" spans="5:31" s="134" customFormat="1" ht="12.75" customHeight="1" x14ac:dyDescent="0.25">
      <c r="E316" s="789"/>
      <c r="F316" s="789"/>
      <c r="G316" s="789"/>
      <c r="H316" s="790"/>
      <c r="AD316" s="791"/>
      <c r="AE316" s="792"/>
    </row>
    <row r="317" spans="5:31" s="134" customFormat="1" ht="12.75" customHeight="1" x14ac:dyDescent="0.25">
      <c r="E317" s="789"/>
      <c r="F317" s="789"/>
      <c r="G317" s="789"/>
      <c r="H317" s="790"/>
      <c r="AD317" s="791"/>
      <c r="AE317" s="792"/>
    </row>
    <row r="318" spans="5:31" s="134" customFormat="1" ht="12.75" customHeight="1" x14ac:dyDescent="0.25">
      <c r="E318" s="789"/>
      <c r="F318" s="789"/>
      <c r="G318" s="789"/>
      <c r="H318" s="790"/>
      <c r="AD318" s="791"/>
      <c r="AE318" s="792"/>
    </row>
    <row r="319" spans="5:31" s="134" customFormat="1" ht="12.75" customHeight="1" x14ac:dyDescent="0.25">
      <c r="E319" s="789"/>
      <c r="F319" s="789"/>
      <c r="G319" s="789"/>
      <c r="H319" s="790"/>
      <c r="AD319" s="791"/>
      <c r="AE319" s="792"/>
    </row>
    <row r="320" spans="5:31" s="134" customFormat="1" ht="12.75" customHeight="1" x14ac:dyDescent="0.25">
      <c r="E320" s="789"/>
      <c r="F320" s="789"/>
      <c r="G320" s="789"/>
      <c r="H320" s="790"/>
      <c r="AD320" s="791"/>
      <c r="AE320" s="792"/>
    </row>
    <row r="321" spans="5:31" s="134" customFormat="1" ht="12.75" customHeight="1" x14ac:dyDescent="0.25">
      <c r="E321" s="789"/>
      <c r="F321" s="789"/>
      <c r="G321" s="789"/>
      <c r="H321" s="790"/>
      <c r="AD321" s="791"/>
      <c r="AE321" s="792"/>
    </row>
    <row r="322" spans="5:31" s="134" customFormat="1" ht="12.75" customHeight="1" x14ac:dyDescent="0.25">
      <c r="E322" s="789"/>
      <c r="F322" s="789"/>
      <c r="G322" s="789"/>
      <c r="H322" s="790"/>
      <c r="AD322" s="791"/>
      <c r="AE322" s="792"/>
    </row>
    <row r="323" spans="5:31" s="134" customFormat="1" ht="12.75" customHeight="1" x14ac:dyDescent="0.25">
      <c r="E323" s="789"/>
      <c r="F323" s="789"/>
      <c r="G323" s="789"/>
      <c r="H323" s="790"/>
      <c r="AD323" s="791"/>
      <c r="AE323" s="792"/>
    </row>
    <row r="324" spans="5:31" s="134" customFormat="1" ht="12.75" customHeight="1" x14ac:dyDescent="0.25">
      <c r="E324" s="789"/>
      <c r="F324" s="789"/>
      <c r="G324" s="789"/>
      <c r="H324" s="790"/>
      <c r="AD324" s="791"/>
      <c r="AE324" s="792"/>
    </row>
    <row r="325" spans="5:31" s="134" customFormat="1" ht="12.75" customHeight="1" x14ac:dyDescent="0.25">
      <c r="E325" s="789"/>
      <c r="F325" s="789"/>
      <c r="G325" s="789"/>
      <c r="H325" s="790"/>
      <c r="AD325" s="791"/>
      <c r="AE325" s="792"/>
    </row>
    <row r="326" spans="5:31" s="134" customFormat="1" ht="12.75" customHeight="1" x14ac:dyDescent="0.25">
      <c r="E326" s="789"/>
      <c r="F326" s="789"/>
      <c r="G326" s="789"/>
      <c r="H326" s="790"/>
      <c r="AD326" s="791"/>
      <c r="AE326" s="792"/>
    </row>
    <row r="327" spans="5:31" s="134" customFormat="1" ht="12.75" customHeight="1" x14ac:dyDescent="0.25">
      <c r="E327" s="789"/>
      <c r="F327" s="789"/>
      <c r="G327" s="789"/>
      <c r="H327" s="790"/>
      <c r="AD327" s="791"/>
      <c r="AE327" s="792"/>
    </row>
    <row r="328" spans="5:31" s="134" customFormat="1" ht="12.75" customHeight="1" x14ac:dyDescent="0.25">
      <c r="E328" s="789"/>
      <c r="F328" s="789"/>
      <c r="G328" s="789"/>
      <c r="H328" s="790"/>
      <c r="AD328" s="791"/>
      <c r="AE328" s="792"/>
    </row>
    <row r="329" spans="5:31" s="134" customFormat="1" ht="12.75" customHeight="1" x14ac:dyDescent="0.25">
      <c r="E329" s="789"/>
      <c r="F329" s="789"/>
      <c r="G329" s="789"/>
      <c r="H329" s="790"/>
      <c r="AD329" s="791"/>
      <c r="AE329" s="792"/>
    </row>
    <row r="330" spans="5:31" s="134" customFormat="1" ht="12.75" customHeight="1" x14ac:dyDescent="0.25">
      <c r="E330" s="789"/>
      <c r="F330" s="789"/>
      <c r="G330" s="789"/>
      <c r="H330" s="790"/>
      <c r="AD330" s="791"/>
      <c r="AE330" s="792"/>
    </row>
    <row r="331" spans="5:31" s="134" customFormat="1" ht="12.75" customHeight="1" x14ac:dyDescent="0.25">
      <c r="E331" s="789"/>
      <c r="F331" s="789"/>
      <c r="G331" s="789"/>
      <c r="H331" s="790"/>
      <c r="AD331" s="791"/>
      <c r="AE331" s="792"/>
    </row>
    <row r="332" spans="5:31" s="134" customFormat="1" ht="12.75" customHeight="1" x14ac:dyDescent="0.25">
      <c r="E332" s="789"/>
      <c r="F332" s="789"/>
      <c r="G332" s="789"/>
      <c r="H332" s="790"/>
      <c r="AD332" s="791"/>
      <c r="AE332" s="792"/>
    </row>
    <row r="333" spans="5:31" s="134" customFormat="1" ht="12.75" customHeight="1" x14ac:dyDescent="0.25">
      <c r="E333" s="789"/>
      <c r="F333" s="789"/>
      <c r="G333" s="789"/>
      <c r="H333" s="790"/>
      <c r="AD333" s="791"/>
      <c r="AE333" s="792"/>
    </row>
    <row r="334" spans="5:31" s="134" customFormat="1" ht="12.75" customHeight="1" x14ac:dyDescent="0.25">
      <c r="E334" s="789"/>
      <c r="F334" s="789"/>
      <c r="G334" s="789"/>
      <c r="H334" s="790"/>
      <c r="AD334" s="791"/>
      <c r="AE334" s="792"/>
    </row>
    <row r="335" spans="5:31" s="134" customFormat="1" ht="12.75" customHeight="1" x14ac:dyDescent="0.25">
      <c r="E335" s="789"/>
      <c r="F335" s="789"/>
      <c r="G335" s="789"/>
      <c r="H335" s="790"/>
      <c r="AD335" s="791"/>
      <c r="AE335" s="792"/>
    </row>
    <row r="336" spans="5:31" s="134" customFormat="1" ht="12.75" customHeight="1" x14ac:dyDescent="0.25">
      <c r="E336" s="789"/>
      <c r="F336" s="789"/>
      <c r="G336" s="789"/>
      <c r="H336" s="790"/>
      <c r="AD336" s="791"/>
      <c r="AE336" s="792"/>
    </row>
    <row r="337" spans="5:31" s="134" customFormat="1" ht="12.75" customHeight="1" x14ac:dyDescent="0.25">
      <c r="E337" s="789"/>
      <c r="F337" s="789"/>
      <c r="G337" s="789"/>
      <c r="H337" s="790"/>
      <c r="AD337" s="791"/>
      <c r="AE337" s="792"/>
    </row>
    <row r="338" spans="5:31" s="134" customFormat="1" ht="12.75" customHeight="1" x14ac:dyDescent="0.25">
      <c r="E338" s="789"/>
      <c r="F338" s="789"/>
      <c r="G338" s="789"/>
      <c r="H338" s="790"/>
      <c r="AD338" s="791"/>
      <c r="AE338" s="792"/>
    </row>
    <row r="339" spans="5:31" s="134" customFormat="1" ht="12.75" customHeight="1" x14ac:dyDescent="0.25">
      <c r="E339" s="789"/>
      <c r="F339" s="789"/>
      <c r="G339" s="789"/>
      <c r="H339" s="790"/>
      <c r="AD339" s="791"/>
      <c r="AE339" s="792"/>
    </row>
    <row r="340" spans="5:31" s="134" customFormat="1" ht="12.75" customHeight="1" x14ac:dyDescent="0.25">
      <c r="E340" s="789"/>
      <c r="F340" s="789"/>
      <c r="G340" s="789"/>
      <c r="H340" s="790"/>
      <c r="AD340" s="791"/>
      <c r="AE340" s="792"/>
    </row>
    <row r="341" spans="5:31" s="134" customFormat="1" ht="12.75" customHeight="1" x14ac:dyDescent="0.25">
      <c r="E341" s="789"/>
      <c r="F341" s="789"/>
      <c r="G341" s="789"/>
      <c r="H341" s="790"/>
      <c r="AD341" s="791"/>
      <c r="AE341" s="792"/>
    </row>
    <row r="342" spans="5:31" s="134" customFormat="1" ht="12.75" customHeight="1" x14ac:dyDescent="0.25">
      <c r="E342" s="789"/>
      <c r="F342" s="789"/>
      <c r="G342" s="789"/>
      <c r="H342" s="790"/>
      <c r="AD342" s="791"/>
      <c r="AE342" s="792"/>
    </row>
    <row r="343" spans="5:31" s="134" customFormat="1" ht="12.75" customHeight="1" x14ac:dyDescent="0.25">
      <c r="E343" s="789"/>
      <c r="F343" s="789"/>
      <c r="G343" s="789"/>
      <c r="H343" s="790"/>
      <c r="AD343" s="791"/>
      <c r="AE343" s="792"/>
    </row>
    <row r="344" spans="5:31" s="134" customFormat="1" ht="12.75" customHeight="1" x14ac:dyDescent="0.25">
      <c r="E344" s="789"/>
      <c r="F344" s="789"/>
      <c r="G344" s="789"/>
      <c r="H344" s="790"/>
      <c r="AD344" s="791"/>
      <c r="AE344" s="792"/>
    </row>
    <row r="345" spans="5:31" s="134" customFormat="1" ht="12.75" customHeight="1" x14ac:dyDescent="0.25">
      <c r="E345" s="789"/>
      <c r="F345" s="789"/>
      <c r="G345" s="789"/>
      <c r="H345" s="790"/>
      <c r="AD345" s="791"/>
      <c r="AE345" s="792"/>
    </row>
    <row r="346" spans="5:31" s="134" customFormat="1" ht="12.75" customHeight="1" x14ac:dyDescent="0.25">
      <c r="E346" s="789"/>
      <c r="F346" s="789"/>
      <c r="G346" s="789"/>
      <c r="H346" s="790"/>
      <c r="AD346" s="791"/>
      <c r="AE346" s="792"/>
    </row>
    <row r="347" spans="5:31" s="134" customFormat="1" ht="12.75" customHeight="1" x14ac:dyDescent="0.25">
      <c r="E347" s="789"/>
      <c r="F347" s="789"/>
      <c r="G347" s="789"/>
      <c r="H347" s="790"/>
      <c r="AD347" s="791"/>
      <c r="AE347" s="792"/>
    </row>
    <row r="348" spans="5:31" s="134" customFormat="1" ht="12.75" customHeight="1" x14ac:dyDescent="0.25">
      <c r="E348" s="789"/>
      <c r="F348" s="789"/>
      <c r="G348" s="789"/>
      <c r="H348" s="790"/>
      <c r="AD348" s="791"/>
      <c r="AE348" s="792"/>
    </row>
    <row r="349" spans="5:31" s="134" customFormat="1" ht="12.75" customHeight="1" x14ac:dyDescent="0.25">
      <c r="E349" s="789"/>
      <c r="F349" s="789"/>
      <c r="G349" s="789"/>
      <c r="H349" s="790"/>
      <c r="AD349" s="791"/>
      <c r="AE349" s="792"/>
    </row>
    <row r="350" spans="5:31" s="134" customFormat="1" ht="12.75" customHeight="1" x14ac:dyDescent="0.25">
      <c r="E350" s="789"/>
      <c r="F350" s="789"/>
      <c r="G350" s="789"/>
      <c r="H350" s="790"/>
      <c r="AD350" s="791"/>
      <c r="AE350" s="792"/>
    </row>
    <row r="351" spans="5:31" s="134" customFormat="1" ht="12.75" customHeight="1" x14ac:dyDescent="0.25">
      <c r="E351" s="789"/>
      <c r="F351" s="789"/>
      <c r="G351" s="789"/>
      <c r="H351" s="790"/>
      <c r="AD351" s="791"/>
      <c r="AE351" s="792"/>
    </row>
    <row r="352" spans="5:31" s="134" customFormat="1" ht="12.75" customHeight="1" x14ac:dyDescent="0.25">
      <c r="E352" s="789"/>
      <c r="F352" s="789"/>
      <c r="G352" s="789"/>
      <c r="H352" s="790"/>
      <c r="AD352" s="791"/>
      <c r="AE352" s="792"/>
    </row>
    <row r="353" spans="5:31" s="134" customFormat="1" ht="12.75" customHeight="1" x14ac:dyDescent="0.25">
      <c r="E353" s="789"/>
      <c r="F353" s="789"/>
      <c r="G353" s="789"/>
      <c r="H353" s="790"/>
      <c r="AD353" s="791"/>
      <c r="AE353" s="792"/>
    </row>
    <row r="354" spans="5:31" s="134" customFormat="1" ht="12.75" customHeight="1" x14ac:dyDescent="0.25">
      <c r="E354" s="789"/>
      <c r="F354" s="789"/>
      <c r="G354" s="789"/>
      <c r="H354" s="790"/>
      <c r="AD354" s="791"/>
      <c r="AE354" s="792"/>
    </row>
    <row r="355" spans="5:31" s="134" customFormat="1" ht="12.75" customHeight="1" x14ac:dyDescent="0.25">
      <c r="E355" s="789"/>
      <c r="F355" s="789"/>
      <c r="G355" s="789"/>
      <c r="H355" s="790"/>
      <c r="AD355" s="791"/>
      <c r="AE355" s="792"/>
    </row>
    <row r="356" spans="5:31" s="134" customFormat="1" ht="12.75" customHeight="1" x14ac:dyDescent="0.25">
      <c r="E356" s="789"/>
      <c r="F356" s="789"/>
      <c r="G356" s="789"/>
      <c r="H356" s="790"/>
      <c r="AD356" s="791"/>
      <c r="AE356" s="792"/>
    </row>
    <row r="357" spans="5:31" s="134" customFormat="1" ht="12.75" customHeight="1" x14ac:dyDescent="0.25">
      <c r="E357" s="789"/>
      <c r="F357" s="789"/>
      <c r="G357" s="789"/>
      <c r="H357" s="790"/>
      <c r="AD357" s="791"/>
      <c r="AE357" s="792"/>
    </row>
    <row r="358" spans="5:31" s="134" customFormat="1" ht="12.75" customHeight="1" x14ac:dyDescent="0.25">
      <c r="E358" s="789"/>
      <c r="F358" s="789"/>
      <c r="G358" s="789"/>
      <c r="H358" s="790"/>
      <c r="AD358" s="791"/>
      <c r="AE358" s="792"/>
    </row>
    <row r="359" spans="5:31" s="134" customFormat="1" ht="12.75" customHeight="1" x14ac:dyDescent="0.25">
      <c r="E359" s="789"/>
      <c r="F359" s="789"/>
      <c r="G359" s="789"/>
      <c r="H359" s="790"/>
      <c r="AD359" s="791"/>
      <c r="AE359" s="792"/>
    </row>
    <row r="360" spans="5:31" s="134" customFormat="1" ht="12.75" customHeight="1" x14ac:dyDescent="0.25">
      <c r="E360" s="789"/>
      <c r="F360" s="789"/>
      <c r="G360" s="789"/>
      <c r="H360" s="790"/>
      <c r="AD360" s="791"/>
      <c r="AE360" s="792"/>
    </row>
    <row r="361" spans="5:31" s="134" customFormat="1" ht="12.75" customHeight="1" x14ac:dyDescent="0.25">
      <c r="E361" s="789"/>
      <c r="F361" s="789"/>
      <c r="G361" s="789"/>
      <c r="H361" s="790"/>
      <c r="AD361" s="791"/>
      <c r="AE361" s="792"/>
    </row>
    <row r="362" spans="5:31" s="134" customFormat="1" ht="12.75" customHeight="1" x14ac:dyDescent="0.25">
      <c r="E362" s="789"/>
      <c r="F362" s="789"/>
      <c r="G362" s="789"/>
      <c r="H362" s="790"/>
      <c r="AD362" s="791"/>
      <c r="AE362" s="792"/>
    </row>
    <row r="363" spans="5:31" s="134" customFormat="1" ht="12.75" customHeight="1" x14ac:dyDescent="0.25">
      <c r="E363" s="789"/>
      <c r="F363" s="789"/>
      <c r="G363" s="789"/>
      <c r="H363" s="790"/>
      <c r="AD363" s="791"/>
      <c r="AE363" s="792"/>
    </row>
    <row r="364" spans="5:31" s="134" customFormat="1" ht="12.75" customHeight="1" x14ac:dyDescent="0.25">
      <c r="E364" s="789"/>
      <c r="F364" s="789"/>
      <c r="G364" s="789"/>
      <c r="H364" s="790"/>
      <c r="AD364" s="791"/>
      <c r="AE364" s="792"/>
    </row>
    <row r="365" spans="5:31" ht="12.75" customHeight="1" x14ac:dyDescent="0.25">
      <c r="E365" s="793"/>
      <c r="F365" s="793"/>
      <c r="G365" s="793"/>
      <c r="H365" s="794"/>
    </row>
    <row r="366" spans="5:31" ht="12.75" customHeight="1" x14ac:dyDescent="0.25">
      <c r="E366" s="793"/>
      <c r="F366" s="793"/>
      <c r="G366" s="793"/>
      <c r="H366" s="794"/>
    </row>
    <row r="367" spans="5:31" ht="12.75" customHeight="1" x14ac:dyDescent="0.25">
      <c r="E367" s="793"/>
      <c r="F367" s="793"/>
      <c r="G367" s="793"/>
      <c r="H367" s="794"/>
    </row>
    <row r="368" spans="5:31" ht="12.75" customHeight="1" x14ac:dyDescent="0.25">
      <c r="E368" s="793"/>
      <c r="F368" s="793"/>
      <c r="G368" s="793"/>
      <c r="H368" s="794"/>
    </row>
    <row r="369" spans="5:8" ht="12.75" customHeight="1" x14ac:dyDescent="0.25">
      <c r="E369" s="793"/>
      <c r="F369" s="793"/>
      <c r="G369" s="793"/>
      <c r="H369" s="794"/>
    </row>
    <row r="370" spans="5:8" ht="12.75" customHeight="1" x14ac:dyDescent="0.25">
      <c r="E370" s="793"/>
      <c r="F370" s="793"/>
      <c r="G370" s="793"/>
      <c r="H370" s="794"/>
    </row>
    <row r="371" spans="5:8" ht="12.75" customHeight="1" x14ac:dyDescent="0.25">
      <c r="E371" s="793"/>
      <c r="F371" s="793"/>
      <c r="G371" s="793"/>
      <c r="H371" s="794"/>
    </row>
    <row r="372" spans="5:8" ht="12.75" customHeight="1" x14ac:dyDescent="0.25">
      <c r="E372" s="793"/>
      <c r="F372" s="793"/>
      <c r="G372" s="793"/>
      <c r="H372" s="794"/>
    </row>
    <row r="373" spans="5:8" ht="12.75" customHeight="1" x14ac:dyDescent="0.25">
      <c r="E373" s="793"/>
      <c r="F373" s="793"/>
      <c r="G373" s="793"/>
      <c r="H373" s="794"/>
    </row>
    <row r="374" spans="5:8" ht="12.75" customHeight="1" x14ac:dyDescent="0.25">
      <c r="E374" s="793"/>
      <c r="F374" s="793"/>
      <c r="G374" s="793"/>
      <c r="H374" s="794"/>
    </row>
    <row r="375" spans="5:8" ht="12.75" customHeight="1" x14ac:dyDescent="0.25">
      <c r="E375" s="793"/>
      <c r="F375" s="793"/>
      <c r="G375" s="793"/>
      <c r="H375" s="794"/>
    </row>
    <row r="376" spans="5:8" ht="12.75" customHeight="1" x14ac:dyDescent="0.25">
      <c r="E376" s="793"/>
      <c r="F376" s="793"/>
      <c r="G376" s="793"/>
      <c r="H376" s="794"/>
    </row>
    <row r="377" spans="5:8" ht="12.75" customHeight="1" x14ac:dyDescent="0.25">
      <c r="E377" s="793"/>
      <c r="F377" s="793"/>
      <c r="G377" s="793"/>
      <c r="H377" s="794"/>
    </row>
    <row r="378" spans="5:8" ht="12.75" customHeight="1" x14ac:dyDescent="0.25">
      <c r="E378" s="793"/>
      <c r="F378" s="793"/>
      <c r="G378" s="793"/>
      <c r="H378" s="794"/>
    </row>
    <row r="379" spans="5:8" ht="12.75" customHeight="1" x14ac:dyDescent="0.25">
      <c r="E379" s="793"/>
      <c r="F379" s="793"/>
      <c r="G379" s="793"/>
      <c r="H379" s="794"/>
    </row>
    <row r="380" spans="5:8" ht="12.75" customHeight="1" x14ac:dyDescent="0.25">
      <c r="E380" s="793"/>
      <c r="F380" s="793"/>
      <c r="G380" s="793"/>
      <c r="H380" s="794"/>
    </row>
    <row r="381" spans="5:8" ht="12.75" customHeight="1" x14ac:dyDescent="0.25">
      <c r="E381" s="793"/>
      <c r="F381" s="793"/>
      <c r="G381" s="793"/>
      <c r="H381" s="794"/>
    </row>
    <row r="382" spans="5:8" ht="12.75" customHeight="1" x14ac:dyDescent="0.25">
      <c r="E382" s="793"/>
      <c r="F382" s="793"/>
      <c r="G382" s="793"/>
      <c r="H382" s="794"/>
    </row>
    <row r="383" spans="5:8" ht="12.75" customHeight="1" x14ac:dyDescent="0.25">
      <c r="E383" s="793"/>
      <c r="F383" s="793"/>
      <c r="G383" s="793"/>
      <c r="H383" s="794"/>
    </row>
    <row r="384" spans="5:8" ht="12.75" customHeight="1" x14ac:dyDescent="0.25">
      <c r="E384" s="793"/>
      <c r="F384" s="793"/>
      <c r="G384" s="793"/>
      <c r="H384" s="794"/>
    </row>
    <row r="385" spans="5:8" ht="12.75" customHeight="1" x14ac:dyDescent="0.25">
      <c r="E385" s="793"/>
      <c r="F385" s="793"/>
      <c r="G385" s="793"/>
      <c r="H385" s="794"/>
    </row>
    <row r="386" spans="5:8" ht="12.75" customHeight="1" x14ac:dyDescent="0.25">
      <c r="E386" s="793"/>
      <c r="F386" s="793"/>
      <c r="G386" s="793"/>
      <c r="H386" s="794"/>
    </row>
    <row r="387" spans="5:8" ht="12.75" customHeight="1" x14ac:dyDescent="0.25">
      <c r="E387" s="793"/>
      <c r="F387" s="793"/>
      <c r="G387" s="793"/>
      <c r="H387" s="794"/>
    </row>
    <row r="388" spans="5:8" ht="12.75" customHeight="1" x14ac:dyDescent="0.25">
      <c r="E388" s="793"/>
      <c r="F388" s="793"/>
      <c r="G388" s="793"/>
      <c r="H388" s="794"/>
    </row>
    <row r="389" spans="5:8" ht="12.75" customHeight="1" x14ac:dyDescent="0.25">
      <c r="E389" s="793"/>
      <c r="F389" s="793"/>
      <c r="G389" s="793"/>
      <c r="H389" s="794"/>
    </row>
    <row r="390" spans="5:8" ht="12.75" customHeight="1" x14ac:dyDescent="0.25">
      <c r="E390" s="793"/>
      <c r="F390" s="793"/>
      <c r="G390" s="793"/>
      <c r="H390" s="794"/>
    </row>
    <row r="391" spans="5:8" ht="12.75" customHeight="1" x14ac:dyDescent="0.25">
      <c r="E391" s="793"/>
      <c r="F391" s="793"/>
      <c r="G391" s="793"/>
      <c r="H391" s="794"/>
    </row>
    <row r="392" spans="5:8" ht="12.75" customHeight="1" x14ac:dyDescent="0.25">
      <c r="E392" s="793"/>
      <c r="F392" s="793"/>
      <c r="G392" s="793"/>
      <c r="H392" s="794"/>
    </row>
    <row r="393" spans="5:8" ht="12.75" customHeight="1" x14ac:dyDescent="0.25">
      <c r="E393" s="793"/>
      <c r="F393" s="793"/>
      <c r="G393" s="793"/>
      <c r="H393" s="794"/>
    </row>
    <row r="394" spans="5:8" ht="12.75" customHeight="1" x14ac:dyDescent="0.25">
      <c r="E394" s="793"/>
      <c r="F394" s="793"/>
      <c r="G394" s="793"/>
      <c r="H394" s="794"/>
    </row>
    <row r="395" spans="5:8" ht="12.75" customHeight="1" x14ac:dyDescent="0.25">
      <c r="E395" s="793"/>
      <c r="F395" s="793"/>
      <c r="G395" s="793"/>
      <c r="H395" s="794"/>
    </row>
    <row r="396" spans="5:8" ht="12.75" customHeight="1" x14ac:dyDescent="0.25">
      <c r="E396" s="793"/>
      <c r="F396" s="793"/>
      <c r="G396" s="793"/>
      <c r="H396" s="794"/>
    </row>
    <row r="397" spans="5:8" ht="12.75" customHeight="1" x14ac:dyDescent="0.25">
      <c r="E397" s="793"/>
      <c r="F397" s="793"/>
      <c r="G397" s="793"/>
      <c r="H397" s="794"/>
    </row>
    <row r="398" spans="5:8" ht="12.75" customHeight="1" x14ac:dyDescent="0.25">
      <c r="E398" s="793"/>
      <c r="F398" s="793"/>
      <c r="G398" s="793"/>
      <c r="H398" s="794"/>
    </row>
    <row r="399" spans="5:8" ht="12.75" customHeight="1" x14ac:dyDescent="0.25">
      <c r="E399" s="793"/>
      <c r="F399" s="793"/>
      <c r="G399" s="793"/>
      <c r="H399" s="794"/>
    </row>
    <row r="400" spans="5:8" ht="12.75" customHeight="1" x14ac:dyDescent="0.25">
      <c r="E400" s="793"/>
      <c r="F400" s="793"/>
      <c r="G400" s="793"/>
      <c r="H400" s="794"/>
    </row>
    <row r="401" spans="5:8" ht="12.75" customHeight="1" x14ac:dyDescent="0.25">
      <c r="E401" s="793"/>
      <c r="F401" s="793"/>
      <c r="G401" s="793"/>
      <c r="H401" s="794"/>
    </row>
    <row r="402" spans="5:8" ht="12.75" customHeight="1" x14ac:dyDescent="0.25">
      <c r="E402" s="793"/>
      <c r="F402" s="793"/>
      <c r="G402" s="793"/>
      <c r="H402" s="794"/>
    </row>
    <row r="403" spans="5:8" ht="12.75" customHeight="1" x14ac:dyDescent="0.25">
      <c r="E403" s="793"/>
      <c r="F403" s="793"/>
      <c r="G403" s="793"/>
      <c r="H403" s="794"/>
    </row>
    <row r="404" spans="5:8" ht="12.75" customHeight="1" x14ac:dyDescent="0.25">
      <c r="E404" s="793"/>
      <c r="F404" s="793"/>
      <c r="G404" s="793"/>
      <c r="H404" s="794"/>
    </row>
    <row r="405" spans="5:8" ht="12.75" customHeight="1" x14ac:dyDescent="0.25">
      <c r="E405" s="793"/>
      <c r="F405" s="793"/>
      <c r="G405" s="793"/>
      <c r="H405" s="794"/>
    </row>
    <row r="406" spans="5:8" ht="12.75" customHeight="1" x14ac:dyDescent="0.25">
      <c r="E406" s="793"/>
      <c r="F406" s="793"/>
      <c r="G406" s="793"/>
      <c r="H406" s="794"/>
    </row>
    <row r="407" spans="5:8" ht="12.75" customHeight="1" x14ac:dyDescent="0.25">
      <c r="E407" s="793"/>
      <c r="F407" s="793"/>
      <c r="G407" s="793"/>
      <c r="H407" s="794"/>
    </row>
    <row r="408" spans="5:8" ht="12.75" customHeight="1" x14ac:dyDescent="0.25">
      <c r="E408" s="793"/>
      <c r="F408" s="793"/>
      <c r="G408" s="793"/>
      <c r="H408" s="794"/>
    </row>
    <row r="409" spans="5:8" ht="12.75" customHeight="1" x14ac:dyDescent="0.25">
      <c r="E409" s="793"/>
      <c r="F409" s="793"/>
      <c r="G409" s="793"/>
      <c r="H409" s="794"/>
    </row>
    <row r="410" spans="5:8" ht="12.75" customHeight="1" x14ac:dyDescent="0.25">
      <c r="E410" s="793"/>
      <c r="F410" s="793"/>
      <c r="G410" s="793"/>
      <c r="H410" s="794"/>
    </row>
    <row r="411" spans="5:8" ht="12.75" customHeight="1" x14ac:dyDescent="0.25">
      <c r="E411" s="793"/>
      <c r="F411" s="793"/>
      <c r="G411" s="793"/>
      <c r="H411" s="794"/>
    </row>
    <row r="412" spans="5:8" ht="12.75" customHeight="1" x14ac:dyDescent="0.25">
      <c r="E412" s="793"/>
      <c r="F412" s="793"/>
      <c r="G412" s="793"/>
      <c r="H412" s="794"/>
    </row>
    <row r="413" spans="5:8" ht="12.75" customHeight="1" x14ac:dyDescent="0.25">
      <c r="E413" s="793"/>
      <c r="F413" s="793"/>
      <c r="G413" s="793"/>
      <c r="H413" s="794"/>
    </row>
    <row r="414" spans="5:8" ht="12.75" customHeight="1" x14ac:dyDescent="0.25">
      <c r="E414" s="793"/>
      <c r="F414" s="793"/>
      <c r="G414" s="793"/>
      <c r="H414" s="794"/>
    </row>
    <row r="415" spans="5:8" ht="12.75" customHeight="1" x14ac:dyDescent="0.25">
      <c r="E415" s="793"/>
      <c r="F415" s="793"/>
      <c r="G415" s="793"/>
      <c r="H415" s="794"/>
    </row>
    <row r="416" spans="5:8" ht="12.75" customHeight="1" x14ac:dyDescent="0.25">
      <c r="E416" s="793"/>
      <c r="F416" s="793"/>
      <c r="G416" s="793"/>
      <c r="H416" s="794"/>
    </row>
    <row r="417" spans="5:8" ht="12.75" customHeight="1" x14ac:dyDescent="0.25">
      <c r="E417" s="793"/>
      <c r="F417" s="793"/>
      <c r="G417" s="793"/>
      <c r="H417" s="794"/>
    </row>
    <row r="418" spans="5:8" ht="12.75" customHeight="1" x14ac:dyDescent="0.25">
      <c r="E418" s="793"/>
      <c r="F418" s="793"/>
      <c r="G418" s="793"/>
      <c r="H418" s="794"/>
    </row>
    <row r="419" spans="5:8" ht="12.75" customHeight="1" x14ac:dyDescent="0.25">
      <c r="E419" s="793"/>
      <c r="F419" s="793"/>
      <c r="G419" s="793"/>
      <c r="H419" s="794"/>
    </row>
    <row r="420" spans="5:8" ht="12.75" customHeight="1" x14ac:dyDescent="0.25">
      <c r="E420" s="793"/>
      <c r="F420" s="793"/>
      <c r="G420" s="793"/>
      <c r="H420" s="794"/>
    </row>
    <row r="421" spans="5:8" ht="12.75" customHeight="1" x14ac:dyDescent="0.25">
      <c r="E421" s="793"/>
      <c r="F421" s="793"/>
      <c r="G421" s="793"/>
      <c r="H421" s="794"/>
    </row>
    <row r="422" spans="5:8" ht="12.75" customHeight="1" x14ac:dyDescent="0.25">
      <c r="E422" s="793"/>
      <c r="F422" s="793"/>
      <c r="G422" s="793"/>
      <c r="H422" s="794"/>
    </row>
    <row r="423" spans="5:8" ht="12.75" customHeight="1" x14ac:dyDescent="0.25">
      <c r="E423" s="793"/>
      <c r="F423" s="793"/>
      <c r="G423" s="793"/>
      <c r="H423" s="794"/>
    </row>
    <row r="424" spans="5:8" ht="12.75" customHeight="1" x14ac:dyDescent="0.25">
      <c r="E424" s="793"/>
      <c r="F424" s="793"/>
      <c r="G424" s="793"/>
      <c r="H424" s="794"/>
    </row>
    <row r="425" spans="5:8" ht="12.75" customHeight="1" x14ac:dyDescent="0.25">
      <c r="E425" s="793"/>
      <c r="F425" s="793"/>
      <c r="G425" s="793"/>
      <c r="H425" s="794"/>
    </row>
    <row r="426" spans="5:8" ht="12.75" customHeight="1" x14ac:dyDescent="0.25">
      <c r="E426" s="793"/>
      <c r="F426" s="793"/>
      <c r="G426" s="793"/>
      <c r="H426" s="794"/>
    </row>
    <row r="427" spans="5:8" ht="12.75" customHeight="1" x14ac:dyDescent="0.25">
      <c r="E427" s="793"/>
      <c r="F427" s="793"/>
      <c r="G427" s="793"/>
      <c r="H427" s="794"/>
    </row>
    <row r="428" spans="5:8" ht="12.75" customHeight="1" x14ac:dyDescent="0.25">
      <c r="E428" s="793"/>
      <c r="F428" s="793"/>
      <c r="G428" s="793"/>
      <c r="H428" s="794"/>
    </row>
    <row r="429" spans="5:8" ht="12.75" customHeight="1" x14ac:dyDescent="0.25">
      <c r="E429" s="793"/>
      <c r="F429" s="793"/>
      <c r="G429" s="793"/>
      <c r="H429" s="794"/>
    </row>
    <row r="430" spans="5:8" ht="12.75" customHeight="1" x14ac:dyDescent="0.25">
      <c r="E430" s="793"/>
      <c r="F430" s="793"/>
      <c r="G430" s="793"/>
      <c r="H430" s="794"/>
    </row>
    <row r="431" spans="5:8" ht="12.75" customHeight="1" x14ac:dyDescent="0.25">
      <c r="E431" s="793"/>
      <c r="F431" s="793"/>
      <c r="G431" s="793"/>
      <c r="H431" s="794"/>
    </row>
    <row r="432" spans="5:8" ht="12.75" customHeight="1" x14ac:dyDescent="0.25">
      <c r="E432" s="793"/>
      <c r="F432" s="793"/>
      <c r="G432" s="793"/>
      <c r="H432" s="794"/>
    </row>
    <row r="433" spans="5:8" ht="12.75" customHeight="1" x14ac:dyDescent="0.25">
      <c r="E433" s="793"/>
      <c r="F433" s="793"/>
      <c r="G433" s="793"/>
      <c r="H433" s="794"/>
    </row>
    <row r="434" spans="5:8" ht="12.75" customHeight="1" x14ac:dyDescent="0.25">
      <c r="E434" s="793"/>
      <c r="F434" s="793"/>
      <c r="G434" s="793"/>
      <c r="H434" s="794"/>
    </row>
    <row r="435" spans="5:8" ht="12.75" customHeight="1" x14ac:dyDescent="0.25">
      <c r="E435" s="793"/>
      <c r="F435" s="793"/>
      <c r="G435" s="793"/>
      <c r="H435" s="794"/>
    </row>
    <row r="436" spans="5:8" ht="12.75" customHeight="1" x14ac:dyDescent="0.25">
      <c r="E436" s="793"/>
      <c r="F436" s="793"/>
      <c r="G436" s="793"/>
      <c r="H436" s="794"/>
    </row>
    <row r="437" spans="5:8" ht="12.75" customHeight="1" x14ac:dyDescent="0.25">
      <c r="E437" s="793"/>
      <c r="F437" s="793"/>
      <c r="G437" s="793"/>
      <c r="H437" s="794"/>
    </row>
    <row r="438" spans="5:8" ht="12.75" customHeight="1" x14ac:dyDescent="0.25">
      <c r="E438" s="793"/>
      <c r="F438" s="793"/>
      <c r="G438" s="793"/>
      <c r="H438" s="794"/>
    </row>
    <row r="439" spans="5:8" ht="12.75" customHeight="1" x14ac:dyDescent="0.25">
      <c r="E439" s="793"/>
      <c r="F439" s="793"/>
      <c r="G439" s="793"/>
      <c r="H439" s="794"/>
    </row>
    <row r="440" spans="5:8" ht="12.75" customHeight="1" x14ac:dyDescent="0.25">
      <c r="E440" s="793"/>
      <c r="F440" s="793"/>
      <c r="G440" s="793"/>
      <c r="H440" s="794"/>
    </row>
    <row r="441" spans="5:8" ht="12.75" customHeight="1" x14ac:dyDescent="0.25">
      <c r="E441" s="793"/>
      <c r="F441" s="793"/>
      <c r="G441" s="793"/>
      <c r="H441" s="794"/>
    </row>
    <row r="442" spans="5:8" ht="12.75" customHeight="1" x14ac:dyDescent="0.25">
      <c r="E442" s="793"/>
      <c r="F442" s="793"/>
      <c r="G442" s="793"/>
      <c r="H442" s="794"/>
    </row>
    <row r="443" spans="5:8" ht="12.75" customHeight="1" x14ac:dyDescent="0.25">
      <c r="E443" s="793"/>
      <c r="F443" s="793"/>
      <c r="G443" s="793"/>
      <c r="H443" s="794"/>
    </row>
    <row r="444" spans="5:8" ht="12.75" customHeight="1" x14ac:dyDescent="0.25">
      <c r="E444" s="793"/>
      <c r="F444" s="793"/>
      <c r="G444" s="793"/>
      <c r="H444" s="794"/>
    </row>
    <row r="445" spans="5:8" ht="12.75" customHeight="1" x14ac:dyDescent="0.25">
      <c r="E445" s="793"/>
      <c r="F445" s="793"/>
      <c r="G445" s="793"/>
      <c r="H445" s="794"/>
    </row>
    <row r="446" spans="5:8" ht="12.75" customHeight="1" x14ac:dyDescent="0.25">
      <c r="E446" s="793"/>
      <c r="F446" s="793"/>
      <c r="G446" s="793"/>
      <c r="H446" s="794"/>
    </row>
    <row r="447" spans="5:8" ht="12.75" customHeight="1" x14ac:dyDescent="0.25">
      <c r="E447" s="793"/>
      <c r="F447" s="793"/>
      <c r="G447" s="793"/>
      <c r="H447" s="794"/>
    </row>
    <row r="448" spans="5:8" ht="12.75" customHeight="1" x14ac:dyDescent="0.25">
      <c r="E448" s="793"/>
      <c r="F448" s="793"/>
      <c r="G448" s="793"/>
      <c r="H448" s="794"/>
    </row>
    <row r="449" spans="5:8" ht="12.75" customHeight="1" x14ac:dyDescent="0.25">
      <c r="E449" s="793"/>
      <c r="F449" s="793"/>
      <c r="G449" s="793"/>
      <c r="H449" s="794"/>
    </row>
    <row r="450" spans="5:8" ht="12.75" customHeight="1" x14ac:dyDescent="0.25">
      <c r="E450" s="793"/>
      <c r="F450" s="793"/>
      <c r="G450" s="793"/>
      <c r="H450" s="794"/>
    </row>
    <row r="451" spans="5:8" ht="12.75" customHeight="1" x14ac:dyDescent="0.25">
      <c r="E451" s="793"/>
      <c r="F451" s="793"/>
      <c r="G451" s="793"/>
      <c r="H451" s="794"/>
    </row>
    <row r="452" spans="5:8" ht="12.75" customHeight="1" x14ac:dyDescent="0.25">
      <c r="E452" s="793"/>
      <c r="F452" s="793"/>
      <c r="G452" s="793"/>
      <c r="H452" s="794"/>
    </row>
    <row r="453" spans="5:8" ht="12.75" customHeight="1" x14ac:dyDescent="0.25">
      <c r="E453" s="793"/>
      <c r="F453" s="793"/>
      <c r="G453" s="793"/>
      <c r="H453" s="794"/>
    </row>
    <row r="454" spans="5:8" ht="12.75" customHeight="1" x14ac:dyDescent="0.25">
      <c r="E454" s="793"/>
      <c r="F454" s="793"/>
      <c r="G454" s="793"/>
      <c r="H454" s="794"/>
    </row>
    <row r="455" spans="5:8" ht="12.75" customHeight="1" x14ac:dyDescent="0.25">
      <c r="E455" s="793"/>
      <c r="F455" s="793"/>
      <c r="G455" s="793"/>
      <c r="H455" s="794"/>
    </row>
    <row r="456" spans="5:8" ht="12.75" customHeight="1" x14ac:dyDescent="0.25">
      <c r="E456" s="793"/>
      <c r="F456" s="793"/>
      <c r="G456" s="793"/>
      <c r="H456" s="794"/>
    </row>
    <row r="457" spans="5:8" ht="12.75" customHeight="1" x14ac:dyDescent="0.25">
      <c r="E457" s="793"/>
      <c r="F457" s="793"/>
      <c r="G457" s="793"/>
      <c r="H457" s="794"/>
    </row>
    <row r="458" spans="5:8" ht="12.75" customHeight="1" x14ac:dyDescent="0.25">
      <c r="E458" s="793"/>
      <c r="F458" s="793"/>
      <c r="G458" s="793"/>
      <c r="H458" s="794"/>
    </row>
    <row r="459" spans="5:8" ht="12.75" customHeight="1" x14ac:dyDescent="0.25">
      <c r="E459" s="793"/>
      <c r="F459" s="793"/>
      <c r="G459" s="793"/>
      <c r="H459" s="794"/>
    </row>
    <row r="460" spans="5:8" ht="12.75" customHeight="1" x14ac:dyDescent="0.25">
      <c r="E460" s="793"/>
      <c r="F460" s="793"/>
      <c r="G460" s="793"/>
      <c r="H460" s="794"/>
    </row>
    <row r="461" spans="5:8" ht="12.75" customHeight="1" x14ac:dyDescent="0.25">
      <c r="E461" s="793"/>
      <c r="F461" s="793"/>
      <c r="G461" s="793"/>
      <c r="H461" s="794"/>
    </row>
    <row r="462" spans="5:8" ht="12.75" customHeight="1" x14ac:dyDescent="0.25">
      <c r="E462" s="793"/>
      <c r="F462" s="793"/>
      <c r="G462" s="793"/>
      <c r="H462" s="794"/>
    </row>
    <row r="463" spans="5:8" ht="12.75" customHeight="1" x14ac:dyDescent="0.25">
      <c r="E463" s="793"/>
      <c r="F463" s="793"/>
      <c r="G463" s="793"/>
      <c r="H463" s="794"/>
    </row>
    <row r="464" spans="5:8" ht="12.75" customHeight="1" x14ac:dyDescent="0.25">
      <c r="E464" s="793"/>
      <c r="F464" s="793"/>
      <c r="G464" s="793"/>
      <c r="H464" s="794"/>
    </row>
    <row r="465" spans="5:8" ht="12.75" customHeight="1" x14ac:dyDescent="0.25">
      <c r="E465" s="793"/>
      <c r="F465" s="793"/>
      <c r="G465" s="793"/>
      <c r="H465" s="794"/>
    </row>
    <row r="466" spans="5:8" ht="12.75" customHeight="1" x14ac:dyDescent="0.25">
      <c r="E466" s="793"/>
      <c r="F466" s="793"/>
      <c r="G466" s="793"/>
      <c r="H466" s="794"/>
    </row>
    <row r="467" spans="5:8" ht="12.75" customHeight="1" x14ac:dyDescent="0.25">
      <c r="E467" s="793"/>
      <c r="F467" s="793"/>
      <c r="G467" s="793"/>
      <c r="H467" s="794"/>
    </row>
    <row r="468" spans="5:8" ht="12.75" customHeight="1" x14ac:dyDescent="0.25">
      <c r="E468" s="793"/>
      <c r="F468" s="793"/>
      <c r="G468" s="793"/>
      <c r="H468" s="794"/>
    </row>
    <row r="469" spans="5:8" ht="12.75" customHeight="1" x14ac:dyDescent="0.25">
      <c r="E469" s="793"/>
      <c r="F469" s="793"/>
      <c r="G469" s="793"/>
      <c r="H469" s="794"/>
    </row>
    <row r="470" spans="5:8" ht="12.75" customHeight="1" x14ac:dyDescent="0.25">
      <c r="E470" s="793"/>
      <c r="F470" s="793"/>
      <c r="G470" s="793"/>
      <c r="H470" s="794"/>
    </row>
    <row r="471" spans="5:8" ht="12.75" customHeight="1" x14ac:dyDescent="0.25">
      <c r="E471" s="793"/>
      <c r="F471" s="793"/>
      <c r="G471" s="793"/>
      <c r="H471" s="794"/>
    </row>
    <row r="472" spans="5:8" ht="12.75" customHeight="1" x14ac:dyDescent="0.25">
      <c r="E472" s="793"/>
      <c r="F472" s="793"/>
      <c r="G472" s="793"/>
      <c r="H472" s="794"/>
    </row>
    <row r="473" spans="5:8" ht="12.75" customHeight="1" x14ac:dyDescent="0.25">
      <c r="E473" s="793"/>
      <c r="F473" s="793"/>
      <c r="G473" s="793"/>
      <c r="H473" s="794"/>
    </row>
    <row r="474" spans="5:8" ht="12.75" customHeight="1" x14ac:dyDescent="0.25">
      <c r="E474" s="793"/>
      <c r="F474" s="793"/>
      <c r="G474" s="793"/>
      <c r="H474" s="794"/>
    </row>
    <row r="475" spans="5:8" ht="12.75" customHeight="1" x14ac:dyDescent="0.25">
      <c r="E475" s="793"/>
      <c r="F475" s="793"/>
      <c r="G475" s="793"/>
      <c r="H475" s="794"/>
    </row>
    <row r="476" spans="5:8" ht="12.75" customHeight="1" x14ac:dyDescent="0.25">
      <c r="E476" s="793"/>
      <c r="F476" s="793"/>
      <c r="G476" s="793"/>
      <c r="H476" s="794"/>
    </row>
    <row r="477" spans="5:8" ht="12.75" customHeight="1" x14ac:dyDescent="0.25">
      <c r="E477" s="793"/>
      <c r="F477" s="793"/>
      <c r="G477" s="793"/>
      <c r="H477" s="794"/>
    </row>
    <row r="478" spans="5:8" ht="12.75" customHeight="1" x14ac:dyDescent="0.25">
      <c r="E478" s="793"/>
      <c r="F478" s="793"/>
      <c r="G478" s="793"/>
      <c r="H478" s="794"/>
    </row>
    <row r="479" spans="5:8" ht="12.75" customHeight="1" x14ac:dyDescent="0.25">
      <c r="E479" s="793"/>
      <c r="F479" s="793"/>
      <c r="G479" s="793"/>
      <c r="H479" s="794"/>
    </row>
    <row r="480" spans="5:8" ht="12.75" customHeight="1" x14ac:dyDescent="0.25">
      <c r="E480" s="793"/>
      <c r="F480" s="793"/>
      <c r="G480" s="793"/>
      <c r="H480" s="794"/>
    </row>
    <row r="481" spans="5:8" ht="12.75" customHeight="1" x14ac:dyDescent="0.25">
      <c r="E481" s="793"/>
      <c r="F481" s="793"/>
      <c r="G481" s="793"/>
      <c r="H481" s="794"/>
    </row>
    <row r="482" spans="5:8" ht="12.75" customHeight="1" x14ac:dyDescent="0.25">
      <c r="E482" s="793"/>
      <c r="F482" s="793"/>
      <c r="G482" s="793"/>
      <c r="H482" s="794"/>
    </row>
    <row r="483" spans="5:8" ht="12.75" customHeight="1" x14ac:dyDescent="0.25">
      <c r="E483" s="793"/>
      <c r="F483" s="793"/>
      <c r="G483" s="793"/>
      <c r="H483" s="794"/>
    </row>
    <row r="484" spans="5:8" ht="12.75" customHeight="1" x14ac:dyDescent="0.25">
      <c r="E484" s="793"/>
      <c r="F484" s="793"/>
      <c r="G484" s="793"/>
      <c r="H484" s="794"/>
    </row>
    <row r="485" spans="5:8" ht="12.75" customHeight="1" x14ac:dyDescent="0.25">
      <c r="E485" s="793"/>
      <c r="F485" s="793"/>
      <c r="G485" s="793"/>
      <c r="H485" s="794"/>
    </row>
    <row r="486" spans="5:8" ht="12.75" customHeight="1" x14ac:dyDescent="0.25">
      <c r="E486" s="793"/>
      <c r="F486" s="793"/>
      <c r="G486" s="793"/>
      <c r="H486" s="794"/>
    </row>
    <row r="487" spans="5:8" ht="12.75" customHeight="1" x14ac:dyDescent="0.25">
      <c r="E487" s="793"/>
      <c r="F487" s="793"/>
      <c r="G487" s="793"/>
      <c r="H487" s="794"/>
    </row>
    <row r="488" spans="5:8" ht="12.75" customHeight="1" x14ac:dyDescent="0.25">
      <c r="E488" s="793"/>
      <c r="F488" s="793"/>
      <c r="G488" s="793"/>
      <c r="H488" s="794"/>
    </row>
    <row r="489" spans="5:8" ht="12.75" customHeight="1" x14ac:dyDescent="0.25">
      <c r="E489" s="793"/>
      <c r="F489" s="793"/>
      <c r="G489" s="793"/>
      <c r="H489" s="794"/>
    </row>
    <row r="490" spans="5:8" ht="12.75" customHeight="1" x14ac:dyDescent="0.25">
      <c r="E490" s="793"/>
      <c r="F490" s="793"/>
      <c r="G490" s="793"/>
      <c r="H490" s="794"/>
    </row>
    <row r="491" spans="5:8" ht="12.75" customHeight="1" x14ac:dyDescent="0.25">
      <c r="E491" s="793"/>
      <c r="F491" s="793"/>
      <c r="G491" s="793"/>
      <c r="H491" s="794"/>
    </row>
    <row r="492" spans="5:8" ht="12.75" customHeight="1" x14ac:dyDescent="0.25">
      <c r="E492" s="793"/>
      <c r="F492" s="793"/>
      <c r="G492" s="793"/>
      <c r="H492" s="794"/>
    </row>
    <row r="493" spans="5:8" ht="12.75" customHeight="1" x14ac:dyDescent="0.25">
      <c r="E493" s="793"/>
      <c r="F493" s="793"/>
      <c r="G493" s="793"/>
      <c r="H493" s="794"/>
    </row>
    <row r="494" spans="5:8" ht="12.75" customHeight="1" x14ac:dyDescent="0.25">
      <c r="E494" s="793"/>
      <c r="F494" s="793"/>
      <c r="G494" s="793"/>
      <c r="H494" s="794"/>
    </row>
    <row r="495" spans="5:8" ht="12.75" customHeight="1" x14ac:dyDescent="0.25">
      <c r="E495" s="793"/>
      <c r="F495" s="793"/>
      <c r="G495" s="793"/>
      <c r="H495" s="794"/>
    </row>
    <row r="496" spans="5:8" ht="12.75" customHeight="1" x14ac:dyDescent="0.25">
      <c r="E496" s="793"/>
      <c r="F496" s="793"/>
      <c r="G496" s="793"/>
      <c r="H496" s="794"/>
    </row>
    <row r="497" spans="5:8" ht="12.75" customHeight="1" x14ac:dyDescent="0.25">
      <c r="E497" s="793"/>
      <c r="F497" s="793"/>
      <c r="G497" s="793"/>
      <c r="H497" s="794"/>
    </row>
    <row r="498" spans="5:8" ht="12.75" customHeight="1" x14ac:dyDescent="0.25">
      <c r="E498" s="793"/>
      <c r="F498" s="793"/>
      <c r="G498" s="793"/>
      <c r="H498" s="794"/>
    </row>
    <row r="499" spans="5:8" ht="12.75" customHeight="1" x14ac:dyDescent="0.25">
      <c r="E499" s="793"/>
      <c r="F499" s="793"/>
      <c r="G499" s="793"/>
      <c r="H499" s="794"/>
    </row>
    <row r="500" spans="5:8" ht="12.75" customHeight="1" x14ac:dyDescent="0.25">
      <c r="E500" s="793"/>
      <c r="F500" s="793"/>
      <c r="G500" s="793"/>
      <c r="H500" s="794"/>
    </row>
    <row r="501" spans="5:8" ht="12.75" customHeight="1" x14ac:dyDescent="0.25">
      <c r="E501" s="793"/>
      <c r="F501" s="793"/>
      <c r="G501" s="793"/>
      <c r="H501" s="794"/>
    </row>
    <row r="502" spans="5:8" ht="12.75" customHeight="1" x14ac:dyDescent="0.25">
      <c r="E502" s="793"/>
      <c r="F502" s="793"/>
      <c r="G502" s="793"/>
      <c r="H502" s="794"/>
    </row>
    <row r="503" spans="5:8" ht="12.75" customHeight="1" x14ac:dyDescent="0.25">
      <c r="E503" s="793"/>
      <c r="F503" s="793"/>
      <c r="G503" s="793"/>
      <c r="H503" s="794"/>
    </row>
    <row r="504" spans="5:8" ht="12.75" customHeight="1" x14ac:dyDescent="0.25">
      <c r="E504" s="793"/>
      <c r="F504" s="793"/>
      <c r="G504" s="793"/>
      <c r="H504" s="794"/>
    </row>
    <row r="505" spans="5:8" ht="12.75" customHeight="1" x14ac:dyDescent="0.25">
      <c r="E505" s="793"/>
      <c r="F505" s="793"/>
      <c r="G505" s="793"/>
      <c r="H505" s="794"/>
    </row>
    <row r="506" spans="5:8" ht="12.75" customHeight="1" x14ac:dyDescent="0.25">
      <c r="E506" s="793"/>
      <c r="F506" s="793"/>
      <c r="G506" s="793"/>
      <c r="H506" s="794"/>
    </row>
    <row r="507" spans="5:8" ht="12.75" customHeight="1" x14ac:dyDescent="0.25">
      <c r="E507" s="793"/>
      <c r="F507" s="793"/>
      <c r="G507" s="793"/>
      <c r="H507" s="794"/>
    </row>
    <row r="508" spans="5:8" ht="12.75" customHeight="1" x14ac:dyDescent="0.25">
      <c r="E508" s="793"/>
      <c r="F508" s="793"/>
      <c r="G508" s="793"/>
      <c r="H508" s="794"/>
    </row>
    <row r="509" spans="5:8" ht="12.75" customHeight="1" x14ac:dyDescent="0.25">
      <c r="E509" s="793"/>
      <c r="F509" s="793"/>
      <c r="G509" s="793"/>
      <c r="H509" s="794"/>
    </row>
    <row r="510" spans="5:8" ht="12.75" customHeight="1" x14ac:dyDescent="0.25">
      <c r="E510" s="793"/>
      <c r="F510" s="793"/>
      <c r="G510" s="793"/>
      <c r="H510" s="794"/>
    </row>
    <row r="511" spans="5:8" ht="12.75" customHeight="1" x14ac:dyDescent="0.25">
      <c r="E511" s="793"/>
      <c r="F511" s="793"/>
      <c r="G511" s="793"/>
      <c r="H511" s="794"/>
    </row>
    <row r="512" spans="5:8" ht="12.75" customHeight="1" x14ac:dyDescent="0.25">
      <c r="E512" s="793"/>
      <c r="F512" s="793"/>
      <c r="G512" s="793"/>
      <c r="H512" s="794"/>
    </row>
    <row r="513" spans="5:8" ht="12.75" customHeight="1" x14ac:dyDescent="0.25">
      <c r="E513" s="793"/>
      <c r="F513" s="793"/>
      <c r="G513" s="793"/>
      <c r="H513" s="794"/>
    </row>
    <row r="514" spans="5:8" ht="12.75" customHeight="1" x14ac:dyDescent="0.25">
      <c r="E514" s="793"/>
      <c r="F514" s="793"/>
      <c r="G514" s="793"/>
      <c r="H514" s="794"/>
    </row>
    <row r="515" spans="5:8" ht="12.75" customHeight="1" x14ac:dyDescent="0.25">
      <c r="E515" s="793"/>
      <c r="F515" s="793"/>
      <c r="G515" s="793"/>
      <c r="H515" s="794"/>
    </row>
    <row r="516" spans="5:8" ht="12.75" customHeight="1" x14ac:dyDescent="0.25">
      <c r="E516" s="793"/>
      <c r="F516" s="793"/>
      <c r="G516" s="793"/>
      <c r="H516" s="794"/>
    </row>
    <row r="517" spans="5:8" ht="12.75" customHeight="1" x14ac:dyDescent="0.25">
      <c r="E517" s="793"/>
      <c r="F517" s="793"/>
      <c r="G517" s="793"/>
      <c r="H517" s="794"/>
    </row>
    <row r="518" spans="5:8" ht="12.75" customHeight="1" x14ac:dyDescent="0.25">
      <c r="E518" s="793"/>
      <c r="F518" s="793"/>
      <c r="G518" s="793"/>
      <c r="H518" s="794"/>
    </row>
    <row r="519" spans="5:8" ht="12.75" customHeight="1" x14ac:dyDescent="0.25">
      <c r="E519" s="793"/>
      <c r="F519" s="793"/>
      <c r="G519" s="793"/>
      <c r="H519" s="794"/>
    </row>
    <row r="520" spans="5:8" ht="12.75" customHeight="1" x14ac:dyDescent="0.25">
      <c r="E520" s="793"/>
      <c r="F520" s="793"/>
      <c r="G520" s="793"/>
      <c r="H520" s="794"/>
    </row>
    <row r="521" spans="5:8" ht="12.75" customHeight="1" x14ac:dyDescent="0.25">
      <c r="E521" s="793"/>
      <c r="F521" s="793"/>
      <c r="G521" s="793"/>
      <c r="H521" s="794"/>
    </row>
    <row r="522" spans="5:8" ht="12.75" customHeight="1" x14ac:dyDescent="0.25">
      <c r="E522" s="793"/>
      <c r="F522" s="793"/>
      <c r="G522" s="793"/>
      <c r="H522" s="794"/>
    </row>
    <row r="523" spans="5:8" ht="12.75" customHeight="1" x14ac:dyDescent="0.25">
      <c r="E523" s="793"/>
      <c r="F523" s="793"/>
      <c r="G523" s="793"/>
      <c r="H523" s="794"/>
    </row>
    <row r="524" spans="5:8" ht="12.75" customHeight="1" x14ac:dyDescent="0.25">
      <c r="E524" s="793"/>
      <c r="F524" s="793"/>
      <c r="G524" s="793"/>
      <c r="H524" s="794"/>
    </row>
    <row r="525" spans="5:8" ht="12.75" customHeight="1" x14ac:dyDescent="0.25">
      <c r="E525" s="793"/>
      <c r="F525" s="793"/>
      <c r="G525" s="793"/>
      <c r="H525" s="794"/>
    </row>
    <row r="526" spans="5:8" ht="12.75" customHeight="1" x14ac:dyDescent="0.25">
      <c r="E526" s="793"/>
      <c r="F526" s="793"/>
      <c r="G526" s="793"/>
      <c r="H526" s="794"/>
    </row>
    <row r="527" spans="5:8" ht="12.75" customHeight="1" x14ac:dyDescent="0.25">
      <c r="E527" s="793"/>
      <c r="F527" s="793"/>
      <c r="G527" s="793"/>
      <c r="H527" s="794"/>
    </row>
    <row r="528" spans="5:8" ht="12.75" customHeight="1" x14ac:dyDescent="0.25">
      <c r="E528" s="793"/>
      <c r="F528" s="793"/>
      <c r="G528" s="793"/>
      <c r="H528" s="794"/>
    </row>
    <row r="529" spans="5:8" ht="12.75" customHeight="1" x14ac:dyDescent="0.25">
      <c r="E529" s="793"/>
      <c r="F529" s="793"/>
      <c r="G529" s="793"/>
      <c r="H529" s="794"/>
    </row>
    <row r="530" spans="5:8" ht="12.75" customHeight="1" x14ac:dyDescent="0.25">
      <c r="E530" s="793"/>
      <c r="F530" s="793"/>
      <c r="G530" s="793"/>
      <c r="H530" s="794"/>
    </row>
    <row r="531" spans="5:8" ht="12.75" customHeight="1" x14ac:dyDescent="0.25">
      <c r="E531" s="793"/>
      <c r="F531" s="793"/>
      <c r="G531" s="793"/>
      <c r="H531" s="794"/>
    </row>
    <row r="532" spans="5:8" ht="12.75" customHeight="1" x14ac:dyDescent="0.25">
      <c r="E532" s="793"/>
      <c r="F532" s="793"/>
      <c r="G532" s="793"/>
      <c r="H532" s="794"/>
    </row>
    <row r="533" spans="5:8" ht="12.75" customHeight="1" x14ac:dyDescent="0.25">
      <c r="E533" s="793"/>
      <c r="F533" s="793"/>
      <c r="G533" s="793"/>
      <c r="H533" s="794"/>
    </row>
    <row r="534" spans="5:8" ht="12.75" customHeight="1" x14ac:dyDescent="0.25">
      <c r="E534" s="793"/>
      <c r="F534" s="793"/>
      <c r="G534" s="793"/>
      <c r="H534" s="794"/>
    </row>
    <row r="535" spans="5:8" ht="12.75" customHeight="1" x14ac:dyDescent="0.25">
      <c r="E535" s="793"/>
      <c r="F535" s="793"/>
      <c r="G535" s="793"/>
      <c r="H535" s="794"/>
    </row>
    <row r="536" spans="5:8" ht="12.75" customHeight="1" x14ac:dyDescent="0.25">
      <c r="E536" s="793"/>
      <c r="F536" s="793"/>
      <c r="G536" s="793"/>
      <c r="H536" s="794"/>
    </row>
    <row r="537" spans="5:8" ht="12.75" customHeight="1" x14ac:dyDescent="0.25">
      <c r="E537" s="793"/>
      <c r="F537" s="793"/>
      <c r="G537" s="793"/>
      <c r="H537" s="794"/>
    </row>
    <row r="538" spans="5:8" ht="12.75" customHeight="1" x14ac:dyDescent="0.25">
      <c r="E538" s="793"/>
      <c r="F538" s="793"/>
      <c r="G538" s="793"/>
      <c r="H538" s="794"/>
    </row>
    <row r="539" spans="5:8" ht="12.75" customHeight="1" x14ac:dyDescent="0.25">
      <c r="E539" s="793"/>
      <c r="F539" s="793"/>
      <c r="G539" s="793"/>
      <c r="H539" s="794"/>
    </row>
    <row r="540" spans="5:8" ht="12.75" customHeight="1" x14ac:dyDescent="0.25">
      <c r="E540" s="793"/>
      <c r="F540" s="793"/>
      <c r="G540" s="793"/>
      <c r="H540" s="794"/>
    </row>
    <row r="541" spans="5:8" ht="12.75" customHeight="1" x14ac:dyDescent="0.25">
      <c r="E541" s="793"/>
      <c r="F541" s="793"/>
      <c r="G541" s="793"/>
      <c r="H541" s="794"/>
    </row>
    <row r="542" spans="5:8" ht="12.75" customHeight="1" x14ac:dyDescent="0.25">
      <c r="E542" s="793"/>
      <c r="F542" s="793"/>
      <c r="G542" s="793"/>
      <c r="H542" s="794"/>
    </row>
    <row r="543" spans="5:8" ht="12.75" customHeight="1" x14ac:dyDescent="0.25">
      <c r="E543" s="793"/>
      <c r="F543" s="793"/>
      <c r="G543" s="793"/>
      <c r="H543" s="794"/>
    </row>
    <row r="544" spans="5:8" ht="12.75" customHeight="1" x14ac:dyDescent="0.25">
      <c r="E544" s="793"/>
      <c r="F544" s="793"/>
      <c r="G544" s="793"/>
      <c r="H544" s="794"/>
    </row>
    <row r="545" spans="5:8" ht="12.75" customHeight="1" x14ac:dyDescent="0.25">
      <c r="E545" s="793"/>
      <c r="F545" s="793"/>
      <c r="G545" s="793"/>
      <c r="H545" s="794"/>
    </row>
    <row r="546" spans="5:8" ht="12.75" customHeight="1" x14ac:dyDescent="0.25">
      <c r="E546" s="793"/>
      <c r="F546" s="793"/>
      <c r="G546" s="793"/>
      <c r="H546" s="794"/>
    </row>
    <row r="547" spans="5:8" ht="12.75" customHeight="1" x14ac:dyDescent="0.25">
      <c r="E547" s="793"/>
      <c r="F547" s="793"/>
      <c r="G547" s="793"/>
      <c r="H547" s="794"/>
    </row>
    <row r="548" spans="5:8" ht="12.75" customHeight="1" x14ac:dyDescent="0.25">
      <c r="E548" s="793"/>
      <c r="F548" s="793"/>
      <c r="G548" s="793"/>
      <c r="H548" s="794"/>
    </row>
    <row r="549" spans="5:8" ht="12.75" customHeight="1" x14ac:dyDescent="0.25">
      <c r="E549" s="793"/>
      <c r="F549" s="793"/>
      <c r="G549" s="793"/>
      <c r="H549" s="794"/>
    </row>
    <row r="550" spans="5:8" ht="12.75" customHeight="1" x14ac:dyDescent="0.25">
      <c r="E550" s="793"/>
      <c r="F550" s="793"/>
      <c r="G550" s="793"/>
      <c r="H550" s="794"/>
    </row>
    <row r="551" spans="5:8" ht="12.75" customHeight="1" x14ac:dyDescent="0.25">
      <c r="E551" s="793"/>
      <c r="F551" s="793"/>
      <c r="G551" s="793"/>
      <c r="H551" s="794"/>
    </row>
    <row r="552" spans="5:8" ht="12.75" customHeight="1" x14ac:dyDescent="0.25">
      <c r="E552" s="793"/>
      <c r="F552" s="793"/>
      <c r="G552" s="793"/>
      <c r="H552" s="794"/>
    </row>
    <row r="553" spans="5:8" ht="12.75" customHeight="1" x14ac:dyDescent="0.25">
      <c r="E553" s="793"/>
      <c r="F553" s="793"/>
      <c r="G553" s="793"/>
      <c r="H553" s="794"/>
    </row>
    <row r="554" spans="5:8" ht="12.75" customHeight="1" x14ac:dyDescent="0.25">
      <c r="E554" s="793"/>
      <c r="F554" s="793"/>
      <c r="G554" s="793"/>
      <c r="H554" s="794"/>
    </row>
    <row r="555" spans="5:8" ht="12.75" customHeight="1" x14ac:dyDescent="0.25">
      <c r="E555" s="793"/>
      <c r="F555" s="793"/>
      <c r="G555" s="793"/>
      <c r="H555" s="794"/>
    </row>
    <row r="556" spans="5:8" ht="12.75" customHeight="1" x14ac:dyDescent="0.25">
      <c r="E556" s="793"/>
      <c r="F556" s="793"/>
      <c r="G556" s="793"/>
      <c r="H556" s="794"/>
    </row>
    <row r="557" spans="5:8" ht="12.75" customHeight="1" x14ac:dyDescent="0.25">
      <c r="E557" s="793"/>
      <c r="F557" s="793"/>
      <c r="G557" s="793"/>
      <c r="H557" s="794"/>
    </row>
    <row r="558" spans="5:8" ht="12.75" customHeight="1" x14ac:dyDescent="0.25">
      <c r="E558" s="793"/>
      <c r="F558" s="793"/>
      <c r="G558" s="793"/>
      <c r="H558" s="794"/>
    </row>
    <row r="559" spans="5:8" ht="12.75" customHeight="1" x14ac:dyDescent="0.25">
      <c r="E559" s="793"/>
      <c r="F559" s="793"/>
      <c r="G559" s="793"/>
      <c r="H559" s="794"/>
    </row>
    <row r="560" spans="5:8" ht="12.75" customHeight="1" x14ac:dyDescent="0.25">
      <c r="E560" s="793"/>
      <c r="F560" s="793"/>
      <c r="G560" s="793"/>
      <c r="H560" s="794"/>
    </row>
    <row r="561" spans="5:8" ht="12.75" customHeight="1" x14ac:dyDescent="0.25">
      <c r="E561" s="793"/>
      <c r="F561" s="793"/>
      <c r="G561" s="793"/>
      <c r="H561" s="794"/>
    </row>
    <row r="562" spans="5:8" ht="12.75" customHeight="1" x14ac:dyDescent="0.25">
      <c r="E562" s="793"/>
      <c r="F562" s="793"/>
      <c r="G562" s="793"/>
      <c r="H562" s="794"/>
    </row>
    <row r="563" spans="5:8" ht="12.75" customHeight="1" x14ac:dyDescent="0.25">
      <c r="E563" s="793"/>
      <c r="F563" s="793"/>
      <c r="G563" s="793"/>
      <c r="H563" s="794"/>
    </row>
    <row r="564" spans="5:8" ht="12.75" customHeight="1" x14ac:dyDescent="0.25">
      <c r="E564" s="793"/>
      <c r="F564" s="793"/>
      <c r="G564" s="793"/>
      <c r="H564" s="794"/>
    </row>
    <row r="565" spans="5:8" ht="12.75" customHeight="1" x14ac:dyDescent="0.25">
      <c r="E565" s="793"/>
      <c r="F565" s="793"/>
      <c r="G565" s="793"/>
      <c r="H565" s="794"/>
    </row>
    <row r="566" spans="5:8" ht="12.75" customHeight="1" x14ac:dyDescent="0.25">
      <c r="E566" s="793"/>
      <c r="F566" s="793"/>
      <c r="G566" s="793"/>
      <c r="H566" s="794"/>
    </row>
    <row r="567" spans="5:8" ht="12.75" customHeight="1" x14ac:dyDescent="0.25">
      <c r="E567" s="793"/>
      <c r="F567" s="793"/>
      <c r="G567" s="793"/>
      <c r="H567" s="794"/>
    </row>
    <row r="568" spans="5:8" ht="12.75" customHeight="1" x14ac:dyDescent="0.25">
      <c r="E568" s="793"/>
      <c r="F568" s="793"/>
      <c r="G568" s="793"/>
      <c r="H568" s="794"/>
    </row>
    <row r="569" spans="5:8" ht="12.75" customHeight="1" x14ac:dyDescent="0.25">
      <c r="E569" s="793"/>
      <c r="F569" s="793"/>
      <c r="G569" s="793"/>
      <c r="H569" s="794"/>
    </row>
    <row r="570" spans="5:8" ht="12.75" customHeight="1" x14ac:dyDescent="0.25">
      <c r="E570" s="793"/>
      <c r="F570" s="793"/>
      <c r="G570" s="793"/>
      <c r="H570" s="794"/>
    </row>
    <row r="571" spans="5:8" ht="12.75" customHeight="1" x14ac:dyDescent="0.25">
      <c r="E571" s="793"/>
      <c r="F571" s="793"/>
      <c r="G571" s="793"/>
      <c r="H571" s="794"/>
    </row>
    <row r="572" spans="5:8" ht="12.75" customHeight="1" x14ac:dyDescent="0.25">
      <c r="E572" s="793"/>
      <c r="F572" s="793"/>
      <c r="G572" s="793"/>
      <c r="H572" s="794"/>
    </row>
    <row r="573" spans="5:8" ht="12.75" customHeight="1" x14ac:dyDescent="0.25">
      <c r="E573" s="793"/>
      <c r="F573" s="793"/>
      <c r="G573" s="793"/>
      <c r="H573" s="794"/>
    </row>
    <row r="574" spans="5:8" ht="12.75" customHeight="1" x14ac:dyDescent="0.25">
      <c r="E574" s="793"/>
      <c r="F574" s="793"/>
      <c r="G574" s="793"/>
      <c r="H574" s="794"/>
    </row>
    <row r="575" spans="5:8" ht="12.75" customHeight="1" x14ac:dyDescent="0.25">
      <c r="E575" s="793"/>
      <c r="F575" s="793"/>
      <c r="G575" s="793"/>
      <c r="H575" s="794"/>
    </row>
    <row r="576" spans="5:8" ht="12.75" customHeight="1" x14ac:dyDescent="0.25">
      <c r="E576" s="793"/>
      <c r="F576" s="793"/>
      <c r="G576" s="793"/>
      <c r="H576" s="794"/>
    </row>
    <row r="577" spans="5:8" ht="12.75" customHeight="1" x14ac:dyDescent="0.25">
      <c r="E577" s="793"/>
      <c r="F577" s="793"/>
      <c r="G577" s="793"/>
      <c r="H577" s="794"/>
    </row>
    <row r="578" spans="5:8" ht="12.75" customHeight="1" x14ac:dyDescent="0.25">
      <c r="E578" s="793"/>
      <c r="F578" s="793"/>
      <c r="G578" s="793"/>
      <c r="H578" s="794"/>
    </row>
    <row r="579" spans="5:8" ht="12.75" customHeight="1" x14ac:dyDescent="0.25">
      <c r="E579" s="793"/>
      <c r="F579" s="793"/>
      <c r="G579" s="793"/>
      <c r="H579" s="794"/>
    </row>
    <row r="580" spans="5:8" ht="12.75" customHeight="1" x14ac:dyDescent="0.25">
      <c r="E580" s="793"/>
      <c r="F580" s="793"/>
      <c r="G580" s="793"/>
      <c r="H580" s="794"/>
    </row>
    <row r="581" spans="5:8" ht="12.75" customHeight="1" x14ac:dyDescent="0.25">
      <c r="E581" s="793"/>
      <c r="F581" s="793"/>
      <c r="G581" s="793"/>
      <c r="H581" s="794"/>
    </row>
    <row r="582" spans="5:8" ht="12.75" customHeight="1" x14ac:dyDescent="0.25">
      <c r="E582" s="793"/>
      <c r="F582" s="793"/>
      <c r="G582" s="793"/>
      <c r="H582" s="794"/>
    </row>
    <row r="583" spans="5:8" ht="12.75" customHeight="1" x14ac:dyDescent="0.25">
      <c r="E583" s="793"/>
      <c r="F583" s="793"/>
      <c r="G583" s="793"/>
      <c r="H583" s="794"/>
    </row>
    <row r="584" spans="5:8" ht="12.75" customHeight="1" x14ac:dyDescent="0.25">
      <c r="E584" s="793"/>
      <c r="F584" s="793"/>
      <c r="G584" s="793"/>
      <c r="H584" s="794"/>
    </row>
    <row r="585" spans="5:8" ht="12.75" customHeight="1" x14ac:dyDescent="0.25">
      <c r="E585" s="793"/>
      <c r="F585" s="793"/>
      <c r="G585" s="793"/>
      <c r="H585" s="794"/>
    </row>
    <row r="586" spans="5:8" ht="12.75" customHeight="1" x14ac:dyDescent="0.25">
      <c r="E586" s="793"/>
      <c r="F586" s="793"/>
      <c r="G586" s="793"/>
      <c r="H586" s="794"/>
    </row>
    <row r="587" spans="5:8" ht="12.75" customHeight="1" x14ac:dyDescent="0.25">
      <c r="E587" s="793"/>
      <c r="F587" s="793"/>
      <c r="G587" s="793"/>
      <c r="H587" s="794"/>
    </row>
    <row r="588" spans="5:8" ht="12.75" customHeight="1" x14ac:dyDescent="0.25">
      <c r="E588" s="793"/>
      <c r="F588" s="793"/>
      <c r="G588" s="793"/>
      <c r="H588" s="794"/>
    </row>
    <row r="589" spans="5:8" ht="12.75" customHeight="1" x14ac:dyDescent="0.25">
      <c r="E589" s="793"/>
      <c r="F589" s="793"/>
      <c r="G589" s="793"/>
      <c r="H589" s="794"/>
    </row>
    <row r="590" spans="5:8" ht="12.75" customHeight="1" x14ac:dyDescent="0.25">
      <c r="E590" s="793"/>
      <c r="F590" s="793"/>
      <c r="G590" s="793"/>
      <c r="H590" s="794"/>
    </row>
    <row r="591" spans="5:8" ht="12.75" customHeight="1" x14ac:dyDescent="0.25">
      <c r="E591" s="793"/>
      <c r="F591" s="793"/>
      <c r="G591" s="793"/>
      <c r="H591" s="794"/>
    </row>
    <row r="592" spans="5:8" ht="12.75" customHeight="1" x14ac:dyDescent="0.25">
      <c r="E592" s="793"/>
      <c r="F592" s="793"/>
      <c r="G592" s="793"/>
      <c r="H592" s="794"/>
    </row>
    <row r="593" spans="5:8" ht="12.75" customHeight="1" x14ac:dyDescent="0.25">
      <c r="E593" s="793"/>
      <c r="F593" s="793"/>
      <c r="G593" s="793"/>
      <c r="H593" s="794"/>
    </row>
    <row r="594" spans="5:8" ht="12.75" customHeight="1" x14ac:dyDescent="0.25">
      <c r="E594" s="793"/>
      <c r="F594" s="793"/>
      <c r="G594" s="793"/>
      <c r="H594" s="794"/>
    </row>
    <row r="595" spans="5:8" ht="12.75" customHeight="1" x14ac:dyDescent="0.25">
      <c r="E595" s="793"/>
      <c r="F595" s="793"/>
      <c r="G595" s="793"/>
      <c r="H595" s="794"/>
    </row>
    <row r="596" spans="5:8" ht="12.75" customHeight="1" x14ac:dyDescent="0.25">
      <c r="E596" s="793"/>
      <c r="F596" s="793"/>
      <c r="G596" s="793"/>
      <c r="H596" s="794"/>
    </row>
    <row r="597" spans="5:8" ht="12.75" customHeight="1" x14ac:dyDescent="0.25">
      <c r="E597" s="793"/>
      <c r="F597" s="793"/>
      <c r="G597" s="793"/>
      <c r="H597" s="794"/>
    </row>
    <row r="598" spans="5:8" ht="12.75" customHeight="1" x14ac:dyDescent="0.25">
      <c r="E598" s="793"/>
      <c r="F598" s="793"/>
      <c r="G598" s="793"/>
      <c r="H598" s="794"/>
    </row>
    <row r="599" spans="5:8" ht="12.75" customHeight="1" x14ac:dyDescent="0.25">
      <c r="E599" s="793"/>
      <c r="F599" s="793"/>
      <c r="G599" s="793"/>
      <c r="H599" s="794"/>
    </row>
    <row r="600" spans="5:8" ht="12.75" customHeight="1" x14ac:dyDescent="0.25">
      <c r="E600" s="793"/>
      <c r="F600" s="793"/>
      <c r="G600" s="793"/>
      <c r="H600" s="794"/>
    </row>
    <row r="601" spans="5:8" ht="12.75" customHeight="1" x14ac:dyDescent="0.25">
      <c r="E601" s="793"/>
      <c r="F601" s="793"/>
      <c r="G601" s="793"/>
      <c r="H601" s="794"/>
    </row>
    <row r="602" spans="5:8" ht="12.75" customHeight="1" x14ac:dyDescent="0.25">
      <c r="E602" s="793"/>
      <c r="F602" s="793"/>
      <c r="G602" s="793"/>
      <c r="H602" s="794"/>
    </row>
    <row r="603" spans="5:8" ht="12.75" customHeight="1" x14ac:dyDescent="0.25">
      <c r="E603" s="793"/>
      <c r="F603" s="793"/>
      <c r="G603" s="793"/>
      <c r="H603" s="794"/>
    </row>
    <row r="604" spans="5:8" ht="12.75" customHeight="1" x14ac:dyDescent="0.25">
      <c r="E604" s="793"/>
      <c r="F604" s="793"/>
      <c r="G604" s="793"/>
      <c r="H604" s="794"/>
    </row>
    <row r="605" spans="5:8" ht="12.75" customHeight="1" x14ac:dyDescent="0.25">
      <c r="E605" s="793"/>
      <c r="F605" s="793"/>
      <c r="G605" s="793"/>
      <c r="H605" s="794"/>
    </row>
    <row r="606" spans="5:8" ht="12.75" customHeight="1" x14ac:dyDescent="0.25">
      <c r="E606" s="793"/>
      <c r="F606" s="793"/>
      <c r="G606" s="793"/>
      <c r="H606" s="794"/>
    </row>
    <row r="607" spans="5:8" ht="12.75" customHeight="1" x14ac:dyDescent="0.25">
      <c r="E607" s="793"/>
      <c r="F607" s="793"/>
      <c r="G607" s="793"/>
      <c r="H607" s="794"/>
    </row>
    <row r="608" spans="5:8" ht="12.75" customHeight="1" x14ac:dyDescent="0.25">
      <c r="E608" s="793"/>
      <c r="F608" s="793"/>
      <c r="G608" s="793"/>
      <c r="H608" s="794"/>
    </row>
    <row r="609" spans="5:8" ht="12.75" customHeight="1" x14ac:dyDescent="0.25">
      <c r="E609" s="793"/>
      <c r="F609" s="793"/>
      <c r="G609" s="793"/>
      <c r="H609" s="794"/>
    </row>
    <row r="610" spans="5:8" ht="12.75" customHeight="1" x14ac:dyDescent="0.25">
      <c r="E610" s="793"/>
      <c r="F610" s="793"/>
      <c r="G610" s="793"/>
      <c r="H610" s="794"/>
    </row>
    <row r="611" spans="5:8" ht="12.75" customHeight="1" x14ac:dyDescent="0.25">
      <c r="E611" s="793"/>
      <c r="F611" s="793"/>
      <c r="G611" s="793"/>
      <c r="H611" s="794"/>
    </row>
    <row r="612" spans="5:8" ht="12.75" customHeight="1" x14ac:dyDescent="0.25">
      <c r="E612" s="793"/>
      <c r="F612" s="793"/>
      <c r="G612" s="793"/>
      <c r="H612" s="794"/>
    </row>
    <row r="613" spans="5:8" ht="12.75" customHeight="1" x14ac:dyDescent="0.25">
      <c r="E613" s="793"/>
      <c r="F613" s="793"/>
      <c r="G613" s="793"/>
      <c r="H613" s="794"/>
    </row>
    <row r="614" spans="5:8" ht="12.75" customHeight="1" x14ac:dyDescent="0.25">
      <c r="E614" s="793"/>
      <c r="F614" s="793"/>
      <c r="G614" s="793"/>
      <c r="H614" s="794"/>
    </row>
    <row r="615" spans="5:8" ht="12.75" customHeight="1" x14ac:dyDescent="0.25">
      <c r="E615" s="793"/>
      <c r="F615" s="793"/>
      <c r="G615" s="793"/>
      <c r="H615" s="794"/>
    </row>
    <row r="616" spans="5:8" ht="12.75" customHeight="1" x14ac:dyDescent="0.25">
      <c r="E616" s="793"/>
      <c r="F616" s="793"/>
      <c r="G616" s="793"/>
      <c r="H616" s="794"/>
    </row>
    <row r="617" spans="5:8" ht="12.75" customHeight="1" x14ac:dyDescent="0.25">
      <c r="E617" s="793"/>
      <c r="F617" s="793"/>
      <c r="G617" s="793"/>
      <c r="H617" s="794"/>
    </row>
    <row r="618" spans="5:8" ht="12.75" customHeight="1" x14ac:dyDescent="0.25">
      <c r="E618" s="793"/>
      <c r="F618" s="793"/>
      <c r="G618" s="793"/>
      <c r="H618" s="794"/>
    </row>
    <row r="619" spans="5:8" ht="12.75" customHeight="1" x14ac:dyDescent="0.25">
      <c r="E619" s="793"/>
      <c r="F619" s="793"/>
      <c r="G619" s="793"/>
      <c r="H619" s="794"/>
    </row>
    <row r="620" spans="5:8" ht="12.75" customHeight="1" x14ac:dyDescent="0.25">
      <c r="E620" s="793"/>
      <c r="F620" s="793"/>
      <c r="G620" s="793"/>
      <c r="H620" s="794"/>
    </row>
    <row r="621" spans="5:8" ht="12.75" customHeight="1" x14ac:dyDescent="0.25">
      <c r="E621" s="793"/>
      <c r="F621" s="793"/>
      <c r="G621" s="793"/>
      <c r="H621" s="794"/>
    </row>
    <row r="622" spans="5:8" ht="12.75" customHeight="1" x14ac:dyDescent="0.25">
      <c r="E622" s="793"/>
      <c r="F622" s="793"/>
      <c r="G622" s="793"/>
      <c r="H622" s="794"/>
    </row>
    <row r="623" spans="5:8" ht="12.75" customHeight="1" x14ac:dyDescent="0.25">
      <c r="E623" s="793"/>
      <c r="F623" s="793"/>
      <c r="G623" s="793"/>
      <c r="H623" s="794"/>
    </row>
    <row r="624" spans="5:8" ht="12.75" customHeight="1" x14ac:dyDescent="0.25">
      <c r="E624" s="793"/>
      <c r="F624" s="793"/>
      <c r="G624" s="793"/>
      <c r="H624" s="794"/>
    </row>
    <row r="625" spans="5:8" ht="12.75" customHeight="1" x14ac:dyDescent="0.25">
      <c r="E625" s="793"/>
      <c r="F625" s="793"/>
      <c r="G625" s="793"/>
      <c r="H625" s="794"/>
    </row>
    <row r="626" spans="5:8" ht="12.75" customHeight="1" x14ac:dyDescent="0.25">
      <c r="E626" s="793"/>
      <c r="F626" s="793"/>
      <c r="G626" s="793"/>
      <c r="H626" s="794"/>
    </row>
    <row r="627" spans="5:8" ht="12.75" customHeight="1" x14ac:dyDescent="0.25">
      <c r="E627" s="793"/>
      <c r="F627" s="793"/>
      <c r="G627" s="793"/>
      <c r="H627" s="794"/>
    </row>
    <row r="628" spans="5:8" ht="12.75" customHeight="1" x14ac:dyDescent="0.25">
      <c r="E628" s="793"/>
      <c r="F628" s="793"/>
      <c r="G628" s="793"/>
      <c r="H628" s="794"/>
    </row>
    <row r="629" spans="5:8" ht="12.75" customHeight="1" x14ac:dyDescent="0.25">
      <c r="E629" s="793"/>
      <c r="F629" s="793"/>
      <c r="G629" s="793"/>
      <c r="H629" s="794"/>
    </row>
    <row r="630" spans="5:8" ht="12.75" customHeight="1" x14ac:dyDescent="0.25">
      <c r="E630" s="793"/>
      <c r="F630" s="793"/>
      <c r="G630" s="793"/>
      <c r="H630" s="794"/>
    </row>
    <row r="631" spans="5:8" ht="12.75" customHeight="1" x14ac:dyDescent="0.25">
      <c r="E631" s="793"/>
      <c r="F631" s="793"/>
      <c r="G631" s="793"/>
      <c r="H631" s="794"/>
    </row>
    <row r="632" spans="5:8" ht="12.75" customHeight="1" x14ac:dyDescent="0.25">
      <c r="E632" s="793"/>
      <c r="F632" s="793"/>
      <c r="G632" s="793"/>
      <c r="H632" s="794"/>
    </row>
    <row r="633" spans="5:8" ht="12.75" customHeight="1" x14ac:dyDescent="0.25">
      <c r="E633" s="793"/>
      <c r="F633" s="793"/>
      <c r="G633" s="793"/>
      <c r="H633" s="794"/>
    </row>
    <row r="634" spans="5:8" ht="12.75" customHeight="1" x14ac:dyDescent="0.25">
      <c r="E634" s="793"/>
      <c r="F634" s="793"/>
      <c r="G634" s="793"/>
      <c r="H634" s="794"/>
    </row>
    <row r="635" spans="5:8" ht="12.75" customHeight="1" x14ac:dyDescent="0.25"/>
    <row r="636" spans="5:8" ht="12.75" customHeight="1" x14ac:dyDescent="0.25"/>
    <row r="637" spans="5:8" ht="12.75" customHeight="1" x14ac:dyDescent="0.25"/>
    <row r="638" spans="5:8" ht="12.75" customHeight="1" x14ac:dyDescent="0.25"/>
    <row r="639" spans="5:8" ht="12.75" customHeight="1" x14ac:dyDescent="0.25"/>
    <row r="640" spans="5:8"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row r="1068" ht="12.75" customHeight="1" x14ac:dyDescent="0.25"/>
    <row r="1069" ht="12.75" customHeight="1" x14ac:dyDescent="0.25"/>
    <row r="1070" ht="12.75" customHeight="1" x14ac:dyDescent="0.25"/>
    <row r="1071" ht="12.75" customHeight="1" x14ac:dyDescent="0.25"/>
    <row r="1072" ht="12.75" customHeight="1" x14ac:dyDescent="0.25"/>
    <row r="1073" ht="12.75" customHeight="1" x14ac:dyDescent="0.25"/>
    <row r="1074" ht="12.75" customHeight="1" x14ac:dyDescent="0.25"/>
    <row r="1075" ht="12.75" customHeight="1" x14ac:dyDescent="0.25"/>
    <row r="1076" ht="12.75" customHeight="1" x14ac:dyDescent="0.25"/>
    <row r="1077" ht="12.75" customHeight="1" x14ac:dyDescent="0.25"/>
    <row r="1078" ht="12.75" customHeight="1" x14ac:dyDescent="0.25"/>
    <row r="1079" ht="12.75" customHeight="1" x14ac:dyDescent="0.25"/>
    <row r="1080" ht="12.75" customHeight="1" x14ac:dyDescent="0.25"/>
    <row r="1081" ht="12.75" customHeight="1" x14ac:dyDescent="0.25"/>
    <row r="1082" ht="12.75" customHeight="1" x14ac:dyDescent="0.25"/>
    <row r="1083" ht="12.75" customHeight="1" x14ac:dyDescent="0.25"/>
    <row r="1084" ht="12.75" customHeight="1" x14ac:dyDescent="0.25"/>
    <row r="1085" ht="12.75" customHeight="1" x14ac:dyDescent="0.25"/>
    <row r="1086" ht="12.75" customHeight="1" x14ac:dyDescent="0.25"/>
    <row r="1087" ht="12.75" customHeight="1" x14ac:dyDescent="0.25"/>
    <row r="1088" ht="12.75" customHeight="1" x14ac:dyDescent="0.25"/>
    <row r="1089" ht="12.75" customHeight="1" x14ac:dyDescent="0.25"/>
    <row r="1090" ht="12.75" customHeight="1" x14ac:dyDescent="0.25"/>
    <row r="1091" ht="12.75" customHeight="1" x14ac:dyDescent="0.25"/>
    <row r="1092" ht="12.75" customHeight="1" x14ac:dyDescent="0.25"/>
    <row r="1093" ht="12.75" customHeight="1" x14ac:dyDescent="0.25"/>
    <row r="1094" ht="12.75" customHeight="1" x14ac:dyDescent="0.25"/>
    <row r="1095" ht="12.75" customHeight="1" x14ac:dyDescent="0.25"/>
    <row r="1096" ht="12.75" customHeight="1" x14ac:dyDescent="0.25"/>
    <row r="1097" ht="12.75" customHeight="1" x14ac:dyDescent="0.25"/>
    <row r="1098" ht="12.75" customHeight="1" x14ac:dyDescent="0.25"/>
    <row r="1099" ht="12.75" customHeight="1" x14ac:dyDescent="0.25"/>
    <row r="1100" ht="12.75" customHeight="1" x14ac:dyDescent="0.25"/>
    <row r="1101" ht="12.75" customHeight="1" x14ac:dyDescent="0.25"/>
    <row r="1102" ht="12.75" customHeight="1" x14ac:dyDescent="0.25"/>
    <row r="1103" ht="12.75" customHeight="1" x14ac:dyDescent="0.25"/>
    <row r="1104" ht="12.75" customHeight="1" x14ac:dyDescent="0.25"/>
    <row r="1105" ht="12.75" customHeight="1" x14ac:dyDescent="0.25"/>
    <row r="1106" ht="12.75" customHeight="1" x14ac:dyDescent="0.25"/>
    <row r="1107" ht="12.75" customHeight="1" x14ac:dyDescent="0.25"/>
    <row r="1108" ht="12.75" customHeight="1" x14ac:dyDescent="0.25"/>
    <row r="1109" ht="12.75" customHeight="1" x14ac:dyDescent="0.25"/>
  </sheetData>
  <sheetProtection algorithmName="SHA-512" hashValue="j1wBsctS2ccn9KlckHEQqCDdXkPd+wrTnGHQtKYO+S89yp9ABL/JFrbAbzCPMGjrG+8fycXsVleHgbknfHPUPw==" saltValue="F61X6xMpu+VuE4N+sgaeVA==" spinCount="100000" sheet="1" autoFilter="0"/>
  <mergeCells count="85">
    <mergeCell ref="A1:B2"/>
    <mergeCell ref="E1:H2"/>
    <mergeCell ref="K1:M1"/>
    <mergeCell ref="N1:P1"/>
    <mergeCell ref="AD1:AE2"/>
    <mergeCell ref="AH1:AJ2"/>
    <mergeCell ref="AK1:AN3"/>
    <mergeCell ref="K2:M2"/>
    <mergeCell ref="N2:O17"/>
    <mergeCell ref="P2:P17"/>
    <mergeCell ref="A3:B3"/>
    <mergeCell ref="K3:M3"/>
    <mergeCell ref="AD3:AE3"/>
    <mergeCell ref="A6:A9"/>
    <mergeCell ref="B6:B9"/>
    <mergeCell ref="AD6:AD9"/>
    <mergeCell ref="AE6:AE9"/>
    <mergeCell ref="A10:A13"/>
    <mergeCell ref="B10:B13"/>
    <mergeCell ref="AD10:AD13"/>
    <mergeCell ref="AE10:AE13"/>
    <mergeCell ref="A14:A17"/>
    <mergeCell ref="B14:B17"/>
    <mergeCell ref="AD14:AD17"/>
    <mergeCell ref="AE14:AE17"/>
    <mergeCell ref="AD18:AD21"/>
    <mergeCell ref="AE18:AE21"/>
    <mergeCell ref="A22:A25"/>
    <mergeCell ref="B22:B25"/>
    <mergeCell ref="N22:P23"/>
    <mergeCell ref="AD22:AD25"/>
    <mergeCell ref="AE22:AE25"/>
    <mergeCell ref="A18:A21"/>
    <mergeCell ref="B18:B21"/>
    <mergeCell ref="N18:N21"/>
    <mergeCell ref="O18:O21"/>
    <mergeCell ref="P18:P21"/>
    <mergeCell ref="A26:A29"/>
    <mergeCell ref="B26:B29"/>
    <mergeCell ref="AD26:AD29"/>
    <mergeCell ref="AE26:AE29"/>
    <mergeCell ref="A30:A33"/>
    <mergeCell ref="B30:B33"/>
    <mergeCell ref="AD30:AD33"/>
    <mergeCell ref="AE30:AE33"/>
    <mergeCell ref="A34:A37"/>
    <mergeCell ref="B34:B37"/>
    <mergeCell ref="AD34:AD37"/>
    <mergeCell ref="AE34:AE37"/>
    <mergeCell ref="A70:A73"/>
    <mergeCell ref="B70:B73"/>
    <mergeCell ref="AD70:AD73"/>
    <mergeCell ref="AE70:AE73"/>
    <mergeCell ref="A74:A77"/>
    <mergeCell ref="B74:B77"/>
    <mergeCell ref="AD74:AD77"/>
    <mergeCell ref="AE74:AE77"/>
    <mergeCell ref="A78:A81"/>
    <mergeCell ref="B78:B81"/>
    <mergeCell ref="AD78:AD81"/>
    <mergeCell ref="AE78:AE81"/>
    <mergeCell ref="A82:A85"/>
    <mergeCell ref="B82:B85"/>
    <mergeCell ref="AD82:AD85"/>
    <mergeCell ref="AE82:AE85"/>
    <mergeCell ref="A86:A89"/>
    <mergeCell ref="B86:B89"/>
    <mergeCell ref="AD86:AD89"/>
    <mergeCell ref="AE86:AE89"/>
    <mergeCell ref="A90:A93"/>
    <mergeCell ref="B90:B93"/>
    <mergeCell ref="AD90:AD93"/>
    <mergeCell ref="AE90:AE93"/>
    <mergeCell ref="A94:A97"/>
    <mergeCell ref="B94:B97"/>
    <mergeCell ref="AD94:AD97"/>
    <mergeCell ref="AE94:AE97"/>
    <mergeCell ref="A98:A101"/>
    <mergeCell ref="B98:B101"/>
    <mergeCell ref="AD98:AD101"/>
    <mergeCell ref="AE98:AE101"/>
    <mergeCell ref="A102:A109"/>
    <mergeCell ref="B102:B109"/>
    <mergeCell ref="AD102:AD109"/>
    <mergeCell ref="AE102:AE109"/>
  </mergeCells>
  <conditionalFormatting sqref="E3:G65536">
    <cfRule type="cellIs" dxfId="61" priority="2" operator="equal">
      <formula>0</formula>
    </cfRule>
  </conditionalFormatting>
  <conditionalFormatting sqref="K4:K109">
    <cfRule type="cellIs" dxfId="60" priority="12" operator="between">
      <formula>8</formula>
      <formula>1</formula>
    </cfRule>
  </conditionalFormatting>
  <conditionalFormatting sqref="M4:M5 M30:M37 M44:M45 M52:M53 M60:M61 M68:M69 M94:M109">
    <cfRule type="cellIs" dxfId="59" priority="10" operator="equal">
      <formula>"BIT OLD MAYBE"</formula>
    </cfRule>
    <cfRule type="cellIs" dxfId="58" priority="11" operator="equal">
      <formula>"TOO YOUNG"</formula>
    </cfRule>
  </conditionalFormatting>
  <conditionalFormatting sqref="M4:M109">
    <cfRule type="cellIs" dxfId="57" priority="9" operator="equal">
      <formula>"OK"</formula>
    </cfRule>
  </conditionalFormatting>
  <conditionalFormatting sqref="M6:M29 M38:M43 M46:M51 M54:M59 M62:M67 M70:M93">
    <cfRule type="cellIs" dxfId="56" priority="13" operator="equal">
      <formula>"NOT ELIGIBLE"</formula>
    </cfRule>
    <cfRule type="cellIs" dxfId="55" priority="14" operator="equal">
      <formula>"TOO YOUNG"</formula>
    </cfRule>
  </conditionalFormatting>
  <conditionalFormatting sqref="N2">
    <cfRule type="cellIs" dxfId="54" priority="3" operator="greaterThan">
      <formula>0</formula>
    </cfRule>
  </conditionalFormatting>
  <conditionalFormatting sqref="N18:O21">
    <cfRule type="cellIs" dxfId="53" priority="6" operator="greaterThan">
      <formula>0</formula>
    </cfRule>
  </conditionalFormatting>
  <conditionalFormatting sqref="P2">
    <cfRule type="cellIs" dxfId="52" priority="7" operator="greaterThan">
      <formula>0</formula>
    </cfRule>
  </conditionalFormatting>
  <conditionalFormatting sqref="P18">
    <cfRule type="cellIs" dxfId="51" priority="5" operator="greaterThan">
      <formula>0</formula>
    </cfRule>
  </conditionalFormatting>
  <conditionalFormatting sqref="Q1:Q17 P2 Q22:Q23">
    <cfRule type="cellIs" dxfId="50" priority="4" operator="greaterThan">
      <formula>"A"</formula>
    </cfRule>
  </conditionalFormatting>
  <conditionalFormatting sqref="AH1:AJ1 AH3:AJ3 AH4:AO105">
    <cfRule type="cellIs" dxfId="49" priority="8" operator="equal">
      <formula>0</formula>
    </cfRule>
  </conditionalFormatting>
  <dataValidations count="9">
    <dataValidation allowBlank="1" showInputMessage="1" showErrorMessage="1" promptTitle="DRAG &amp; DROP IS NOT PERMITTED" sqref="J4:J101" xr:uid="{00000000-0002-0000-0D00-000000000000}">
      <formula1>0</formula1>
      <formula2>0</formula2>
    </dataValidation>
    <dataValidation allowBlank="1" showInputMessage="1" showErrorMessage="1" promptTitle="IF EMPTY" prompt="Please add the row title GIVEN NAME in this box (See Left)" sqref="F3" xr:uid="{00000000-0002-0000-0D00-000001000000}">
      <formula1>0</formula1>
      <formula2>0</formula2>
    </dataValidation>
    <dataValidation allowBlank="1" showInputMessage="1" showErrorMessage="1" promptTitle="IF EMPTY" prompt="Please add the row title FAMILY NAME in this box (See Left)" sqref="G3" xr:uid="{00000000-0002-0000-0D00-000002000000}">
      <formula1>0</formula1>
      <formula2>0</formula2>
    </dataValidation>
    <dataValidation allowBlank="1" showInputMessage="1" showErrorMessage="1" promptTitle="IF EMPTY" prompt="Please add the row title ASA NO in this box (See Left)" sqref="E3" xr:uid="{00000000-0002-0000-0D00-000003000000}">
      <formula1>0</formula1>
      <formula2>0</formula2>
    </dataValidation>
    <dataValidation allowBlank="1" showInputMessage="1" showErrorMessage="1" promptTitle="IF EMPTY" prompt="Please add the row title D.O.B. in this box (See Left)" sqref="H3" xr:uid="{00000000-0002-0000-0D00-000004000000}">
      <formula1>0</formula1>
      <formula2>0</formula2>
    </dataValidation>
    <dataValidation allowBlank="1" showInputMessage="1" showErrorMessage="1" prompt="Enter the swimmers Family Name as registered with the ASA" sqref="G4 G30 G82" xr:uid="{00000000-0002-0000-0D00-000005000000}">
      <formula1>0</formula1>
      <formula2>0</formula2>
    </dataValidation>
    <dataValidation allowBlank="1" showInputMessage="1" showErrorMessage="1" prompt="Enter the Swimmers Given name (1st Name) as registered with the ASA_x000a_" sqref="F4 F30 F82" xr:uid="{00000000-0002-0000-0D00-000006000000}">
      <formula1>0</formula1>
      <formula2>0</formula2>
    </dataValidation>
    <dataValidation allowBlank="1" showInputMessage="1" showErrorMessage="1" prompt="Enter the Swimmers Date of birth.  Day, Month, Year  _x000a_ie 21/11/2011" sqref="H4 H52" xr:uid="{00000000-0002-0000-0D00-000007000000}">
      <formula1>0</formula1>
      <formula2>0</formula2>
    </dataValidation>
    <dataValidation allowBlank="1" showInputMessage="1" showErrorMessage="1" error="You must now &quot;undo&quot; drag and drop" sqref="F5:H5 F31:G31 H53 F83:G83" xr:uid="{00000000-0002-0000-0D00-000008000000}">
      <formula1>0</formula1>
      <formula2>0</formula2>
    </dataValidation>
  </dataValidations>
  <hyperlinks>
    <hyperlink ref="N18" location="'Gala Setup'!G2" display="Gala Setup" xr:uid="{00000000-0004-0000-0D00-000000000000}"/>
    <hyperlink ref="O18" location="Recording!C26" display="Gala Recording" xr:uid="{00000000-0004-0000-0D00-000001000000}"/>
    <hyperlink ref="P18" location="'Lane Timer sheets'!D1" display="Lane Timer Sheets" xr:uid="{00000000-0004-0000-0D00-000002000000}"/>
  </hyperlinks>
  <pageMargins left="0.75" right="0.75" top="1" bottom="1" header="0.511811023622047" footer="0.511811023622047"/>
  <pageSetup paperSize="9" scale="64"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Q1109"/>
  <sheetViews>
    <sheetView showRowColHeaders="0" zoomScale="80" zoomScaleNormal="80" workbookViewId="0">
      <selection activeCell="E3" sqref="E3"/>
    </sheetView>
  </sheetViews>
  <sheetFormatPr defaultColWidth="8.6640625" defaultRowHeight="13.2" x14ac:dyDescent="0.25"/>
  <cols>
    <col min="1" max="1" width="4.5546875" customWidth="1"/>
    <col min="2" max="2" width="31.88671875" customWidth="1"/>
    <col min="3" max="3" width="4.5546875" hidden="1" customWidth="1"/>
    <col min="4" max="4" width="9.6640625" hidden="1" customWidth="1"/>
    <col min="5" max="5" width="9.88671875" style="130" customWidth="1"/>
    <col min="6" max="6" width="23.6640625" style="130" customWidth="1"/>
    <col min="7" max="7" width="33.88671875" style="130" customWidth="1"/>
    <col min="8" max="8" width="12.109375" style="698" customWidth="1"/>
    <col min="9" max="10" width="12.109375" hidden="1" customWidth="1"/>
    <col min="11" max="11" width="10.6640625" customWidth="1"/>
    <col min="12" max="12" width="4.5546875" hidden="1" customWidth="1"/>
    <col min="13" max="13" width="17.6640625" customWidth="1"/>
    <col min="14" max="15" width="14.6640625" style="134" customWidth="1"/>
    <col min="16" max="16" width="29.6640625" style="134" customWidth="1"/>
    <col min="17" max="17" width="8.33203125" style="134" customWidth="1"/>
    <col min="18" max="29" width="8.88671875" style="134" customWidth="1"/>
    <col min="30" max="30" width="4.5546875" style="699" customWidth="1"/>
    <col min="31" max="31" width="26" style="700" customWidth="1"/>
    <col min="32" max="32" width="2.33203125" hidden="1" customWidth="1"/>
    <col min="33" max="33" width="3.6640625" hidden="1" customWidth="1"/>
    <col min="34" max="34" width="9.88671875" customWidth="1"/>
    <col min="35" max="35" width="23.6640625" customWidth="1"/>
    <col min="36" max="36" width="34.33203125" customWidth="1"/>
    <col min="41" max="41" width="9.109375" customWidth="1"/>
    <col min="42" max="42" width="23.6640625" customWidth="1"/>
    <col min="43" max="43" width="13.109375" hidden="1" customWidth="1"/>
  </cols>
  <sheetData>
    <row r="1" spans="1:43" ht="42.75" customHeight="1" x14ac:dyDescent="0.25">
      <c r="A1" s="1267" t="s">
        <v>4621</v>
      </c>
      <c r="B1" s="1267"/>
      <c r="C1" s="701"/>
      <c r="D1" s="702"/>
      <c r="E1" s="1268"/>
      <c r="F1" s="1268"/>
      <c r="G1" s="1268"/>
      <c r="H1" s="1268"/>
      <c r="I1" s="703"/>
      <c r="J1" s="704"/>
      <c r="K1" s="1269" t="s">
        <v>4623</v>
      </c>
      <c r="L1" s="1269"/>
      <c r="M1" s="1269"/>
      <c r="N1" s="1270" t="s">
        <v>4624</v>
      </c>
      <c r="O1" s="1270"/>
      <c r="P1" s="1270"/>
      <c r="Q1" s="705"/>
      <c r="AD1" s="1271" t="str">
        <f>'Team 1'!AD1</f>
        <v>TEAM NAME</v>
      </c>
      <c r="AE1" s="1271"/>
      <c r="AF1" s="706"/>
      <c r="AG1" s="707"/>
      <c r="AH1" s="1262">
        <f>E1</f>
        <v>0</v>
      </c>
      <c r="AI1" s="1262"/>
      <c r="AJ1" s="1262"/>
      <c r="AK1" s="1263"/>
      <c r="AL1" s="1263"/>
      <c r="AM1" s="1263"/>
      <c r="AN1" s="1263"/>
      <c r="AO1" s="708"/>
    </row>
    <row r="2" spans="1:43" ht="42.75" customHeight="1" x14ac:dyDescent="0.25">
      <c r="A2" s="1267"/>
      <c r="B2" s="1267"/>
      <c r="C2" s="709"/>
      <c r="D2" s="710"/>
      <c r="E2" s="1268"/>
      <c r="F2" s="1268"/>
      <c r="G2" s="1268"/>
      <c r="H2" s="1268"/>
      <c r="I2" s="711"/>
      <c r="J2" s="712"/>
      <c r="K2" s="1264">
        <f ca="1">DATE(YEAR(NOW()),12,31)</f>
        <v>45291</v>
      </c>
      <c r="L2" s="1264"/>
      <c r="M2" s="1264"/>
      <c r="N2" s="1265" t="s">
        <v>5054</v>
      </c>
      <c r="O2" s="1265"/>
      <c r="P2" s="1266" t="s">
        <v>4627</v>
      </c>
      <c r="Q2" s="705"/>
      <c r="AD2" s="1271"/>
      <c r="AE2" s="1271"/>
      <c r="AF2" s="713"/>
      <c r="AG2" s="714"/>
      <c r="AH2" s="1262"/>
      <c r="AI2" s="1262"/>
      <c r="AJ2" s="1262"/>
      <c r="AK2" s="1263"/>
      <c r="AL2" s="1263"/>
      <c r="AM2" s="1263"/>
      <c r="AN2" s="1263"/>
      <c r="AO2" s="708"/>
      <c r="AP2" s="708"/>
    </row>
    <row r="3" spans="1:43" ht="46.5" customHeight="1" x14ac:dyDescent="0.25">
      <c r="A3" s="1260" t="s">
        <v>61</v>
      </c>
      <c r="B3" s="1260"/>
      <c r="C3" s="715"/>
      <c r="D3" s="716"/>
      <c r="E3" s="717" t="s">
        <v>4628</v>
      </c>
      <c r="F3" s="718" t="s">
        <v>4629</v>
      </c>
      <c r="G3" s="718" t="s">
        <v>4630</v>
      </c>
      <c r="H3" s="795" t="s">
        <v>4631</v>
      </c>
      <c r="I3" s="720"/>
      <c r="J3" s="721"/>
      <c r="K3" s="1261" t="s">
        <v>4632</v>
      </c>
      <c r="L3" s="1261"/>
      <c r="M3" s="1261"/>
      <c r="N3" s="1265"/>
      <c r="O3" s="1265"/>
      <c r="P3" s="1266"/>
      <c r="Q3" s="705"/>
      <c r="AD3" s="1244"/>
      <c r="AE3" s="1244"/>
      <c r="AF3" s="723"/>
      <c r="AG3" s="724"/>
      <c r="AH3" s="725" t="str">
        <f>'Team 1'!AH3</f>
        <v>SE No</v>
      </c>
      <c r="AI3" s="726" t="s">
        <v>4629</v>
      </c>
      <c r="AJ3" s="726" t="s">
        <v>4630</v>
      </c>
      <c r="AK3" s="1263"/>
      <c r="AL3" s="1263"/>
      <c r="AM3" s="1263"/>
      <c r="AN3" s="1263"/>
      <c r="AO3" s="726"/>
      <c r="AQ3">
        <v>8</v>
      </c>
    </row>
    <row r="4" spans="1:43" ht="20.25" customHeight="1" x14ac:dyDescent="0.25">
      <c r="A4" s="727">
        <v>1</v>
      </c>
      <c r="B4" s="728" t="s">
        <v>4634</v>
      </c>
      <c r="C4" s="728" t="s">
        <v>4635</v>
      </c>
      <c r="D4" s="729">
        <f>IF('Gala Setup'!J$9="100M",29,IF('Gala Setup'!J$9="200M",16))</f>
        <v>16</v>
      </c>
      <c r="E4" s="730"/>
      <c r="F4" s="731"/>
      <c r="G4" s="731"/>
      <c r="H4" s="732"/>
      <c r="I4" s="733" t="str">
        <f t="shared" ref="I4:I35" si="0">CONCATENATE(F4," ",G4)</f>
        <v xml:space="preserve"> </v>
      </c>
      <c r="J4" s="734" t="str">
        <f t="shared" ref="J4:J35" si="1">CONCATENATE(G4,",",F4)</f>
        <v>,</v>
      </c>
      <c r="K4" s="735">
        <f t="shared" ref="K4:K35" ca="1" si="2">IF(K$2=0,0,IF(AQ4=0,0,IF(COUNTBLANK(AQ4)=1,"",YEAR(K$2)-YEAR(AQ4)-IF(DATE(YEAR(K$2),MONTH(AQ4),DAY(4638))&gt;K$2,1,0))))</f>
        <v>0</v>
      </c>
      <c r="L4" s="736" t="str">
        <f t="shared" ref="L4:L35" si="3">(TEXT(H4,"DDMMYY"))</f>
        <v>000100</v>
      </c>
      <c r="M4" s="737">
        <f ca="1">IF(K4=0,0,IF(K4&lt;9,"TOO YOUNG",IF(K4&lt;60,"OK","BIT OLD MAYBE")))</f>
        <v>0</v>
      </c>
      <c r="N4" s="1265"/>
      <c r="O4" s="1265"/>
      <c r="P4" s="1266"/>
      <c r="Q4" s="705"/>
      <c r="AD4" s="722">
        <f t="shared" ref="AD4:AE6" si="4">A4</f>
        <v>1</v>
      </c>
      <c r="AE4" s="738" t="str">
        <f t="shared" si="4"/>
        <v>FEMALE 16+  200M  IM</v>
      </c>
      <c r="AF4" s="440" t="s">
        <v>4635</v>
      </c>
      <c r="AG4" s="739">
        <v>16</v>
      </c>
      <c r="AH4" s="740">
        <f t="shared" ref="AH4:AH35" si="5">E4</f>
        <v>0</v>
      </c>
      <c r="AI4" s="740">
        <f t="shared" ref="AI4:AI35" si="6">F4</f>
        <v>0</v>
      </c>
      <c r="AJ4" s="740">
        <f t="shared" ref="AJ4:AJ35" si="7">G4</f>
        <v>0</v>
      </c>
      <c r="AK4" s="740"/>
      <c r="AL4" s="740"/>
      <c r="AM4" s="740"/>
      <c r="AN4" s="740"/>
      <c r="AO4" s="740"/>
      <c r="AQ4" s="741">
        <f t="shared" ref="AQ4:AQ35" ca="1" si="8">INDIRECT(ADDRESS(ROW(),AQ$3))</f>
        <v>0</v>
      </c>
    </row>
    <row r="5" spans="1:43" ht="20.25" customHeight="1" x14ac:dyDescent="0.25">
      <c r="A5" s="727">
        <v>2</v>
      </c>
      <c r="B5" s="742" t="s">
        <v>4638</v>
      </c>
      <c r="C5" s="742" t="s">
        <v>328</v>
      </c>
      <c r="D5" s="729">
        <f>IF('Gala Setup'!J$9="100M",29,IF('Gala Setup'!J$9="200M",16))</f>
        <v>16</v>
      </c>
      <c r="E5" s="730"/>
      <c r="F5" s="731"/>
      <c r="G5" s="731"/>
      <c r="H5" s="732"/>
      <c r="I5" s="733" t="str">
        <f t="shared" si="0"/>
        <v xml:space="preserve"> </v>
      </c>
      <c r="J5" s="734" t="str">
        <f t="shared" si="1"/>
        <v>,</v>
      </c>
      <c r="K5" s="735">
        <f t="shared" ca="1" si="2"/>
        <v>0</v>
      </c>
      <c r="L5" s="736" t="str">
        <f t="shared" si="3"/>
        <v>000100</v>
      </c>
      <c r="M5" s="743">
        <f ca="1">IF(K5=0,0,IF(K5&lt;9,"TOO YOUNG",IF(K5&lt;60,"OK","BIT OLD MAYBE")))</f>
        <v>0</v>
      </c>
      <c r="N5" s="1265"/>
      <c r="O5" s="1265"/>
      <c r="P5" s="1266"/>
      <c r="Q5" s="705"/>
      <c r="AD5" s="722">
        <f t="shared" si="4"/>
        <v>2</v>
      </c>
      <c r="AE5" s="738" t="str">
        <f t="shared" si="4"/>
        <v>OPEN/MALE 16+ 200M  IM</v>
      </c>
      <c r="AF5" s="443" t="s">
        <v>328</v>
      </c>
      <c r="AG5" s="744">
        <v>16</v>
      </c>
      <c r="AH5" s="740">
        <f t="shared" si="5"/>
        <v>0</v>
      </c>
      <c r="AI5" s="740">
        <f t="shared" si="6"/>
        <v>0</v>
      </c>
      <c r="AJ5" s="740">
        <f t="shared" si="7"/>
        <v>0</v>
      </c>
      <c r="AK5" s="740"/>
      <c r="AL5" s="740"/>
      <c r="AM5" s="740"/>
      <c r="AN5" s="740"/>
      <c r="AO5" s="740"/>
      <c r="AQ5" s="741">
        <f t="shared" ca="1" si="8"/>
        <v>0</v>
      </c>
    </row>
    <row r="6" spans="1:43" ht="20.25" customHeight="1" x14ac:dyDescent="0.25">
      <c r="A6" s="1254">
        <v>3</v>
      </c>
      <c r="B6" s="1255" t="s">
        <v>4641</v>
      </c>
      <c r="C6" s="746"/>
      <c r="D6" s="747"/>
      <c r="E6" s="730"/>
      <c r="F6" s="731"/>
      <c r="G6" s="731"/>
      <c r="H6" s="732"/>
      <c r="I6" s="733" t="str">
        <f t="shared" si="0"/>
        <v xml:space="preserve"> </v>
      </c>
      <c r="J6" s="734" t="str">
        <f t="shared" si="1"/>
        <v>,</v>
      </c>
      <c r="K6" s="735">
        <f t="shared" ca="1" si="2"/>
        <v>0</v>
      </c>
      <c r="L6" s="736" t="str">
        <f t="shared" si="3"/>
        <v>000100</v>
      </c>
      <c r="M6" s="748">
        <f t="shared" ref="M6:M13" ca="1" si="9">IF(K6=0,0,IF(K6&lt;9,"TOO YOUNG",IF(K6&lt;12,"OK","NOT ELIGIBLE")))</f>
        <v>0</v>
      </c>
      <c r="N6" s="1265"/>
      <c r="O6" s="1265"/>
      <c r="P6" s="1266"/>
      <c r="Q6" s="705"/>
      <c r="AD6" s="1244">
        <f t="shared" si="4"/>
        <v>3</v>
      </c>
      <c r="AE6" s="1245" t="str">
        <f t="shared" si="4"/>
        <v>FEMALE 9/11 4 X 50M
FREESTYLE RELAY</v>
      </c>
      <c r="AF6" s="749"/>
      <c r="AG6" s="750"/>
      <c r="AH6" s="740">
        <f t="shared" si="5"/>
        <v>0</v>
      </c>
      <c r="AI6" s="740">
        <f t="shared" si="6"/>
        <v>0</v>
      </c>
      <c r="AJ6" s="740">
        <f t="shared" si="7"/>
        <v>0</v>
      </c>
      <c r="AK6" s="740"/>
      <c r="AL6" s="740"/>
      <c r="AM6" s="740"/>
      <c r="AN6" s="740"/>
      <c r="AO6" s="740"/>
      <c r="AQ6" s="741">
        <f t="shared" ca="1" si="8"/>
        <v>0</v>
      </c>
    </row>
    <row r="7" spans="1:43" ht="20.25" customHeight="1" x14ac:dyDescent="0.25">
      <c r="A7" s="1254"/>
      <c r="B7" s="1255"/>
      <c r="C7" s="751"/>
      <c r="D7" s="752"/>
      <c r="E7" s="730"/>
      <c r="F7" s="731"/>
      <c r="G7" s="731"/>
      <c r="H7" s="732"/>
      <c r="I7" s="733" t="str">
        <f t="shared" si="0"/>
        <v xml:space="preserve"> </v>
      </c>
      <c r="J7" s="734" t="str">
        <f t="shared" si="1"/>
        <v>,</v>
      </c>
      <c r="K7" s="735">
        <f t="shared" ca="1" si="2"/>
        <v>0</v>
      </c>
      <c r="L7" s="736" t="str">
        <f t="shared" si="3"/>
        <v>000100</v>
      </c>
      <c r="M7" s="748">
        <f t="shared" ca="1" si="9"/>
        <v>0</v>
      </c>
      <c r="N7" s="1265"/>
      <c r="O7" s="1265"/>
      <c r="P7" s="1266"/>
      <c r="Q7" s="705"/>
      <c r="AD7" s="1244"/>
      <c r="AE7" s="1245"/>
      <c r="AF7" s="753"/>
      <c r="AG7" s="754"/>
      <c r="AH7" s="740">
        <f t="shared" si="5"/>
        <v>0</v>
      </c>
      <c r="AI7" s="740">
        <f t="shared" si="6"/>
        <v>0</v>
      </c>
      <c r="AJ7" s="740">
        <f t="shared" si="7"/>
        <v>0</v>
      </c>
      <c r="AK7" s="740"/>
      <c r="AL7" s="740"/>
      <c r="AM7" s="740"/>
      <c r="AN7" s="740"/>
      <c r="AO7" s="740"/>
      <c r="AQ7" s="741">
        <f t="shared" ca="1" si="8"/>
        <v>0</v>
      </c>
    </row>
    <row r="8" spans="1:43" ht="20.25" customHeight="1" x14ac:dyDescent="0.25">
      <c r="A8" s="1254"/>
      <c r="B8" s="1255"/>
      <c r="C8" s="751"/>
      <c r="D8" s="752"/>
      <c r="E8" s="730"/>
      <c r="F8" s="731"/>
      <c r="G8" s="731"/>
      <c r="H8" s="732"/>
      <c r="I8" s="733" t="str">
        <f t="shared" si="0"/>
        <v xml:space="preserve"> </v>
      </c>
      <c r="J8" s="734" t="str">
        <f t="shared" si="1"/>
        <v>,</v>
      </c>
      <c r="K8" s="735">
        <f t="shared" ca="1" si="2"/>
        <v>0</v>
      </c>
      <c r="L8" s="736" t="str">
        <f t="shared" si="3"/>
        <v>000100</v>
      </c>
      <c r="M8" s="748">
        <f t="shared" ca="1" si="9"/>
        <v>0</v>
      </c>
      <c r="N8" s="1265"/>
      <c r="O8" s="1265"/>
      <c r="P8" s="1266"/>
      <c r="Q8" s="705"/>
      <c r="AD8" s="1244"/>
      <c r="AE8" s="1245"/>
      <c r="AF8" s="753"/>
      <c r="AG8" s="754"/>
      <c r="AH8" s="740">
        <f t="shared" si="5"/>
        <v>0</v>
      </c>
      <c r="AI8" s="740">
        <f t="shared" si="6"/>
        <v>0</v>
      </c>
      <c r="AJ8" s="740">
        <f t="shared" si="7"/>
        <v>0</v>
      </c>
      <c r="AK8" s="740"/>
      <c r="AL8" s="740"/>
      <c r="AM8" s="740"/>
      <c r="AN8" s="740"/>
      <c r="AO8" s="740"/>
      <c r="AQ8" s="741">
        <f t="shared" ca="1" si="8"/>
        <v>0</v>
      </c>
    </row>
    <row r="9" spans="1:43" ht="20.25" customHeight="1" x14ac:dyDescent="0.25">
      <c r="A9" s="1254"/>
      <c r="B9" s="1255"/>
      <c r="C9" s="751"/>
      <c r="D9" s="752"/>
      <c r="E9" s="730"/>
      <c r="F9" s="731"/>
      <c r="G9" s="731"/>
      <c r="H9" s="732"/>
      <c r="I9" s="733" t="str">
        <f t="shared" si="0"/>
        <v xml:space="preserve"> </v>
      </c>
      <c r="J9" s="734" t="str">
        <f t="shared" si="1"/>
        <v>,</v>
      </c>
      <c r="K9" s="735">
        <f t="shared" ca="1" si="2"/>
        <v>0</v>
      </c>
      <c r="L9" s="736" t="str">
        <f t="shared" si="3"/>
        <v>000100</v>
      </c>
      <c r="M9" s="748">
        <f t="shared" ca="1" si="9"/>
        <v>0</v>
      </c>
      <c r="N9" s="1265"/>
      <c r="O9" s="1265"/>
      <c r="P9" s="1266"/>
      <c r="Q9" s="705"/>
      <c r="AD9" s="1244"/>
      <c r="AE9" s="1245"/>
      <c r="AF9" s="753"/>
      <c r="AG9" s="754"/>
      <c r="AH9" s="740">
        <f t="shared" si="5"/>
        <v>0</v>
      </c>
      <c r="AI9" s="740">
        <f t="shared" si="6"/>
        <v>0</v>
      </c>
      <c r="AJ9" s="740">
        <f t="shared" si="7"/>
        <v>0</v>
      </c>
      <c r="AK9" s="740"/>
      <c r="AL9" s="740"/>
      <c r="AM9" s="740"/>
      <c r="AN9" s="740"/>
      <c r="AO9" s="740"/>
      <c r="AQ9" s="741">
        <f t="shared" ca="1" si="8"/>
        <v>0</v>
      </c>
    </row>
    <row r="10" spans="1:43" ht="20.25" customHeight="1" x14ac:dyDescent="0.25">
      <c r="A10" s="1254">
        <v>4</v>
      </c>
      <c r="B10" s="1255" t="s">
        <v>4650</v>
      </c>
      <c r="C10" s="746"/>
      <c r="D10" s="747"/>
      <c r="E10" s="730"/>
      <c r="F10" s="731"/>
      <c r="G10" s="731"/>
      <c r="H10" s="732"/>
      <c r="I10" s="733" t="str">
        <f t="shared" si="0"/>
        <v xml:space="preserve"> </v>
      </c>
      <c r="J10" s="734" t="str">
        <f t="shared" si="1"/>
        <v>,</v>
      </c>
      <c r="K10" s="735">
        <f t="shared" ca="1" si="2"/>
        <v>0</v>
      </c>
      <c r="L10" s="736" t="str">
        <f t="shared" si="3"/>
        <v>000100</v>
      </c>
      <c r="M10" s="748">
        <f t="shared" ca="1" si="9"/>
        <v>0</v>
      </c>
      <c r="N10" s="1265"/>
      <c r="O10" s="1265"/>
      <c r="P10" s="1266"/>
      <c r="Q10" s="705"/>
      <c r="AD10" s="1244">
        <f>A10</f>
        <v>4</v>
      </c>
      <c r="AE10" s="1245" t="str">
        <f>B10</f>
        <v>OPEN/MALE 9/11 4 X50M
FREESTYLE RELAY</v>
      </c>
      <c r="AF10" s="749"/>
      <c r="AG10" s="750"/>
      <c r="AH10" s="740">
        <f t="shared" si="5"/>
        <v>0</v>
      </c>
      <c r="AI10" s="740">
        <f t="shared" si="6"/>
        <v>0</v>
      </c>
      <c r="AJ10" s="740">
        <f t="shared" si="7"/>
        <v>0</v>
      </c>
      <c r="AK10" s="740"/>
      <c r="AL10" s="740"/>
      <c r="AM10" s="740"/>
      <c r="AN10" s="740"/>
      <c r="AO10" s="740"/>
      <c r="AQ10" s="741">
        <f t="shared" ca="1" si="8"/>
        <v>0</v>
      </c>
    </row>
    <row r="11" spans="1:43" ht="20.25" customHeight="1" x14ac:dyDescent="0.25">
      <c r="A11" s="1254"/>
      <c r="B11" s="1255"/>
      <c r="C11" s="751"/>
      <c r="D11" s="752"/>
      <c r="E11" s="730"/>
      <c r="F11" s="731"/>
      <c r="G11" s="731"/>
      <c r="H11" s="732"/>
      <c r="I11" s="733" t="str">
        <f t="shared" si="0"/>
        <v xml:space="preserve"> </v>
      </c>
      <c r="J11" s="734" t="str">
        <f t="shared" si="1"/>
        <v>,</v>
      </c>
      <c r="K11" s="735">
        <f t="shared" ca="1" si="2"/>
        <v>0</v>
      </c>
      <c r="L11" s="736" t="str">
        <f t="shared" si="3"/>
        <v>000100</v>
      </c>
      <c r="M11" s="748">
        <f t="shared" ca="1" si="9"/>
        <v>0</v>
      </c>
      <c r="N11" s="1265"/>
      <c r="O11" s="1265"/>
      <c r="P11" s="1266"/>
      <c r="Q11" s="705"/>
      <c r="AD11" s="1244"/>
      <c r="AE11" s="1245"/>
      <c r="AF11" s="753"/>
      <c r="AG11" s="754"/>
      <c r="AH11" s="740">
        <f t="shared" si="5"/>
        <v>0</v>
      </c>
      <c r="AI11" s="740">
        <f t="shared" si="6"/>
        <v>0</v>
      </c>
      <c r="AJ11" s="740">
        <f t="shared" si="7"/>
        <v>0</v>
      </c>
      <c r="AK11" s="740"/>
      <c r="AL11" s="740"/>
      <c r="AM11" s="740"/>
      <c r="AN11" s="740"/>
      <c r="AO11" s="740"/>
      <c r="AQ11" s="741">
        <f t="shared" ca="1" si="8"/>
        <v>0</v>
      </c>
    </row>
    <row r="12" spans="1:43" ht="20.25" customHeight="1" x14ac:dyDescent="0.25">
      <c r="A12" s="1254"/>
      <c r="B12" s="1255"/>
      <c r="C12" s="751"/>
      <c r="D12" s="752"/>
      <c r="E12" s="730"/>
      <c r="F12" s="731"/>
      <c r="G12" s="731"/>
      <c r="H12" s="732"/>
      <c r="I12" s="733" t="str">
        <f t="shared" si="0"/>
        <v xml:space="preserve"> </v>
      </c>
      <c r="J12" s="734" t="str">
        <f t="shared" si="1"/>
        <v>,</v>
      </c>
      <c r="K12" s="735">
        <f t="shared" ca="1" si="2"/>
        <v>0</v>
      </c>
      <c r="L12" s="736" t="str">
        <f t="shared" si="3"/>
        <v>000100</v>
      </c>
      <c r="M12" s="748">
        <f t="shared" ca="1" si="9"/>
        <v>0</v>
      </c>
      <c r="N12" s="1265"/>
      <c r="O12" s="1265"/>
      <c r="P12" s="1266"/>
      <c r="Q12" s="705"/>
      <c r="AD12" s="1244"/>
      <c r="AE12" s="1245"/>
      <c r="AF12" s="753"/>
      <c r="AG12" s="754"/>
      <c r="AH12" s="740">
        <f t="shared" si="5"/>
        <v>0</v>
      </c>
      <c r="AI12" s="740">
        <f t="shared" si="6"/>
        <v>0</v>
      </c>
      <c r="AJ12" s="740">
        <f t="shared" si="7"/>
        <v>0</v>
      </c>
      <c r="AK12" s="740"/>
      <c r="AL12" s="740"/>
      <c r="AM12" s="740"/>
      <c r="AN12" s="740"/>
      <c r="AO12" s="740"/>
      <c r="AQ12" s="741">
        <f t="shared" ca="1" si="8"/>
        <v>0</v>
      </c>
    </row>
    <row r="13" spans="1:43" ht="20.25" customHeight="1" x14ac:dyDescent="0.25">
      <c r="A13" s="1254"/>
      <c r="B13" s="1255"/>
      <c r="C13" s="751"/>
      <c r="D13" s="752"/>
      <c r="E13" s="730"/>
      <c r="F13" s="731"/>
      <c r="G13" s="731"/>
      <c r="H13" s="732"/>
      <c r="I13" s="733" t="str">
        <f t="shared" si="0"/>
        <v xml:space="preserve"> </v>
      </c>
      <c r="J13" s="734" t="str">
        <f t="shared" si="1"/>
        <v>,</v>
      </c>
      <c r="K13" s="735">
        <f t="shared" ca="1" si="2"/>
        <v>0</v>
      </c>
      <c r="L13" s="736" t="str">
        <f t="shared" si="3"/>
        <v>000100</v>
      </c>
      <c r="M13" s="748">
        <f t="shared" ca="1" si="9"/>
        <v>0</v>
      </c>
      <c r="N13" s="1265"/>
      <c r="O13" s="1265"/>
      <c r="P13" s="1266"/>
      <c r="Q13" s="705"/>
      <c r="AD13" s="1244"/>
      <c r="AE13" s="1245"/>
      <c r="AF13" s="753"/>
      <c r="AG13" s="754"/>
      <c r="AH13" s="740">
        <f t="shared" si="5"/>
        <v>0</v>
      </c>
      <c r="AI13" s="740">
        <f t="shared" si="6"/>
        <v>0</v>
      </c>
      <c r="AJ13" s="740">
        <f t="shared" si="7"/>
        <v>0</v>
      </c>
      <c r="AK13" s="740"/>
      <c r="AL13" s="740"/>
      <c r="AM13" s="740"/>
      <c r="AN13" s="740"/>
      <c r="AO13" s="740"/>
      <c r="AQ13" s="741">
        <f t="shared" ca="1" si="8"/>
        <v>0</v>
      </c>
    </row>
    <row r="14" spans="1:43" ht="20.25" customHeight="1" x14ac:dyDescent="0.25">
      <c r="A14" s="1252">
        <v>5</v>
      </c>
      <c r="B14" s="1253" t="s">
        <v>4651</v>
      </c>
      <c r="C14" s="756"/>
      <c r="D14" s="757"/>
      <c r="E14" s="730"/>
      <c r="F14" s="731"/>
      <c r="G14" s="731"/>
      <c r="H14" s="732"/>
      <c r="I14" s="733" t="str">
        <f t="shared" si="0"/>
        <v xml:space="preserve"> </v>
      </c>
      <c r="J14" s="734" t="str">
        <f t="shared" si="1"/>
        <v>,</v>
      </c>
      <c r="K14" s="735">
        <f t="shared" ca="1" si="2"/>
        <v>0</v>
      </c>
      <c r="L14" s="736" t="str">
        <f t="shared" si="3"/>
        <v>000100</v>
      </c>
      <c r="M14" s="748">
        <f t="shared" ref="M14:M21" ca="1" si="10">IF(K14=0,0,IF(K14&lt;9,"TOO YOUNG",IF(K14&lt;14,"OK","NOT ELIGIBLE")))</f>
        <v>0</v>
      </c>
      <c r="N14" s="1265"/>
      <c r="O14" s="1265"/>
      <c r="P14" s="1266"/>
      <c r="Q14" s="705"/>
      <c r="AD14" s="1244">
        <f>A14</f>
        <v>5</v>
      </c>
      <c r="AE14" s="1245" t="str">
        <f>B14</f>
        <v>FEMALE 13/U 4 X 50M
MEDLEY RELAY</v>
      </c>
      <c r="AF14" s="749"/>
      <c r="AG14" s="750"/>
      <c r="AH14" s="740">
        <f t="shared" si="5"/>
        <v>0</v>
      </c>
      <c r="AI14" s="740">
        <f t="shared" si="6"/>
        <v>0</v>
      </c>
      <c r="AJ14" s="740">
        <f t="shared" si="7"/>
        <v>0</v>
      </c>
      <c r="AK14" s="740"/>
      <c r="AL14" s="740"/>
      <c r="AM14" s="740"/>
      <c r="AN14" s="740"/>
      <c r="AO14" s="740"/>
      <c r="AQ14" s="741">
        <f t="shared" ca="1" si="8"/>
        <v>0</v>
      </c>
    </row>
    <row r="15" spans="1:43" ht="20.25" customHeight="1" x14ac:dyDescent="0.25">
      <c r="A15" s="1252"/>
      <c r="B15" s="1253"/>
      <c r="C15" s="758"/>
      <c r="D15" s="759"/>
      <c r="E15" s="730"/>
      <c r="F15" s="731"/>
      <c r="G15" s="731"/>
      <c r="H15" s="732"/>
      <c r="I15" s="733" t="str">
        <f t="shared" si="0"/>
        <v xml:space="preserve"> </v>
      </c>
      <c r="J15" s="734" t="str">
        <f t="shared" si="1"/>
        <v>,</v>
      </c>
      <c r="K15" s="735">
        <f t="shared" ca="1" si="2"/>
        <v>0</v>
      </c>
      <c r="L15" s="736" t="str">
        <f t="shared" si="3"/>
        <v>000100</v>
      </c>
      <c r="M15" s="748">
        <f t="shared" ca="1" si="10"/>
        <v>0</v>
      </c>
      <c r="N15" s="1265"/>
      <c r="O15" s="1265"/>
      <c r="P15" s="1266"/>
      <c r="Q15" s="705"/>
      <c r="AD15" s="1244"/>
      <c r="AE15" s="1245"/>
      <c r="AF15" s="753"/>
      <c r="AG15" s="754"/>
      <c r="AH15" s="740">
        <f t="shared" si="5"/>
        <v>0</v>
      </c>
      <c r="AI15" s="740">
        <f t="shared" si="6"/>
        <v>0</v>
      </c>
      <c r="AJ15" s="740">
        <f t="shared" si="7"/>
        <v>0</v>
      </c>
      <c r="AK15" s="740"/>
      <c r="AL15" s="740"/>
      <c r="AM15" s="740"/>
      <c r="AN15" s="740"/>
      <c r="AO15" s="740"/>
      <c r="AQ15" s="741">
        <f t="shared" ca="1" si="8"/>
        <v>0</v>
      </c>
    </row>
    <row r="16" spans="1:43" ht="20.25" customHeight="1" x14ac:dyDescent="0.25">
      <c r="A16" s="1252"/>
      <c r="B16" s="1253"/>
      <c r="C16" s="758"/>
      <c r="D16" s="759"/>
      <c r="E16" s="730"/>
      <c r="F16" s="731"/>
      <c r="G16" s="731"/>
      <c r="H16" s="732"/>
      <c r="I16" s="733" t="str">
        <f t="shared" si="0"/>
        <v xml:space="preserve"> </v>
      </c>
      <c r="J16" s="734" t="str">
        <f t="shared" si="1"/>
        <v>,</v>
      </c>
      <c r="K16" s="735">
        <f t="shared" ca="1" si="2"/>
        <v>0</v>
      </c>
      <c r="L16" s="736" t="str">
        <f t="shared" si="3"/>
        <v>000100</v>
      </c>
      <c r="M16" s="748">
        <f t="shared" ca="1" si="10"/>
        <v>0</v>
      </c>
      <c r="N16" s="1265"/>
      <c r="O16" s="1265"/>
      <c r="P16" s="1266"/>
      <c r="Q16" s="705"/>
      <c r="AD16" s="1244"/>
      <c r="AE16" s="1245"/>
      <c r="AF16" s="753"/>
      <c r="AG16" s="754"/>
      <c r="AH16" s="740">
        <f t="shared" si="5"/>
        <v>0</v>
      </c>
      <c r="AI16" s="740">
        <f t="shared" si="6"/>
        <v>0</v>
      </c>
      <c r="AJ16" s="740">
        <f t="shared" si="7"/>
        <v>0</v>
      </c>
      <c r="AK16" s="740"/>
      <c r="AL16" s="740"/>
      <c r="AM16" s="740"/>
      <c r="AN16" s="740"/>
      <c r="AO16" s="740"/>
      <c r="AQ16" s="741">
        <f t="shared" ca="1" si="8"/>
        <v>0</v>
      </c>
    </row>
    <row r="17" spans="1:43" ht="20.25" customHeight="1" x14ac:dyDescent="0.25">
      <c r="A17" s="1252"/>
      <c r="B17" s="1253"/>
      <c r="C17" s="758"/>
      <c r="D17" s="759"/>
      <c r="E17" s="730"/>
      <c r="F17" s="731"/>
      <c r="G17" s="731"/>
      <c r="H17" s="732"/>
      <c r="I17" s="733" t="str">
        <f t="shared" si="0"/>
        <v xml:space="preserve"> </v>
      </c>
      <c r="J17" s="734" t="str">
        <f t="shared" si="1"/>
        <v>,</v>
      </c>
      <c r="K17" s="735">
        <f t="shared" ca="1" si="2"/>
        <v>0</v>
      </c>
      <c r="L17" s="736" t="str">
        <f t="shared" si="3"/>
        <v>000100</v>
      </c>
      <c r="M17" s="748">
        <f t="shared" ca="1" si="10"/>
        <v>0</v>
      </c>
      <c r="N17" s="1265"/>
      <c r="O17" s="1265"/>
      <c r="P17" s="1266"/>
      <c r="Q17" s="705"/>
      <c r="AD17" s="1244"/>
      <c r="AE17" s="1245"/>
      <c r="AF17" s="753"/>
      <c r="AG17" s="754"/>
      <c r="AH17" s="740">
        <f t="shared" si="5"/>
        <v>0</v>
      </c>
      <c r="AI17" s="740">
        <f t="shared" si="6"/>
        <v>0</v>
      </c>
      <c r="AJ17" s="740">
        <f t="shared" si="7"/>
        <v>0</v>
      </c>
      <c r="AK17" s="740"/>
      <c r="AL17" s="740"/>
      <c r="AM17" s="740"/>
      <c r="AN17" s="740"/>
      <c r="AO17" s="740"/>
      <c r="AQ17" s="741">
        <f t="shared" ca="1" si="8"/>
        <v>0</v>
      </c>
    </row>
    <row r="18" spans="1:43" ht="20.25" customHeight="1" x14ac:dyDescent="0.25">
      <c r="A18" s="1252">
        <v>6</v>
      </c>
      <c r="B18" s="1253" t="s">
        <v>4660</v>
      </c>
      <c r="C18" s="756"/>
      <c r="D18" s="757"/>
      <c r="E18" s="730"/>
      <c r="F18" s="731"/>
      <c r="G18" s="731"/>
      <c r="H18" s="732"/>
      <c r="I18" s="733" t="str">
        <f t="shared" si="0"/>
        <v xml:space="preserve"> </v>
      </c>
      <c r="J18" s="734" t="str">
        <f t="shared" si="1"/>
        <v>,</v>
      </c>
      <c r="K18" s="735">
        <f t="shared" ca="1" si="2"/>
        <v>0</v>
      </c>
      <c r="L18" s="736" t="str">
        <f t="shared" si="3"/>
        <v>000100</v>
      </c>
      <c r="M18" s="748">
        <f t="shared" ca="1" si="10"/>
        <v>0</v>
      </c>
      <c r="N18" s="1258" t="s">
        <v>4319</v>
      </c>
      <c r="O18" s="1258" t="s">
        <v>4320</v>
      </c>
      <c r="P18" s="1259" t="s">
        <v>4663</v>
      </c>
      <c r="R18" s="760"/>
      <c r="S18" s="760"/>
      <c r="AD18" s="1244">
        <f>A18</f>
        <v>6</v>
      </c>
      <c r="AE18" s="1245" t="str">
        <f>B18</f>
        <v>OPEN/MALE 13/U 4 X 50M
MEDLEY RELAY</v>
      </c>
      <c r="AF18" s="749"/>
      <c r="AG18" s="750"/>
      <c r="AH18" s="740">
        <f t="shared" si="5"/>
        <v>0</v>
      </c>
      <c r="AI18" s="740">
        <f t="shared" si="6"/>
        <v>0</v>
      </c>
      <c r="AJ18" s="740">
        <f t="shared" si="7"/>
        <v>0</v>
      </c>
      <c r="AK18" s="740"/>
      <c r="AL18" s="740"/>
      <c r="AM18" s="740"/>
      <c r="AN18" s="740"/>
      <c r="AO18" s="740"/>
      <c r="AQ18" s="741">
        <f t="shared" ca="1" si="8"/>
        <v>0</v>
      </c>
    </row>
    <row r="19" spans="1:43" ht="20.25" customHeight="1" x14ac:dyDescent="0.25">
      <c r="A19" s="1252"/>
      <c r="B19" s="1253"/>
      <c r="C19" s="758"/>
      <c r="D19" s="759"/>
      <c r="E19" s="730"/>
      <c r="F19" s="731"/>
      <c r="G19" s="731"/>
      <c r="H19" s="732"/>
      <c r="I19" s="733" t="str">
        <f t="shared" si="0"/>
        <v xml:space="preserve"> </v>
      </c>
      <c r="J19" s="734" t="str">
        <f t="shared" si="1"/>
        <v>,</v>
      </c>
      <c r="K19" s="735">
        <f t="shared" ca="1" si="2"/>
        <v>0</v>
      </c>
      <c r="L19" s="736" t="str">
        <f t="shared" si="3"/>
        <v>000100</v>
      </c>
      <c r="M19" s="748">
        <f t="shared" ca="1" si="10"/>
        <v>0</v>
      </c>
      <c r="N19" s="1258"/>
      <c r="O19" s="1258"/>
      <c r="P19" s="1259"/>
      <c r="R19" s="760"/>
      <c r="S19" s="760"/>
      <c r="AD19" s="1244"/>
      <c r="AE19" s="1245"/>
      <c r="AF19" s="753"/>
      <c r="AG19" s="754"/>
      <c r="AH19" s="740">
        <f t="shared" si="5"/>
        <v>0</v>
      </c>
      <c r="AI19" s="740">
        <f t="shared" si="6"/>
        <v>0</v>
      </c>
      <c r="AJ19" s="740">
        <f t="shared" si="7"/>
        <v>0</v>
      </c>
      <c r="AK19" s="740"/>
      <c r="AL19" s="740"/>
      <c r="AM19" s="740"/>
      <c r="AN19" s="740"/>
      <c r="AO19" s="740"/>
      <c r="AQ19" s="741">
        <f t="shared" ca="1" si="8"/>
        <v>0</v>
      </c>
    </row>
    <row r="20" spans="1:43" ht="20.25" customHeight="1" x14ac:dyDescent="0.25">
      <c r="A20" s="1252"/>
      <c r="B20" s="1253"/>
      <c r="C20" s="758"/>
      <c r="D20" s="759"/>
      <c r="E20" s="730"/>
      <c r="F20" s="731"/>
      <c r="G20" s="731"/>
      <c r="H20" s="732"/>
      <c r="I20" s="733" t="str">
        <f t="shared" si="0"/>
        <v xml:space="preserve"> </v>
      </c>
      <c r="J20" s="734" t="str">
        <f t="shared" si="1"/>
        <v>,</v>
      </c>
      <c r="K20" s="735">
        <f t="shared" ca="1" si="2"/>
        <v>0</v>
      </c>
      <c r="L20" s="736" t="str">
        <f t="shared" si="3"/>
        <v>000100</v>
      </c>
      <c r="M20" s="748">
        <f t="shared" ca="1" si="10"/>
        <v>0</v>
      </c>
      <c r="N20" s="1258"/>
      <c r="O20" s="1258"/>
      <c r="P20" s="1259"/>
      <c r="R20" s="760"/>
      <c r="S20" s="760"/>
      <c r="AD20" s="1244"/>
      <c r="AE20" s="1245"/>
      <c r="AF20" s="753"/>
      <c r="AG20" s="754"/>
      <c r="AH20" s="740">
        <f t="shared" si="5"/>
        <v>0</v>
      </c>
      <c r="AI20" s="740">
        <f t="shared" si="6"/>
        <v>0</v>
      </c>
      <c r="AJ20" s="740">
        <f t="shared" si="7"/>
        <v>0</v>
      </c>
      <c r="AK20" s="740"/>
      <c r="AL20" s="740"/>
      <c r="AM20" s="740"/>
      <c r="AN20" s="740"/>
      <c r="AO20" s="740"/>
      <c r="AQ20" s="741">
        <f t="shared" ca="1" si="8"/>
        <v>0</v>
      </c>
    </row>
    <row r="21" spans="1:43" ht="20.25" customHeight="1" x14ac:dyDescent="0.25">
      <c r="A21" s="1252"/>
      <c r="B21" s="1253"/>
      <c r="C21" s="758"/>
      <c r="D21" s="759"/>
      <c r="E21" s="730"/>
      <c r="F21" s="731"/>
      <c r="G21" s="731"/>
      <c r="H21" s="732"/>
      <c r="I21" s="733" t="str">
        <f t="shared" si="0"/>
        <v xml:space="preserve"> </v>
      </c>
      <c r="J21" s="734" t="str">
        <f t="shared" si="1"/>
        <v>,</v>
      </c>
      <c r="K21" s="735">
        <f t="shared" ca="1" si="2"/>
        <v>0</v>
      </c>
      <c r="L21" s="736" t="str">
        <f t="shared" si="3"/>
        <v>000100</v>
      </c>
      <c r="M21" s="748">
        <f t="shared" ca="1" si="10"/>
        <v>0</v>
      </c>
      <c r="N21" s="1258"/>
      <c r="O21" s="1258"/>
      <c r="P21" s="1259"/>
      <c r="R21" s="760"/>
      <c r="S21" s="760"/>
      <c r="AD21" s="1244"/>
      <c r="AE21" s="1245"/>
      <c r="AF21" s="753"/>
      <c r="AG21" s="754"/>
      <c r="AH21" s="740">
        <f t="shared" si="5"/>
        <v>0</v>
      </c>
      <c r="AI21" s="740">
        <f t="shared" si="6"/>
        <v>0</v>
      </c>
      <c r="AJ21" s="740">
        <f t="shared" si="7"/>
        <v>0</v>
      </c>
      <c r="AK21" s="740"/>
      <c r="AL21" s="740"/>
      <c r="AM21" s="740"/>
      <c r="AN21" s="740"/>
      <c r="AO21" s="740"/>
      <c r="AQ21">
        <f t="shared" ca="1" si="8"/>
        <v>0</v>
      </c>
    </row>
    <row r="22" spans="1:43" ht="20.25" customHeight="1" x14ac:dyDescent="0.25">
      <c r="A22" s="1256">
        <v>7</v>
      </c>
      <c r="B22" s="1249" t="s">
        <v>4667</v>
      </c>
      <c r="C22" s="761"/>
      <c r="D22" s="762"/>
      <c r="E22" s="730"/>
      <c r="F22" s="731"/>
      <c r="G22" s="731"/>
      <c r="H22" s="732"/>
      <c r="I22" s="733" t="str">
        <f t="shared" si="0"/>
        <v xml:space="preserve"> </v>
      </c>
      <c r="J22" s="734" t="str">
        <f t="shared" si="1"/>
        <v>,</v>
      </c>
      <c r="K22" s="735">
        <f t="shared" ca="1" si="2"/>
        <v>0</v>
      </c>
      <c r="L22" s="736" t="str">
        <f t="shared" si="3"/>
        <v>000100</v>
      </c>
      <c r="M22" s="748">
        <f t="shared" ref="M22:M29" ca="1" si="11">IF(K22=0,0,IF(K22&lt;9,"TOO YOUNG",IF(K22&lt;16,"OK","NOT ELIGIBLE")))</f>
        <v>0</v>
      </c>
      <c r="N22" s="1257" t="str">
        <f>'Gala Setup'!S4</f>
        <v>NASL.2023 V6</v>
      </c>
      <c r="O22" s="1257"/>
      <c r="P22" s="1257"/>
      <c r="Q22" s="705"/>
      <c r="AD22" s="1244">
        <f>A22</f>
        <v>7</v>
      </c>
      <c r="AE22" s="1245" t="str">
        <f>B22</f>
        <v>FEMALE 15/U 4 X 50M
FREESTYLE RELAY</v>
      </c>
      <c r="AF22" s="749"/>
      <c r="AG22" s="750"/>
      <c r="AH22" s="740">
        <f t="shared" si="5"/>
        <v>0</v>
      </c>
      <c r="AI22" s="740">
        <f t="shared" si="6"/>
        <v>0</v>
      </c>
      <c r="AJ22" s="740">
        <f t="shared" si="7"/>
        <v>0</v>
      </c>
      <c r="AK22" s="740"/>
      <c r="AL22" s="740"/>
      <c r="AM22" s="740"/>
      <c r="AN22" s="740"/>
      <c r="AO22" s="740"/>
      <c r="AQ22">
        <f t="shared" ca="1" si="8"/>
        <v>0</v>
      </c>
    </row>
    <row r="23" spans="1:43" ht="20.25" customHeight="1" x14ac:dyDescent="0.25">
      <c r="A23" s="1256"/>
      <c r="B23" s="1249"/>
      <c r="C23" s="763"/>
      <c r="D23" s="764"/>
      <c r="E23" s="730"/>
      <c r="F23" s="731"/>
      <c r="G23" s="731"/>
      <c r="H23" s="732"/>
      <c r="I23" s="733" t="str">
        <f t="shared" si="0"/>
        <v xml:space="preserve"> </v>
      </c>
      <c r="J23" s="734" t="str">
        <f t="shared" si="1"/>
        <v>,</v>
      </c>
      <c r="K23" s="735">
        <f t="shared" ca="1" si="2"/>
        <v>0</v>
      </c>
      <c r="L23" s="736" t="str">
        <f t="shared" si="3"/>
        <v>000100</v>
      </c>
      <c r="M23" s="748">
        <f t="shared" ca="1" si="11"/>
        <v>0</v>
      </c>
      <c r="N23" s="1257"/>
      <c r="O23" s="1257"/>
      <c r="P23" s="1257"/>
      <c r="Q23" s="705"/>
      <c r="AD23" s="1244"/>
      <c r="AE23" s="1245"/>
      <c r="AF23" s="753"/>
      <c r="AG23" s="754"/>
      <c r="AH23" s="740">
        <f t="shared" si="5"/>
        <v>0</v>
      </c>
      <c r="AI23" s="740">
        <f t="shared" si="6"/>
        <v>0</v>
      </c>
      <c r="AJ23" s="740">
        <f t="shared" si="7"/>
        <v>0</v>
      </c>
      <c r="AK23" s="740"/>
      <c r="AL23" s="740"/>
      <c r="AM23" s="740"/>
      <c r="AN23" s="740"/>
      <c r="AO23" s="740"/>
      <c r="AQ23">
        <f t="shared" ca="1" si="8"/>
        <v>0</v>
      </c>
    </row>
    <row r="24" spans="1:43" ht="20.25" customHeight="1" x14ac:dyDescent="0.25">
      <c r="A24" s="1256"/>
      <c r="B24" s="1249"/>
      <c r="C24" s="763"/>
      <c r="D24" s="764"/>
      <c r="E24" s="730"/>
      <c r="F24" s="731"/>
      <c r="G24" s="731"/>
      <c r="H24" s="732"/>
      <c r="I24" s="733" t="str">
        <f t="shared" si="0"/>
        <v xml:space="preserve"> </v>
      </c>
      <c r="J24" s="734" t="str">
        <f t="shared" si="1"/>
        <v>,</v>
      </c>
      <c r="K24" s="735">
        <f t="shared" ca="1" si="2"/>
        <v>0</v>
      </c>
      <c r="L24" s="736" t="str">
        <f t="shared" si="3"/>
        <v>000100</v>
      </c>
      <c r="M24" s="748">
        <f t="shared" ca="1" si="11"/>
        <v>0</v>
      </c>
      <c r="N24" s="765"/>
      <c r="Q24" s="765"/>
      <c r="AD24" s="1244"/>
      <c r="AE24" s="1245"/>
      <c r="AF24" s="753"/>
      <c r="AG24" s="754"/>
      <c r="AH24" s="740">
        <f t="shared" si="5"/>
        <v>0</v>
      </c>
      <c r="AI24" s="740">
        <f t="shared" si="6"/>
        <v>0</v>
      </c>
      <c r="AJ24" s="740">
        <f t="shared" si="7"/>
        <v>0</v>
      </c>
      <c r="AK24" s="740"/>
      <c r="AL24" s="740"/>
      <c r="AM24" s="740"/>
      <c r="AN24" s="740"/>
      <c r="AO24" s="740"/>
      <c r="AQ24">
        <f t="shared" ca="1" si="8"/>
        <v>0</v>
      </c>
    </row>
    <row r="25" spans="1:43" ht="20.25" customHeight="1" x14ac:dyDescent="0.25">
      <c r="A25" s="1256"/>
      <c r="B25" s="1249"/>
      <c r="C25" s="763"/>
      <c r="D25" s="764"/>
      <c r="E25" s="730"/>
      <c r="F25" s="731"/>
      <c r="G25" s="731"/>
      <c r="H25" s="732"/>
      <c r="I25" s="733" t="str">
        <f t="shared" si="0"/>
        <v xml:space="preserve"> </v>
      </c>
      <c r="J25" s="734" t="str">
        <f t="shared" si="1"/>
        <v>,</v>
      </c>
      <c r="K25" s="735">
        <f t="shared" ca="1" si="2"/>
        <v>0</v>
      </c>
      <c r="L25" s="736" t="str">
        <f t="shared" si="3"/>
        <v>000100</v>
      </c>
      <c r="M25" s="748">
        <f t="shared" ca="1" si="11"/>
        <v>0</v>
      </c>
      <c r="N25" s="765"/>
      <c r="Q25" s="765"/>
      <c r="AD25" s="1244"/>
      <c r="AE25" s="1245"/>
      <c r="AF25" s="753"/>
      <c r="AG25" s="754"/>
      <c r="AH25" s="740">
        <f t="shared" si="5"/>
        <v>0</v>
      </c>
      <c r="AI25" s="740">
        <f t="shared" si="6"/>
        <v>0</v>
      </c>
      <c r="AJ25" s="740">
        <f t="shared" si="7"/>
        <v>0</v>
      </c>
      <c r="AK25" s="740"/>
      <c r="AL25" s="740"/>
      <c r="AM25" s="740"/>
      <c r="AN25" s="740"/>
      <c r="AO25" s="740"/>
      <c r="AQ25">
        <f t="shared" ca="1" si="8"/>
        <v>0</v>
      </c>
    </row>
    <row r="26" spans="1:43" ht="20.25" customHeight="1" x14ac:dyDescent="0.25">
      <c r="A26" s="1256">
        <v>8</v>
      </c>
      <c r="B26" s="1249" t="s">
        <v>4676</v>
      </c>
      <c r="C26" s="761"/>
      <c r="D26" s="762"/>
      <c r="E26" s="730"/>
      <c r="F26" s="731"/>
      <c r="G26" s="731"/>
      <c r="H26" s="732"/>
      <c r="I26" s="733" t="str">
        <f t="shared" si="0"/>
        <v xml:space="preserve"> </v>
      </c>
      <c r="J26" s="734" t="str">
        <f t="shared" si="1"/>
        <v>,</v>
      </c>
      <c r="K26" s="735">
        <f t="shared" ca="1" si="2"/>
        <v>0</v>
      </c>
      <c r="L26" s="736" t="str">
        <f t="shared" si="3"/>
        <v>000100</v>
      </c>
      <c r="M26" s="766">
        <f t="shared" ca="1" si="11"/>
        <v>0</v>
      </c>
      <c r="N26" s="767"/>
      <c r="AD26" s="1244">
        <f>A26</f>
        <v>8</v>
      </c>
      <c r="AE26" s="1245" t="str">
        <f>B26</f>
        <v>OPEN/MALE 15/U 4 X 50M
FREESTYLE RELAY</v>
      </c>
      <c r="AF26" s="749"/>
      <c r="AG26" s="750"/>
      <c r="AH26" s="740">
        <f t="shared" si="5"/>
        <v>0</v>
      </c>
      <c r="AI26" s="740">
        <f t="shared" si="6"/>
        <v>0</v>
      </c>
      <c r="AJ26" s="740">
        <f t="shared" si="7"/>
        <v>0</v>
      </c>
      <c r="AK26" s="740"/>
      <c r="AL26" s="740"/>
      <c r="AM26" s="740"/>
      <c r="AN26" s="740"/>
      <c r="AO26" s="740"/>
      <c r="AQ26">
        <f t="shared" ca="1" si="8"/>
        <v>0</v>
      </c>
    </row>
    <row r="27" spans="1:43" ht="20.25" customHeight="1" x14ac:dyDescent="0.25">
      <c r="A27" s="1256"/>
      <c r="B27" s="1249"/>
      <c r="C27" s="763"/>
      <c r="D27" s="764"/>
      <c r="E27" s="730"/>
      <c r="F27" s="731"/>
      <c r="G27" s="731"/>
      <c r="H27" s="732"/>
      <c r="I27" s="733" t="str">
        <f t="shared" si="0"/>
        <v xml:space="preserve"> </v>
      </c>
      <c r="J27" s="734" t="str">
        <f t="shared" si="1"/>
        <v>,</v>
      </c>
      <c r="K27" s="735">
        <f t="shared" ca="1" si="2"/>
        <v>0</v>
      </c>
      <c r="L27" s="736" t="str">
        <f t="shared" si="3"/>
        <v>000100</v>
      </c>
      <c r="M27" s="766">
        <f t="shared" ca="1" si="11"/>
        <v>0</v>
      </c>
      <c r="N27" s="767"/>
      <c r="AD27" s="1244"/>
      <c r="AE27" s="1245"/>
      <c r="AF27" s="753"/>
      <c r="AG27" s="754"/>
      <c r="AH27" s="740">
        <f t="shared" si="5"/>
        <v>0</v>
      </c>
      <c r="AI27" s="740">
        <f t="shared" si="6"/>
        <v>0</v>
      </c>
      <c r="AJ27" s="740">
        <f t="shared" si="7"/>
        <v>0</v>
      </c>
      <c r="AK27" s="740"/>
      <c r="AL27" s="740"/>
      <c r="AM27" s="740"/>
      <c r="AN27" s="740"/>
      <c r="AO27" s="740"/>
      <c r="AQ27">
        <f t="shared" ca="1" si="8"/>
        <v>0</v>
      </c>
    </row>
    <row r="28" spans="1:43" ht="20.25" customHeight="1" x14ac:dyDescent="0.25">
      <c r="A28" s="1256"/>
      <c r="B28" s="1249"/>
      <c r="C28" s="763"/>
      <c r="D28" s="764"/>
      <c r="E28" s="730"/>
      <c r="F28" s="731"/>
      <c r="G28" s="731"/>
      <c r="H28" s="732"/>
      <c r="I28" s="733" t="str">
        <f t="shared" si="0"/>
        <v xml:space="preserve"> </v>
      </c>
      <c r="J28" s="734" t="str">
        <f t="shared" si="1"/>
        <v>,</v>
      </c>
      <c r="K28" s="735">
        <f t="shared" ca="1" si="2"/>
        <v>0</v>
      </c>
      <c r="L28" s="736" t="str">
        <f t="shared" si="3"/>
        <v>000100</v>
      </c>
      <c r="M28" s="766">
        <f t="shared" ca="1" si="11"/>
        <v>0</v>
      </c>
      <c r="N28" s="767"/>
      <c r="AD28" s="1244"/>
      <c r="AE28" s="1245"/>
      <c r="AF28" s="753"/>
      <c r="AG28" s="754"/>
      <c r="AH28" s="740">
        <f t="shared" si="5"/>
        <v>0</v>
      </c>
      <c r="AI28" s="740">
        <f t="shared" si="6"/>
        <v>0</v>
      </c>
      <c r="AJ28" s="740">
        <f t="shared" si="7"/>
        <v>0</v>
      </c>
      <c r="AK28" s="740"/>
      <c r="AL28" s="740"/>
      <c r="AM28" s="740"/>
      <c r="AN28" s="740"/>
      <c r="AO28" s="740"/>
      <c r="AQ28">
        <f t="shared" ca="1" si="8"/>
        <v>0</v>
      </c>
    </row>
    <row r="29" spans="1:43" ht="20.25" customHeight="1" x14ac:dyDescent="0.25">
      <c r="A29" s="1256"/>
      <c r="B29" s="1249"/>
      <c r="C29" s="763"/>
      <c r="D29" s="764"/>
      <c r="E29" s="730"/>
      <c r="F29" s="731"/>
      <c r="G29" s="731"/>
      <c r="H29" s="732"/>
      <c r="I29" s="733" t="str">
        <f t="shared" si="0"/>
        <v xml:space="preserve"> </v>
      </c>
      <c r="J29" s="734" t="str">
        <f t="shared" si="1"/>
        <v>,</v>
      </c>
      <c r="K29" s="735">
        <f t="shared" ca="1" si="2"/>
        <v>0</v>
      </c>
      <c r="L29" s="736" t="str">
        <f t="shared" si="3"/>
        <v>000100</v>
      </c>
      <c r="M29" s="766">
        <f t="shared" ca="1" si="11"/>
        <v>0</v>
      </c>
      <c r="N29" s="767"/>
      <c r="AD29" s="1244"/>
      <c r="AE29" s="1245"/>
      <c r="AF29" s="753"/>
      <c r="AG29" s="754"/>
      <c r="AH29" s="740">
        <f t="shared" si="5"/>
        <v>0</v>
      </c>
      <c r="AI29" s="740">
        <f t="shared" si="6"/>
        <v>0</v>
      </c>
      <c r="AJ29" s="740">
        <f t="shared" si="7"/>
        <v>0</v>
      </c>
      <c r="AK29" s="740"/>
      <c r="AL29" s="740"/>
      <c r="AM29" s="740"/>
      <c r="AN29" s="740"/>
      <c r="AO29" s="740"/>
      <c r="AQ29">
        <f t="shared" ca="1" si="8"/>
        <v>0</v>
      </c>
    </row>
    <row r="30" spans="1:43" ht="20.25" customHeight="1" x14ac:dyDescent="0.25">
      <c r="A30" s="1250">
        <v>9</v>
      </c>
      <c r="B30" s="1251" t="s">
        <v>4681</v>
      </c>
      <c r="C30" s="768"/>
      <c r="D30" s="769"/>
      <c r="E30" s="730"/>
      <c r="F30" s="731"/>
      <c r="G30" s="731"/>
      <c r="H30" s="732"/>
      <c r="I30" s="733" t="str">
        <f t="shared" si="0"/>
        <v xml:space="preserve"> </v>
      </c>
      <c r="J30" s="734" t="str">
        <f t="shared" si="1"/>
        <v>,</v>
      </c>
      <c r="K30" s="735">
        <f t="shared" ca="1" si="2"/>
        <v>0</v>
      </c>
      <c r="L30" s="736" t="str">
        <f t="shared" si="3"/>
        <v>000100</v>
      </c>
      <c r="M30" s="770">
        <f t="shared" ref="M30:M37" ca="1" si="12">IF(K30=0,0,IF(K30&lt;9,"TOO YOUNG",IF(K30&lt;60,"OK","BIT OLD MAYBE")))</f>
        <v>0</v>
      </c>
      <c r="N30" s="767"/>
      <c r="AD30" s="1244">
        <f>A30</f>
        <v>9</v>
      </c>
      <c r="AE30" s="1245" t="str">
        <f>B30</f>
        <v>FEMALE 16+ 4 X 50M
MEDLEY RELAY</v>
      </c>
      <c r="AF30" s="749"/>
      <c r="AG30" s="750"/>
      <c r="AH30" s="740">
        <f t="shared" si="5"/>
        <v>0</v>
      </c>
      <c r="AI30" s="740">
        <f t="shared" si="6"/>
        <v>0</v>
      </c>
      <c r="AJ30" s="740">
        <f t="shared" si="7"/>
        <v>0</v>
      </c>
      <c r="AK30" s="740"/>
      <c r="AL30" s="740"/>
      <c r="AM30" s="740"/>
      <c r="AN30" s="740"/>
      <c r="AO30" s="740"/>
      <c r="AQ30">
        <f t="shared" ca="1" si="8"/>
        <v>0</v>
      </c>
    </row>
    <row r="31" spans="1:43" ht="20.25" customHeight="1" x14ac:dyDescent="0.25">
      <c r="A31" s="1250"/>
      <c r="B31" s="1251"/>
      <c r="C31" s="771"/>
      <c r="D31" s="772"/>
      <c r="E31" s="730"/>
      <c r="F31" s="731"/>
      <c r="G31" s="731"/>
      <c r="H31" s="732"/>
      <c r="I31" s="733" t="str">
        <f t="shared" si="0"/>
        <v xml:space="preserve"> </v>
      </c>
      <c r="J31" s="734" t="str">
        <f t="shared" si="1"/>
        <v>,</v>
      </c>
      <c r="K31" s="735">
        <f t="shared" ca="1" si="2"/>
        <v>0</v>
      </c>
      <c r="L31" s="736" t="str">
        <f t="shared" si="3"/>
        <v>000100</v>
      </c>
      <c r="M31" s="770">
        <f t="shared" ca="1" si="12"/>
        <v>0</v>
      </c>
      <c r="N31" s="767"/>
      <c r="AD31" s="1244"/>
      <c r="AE31" s="1245"/>
      <c r="AF31" s="753"/>
      <c r="AG31" s="754"/>
      <c r="AH31" s="740">
        <f t="shared" si="5"/>
        <v>0</v>
      </c>
      <c r="AI31" s="740">
        <f t="shared" si="6"/>
        <v>0</v>
      </c>
      <c r="AJ31" s="740">
        <f t="shared" si="7"/>
        <v>0</v>
      </c>
      <c r="AK31" s="740"/>
      <c r="AL31" s="740"/>
      <c r="AM31" s="740"/>
      <c r="AN31" s="740"/>
      <c r="AO31" s="740"/>
      <c r="AQ31">
        <f t="shared" ca="1" si="8"/>
        <v>0</v>
      </c>
    </row>
    <row r="32" spans="1:43" ht="20.25" customHeight="1" x14ac:dyDescent="0.25">
      <c r="A32" s="1250"/>
      <c r="B32" s="1251"/>
      <c r="C32" s="771"/>
      <c r="D32" s="772"/>
      <c r="E32" s="730"/>
      <c r="F32" s="731"/>
      <c r="G32" s="731"/>
      <c r="H32" s="732"/>
      <c r="I32" s="733" t="str">
        <f t="shared" si="0"/>
        <v xml:space="preserve"> </v>
      </c>
      <c r="J32" s="734" t="str">
        <f t="shared" si="1"/>
        <v>,</v>
      </c>
      <c r="K32" s="735">
        <f t="shared" ca="1" si="2"/>
        <v>0</v>
      </c>
      <c r="L32" s="736" t="str">
        <f t="shared" si="3"/>
        <v>000100</v>
      </c>
      <c r="M32" s="770">
        <f t="shared" ca="1" si="12"/>
        <v>0</v>
      </c>
      <c r="N32" s="767"/>
      <c r="AD32" s="1244"/>
      <c r="AE32" s="1245"/>
      <c r="AF32" s="753"/>
      <c r="AG32" s="754"/>
      <c r="AH32" s="740">
        <f t="shared" si="5"/>
        <v>0</v>
      </c>
      <c r="AI32" s="740">
        <f t="shared" si="6"/>
        <v>0</v>
      </c>
      <c r="AJ32" s="740">
        <f t="shared" si="7"/>
        <v>0</v>
      </c>
      <c r="AK32" s="740"/>
      <c r="AL32" s="740"/>
      <c r="AM32" s="740"/>
      <c r="AN32" s="740"/>
      <c r="AO32" s="740"/>
      <c r="AQ32">
        <f t="shared" ca="1" si="8"/>
        <v>0</v>
      </c>
    </row>
    <row r="33" spans="1:43" ht="20.25" customHeight="1" x14ac:dyDescent="0.25">
      <c r="A33" s="1250"/>
      <c r="B33" s="1251"/>
      <c r="C33" s="771"/>
      <c r="D33" s="772"/>
      <c r="E33" s="730"/>
      <c r="F33" s="731"/>
      <c r="G33" s="731"/>
      <c r="H33" s="732"/>
      <c r="I33" s="733" t="str">
        <f t="shared" si="0"/>
        <v xml:space="preserve"> </v>
      </c>
      <c r="J33" s="734" t="str">
        <f t="shared" si="1"/>
        <v>,</v>
      </c>
      <c r="K33" s="735">
        <f t="shared" ca="1" si="2"/>
        <v>0</v>
      </c>
      <c r="L33" s="736" t="str">
        <f t="shared" si="3"/>
        <v>000100</v>
      </c>
      <c r="M33" s="770">
        <f t="shared" ca="1" si="12"/>
        <v>0</v>
      </c>
      <c r="N33" s="767"/>
      <c r="AD33" s="1244"/>
      <c r="AE33" s="1245"/>
      <c r="AF33" s="753"/>
      <c r="AG33" s="754"/>
      <c r="AH33" s="740">
        <f t="shared" si="5"/>
        <v>0</v>
      </c>
      <c r="AI33" s="740">
        <f t="shared" si="6"/>
        <v>0</v>
      </c>
      <c r="AJ33" s="740">
        <f t="shared" si="7"/>
        <v>0</v>
      </c>
      <c r="AK33" s="740"/>
      <c r="AL33" s="740"/>
      <c r="AM33" s="740"/>
      <c r="AN33" s="740"/>
      <c r="AO33" s="740"/>
      <c r="AQ33">
        <f t="shared" ca="1" si="8"/>
        <v>0</v>
      </c>
    </row>
    <row r="34" spans="1:43" ht="20.25" customHeight="1" x14ac:dyDescent="0.25">
      <c r="A34" s="1250">
        <v>10</v>
      </c>
      <c r="B34" s="1251" t="s">
        <v>4687</v>
      </c>
      <c r="C34" s="768"/>
      <c r="D34" s="769"/>
      <c r="E34" s="730"/>
      <c r="F34" s="731"/>
      <c r="G34" s="731"/>
      <c r="H34" s="732"/>
      <c r="I34" s="733" t="str">
        <f t="shared" si="0"/>
        <v xml:space="preserve"> </v>
      </c>
      <c r="J34" s="734" t="str">
        <f t="shared" si="1"/>
        <v>,</v>
      </c>
      <c r="K34" s="735">
        <f t="shared" ca="1" si="2"/>
        <v>0</v>
      </c>
      <c r="L34" s="736" t="str">
        <f t="shared" si="3"/>
        <v>000100</v>
      </c>
      <c r="M34" s="770">
        <f t="shared" ca="1" si="12"/>
        <v>0</v>
      </c>
      <c r="N34" s="767"/>
      <c r="AD34" s="1244">
        <f>A34</f>
        <v>10</v>
      </c>
      <c r="AE34" s="1245" t="str">
        <f>B34</f>
        <v>OPEN/MALE 16+ 4 X 50M
MEDLEY RELAY</v>
      </c>
      <c r="AF34" s="749"/>
      <c r="AG34" s="750"/>
      <c r="AH34" s="740">
        <f t="shared" si="5"/>
        <v>0</v>
      </c>
      <c r="AI34" s="740">
        <f t="shared" si="6"/>
        <v>0</v>
      </c>
      <c r="AJ34" s="740">
        <f t="shared" si="7"/>
        <v>0</v>
      </c>
      <c r="AK34" s="740"/>
      <c r="AL34" s="740"/>
      <c r="AM34" s="740"/>
      <c r="AN34" s="740"/>
      <c r="AO34" s="740"/>
      <c r="AQ34">
        <f t="shared" ca="1" si="8"/>
        <v>0</v>
      </c>
    </row>
    <row r="35" spans="1:43" ht="20.25" customHeight="1" x14ac:dyDescent="0.25">
      <c r="A35" s="1250"/>
      <c r="B35" s="1251"/>
      <c r="C35" s="771"/>
      <c r="D35" s="772"/>
      <c r="E35" s="730"/>
      <c r="F35" s="731"/>
      <c r="G35" s="731"/>
      <c r="H35" s="732"/>
      <c r="I35" s="733" t="str">
        <f t="shared" si="0"/>
        <v xml:space="preserve"> </v>
      </c>
      <c r="J35" s="734" t="str">
        <f t="shared" si="1"/>
        <v>,</v>
      </c>
      <c r="K35" s="735">
        <f t="shared" ca="1" si="2"/>
        <v>0</v>
      </c>
      <c r="L35" s="736" t="str">
        <f t="shared" si="3"/>
        <v>000100</v>
      </c>
      <c r="M35" s="770">
        <f t="shared" ca="1" si="12"/>
        <v>0</v>
      </c>
      <c r="AD35" s="1244"/>
      <c r="AE35" s="1245"/>
      <c r="AF35" s="753"/>
      <c r="AG35" s="754"/>
      <c r="AH35" s="740">
        <f t="shared" si="5"/>
        <v>0</v>
      </c>
      <c r="AI35" s="740">
        <f t="shared" si="6"/>
        <v>0</v>
      </c>
      <c r="AJ35" s="740">
        <f t="shared" si="7"/>
        <v>0</v>
      </c>
      <c r="AK35" s="740"/>
      <c r="AL35" s="740"/>
      <c r="AM35" s="740"/>
      <c r="AN35" s="740"/>
      <c r="AO35" s="740"/>
      <c r="AQ35">
        <f t="shared" ca="1" si="8"/>
        <v>0</v>
      </c>
    </row>
    <row r="36" spans="1:43" ht="20.25" customHeight="1" x14ac:dyDescent="0.25">
      <c r="A36" s="1250"/>
      <c r="B36" s="1251"/>
      <c r="C36" s="771"/>
      <c r="D36" s="772"/>
      <c r="E36" s="730"/>
      <c r="F36" s="731"/>
      <c r="G36" s="731"/>
      <c r="H36" s="732"/>
      <c r="I36" s="733" t="str">
        <f t="shared" ref="I36:I67" si="13">CONCATENATE(F36," ",G36)</f>
        <v xml:space="preserve"> </v>
      </c>
      <c r="J36" s="734" t="str">
        <f t="shared" ref="J36:J67" si="14">CONCATENATE(G36,",",F36)</f>
        <v>,</v>
      </c>
      <c r="K36" s="735">
        <f t="shared" ref="K36:K67" ca="1" si="15">IF(K$2=0,0,IF(AQ36=0,0,IF(COUNTBLANK(AQ36)=1,"",YEAR(K$2)-YEAR(AQ36)-IF(DATE(YEAR(K$2),MONTH(AQ36),DAY(4638))&gt;K$2,1,0))))</f>
        <v>0</v>
      </c>
      <c r="L36" s="736" t="str">
        <f t="shared" ref="L36:L67" si="16">(TEXT(H36,"DDMMYY"))</f>
        <v>000100</v>
      </c>
      <c r="M36" s="770">
        <f t="shared" ca="1" si="12"/>
        <v>0</v>
      </c>
      <c r="AD36" s="1244"/>
      <c r="AE36" s="1245"/>
      <c r="AF36" s="753"/>
      <c r="AG36" s="754"/>
      <c r="AH36" s="740">
        <f t="shared" ref="AH36:AH67" si="17">E36</f>
        <v>0</v>
      </c>
      <c r="AI36" s="740">
        <f t="shared" ref="AI36:AI67" si="18">F36</f>
        <v>0</v>
      </c>
      <c r="AJ36" s="740">
        <f t="shared" ref="AJ36:AJ67" si="19">G36</f>
        <v>0</v>
      </c>
      <c r="AK36" s="740"/>
      <c r="AL36" s="740"/>
      <c r="AM36" s="740"/>
      <c r="AN36" s="740"/>
      <c r="AO36" s="740"/>
      <c r="AQ36">
        <f t="shared" ref="AQ36:AQ67" ca="1" si="20">INDIRECT(ADDRESS(ROW(),AQ$3))</f>
        <v>0</v>
      </c>
    </row>
    <row r="37" spans="1:43" ht="20.25" customHeight="1" x14ac:dyDescent="0.25">
      <c r="A37" s="1250"/>
      <c r="B37" s="1251"/>
      <c r="C37" s="771"/>
      <c r="D37" s="772"/>
      <c r="E37" s="730"/>
      <c r="F37" s="731"/>
      <c r="G37" s="731"/>
      <c r="H37" s="732"/>
      <c r="I37" s="733" t="str">
        <f t="shared" si="13"/>
        <v xml:space="preserve"> </v>
      </c>
      <c r="J37" s="734" t="str">
        <f t="shared" si="14"/>
        <v>,</v>
      </c>
      <c r="K37" s="735">
        <f t="shared" ca="1" si="15"/>
        <v>0</v>
      </c>
      <c r="L37" s="736" t="str">
        <f t="shared" si="16"/>
        <v>000100</v>
      </c>
      <c r="M37" s="770">
        <f t="shared" ca="1" si="12"/>
        <v>0</v>
      </c>
      <c r="AD37" s="1244"/>
      <c r="AE37" s="1245"/>
      <c r="AF37" s="753"/>
      <c r="AG37" s="754"/>
      <c r="AH37" s="740">
        <f t="shared" si="17"/>
        <v>0</v>
      </c>
      <c r="AI37" s="740">
        <f t="shared" si="18"/>
        <v>0</v>
      </c>
      <c r="AJ37" s="740">
        <f t="shared" si="19"/>
        <v>0</v>
      </c>
      <c r="AK37" s="740"/>
      <c r="AL37" s="740"/>
      <c r="AM37" s="740"/>
      <c r="AN37" s="740"/>
      <c r="AO37" s="740"/>
      <c r="AQ37">
        <f t="shared" ca="1" si="20"/>
        <v>0</v>
      </c>
    </row>
    <row r="38" spans="1:43" ht="20.25" customHeight="1" x14ac:dyDescent="0.25">
      <c r="A38" s="745">
        <v>11</v>
      </c>
      <c r="B38" s="773" t="s">
        <v>4339</v>
      </c>
      <c r="C38" s="774" t="s">
        <v>4635</v>
      </c>
      <c r="D38" s="775">
        <v>13</v>
      </c>
      <c r="E38" s="730"/>
      <c r="F38" s="731"/>
      <c r="G38" s="731"/>
      <c r="H38" s="732"/>
      <c r="I38" s="733" t="str">
        <f t="shared" si="13"/>
        <v xml:space="preserve"> </v>
      </c>
      <c r="J38" s="734" t="str">
        <f t="shared" si="14"/>
        <v>,</v>
      </c>
      <c r="K38" s="735">
        <f t="shared" ca="1" si="15"/>
        <v>0</v>
      </c>
      <c r="L38" s="736" t="str">
        <f t="shared" si="16"/>
        <v>000100</v>
      </c>
      <c r="M38" s="766">
        <f ca="1">IF(K38=0,0,IF(K38&lt;10,"TOO YOUNG",IF(K38&lt;12,"OK","NOT ELIGIBLE")))</f>
        <v>0</v>
      </c>
      <c r="AD38" s="722">
        <f t="shared" ref="AD38:AD70" si="21">A38</f>
        <v>11</v>
      </c>
      <c r="AE38" s="443" t="str">
        <f t="shared" ref="AE38:AE70" si="22">B38</f>
        <v>Female 10/11 50m Backstroke</v>
      </c>
      <c r="AF38" s="440" t="s">
        <v>4635</v>
      </c>
      <c r="AG38" s="739">
        <v>13</v>
      </c>
      <c r="AH38" s="740">
        <f t="shared" si="17"/>
        <v>0</v>
      </c>
      <c r="AI38" s="740">
        <f t="shared" si="18"/>
        <v>0</v>
      </c>
      <c r="AJ38" s="740">
        <f t="shared" si="19"/>
        <v>0</v>
      </c>
      <c r="AK38" s="740"/>
      <c r="AL38" s="740"/>
      <c r="AM38" s="740"/>
      <c r="AN38" s="740"/>
      <c r="AO38" s="740"/>
      <c r="AQ38">
        <f t="shared" ca="1" si="20"/>
        <v>0</v>
      </c>
    </row>
    <row r="39" spans="1:43" ht="20.25" customHeight="1" x14ac:dyDescent="0.25">
      <c r="A39" s="745">
        <v>12</v>
      </c>
      <c r="B39" s="773" t="s">
        <v>4340</v>
      </c>
      <c r="C39" s="774" t="s">
        <v>328</v>
      </c>
      <c r="D39" s="775">
        <v>13</v>
      </c>
      <c r="E39" s="730"/>
      <c r="F39" s="731"/>
      <c r="G39" s="731"/>
      <c r="H39" s="732"/>
      <c r="I39" s="733" t="str">
        <f t="shared" si="13"/>
        <v xml:space="preserve"> </v>
      </c>
      <c r="J39" s="734" t="str">
        <f t="shared" si="14"/>
        <v>,</v>
      </c>
      <c r="K39" s="735">
        <f t="shared" ca="1" si="15"/>
        <v>0</v>
      </c>
      <c r="L39" s="736" t="str">
        <f t="shared" si="16"/>
        <v>000100</v>
      </c>
      <c r="M39" s="766">
        <f ca="1">IF(K39=0,0,IF(K39&lt;10,"TOO YOUNG",IF(K39&lt;12,"OK","NOT ELIGIBLE")))</f>
        <v>0</v>
      </c>
      <c r="AD39" s="722">
        <f t="shared" si="21"/>
        <v>12</v>
      </c>
      <c r="AE39" s="443" t="str">
        <f t="shared" si="22"/>
        <v>Open/Male 10/11 50m Backstroke</v>
      </c>
      <c r="AF39" s="440" t="s">
        <v>328</v>
      </c>
      <c r="AG39" s="739">
        <v>13</v>
      </c>
      <c r="AH39" s="740">
        <f t="shared" si="17"/>
        <v>0</v>
      </c>
      <c r="AI39" s="740">
        <f t="shared" si="18"/>
        <v>0</v>
      </c>
      <c r="AJ39" s="740">
        <f t="shared" si="19"/>
        <v>0</v>
      </c>
      <c r="AK39" s="740"/>
      <c r="AL39" s="740"/>
      <c r="AM39" s="740"/>
      <c r="AN39" s="740"/>
      <c r="AO39" s="740"/>
      <c r="AQ39">
        <f t="shared" ca="1" si="20"/>
        <v>0</v>
      </c>
    </row>
    <row r="40" spans="1:43" ht="20.25" customHeight="1" x14ac:dyDescent="0.25">
      <c r="A40" s="755">
        <v>13</v>
      </c>
      <c r="B40" s="776" t="s">
        <v>4341</v>
      </c>
      <c r="C40" s="777" t="s">
        <v>4635</v>
      </c>
      <c r="D40" s="778">
        <v>8</v>
      </c>
      <c r="E40" s="730"/>
      <c r="F40" s="731"/>
      <c r="G40" s="731"/>
      <c r="H40" s="732"/>
      <c r="I40" s="733" t="str">
        <f t="shared" si="13"/>
        <v xml:space="preserve"> </v>
      </c>
      <c r="J40" s="734" t="str">
        <f t="shared" si="14"/>
        <v>,</v>
      </c>
      <c r="K40" s="735">
        <f t="shared" ca="1" si="15"/>
        <v>0</v>
      </c>
      <c r="L40" s="736" t="str">
        <f t="shared" si="16"/>
        <v>000100</v>
      </c>
      <c r="M40" s="766">
        <f ca="1">IF(K40=0,0,IF(K40&lt;9,"TOO YOUNG",IF(K40&lt;14,"OK","NOT ELIGIBLE")))</f>
        <v>0</v>
      </c>
      <c r="AD40" s="722">
        <f t="shared" si="21"/>
        <v>13</v>
      </c>
      <c r="AE40" s="443" t="str">
        <f t="shared" si="22"/>
        <v>Female 13/U 100m Breaststroke</v>
      </c>
      <c r="AF40" s="440" t="s">
        <v>4635</v>
      </c>
      <c r="AG40" s="739">
        <v>8</v>
      </c>
      <c r="AH40" s="740">
        <f t="shared" si="17"/>
        <v>0</v>
      </c>
      <c r="AI40" s="740">
        <f t="shared" si="18"/>
        <v>0</v>
      </c>
      <c r="AJ40" s="740">
        <f t="shared" si="19"/>
        <v>0</v>
      </c>
      <c r="AK40" s="740"/>
      <c r="AL40" s="740"/>
      <c r="AM40" s="740"/>
      <c r="AN40" s="740"/>
      <c r="AO40" s="740"/>
      <c r="AQ40">
        <f t="shared" ca="1" si="20"/>
        <v>0</v>
      </c>
    </row>
    <row r="41" spans="1:43" ht="20.25" customHeight="1" x14ac:dyDescent="0.25">
      <c r="A41" s="755">
        <v>14</v>
      </c>
      <c r="B41" s="776" t="s">
        <v>4342</v>
      </c>
      <c r="C41" s="777" t="s">
        <v>328</v>
      </c>
      <c r="D41" s="778">
        <v>8</v>
      </c>
      <c r="E41" s="730"/>
      <c r="F41" s="731"/>
      <c r="G41" s="731"/>
      <c r="H41" s="732"/>
      <c r="I41" s="733" t="str">
        <f t="shared" si="13"/>
        <v xml:space="preserve"> </v>
      </c>
      <c r="J41" s="734" t="str">
        <f t="shared" si="14"/>
        <v>,</v>
      </c>
      <c r="K41" s="735">
        <f t="shared" ca="1" si="15"/>
        <v>0</v>
      </c>
      <c r="L41" s="736" t="str">
        <f t="shared" si="16"/>
        <v>000100</v>
      </c>
      <c r="M41" s="766">
        <f ca="1">IF(K41=0,0,IF(K41&lt;9,"TOO YOUNG",IF(K41&lt;14,"OK","NOT ELIGIBLE")))</f>
        <v>0</v>
      </c>
      <c r="AD41" s="722">
        <f t="shared" si="21"/>
        <v>14</v>
      </c>
      <c r="AE41" s="443" t="str">
        <f t="shared" si="22"/>
        <v>Open/Male 13/U 100m Breaststroke</v>
      </c>
      <c r="AF41" s="440" t="s">
        <v>328</v>
      </c>
      <c r="AG41" s="739">
        <v>8</v>
      </c>
      <c r="AH41" s="740">
        <f t="shared" si="17"/>
        <v>0</v>
      </c>
      <c r="AI41" s="740">
        <f t="shared" si="18"/>
        <v>0</v>
      </c>
      <c r="AJ41" s="740">
        <f t="shared" si="19"/>
        <v>0</v>
      </c>
      <c r="AK41" s="740"/>
      <c r="AL41" s="740"/>
      <c r="AM41" s="740"/>
      <c r="AN41" s="740"/>
      <c r="AO41" s="740"/>
      <c r="AQ41">
        <f t="shared" ca="1" si="20"/>
        <v>0</v>
      </c>
    </row>
    <row r="42" spans="1:43" ht="20.25" customHeight="1" x14ac:dyDescent="0.25">
      <c r="A42" s="779">
        <v>15</v>
      </c>
      <c r="B42" s="780" t="s">
        <v>4343</v>
      </c>
      <c r="C42" s="781" t="s">
        <v>4635</v>
      </c>
      <c r="D42" s="782">
        <v>14</v>
      </c>
      <c r="E42" s="730"/>
      <c r="F42" s="731"/>
      <c r="G42" s="731"/>
      <c r="H42" s="732"/>
      <c r="I42" s="733" t="str">
        <f t="shared" si="13"/>
        <v xml:space="preserve"> </v>
      </c>
      <c r="J42" s="734" t="str">
        <f t="shared" si="14"/>
        <v>,</v>
      </c>
      <c r="K42" s="735">
        <f t="shared" ca="1" si="15"/>
        <v>0</v>
      </c>
      <c r="L42" s="736" t="str">
        <f t="shared" si="16"/>
        <v>000100</v>
      </c>
      <c r="M42" s="766">
        <f ca="1">IF(K42=0,0,IF(K42&lt;9,"TOO YOUNG",IF(K42&lt;16,"OK","NOT ELIGIBLE")))</f>
        <v>0</v>
      </c>
      <c r="AD42" s="722">
        <f t="shared" si="21"/>
        <v>15</v>
      </c>
      <c r="AE42" s="443" t="str">
        <f t="shared" si="22"/>
        <v>Female 15/U 100m Backstroke</v>
      </c>
      <c r="AF42" s="440" t="s">
        <v>4635</v>
      </c>
      <c r="AG42" s="739">
        <v>14</v>
      </c>
      <c r="AH42" s="740">
        <f t="shared" si="17"/>
        <v>0</v>
      </c>
      <c r="AI42" s="740">
        <f t="shared" si="18"/>
        <v>0</v>
      </c>
      <c r="AJ42" s="740">
        <f t="shared" si="19"/>
        <v>0</v>
      </c>
      <c r="AK42" s="740"/>
      <c r="AL42" s="740"/>
      <c r="AM42" s="740"/>
      <c r="AN42" s="740"/>
      <c r="AO42" s="740"/>
      <c r="AQ42">
        <f t="shared" ca="1" si="20"/>
        <v>0</v>
      </c>
    </row>
    <row r="43" spans="1:43" ht="20.25" customHeight="1" x14ac:dyDescent="0.25">
      <c r="A43" s="779">
        <v>16</v>
      </c>
      <c r="B43" s="780" t="s">
        <v>4694</v>
      </c>
      <c r="C43" s="781" t="s">
        <v>328</v>
      </c>
      <c r="D43" s="782">
        <v>14</v>
      </c>
      <c r="E43" s="730"/>
      <c r="F43" s="731"/>
      <c r="G43" s="731"/>
      <c r="H43" s="732"/>
      <c r="I43" s="733" t="str">
        <f t="shared" si="13"/>
        <v xml:space="preserve"> </v>
      </c>
      <c r="J43" s="734" t="str">
        <f t="shared" si="14"/>
        <v>,</v>
      </c>
      <c r="K43" s="735">
        <f t="shared" ca="1" si="15"/>
        <v>0</v>
      </c>
      <c r="L43" s="736" t="str">
        <f t="shared" si="16"/>
        <v>000100</v>
      </c>
      <c r="M43" s="766">
        <f ca="1">IF(K43=0,0,IF(K43&lt;9,"TOO YOUNG",IF(K43&lt;16,"OK","NOT ELIGIBLE")))</f>
        <v>0</v>
      </c>
      <c r="AD43" s="722">
        <f t="shared" si="21"/>
        <v>16</v>
      </c>
      <c r="AE43" s="443" t="str">
        <f t="shared" si="22"/>
        <v>Open/Male 15/U 100m Backstroke</v>
      </c>
      <c r="AF43" s="440" t="s">
        <v>328</v>
      </c>
      <c r="AG43" s="739">
        <v>14</v>
      </c>
      <c r="AH43" s="740">
        <f t="shared" si="17"/>
        <v>0</v>
      </c>
      <c r="AI43" s="740">
        <f t="shared" si="18"/>
        <v>0</v>
      </c>
      <c r="AJ43" s="740">
        <f t="shared" si="19"/>
        <v>0</v>
      </c>
      <c r="AK43" s="740"/>
      <c r="AL43" s="740"/>
      <c r="AM43" s="740"/>
      <c r="AN43" s="740"/>
      <c r="AO43" s="740"/>
      <c r="AQ43">
        <f t="shared" ca="1" si="20"/>
        <v>0</v>
      </c>
    </row>
    <row r="44" spans="1:43" ht="20.25" customHeight="1" x14ac:dyDescent="0.25">
      <c r="A44" s="727">
        <v>17</v>
      </c>
      <c r="B44" s="742" t="s">
        <v>4345</v>
      </c>
      <c r="C44" s="728" t="s">
        <v>4635</v>
      </c>
      <c r="D44" s="729">
        <v>11</v>
      </c>
      <c r="E44" s="730"/>
      <c r="F44" s="731"/>
      <c r="G44" s="731"/>
      <c r="H44" s="732"/>
      <c r="I44" s="733" t="str">
        <f t="shared" si="13"/>
        <v xml:space="preserve"> </v>
      </c>
      <c r="J44" s="734" t="str">
        <f t="shared" si="14"/>
        <v>,</v>
      </c>
      <c r="K44" s="735">
        <f t="shared" ca="1" si="15"/>
        <v>0</v>
      </c>
      <c r="L44" s="736" t="str">
        <f t="shared" si="16"/>
        <v>000100</v>
      </c>
      <c r="M44" s="770">
        <f ca="1">IF(K44=0,0,IF(K44&lt;9,"TOO YOUNG",IF(K44&lt;60,"OK","BIT OLD MAYBE")))</f>
        <v>0</v>
      </c>
      <c r="AD44" s="722">
        <f t="shared" si="21"/>
        <v>17</v>
      </c>
      <c r="AE44" s="443" t="str">
        <f t="shared" si="22"/>
        <v>Female 16+ 100m Butterfly</v>
      </c>
      <c r="AF44" s="440" t="s">
        <v>4635</v>
      </c>
      <c r="AG44" s="739">
        <v>11</v>
      </c>
      <c r="AH44" s="740">
        <f t="shared" si="17"/>
        <v>0</v>
      </c>
      <c r="AI44" s="740">
        <f t="shared" si="18"/>
        <v>0</v>
      </c>
      <c r="AJ44" s="740">
        <f t="shared" si="19"/>
        <v>0</v>
      </c>
      <c r="AK44" s="740"/>
      <c r="AL44" s="740"/>
      <c r="AM44" s="740"/>
      <c r="AN44" s="740"/>
      <c r="AO44" s="740"/>
      <c r="AQ44">
        <f t="shared" ca="1" si="20"/>
        <v>0</v>
      </c>
    </row>
    <row r="45" spans="1:43" ht="20.25" customHeight="1" x14ac:dyDescent="0.25">
      <c r="A45" s="727">
        <v>18</v>
      </c>
      <c r="B45" s="742" t="s">
        <v>4346</v>
      </c>
      <c r="C45" s="728" t="s">
        <v>328</v>
      </c>
      <c r="D45" s="729">
        <v>11</v>
      </c>
      <c r="E45" s="730"/>
      <c r="F45" s="731"/>
      <c r="G45" s="731"/>
      <c r="H45" s="732"/>
      <c r="I45" s="733" t="str">
        <f t="shared" si="13"/>
        <v xml:space="preserve"> </v>
      </c>
      <c r="J45" s="734" t="str">
        <f t="shared" si="14"/>
        <v>,</v>
      </c>
      <c r="K45" s="735">
        <f t="shared" ca="1" si="15"/>
        <v>0</v>
      </c>
      <c r="L45" s="736" t="str">
        <f t="shared" si="16"/>
        <v>000100</v>
      </c>
      <c r="M45" s="770">
        <f ca="1">IF(K45=0,0,IF(K45&lt;9,"TOO YOUNG",IF(K45&lt;60,"OK","BIT OLD MAYBE")))</f>
        <v>0</v>
      </c>
      <c r="AD45" s="722">
        <f t="shared" si="21"/>
        <v>18</v>
      </c>
      <c r="AE45" s="443" t="str">
        <f t="shared" si="22"/>
        <v>Open/Male 16+ 100m Butterfly</v>
      </c>
      <c r="AF45" s="440" t="s">
        <v>328</v>
      </c>
      <c r="AG45" s="739">
        <v>11</v>
      </c>
      <c r="AH45" s="740">
        <f t="shared" si="17"/>
        <v>0</v>
      </c>
      <c r="AI45" s="740">
        <f t="shared" si="18"/>
        <v>0</v>
      </c>
      <c r="AJ45" s="740">
        <f t="shared" si="19"/>
        <v>0</v>
      </c>
      <c r="AK45" s="740"/>
      <c r="AL45" s="740"/>
      <c r="AM45" s="740"/>
      <c r="AN45" s="740"/>
      <c r="AO45" s="740"/>
      <c r="AQ45">
        <f t="shared" ca="1" si="20"/>
        <v>0</v>
      </c>
    </row>
    <row r="46" spans="1:43" ht="20.25" customHeight="1" x14ac:dyDescent="0.25">
      <c r="A46" s="745">
        <v>19</v>
      </c>
      <c r="B46" s="773" t="s">
        <v>4347</v>
      </c>
      <c r="C46" s="774" t="s">
        <v>4635</v>
      </c>
      <c r="D46" s="775">
        <v>10</v>
      </c>
      <c r="E46" s="730"/>
      <c r="F46" s="731"/>
      <c r="G46" s="731"/>
      <c r="H46" s="732"/>
      <c r="I46" s="733" t="str">
        <f t="shared" si="13"/>
        <v xml:space="preserve"> </v>
      </c>
      <c r="J46" s="734" t="str">
        <f t="shared" si="14"/>
        <v>,</v>
      </c>
      <c r="K46" s="735">
        <f t="shared" ca="1" si="15"/>
        <v>0</v>
      </c>
      <c r="L46" s="736" t="str">
        <f t="shared" si="16"/>
        <v>000100</v>
      </c>
      <c r="M46" s="766">
        <f ca="1">IF(K46=0,0,IF(K46&lt;10,"TOO YOUNG",IF(K46&lt;12,"OK","NOT ELIGIBLE")))</f>
        <v>0</v>
      </c>
      <c r="AD46" s="722">
        <f t="shared" si="21"/>
        <v>19</v>
      </c>
      <c r="AE46" s="443" t="str">
        <f t="shared" si="22"/>
        <v>Female 10/11 50m Butterfly</v>
      </c>
      <c r="AF46" s="440" t="s">
        <v>4635</v>
      </c>
      <c r="AG46" s="739">
        <v>10</v>
      </c>
      <c r="AH46" s="740">
        <f t="shared" si="17"/>
        <v>0</v>
      </c>
      <c r="AI46" s="740">
        <f t="shared" si="18"/>
        <v>0</v>
      </c>
      <c r="AJ46" s="740">
        <f t="shared" si="19"/>
        <v>0</v>
      </c>
      <c r="AK46" s="740"/>
      <c r="AL46" s="740"/>
      <c r="AM46" s="740"/>
      <c r="AN46" s="740"/>
      <c r="AO46" s="740"/>
      <c r="AQ46">
        <f t="shared" ca="1" si="20"/>
        <v>0</v>
      </c>
    </row>
    <row r="47" spans="1:43" ht="20.25" customHeight="1" x14ac:dyDescent="0.25">
      <c r="A47" s="745">
        <v>20</v>
      </c>
      <c r="B47" s="773" t="s">
        <v>4348</v>
      </c>
      <c r="C47" s="774" t="s">
        <v>328</v>
      </c>
      <c r="D47" s="775">
        <v>10</v>
      </c>
      <c r="E47" s="730"/>
      <c r="F47" s="731"/>
      <c r="G47" s="731"/>
      <c r="H47" s="732"/>
      <c r="I47" s="733" t="str">
        <f t="shared" si="13"/>
        <v xml:space="preserve"> </v>
      </c>
      <c r="J47" s="734" t="str">
        <f t="shared" si="14"/>
        <v>,</v>
      </c>
      <c r="K47" s="735">
        <f t="shared" ca="1" si="15"/>
        <v>0</v>
      </c>
      <c r="L47" s="736" t="str">
        <f t="shared" si="16"/>
        <v>000100</v>
      </c>
      <c r="M47" s="766">
        <f ca="1">IF(K47=0,0,IF(K47&lt;10,"TOO YOUNG",IF(K47&lt;12,"OK","NOT ELIGIBLE")))</f>
        <v>0</v>
      </c>
      <c r="AD47" s="722">
        <f t="shared" si="21"/>
        <v>20</v>
      </c>
      <c r="AE47" s="443" t="str">
        <f t="shared" si="22"/>
        <v>Open/Male 10/11 50m Butterfly</v>
      </c>
      <c r="AF47" s="440" t="s">
        <v>328</v>
      </c>
      <c r="AG47" s="739">
        <v>10</v>
      </c>
      <c r="AH47" s="740">
        <f t="shared" si="17"/>
        <v>0</v>
      </c>
      <c r="AI47" s="740">
        <f t="shared" si="18"/>
        <v>0</v>
      </c>
      <c r="AJ47" s="740">
        <f t="shared" si="19"/>
        <v>0</v>
      </c>
      <c r="AK47" s="740"/>
      <c r="AL47" s="740"/>
      <c r="AM47" s="740"/>
      <c r="AN47" s="740"/>
      <c r="AO47" s="740"/>
      <c r="AQ47">
        <f t="shared" ca="1" si="20"/>
        <v>0</v>
      </c>
    </row>
    <row r="48" spans="1:43" ht="20.25" customHeight="1" x14ac:dyDescent="0.25">
      <c r="A48" s="755">
        <v>21</v>
      </c>
      <c r="B48" s="776" t="s">
        <v>4349</v>
      </c>
      <c r="C48" s="777" t="s">
        <v>4635</v>
      </c>
      <c r="D48" s="778">
        <v>14</v>
      </c>
      <c r="E48" s="730"/>
      <c r="F48" s="731"/>
      <c r="G48" s="731"/>
      <c r="H48" s="732"/>
      <c r="I48" s="733" t="str">
        <f t="shared" si="13"/>
        <v xml:space="preserve"> </v>
      </c>
      <c r="J48" s="734" t="str">
        <f t="shared" si="14"/>
        <v>,</v>
      </c>
      <c r="K48" s="735">
        <f t="shared" ca="1" si="15"/>
        <v>0</v>
      </c>
      <c r="L48" s="736" t="str">
        <f t="shared" si="16"/>
        <v>000100</v>
      </c>
      <c r="M48" s="766">
        <f ca="1">IF(K48=0,0,IF(K48&lt;9,"TOO YOUNG",IF(K48&lt;14,"OK","NOT ELIGIBLE")))</f>
        <v>0</v>
      </c>
      <c r="AD48" s="722">
        <f t="shared" si="21"/>
        <v>21</v>
      </c>
      <c r="AE48" s="443" t="str">
        <f t="shared" si="22"/>
        <v>Female 13/U 100m Backstroke</v>
      </c>
      <c r="AF48" s="440" t="s">
        <v>4635</v>
      </c>
      <c r="AG48" s="739">
        <v>14</v>
      </c>
      <c r="AH48" s="740">
        <f t="shared" si="17"/>
        <v>0</v>
      </c>
      <c r="AI48" s="740">
        <f t="shared" si="18"/>
        <v>0</v>
      </c>
      <c r="AJ48" s="740">
        <f t="shared" si="19"/>
        <v>0</v>
      </c>
      <c r="AK48" s="740"/>
      <c r="AL48" s="740"/>
      <c r="AM48" s="740"/>
      <c r="AN48" s="740"/>
      <c r="AO48" s="740"/>
      <c r="AQ48">
        <f t="shared" ca="1" si="20"/>
        <v>0</v>
      </c>
    </row>
    <row r="49" spans="1:43" ht="20.25" customHeight="1" x14ac:dyDescent="0.25">
      <c r="A49" s="755">
        <v>22</v>
      </c>
      <c r="B49" s="776" t="s">
        <v>4350</v>
      </c>
      <c r="C49" s="777" t="s">
        <v>328</v>
      </c>
      <c r="D49" s="778">
        <v>14</v>
      </c>
      <c r="E49" s="730"/>
      <c r="F49" s="731"/>
      <c r="G49" s="731"/>
      <c r="H49" s="732"/>
      <c r="I49" s="733" t="str">
        <f t="shared" si="13"/>
        <v xml:space="preserve"> </v>
      </c>
      <c r="J49" s="734" t="str">
        <f t="shared" si="14"/>
        <v>,</v>
      </c>
      <c r="K49" s="735">
        <f t="shared" ca="1" si="15"/>
        <v>0</v>
      </c>
      <c r="L49" s="736" t="str">
        <f t="shared" si="16"/>
        <v>000100</v>
      </c>
      <c r="M49" s="766">
        <f ca="1">IF(K49=0,0,IF(K49&lt;9,"TOO YOUNG",IF(K49&lt;14,"OK","NOT ELIGIBLE")))</f>
        <v>0</v>
      </c>
      <c r="AD49" s="722">
        <f t="shared" si="21"/>
        <v>22</v>
      </c>
      <c r="AE49" s="443" t="str">
        <f t="shared" si="22"/>
        <v>Open/Male 13/U 100m Backstroke</v>
      </c>
      <c r="AF49" s="440" t="s">
        <v>328</v>
      </c>
      <c r="AG49" s="739">
        <v>14</v>
      </c>
      <c r="AH49" s="740">
        <f t="shared" si="17"/>
        <v>0</v>
      </c>
      <c r="AI49" s="740">
        <f t="shared" si="18"/>
        <v>0</v>
      </c>
      <c r="AJ49" s="740">
        <f t="shared" si="19"/>
        <v>0</v>
      </c>
      <c r="AK49" s="740"/>
      <c r="AL49" s="740"/>
      <c r="AM49" s="740"/>
      <c r="AN49" s="740"/>
      <c r="AO49" s="740"/>
      <c r="AQ49">
        <f t="shared" ca="1" si="20"/>
        <v>0</v>
      </c>
    </row>
    <row r="50" spans="1:43" ht="20.25" customHeight="1" x14ac:dyDescent="0.25">
      <c r="A50" s="779">
        <v>23</v>
      </c>
      <c r="B50" s="780" t="s">
        <v>4351</v>
      </c>
      <c r="C50" s="781" t="s">
        <v>4635</v>
      </c>
      <c r="D50" s="782">
        <v>11</v>
      </c>
      <c r="E50" s="730"/>
      <c r="F50" s="731"/>
      <c r="G50" s="731"/>
      <c r="H50" s="732"/>
      <c r="I50" s="733" t="str">
        <f t="shared" si="13"/>
        <v xml:space="preserve"> </v>
      </c>
      <c r="J50" s="734" t="str">
        <f t="shared" si="14"/>
        <v>,</v>
      </c>
      <c r="K50" s="735">
        <f t="shared" ca="1" si="15"/>
        <v>0</v>
      </c>
      <c r="L50" s="736" t="str">
        <f t="shared" si="16"/>
        <v>000100</v>
      </c>
      <c r="M50" s="766">
        <f ca="1">IF(K50=0,0,IF(K50&lt;9,"TOO YOUNG",IF(K50&lt;16,"OK","NOT ELIGIBLE")))</f>
        <v>0</v>
      </c>
      <c r="AD50" s="722">
        <f t="shared" si="21"/>
        <v>23</v>
      </c>
      <c r="AE50" s="443" t="str">
        <f t="shared" si="22"/>
        <v>Female 15/U 100m Butterfly</v>
      </c>
      <c r="AF50" s="440" t="s">
        <v>4635</v>
      </c>
      <c r="AG50" s="739">
        <v>11</v>
      </c>
      <c r="AH50" s="740">
        <f t="shared" si="17"/>
        <v>0</v>
      </c>
      <c r="AI50" s="740">
        <f t="shared" si="18"/>
        <v>0</v>
      </c>
      <c r="AJ50" s="740">
        <f t="shared" si="19"/>
        <v>0</v>
      </c>
      <c r="AK50" s="740"/>
      <c r="AL50" s="740"/>
      <c r="AM50" s="740"/>
      <c r="AN50" s="740"/>
      <c r="AO50" s="740"/>
      <c r="AQ50">
        <f t="shared" ca="1" si="20"/>
        <v>0</v>
      </c>
    </row>
    <row r="51" spans="1:43" ht="20.25" customHeight="1" x14ac:dyDescent="0.25">
      <c r="A51" s="779">
        <v>24</v>
      </c>
      <c r="B51" s="780" t="s">
        <v>4697</v>
      </c>
      <c r="C51" s="781" t="s">
        <v>328</v>
      </c>
      <c r="D51" s="782">
        <v>11</v>
      </c>
      <c r="E51" s="730"/>
      <c r="F51" s="731"/>
      <c r="G51" s="731"/>
      <c r="H51" s="732"/>
      <c r="I51" s="733" t="str">
        <f t="shared" si="13"/>
        <v xml:space="preserve"> </v>
      </c>
      <c r="J51" s="734" t="str">
        <f t="shared" si="14"/>
        <v>,</v>
      </c>
      <c r="K51" s="735">
        <f t="shared" ca="1" si="15"/>
        <v>0</v>
      </c>
      <c r="L51" s="736" t="str">
        <f t="shared" si="16"/>
        <v>000100</v>
      </c>
      <c r="M51" s="766">
        <f ca="1">IF(K51=0,0,IF(K51&lt;9,"TOO YOUNG",IF(K51&lt;16,"OK","NOT ELIGIBLE")))</f>
        <v>0</v>
      </c>
      <c r="AD51" s="722">
        <f t="shared" si="21"/>
        <v>24</v>
      </c>
      <c r="AE51" s="443" t="str">
        <f t="shared" si="22"/>
        <v>Open/Male 15/U 100m Butterfly</v>
      </c>
      <c r="AF51" s="440" t="s">
        <v>328</v>
      </c>
      <c r="AG51" s="739">
        <v>11</v>
      </c>
      <c r="AH51" s="740">
        <f t="shared" si="17"/>
        <v>0</v>
      </c>
      <c r="AI51" s="740">
        <f t="shared" si="18"/>
        <v>0</v>
      </c>
      <c r="AJ51" s="740">
        <f t="shared" si="19"/>
        <v>0</v>
      </c>
      <c r="AK51" s="740"/>
      <c r="AL51" s="740"/>
      <c r="AM51" s="740"/>
      <c r="AN51" s="740"/>
      <c r="AO51" s="740"/>
      <c r="AQ51">
        <f t="shared" ca="1" si="20"/>
        <v>0</v>
      </c>
    </row>
    <row r="52" spans="1:43" ht="20.25" customHeight="1" x14ac:dyDescent="0.25">
      <c r="A52" s="727">
        <v>25</v>
      </c>
      <c r="B52" s="742" t="s">
        <v>4353</v>
      </c>
      <c r="C52" s="728" t="s">
        <v>4635</v>
      </c>
      <c r="D52" s="729">
        <v>14</v>
      </c>
      <c r="E52" s="730"/>
      <c r="F52" s="731"/>
      <c r="G52" s="731"/>
      <c r="H52" s="732"/>
      <c r="I52" s="733" t="str">
        <f t="shared" si="13"/>
        <v xml:space="preserve"> </v>
      </c>
      <c r="J52" s="734" t="str">
        <f t="shared" si="14"/>
        <v>,</v>
      </c>
      <c r="K52" s="735">
        <f t="shared" ca="1" si="15"/>
        <v>0</v>
      </c>
      <c r="L52" s="736" t="str">
        <f t="shared" si="16"/>
        <v>000100</v>
      </c>
      <c r="M52" s="770">
        <f ca="1">IF(K52=0,0,IF(K52&lt;9,"TOO YOUNG",IF(K52&lt;60,"OK","BIT OLD MAYBE")))</f>
        <v>0</v>
      </c>
      <c r="AD52" s="722">
        <f t="shared" si="21"/>
        <v>25</v>
      </c>
      <c r="AE52" s="443" t="str">
        <f t="shared" si="22"/>
        <v>Female 16+ 100m Backstroke</v>
      </c>
      <c r="AF52" s="440" t="s">
        <v>4635</v>
      </c>
      <c r="AG52" s="739">
        <v>14</v>
      </c>
      <c r="AH52" s="740">
        <f t="shared" si="17"/>
        <v>0</v>
      </c>
      <c r="AI52" s="740">
        <f t="shared" si="18"/>
        <v>0</v>
      </c>
      <c r="AJ52" s="740">
        <f t="shared" si="19"/>
        <v>0</v>
      </c>
      <c r="AK52" s="740"/>
      <c r="AL52" s="740"/>
      <c r="AM52" s="740"/>
      <c r="AN52" s="740"/>
      <c r="AO52" s="740"/>
      <c r="AQ52">
        <f t="shared" ca="1" si="20"/>
        <v>0</v>
      </c>
    </row>
    <row r="53" spans="1:43" ht="20.25" customHeight="1" x14ac:dyDescent="0.25">
      <c r="A53" s="727">
        <v>26</v>
      </c>
      <c r="B53" s="742" t="s">
        <v>4698</v>
      </c>
      <c r="C53" s="728" t="s">
        <v>328</v>
      </c>
      <c r="D53" s="729">
        <v>14</v>
      </c>
      <c r="E53" s="730"/>
      <c r="F53" s="731"/>
      <c r="G53" s="731"/>
      <c r="H53" s="732"/>
      <c r="I53" s="733" t="str">
        <f t="shared" si="13"/>
        <v xml:space="preserve"> </v>
      </c>
      <c r="J53" s="734" t="str">
        <f t="shared" si="14"/>
        <v>,</v>
      </c>
      <c r="K53" s="735">
        <f t="shared" ca="1" si="15"/>
        <v>0</v>
      </c>
      <c r="L53" s="736" t="str">
        <f t="shared" si="16"/>
        <v>000100</v>
      </c>
      <c r="M53" s="770">
        <f ca="1">IF(K53=0,0,IF(K53&lt;9,"TOO YOUNG",IF(K53&lt;60,"OK","BIT OLD MAYBE")))</f>
        <v>0</v>
      </c>
      <c r="AD53" s="722">
        <f t="shared" si="21"/>
        <v>26</v>
      </c>
      <c r="AE53" s="443" t="str">
        <f t="shared" si="22"/>
        <v>Open/Male 16+100m Backstroke</v>
      </c>
      <c r="AF53" s="440" t="s">
        <v>328</v>
      </c>
      <c r="AG53" s="739">
        <v>14</v>
      </c>
      <c r="AH53" s="740">
        <f t="shared" si="17"/>
        <v>0</v>
      </c>
      <c r="AI53" s="740">
        <f t="shared" si="18"/>
        <v>0</v>
      </c>
      <c r="AJ53" s="740">
        <f t="shared" si="19"/>
        <v>0</v>
      </c>
      <c r="AK53" s="740"/>
      <c r="AL53" s="740"/>
      <c r="AM53" s="740"/>
      <c r="AN53" s="740"/>
      <c r="AO53" s="740"/>
      <c r="AQ53">
        <f t="shared" ca="1" si="20"/>
        <v>0</v>
      </c>
    </row>
    <row r="54" spans="1:43" ht="20.25" customHeight="1" x14ac:dyDescent="0.25">
      <c r="A54" s="745">
        <v>27</v>
      </c>
      <c r="B54" s="773" t="s">
        <v>4355</v>
      </c>
      <c r="C54" s="774" t="s">
        <v>4635</v>
      </c>
      <c r="D54" s="775">
        <v>7</v>
      </c>
      <c r="E54" s="730"/>
      <c r="F54" s="731"/>
      <c r="G54" s="731"/>
      <c r="H54" s="732"/>
      <c r="I54" s="733" t="str">
        <f t="shared" si="13"/>
        <v xml:space="preserve"> </v>
      </c>
      <c r="J54" s="734" t="str">
        <f t="shared" si="14"/>
        <v>,</v>
      </c>
      <c r="K54" s="735">
        <f t="shared" ca="1" si="15"/>
        <v>0</v>
      </c>
      <c r="L54" s="736" t="str">
        <f t="shared" si="16"/>
        <v>000100</v>
      </c>
      <c r="M54" s="766">
        <f ca="1">IF(K54=0,0,IF(K54&lt;10,"TOO YOUNG",IF(K54&lt;12,"OK","NOT ELIGIBLE")))</f>
        <v>0</v>
      </c>
      <c r="AD54" s="722">
        <f t="shared" si="21"/>
        <v>27</v>
      </c>
      <c r="AE54" s="443" t="str">
        <f t="shared" si="22"/>
        <v>Female 10/11 50m Breaststroke</v>
      </c>
      <c r="AF54" s="440" t="s">
        <v>4635</v>
      </c>
      <c r="AG54" s="739">
        <v>7</v>
      </c>
      <c r="AH54" s="740">
        <f t="shared" si="17"/>
        <v>0</v>
      </c>
      <c r="AI54" s="740">
        <f t="shared" si="18"/>
        <v>0</v>
      </c>
      <c r="AJ54" s="740">
        <f t="shared" si="19"/>
        <v>0</v>
      </c>
      <c r="AK54" s="740"/>
      <c r="AL54" s="740"/>
      <c r="AM54" s="740"/>
      <c r="AN54" s="740"/>
      <c r="AO54" s="740"/>
      <c r="AQ54">
        <f t="shared" ca="1" si="20"/>
        <v>0</v>
      </c>
    </row>
    <row r="55" spans="1:43" ht="20.25" customHeight="1" x14ac:dyDescent="0.25">
      <c r="A55" s="745">
        <v>28</v>
      </c>
      <c r="B55" s="773" t="s">
        <v>4356</v>
      </c>
      <c r="C55" s="774" t="s">
        <v>328</v>
      </c>
      <c r="D55" s="775">
        <v>7</v>
      </c>
      <c r="E55" s="730"/>
      <c r="F55" s="731"/>
      <c r="G55" s="731"/>
      <c r="H55" s="732"/>
      <c r="I55" s="733" t="str">
        <f t="shared" si="13"/>
        <v xml:space="preserve"> </v>
      </c>
      <c r="J55" s="734" t="str">
        <f t="shared" si="14"/>
        <v>,</v>
      </c>
      <c r="K55" s="735">
        <f t="shared" ca="1" si="15"/>
        <v>0</v>
      </c>
      <c r="L55" s="736" t="str">
        <f t="shared" si="16"/>
        <v>000100</v>
      </c>
      <c r="M55" s="766">
        <f ca="1">IF(K55=0,0,IF(K55&lt;10,"TOO YOUNG",IF(K55&lt;12,"OK","NOT ELIGIBLE")))</f>
        <v>0</v>
      </c>
      <c r="AD55" s="722">
        <f t="shared" si="21"/>
        <v>28</v>
      </c>
      <c r="AE55" s="443" t="str">
        <f t="shared" si="22"/>
        <v>Open/Male 10/11 50m Breaststroke</v>
      </c>
      <c r="AF55" s="440" t="s">
        <v>328</v>
      </c>
      <c r="AG55" s="739">
        <v>7</v>
      </c>
      <c r="AH55" s="740">
        <f t="shared" si="17"/>
        <v>0</v>
      </c>
      <c r="AI55" s="740">
        <f t="shared" si="18"/>
        <v>0</v>
      </c>
      <c r="AJ55" s="740">
        <f t="shared" si="19"/>
        <v>0</v>
      </c>
      <c r="AK55" s="740"/>
      <c r="AL55" s="740"/>
      <c r="AM55" s="740"/>
      <c r="AN55" s="740"/>
      <c r="AO55" s="740"/>
      <c r="AQ55">
        <f t="shared" ca="1" si="20"/>
        <v>0</v>
      </c>
    </row>
    <row r="56" spans="1:43" ht="20.25" customHeight="1" x14ac:dyDescent="0.25">
      <c r="A56" s="755">
        <v>29</v>
      </c>
      <c r="B56" s="776" t="s">
        <v>4357</v>
      </c>
      <c r="C56" s="777" t="s">
        <v>4635</v>
      </c>
      <c r="D56" s="778">
        <v>11</v>
      </c>
      <c r="E56" s="730"/>
      <c r="F56" s="731"/>
      <c r="G56" s="731"/>
      <c r="H56" s="732"/>
      <c r="I56" s="733" t="str">
        <f t="shared" si="13"/>
        <v xml:space="preserve"> </v>
      </c>
      <c r="J56" s="734" t="str">
        <f t="shared" si="14"/>
        <v>,</v>
      </c>
      <c r="K56" s="735">
        <f t="shared" ca="1" si="15"/>
        <v>0</v>
      </c>
      <c r="L56" s="736" t="str">
        <f t="shared" si="16"/>
        <v>000100</v>
      </c>
      <c r="M56" s="766">
        <f ca="1">IF(K56=0,0,IF(K56&lt;9,"TOO YOUNG",IF(K56&lt;14,"OK","NOT ELIGIBLE")))</f>
        <v>0</v>
      </c>
      <c r="AD56" s="722">
        <f t="shared" si="21"/>
        <v>29</v>
      </c>
      <c r="AE56" s="443" t="str">
        <f t="shared" si="22"/>
        <v>Female 13/U 100m Butterfly</v>
      </c>
      <c r="AF56" s="440" t="s">
        <v>4635</v>
      </c>
      <c r="AG56" s="739">
        <v>11</v>
      </c>
      <c r="AH56" s="740">
        <f t="shared" si="17"/>
        <v>0</v>
      </c>
      <c r="AI56" s="740">
        <f t="shared" si="18"/>
        <v>0</v>
      </c>
      <c r="AJ56" s="740">
        <f t="shared" si="19"/>
        <v>0</v>
      </c>
      <c r="AK56" s="740"/>
      <c r="AL56" s="740"/>
      <c r="AM56" s="740"/>
      <c r="AN56" s="740"/>
      <c r="AO56" s="740"/>
      <c r="AQ56">
        <f t="shared" ca="1" si="20"/>
        <v>0</v>
      </c>
    </row>
    <row r="57" spans="1:43" ht="20.25" customHeight="1" x14ac:dyDescent="0.25">
      <c r="A57" s="755">
        <v>30</v>
      </c>
      <c r="B57" s="776" t="s">
        <v>4358</v>
      </c>
      <c r="C57" s="777" t="s">
        <v>328</v>
      </c>
      <c r="D57" s="778">
        <v>11</v>
      </c>
      <c r="E57" s="730"/>
      <c r="F57" s="731"/>
      <c r="G57" s="731"/>
      <c r="H57" s="732"/>
      <c r="I57" s="733" t="str">
        <f t="shared" si="13"/>
        <v xml:space="preserve"> </v>
      </c>
      <c r="J57" s="734" t="str">
        <f t="shared" si="14"/>
        <v>,</v>
      </c>
      <c r="K57" s="735">
        <f t="shared" ca="1" si="15"/>
        <v>0</v>
      </c>
      <c r="L57" s="736" t="str">
        <f t="shared" si="16"/>
        <v>000100</v>
      </c>
      <c r="M57" s="766">
        <f ca="1">IF(K57=0,0,IF(K57&lt;9,"TOO YOUNG",IF(K57&lt;14,"OK","NOT ELIGIBLE")))</f>
        <v>0</v>
      </c>
      <c r="AD57" s="722">
        <f t="shared" si="21"/>
        <v>30</v>
      </c>
      <c r="AE57" s="443" t="str">
        <f t="shared" si="22"/>
        <v>Open/Male 13/U 100m Butterfly</v>
      </c>
      <c r="AF57" s="440" t="s">
        <v>328</v>
      </c>
      <c r="AG57" s="739">
        <v>11</v>
      </c>
      <c r="AH57" s="740">
        <f t="shared" si="17"/>
        <v>0</v>
      </c>
      <c r="AI57" s="740">
        <f t="shared" si="18"/>
        <v>0</v>
      </c>
      <c r="AJ57" s="740">
        <f t="shared" si="19"/>
        <v>0</v>
      </c>
      <c r="AK57" s="740"/>
      <c r="AL57" s="740"/>
      <c r="AM57" s="740"/>
      <c r="AN57" s="740"/>
      <c r="AO57" s="740"/>
      <c r="AQ57">
        <f t="shared" ca="1" si="20"/>
        <v>0</v>
      </c>
    </row>
    <row r="58" spans="1:43" ht="20.25" customHeight="1" x14ac:dyDescent="0.25">
      <c r="A58" s="779">
        <v>31</v>
      </c>
      <c r="B58" s="780" t="s">
        <v>4359</v>
      </c>
      <c r="C58" s="781" t="s">
        <v>4635</v>
      </c>
      <c r="D58" s="782">
        <v>2</v>
      </c>
      <c r="E58" s="730"/>
      <c r="F58" s="731"/>
      <c r="G58" s="731"/>
      <c r="H58" s="732"/>
      <c r="I58" s="733" t="str">
        <f t="shared" si="13"/>
        <v xml:space="preserve"> </v>
      </c>
      <c r="J58" s="734" t="str">
        <f t="shared" si="14"/>
        <v>,</v>
      </c>
      <c r="K58" s="735">
        <f t="shared" ca="1" si="15"/>
        <v>0</v>
      </c>
      <c r="L58" s="736" t="str">
        <f t="shared" si="16"/>
        <v>000100</v>
      </c>
      <c r="M58" s="766">
        <f ca="1">IF(K58=0,0,IF(K58&lt;9,"TOO YOUNG",IF(K58&lt;16,"OK","NOT ELIGIBLE")))</f>
        <v>0</v>
      </c>
      <c r="AD58" s="722">
        <f t="shared" si="21"/>
        <v>31</v>
      </c>
      <c r="AE58" s="443" t="str">
        <f t="shared" si="22"/>
        <v>Female 15/U 100m Freestyle</v>
      </c>
      <c r="AF58" s="440" t="s">
        <v>4635</v>
      </c>
      <c r="AG58" s="739">
        <v>2</v>
      </c>
      <c r="AH58" s="740">
        <f t="shared" si="17"/>
        <v>0</v>
      </c>
      <c r="AI58" s="740">
        <f t="shared" si="18"/>
        <v>0</v>
      </c>
      <c r="AJ58" s="740">
        <f t="shared" si="19"/>
        <v>0</v>
      </c>
      <c r="AK58" s="740"/>
      <c r="AL58" s="740"/>
      <c r="AM58" s="740"/>
      <c r="AN58" s="740"/>
      <c r="AO58" s="740"/>
      <c r="AQ58">
        <f t="shared" ca="1" si="20"/>
        <v>0</v>
      </c>
    </row>
    <row r="59" spans="1:43" ht="20.25" customHeight="1" x14ac:dyDescent="0.25">
      <c r="A59" s="779">
        <v>32</v>
      </c>
      <c r="B59" s="780" t="s">
        <v>4360</v>
      </c>
      <c r="C59" s="781" t="s">
        <v>328</v>
      </c>
      <c r="D59" s="782">
        <v>2</v>
      </c>
      <c r="E59" s="730"/>
      <c r="F59" s="731"/>
      <c r="G59" s="731"/>
      <c r="H59" s="732"/>
      <c r="I59" s="733" t="str">
        <f t="shared" si="13"/>
        <v xml:space="preserve"> </v>
      </c>
      <c r="J59" s="734" t="str">
        <f t="shared" si="14"/>
        <v>,</v>
      </c>
      <c r="K59" s="735">
        <f t="shared" ca="1" si="15"/>
        <v>0</v>
      </c>
      <c r="L59" s="736" t="str">
        <f t="shared" si="16"/>
        <v>000100</v>
      </c>
      <c r="M59" s="766">
        <f ca="1">IF(K59=0,0,IF(K59&lt;9,"TOO YOUNG",IF(K59&lt;16,"OK","NOT ELIGIBLE")))</f>
        <v>0</v>
      </c>
      <c r="AD59" s="722">
        <f t="shared" si="21"/>
        <v>32</v>
      </c>
      <c r="AE59" s="443" t="str">
        <f t="shared" si="22"/>
        <v>Open/Male 15/U 100m Freestyle</v>
      </c>
      <c r="AF59" s="440" t="s">
        <v>328</v>
      </c>
      <c r="AG59" s="739">
        <v>2</v>
      </c>
      <c r="AH59" s="740">
        <f t="shared" si="17"/>
        <v>0</v>
      </c>
      <c r="AI59" s="740">
        <f t="shared" si="18"/>
        <v>0</v>
      </c>
      <c r="AJ59" s="740">
        <f t="shared" si="19"/>
        <v>0</v>
      </c>
      <c r="AK59" s="740"/>
      <c r="AL59" s="740"/>
      <c r="AM59" s="740"/>
      <c r="AN59" s="740"/>
      <c r="AO59" s="740"/>
      <c r="AQ59">
        <f t="shared" ca="1" si="20"/>
        <v>0</v>
      </c>
    </row>
    <row r="60" spans="1:43" ht="20.25" customHeight="1" x14ac:dyDescent="0.25">
      <c r="A60" s="727">
        <v>33</v>
      </c>
      <c r="B60" s="742" t="s">
        <v>4361</v>
      </c>
      <c r="C60" s="742" t="s">
        <v>4635</v>
      </c>
      <c r="D60" s="783">
        <v>8</v>
      </c>
      <c r="E60" s="730"/>
      <c r="F60" s="731"/>
      <c r="G60" s="731"/>
      <c r="H60" s="732"/>
      <c r="I60" s="733" t="str">
        <f t="shared" si="13"/>
        <v xml:space="preserve"> </v>
      </c>
      <c r="J60" s="734" t="str">
        <f t="shared" si="14"/>
        <v>,</v>
      </c>
      <c r="K60" s="735">
        <f t="shared" ca="1" si="15"/>
        <v>0</v>
      </c>
      <c r="L60" s="736" t="str">
        <f t="shared" si="16"/>
        <v>000100</v>
      </c>
      <c r="M60" s="770">
        <f ca="1">IF(K60=0,0,IF(K60&lt;9,"TOO YOUNG",IF(K60&lt;60,"OK","BIT OLD MAYBE")))</f>
        <v>0</v>
      </c>
      <c r="AD60" s="722">
        <f t="shared" si="21"/>
        <v>33</v>
      </c>
      <c r="AE60" s="443" t="str">
        <f t="shared" si="22"/>
        <v>Female 16+ 100m Breaststroke</v>
      </c>
      <c r="AF60" s="443" t="s">
        <v>4635</v>
      </c>
      <c r="AG60" s="744">
        <v>9</v>
      </c>
      <c r="AH60" s="740">
        <f t="shared" si="17"/>
        <v>0</v>
      </c>
      <c r="AI60" s="740">
        <f t="shared" si="18"/>
        <v>0</v>
      </c>
      <c r="AJ60" s="740">
        <f t="shared" si="19"/>
        <v>0</v>
      </c>
      <c r="AK60" s="740"/>
      <c r="AL60" s="740"/>
      <c r="AM60" s="740"/>
      <c r="AN60" s="740"/>
      <c r="AO60" s="740"/>
      <c r="AQ60">
        <f t="shared" ca="1" si="20"/>
        <v>0</v>
      </c>
    </row>
    <row r="61" spans="1:43" ht="20.25" customHeight="1" x14ac:dyDescent="0.25">
      <c r="A61" s="727">
        <v>34</v>
      </c>
      <c r="B61" s="742" t="s">
        <v>4362</v>
      </c>
      <c r="C61" s="742" t="s">
        <v>328</v>
      </c>
      <c r="D61" s="783">
        <v>8</v>
      </c>
      <c r="E61" s="730"/>
      <c r="F61" s="731"/>
      <c r="G61" s="731"/>
      <c r="H61" s="732"/>
      <c r="I61" s="733" t="str">
        <f t="shared" si="13"/>
        <v xml:space="preserve"> </v>
      </c>
      <c r="J61" s="734" t="str">
        <f t="shared" si="14"/>
        <v>,</v>
      </c>
      <c r="K61" s="735">
        <f t="shared" ca="1" si="15"/>
        <v>0</v>
      </c>
      <c r="L61" s="736" t="str">
        <f t="shared" si="16"/>
        <v>000100</v>
      </c>
      <c r="M61" s="770">
        <f ca="1">IF(K61=0,0,IF(K61&lt;9,"TOO YOUNG",IF(K61&lt;60,"OK","BIT OLD MAYBE")))</f>
        <v>0</v>
      </c>
      <c r="AD61" s="722">
        <f t="shared" si="21"/>
        <v>34</v>
      </c>
      <c r="AE61" s="443" t="str">
        <f t="shared" si="22"/>
        <v>Open/Male 16+ 100m Breaststroke</v>
      </c>
      <c r="AF61" s="443" t="s">
        <v>328</v>
      </c>
      <c r="AG61" s="744">
        <v>9</v>
      </c>
      <c r="AH61" s="740">
        <f t="shared" si="17"/>
        <v>0</v>
      </c>
      <c r="AI61" s="740">
        <f t="shared" si="18"/>
        <v>0</v>
      </c>
      <c r="AJ61" s="740">
        <f t="shared" si="19"/>
        <v>0</v>
      </c>
      <c r="AK61" s="740"/>
      <c r="AL61" s="740"/>
      <c r="AM61" s="740"/>
      <c r="AN61" s="740"/>
      <c r="AO61" s="740"/>
      <c r="AQ61">
        <f t="shared" ca="1" si="20"/>
        <v>0</v>
      </c>
    </row>
    <row r="62" spans="1:43" ht="20.25" customHeight="1" x14ac:dyDescent="0.25">
      <c r="A62" s="745">
        <v>35</v>
      </c>
      <c r="B62" s="773" t="s">
        <v>4363</v>
      </c>
      <c r="C62" s="774" t="s">
        <v>4635</v>
      </c>
      <c r="D62" s="775">
        <v>1</v>
      </c>
      <c r="E62" s="730"/>
      <c r="F62" s="731"/>
      <c r="G62" s="731"/>
      <c r="H62" s="732"/>
      <c r="I62" s="733" t="str">
        <f t="shared" si="13"/>
        <v xml:space="preserve"> </v>
      </c>
      <c r="J62" s="734" t="str">
        <f t="shared" si="14"/>
        <v>,</v>
      </c>
      <c r="K62" s="735">
        <f t="shared" ca="1" si="15"/>
        <v>0</v>
      </c>
      <c r="L62" s="736" t="str">
        <f t="shared" si="16"/>
        <v>000100</v>
      </c>
      <c r="M62" s="766">
        <f ca="1">IF(K62=0,0,IF(K62&lt;10,"TOO YOUNG",IF(K62&lt;12,"OK","NOT ELIGIBLE")))</f>
        <v>0</v>
      </c>
      <c r="AD62" s="722">
        <f t="shared" si="21"/>
        <v>35</v>
      </c>
      <c r="AE62" s="443" t="str">
        <f t="shared" si="22"/>
        <v>Female 10/11 50m Freestyle</v>
      </c>
      <c r="AF62" s="440" t="s">
        <v>4635</v>
      </c>
      <c r="AG62" s="739">
        <v>1</v>
      </c>
      <c r="AH62" s="740">
        <f t="shared" si="17"/>
        <v>0</v>
      </c>
      <c r="AI62" s="740">
        <f t="shared" si="18"/>
        <v>0</v>
      </c>
      <c r="AJ62" s="740">
        <f t="shared" si="19"/>
        <v>0</v>
      </c>
      <c r="AK62" s="740"/>
      <c r="AL62" s="740"/>
      <c r="AM62" s="740"/>
      <c r="AN62" s="740"/>
      <c r="AO62" s="740"/>
      <c r="AQ62">
        <f t="shared" ca="1" si="20"/>
        <v>0</v>
      </c>
    </row>
    <row r="63" spans="1:43" ht="20.25" customHeight="1" x14ac:dyDescent="0.25">
      <c r="A63" s="745">
        <v>36</v>
      </c>
      <c r="B63" s="773" t="s">
        <v>4699</v>
      </c>
      <c r="C63" s="774" t="s">
        <v>328</v>
      </c>
      <c r="D63" s="775">
        <v>1</v>
      </c>
      <c r="E63" s="730"/>
      <c r="F63" s="731"/>
      <c r="G63" s="731"/>
      <c r="H63" s="732"/>
      <c r="I63" s="733" t="str">
        <f t="shared" si="13"/>
        <v xml:space="preserve"> </v>
      </c>
      <c r="J63" s="734" t="str">
        <f t="shared" si="14"/>
        <v>,</v>
      </c>
      <c r="K63" s="735">
        <f t="shared" ca="1" si="15"/>
        <v>0</v>
      </c>
      <c r="L63" s="736" t="str">
        <f t="shared" si="16"/>
        <v>000100</v>
      </c>
      <c r="M63" s="766">
        <f ca="1">IF(K63=0,0,IF(K63&lt;10,"TOO YOUNG",IF(K63&lt;12,"OK","NOT ELIGIBLE")))</f>
        <v>0</v>
      </c>
      <c r="AD63" s="722">
        <f t="shared" si="21"/>
        <v>36</v>
      </c>
      <c r="AE63" s="443" t="str">
        <f t="shared" si="22"/>
        <v>Open/Male 10/11 50m Freestyle</v>
      </c>
      <c r="AF63" s="440" t="s">
        <v>328</v>
      </c>
      <c r="AG63" s="739">
        <v>1</v>
      </c>
      <c r="AH63" s="740">
        <f t="shared" si="17"/>
        <v>0</v>
      </c>
      <c r="AI63" s="740">
        <f t="shared" si="18"/>
        <v>0</v>
      </c>
      <c r="AJ63" s="740">
        <f t="shared" si="19"/>
        <v>0</v>
      </c>
      <c r="AK63" s="740"/>
      <c r="AL63" s="740"/>
      <c r="AM63" s="740"/>
      <c r="AN63" s="740"/>
      <c r="AO63" s="740"/>
      <c r="AQ63">
        <f t="shared" ca="1" si="20"/>
        <v>0</v>
      </c>
    </row>
    <row r="64" spans="1:43" ht="20.25" customHeight="1" x14ac:dyDescent="0.25">
      <c r="A64" s="755">
        <v>37</v>
      </c>
      <c r="B64" s="776" t="s">
        <v>4365</v>
      </c>
      <c r="C64" s="777" t="s">
        <v>4635</v>
      </c>
      <c r="D64" s="778">
        <v>2</v>
      </c>
      <c r="E64" s="730"/>
      <c r="F64" s="731"/>
      <c r="G64" s="731"/>
      <c r="H64" s="732"/>
      <c r="I64" s="733" t="str">
        <f t="shared" si="13"/>
        <v xml:space="preserve"> </v>
      </c>
      <c r="J64" s="734" t="str">
        <f t="shared" si="14"/>
        <v>,</v>
      </c>
      <c r="K64" s="735">
        <f t="shared" ca="1" si="15"/>
        <v>0</v>
      </c>
      <c r="L64" s="736" t="str">
        <f t="shared" si="16"/>
        <v>000100</v>
      </c>
      <c r="M64" s="766">
        <f ca="1">IF(K64=0,0,IF(K64&lt;9,"TOO YOUNG",IF(K64&lt;14,"OK","NOT ELIGIBLE")))</f>
        <v>0</v>
      </c>
      <c r="AD64" s="722">
        <f t="shared" si="21"/>
        <v>37</v>
      </c>
      <c r="AE64" s="443" t="str">
        <f t="shared" si="22"/>
        <v>Female 13/U 100m Freestyle</v>
      </c>
      <c r="AF64" s="440" t="s">
        <v>4635</v>
      </c>
      <c r="AG64" s="739">
        <v>2</v>
      </c>
      <c r="AH64" s="740">
        <f t="shared" si="17"/>
        <v>0</v>
      </c>
      <c r="AI64" s="740">
        <f t="shared" si="18"/>
        <v>0</v>
      </c>
      <c r="AJ64" s="740">
        <f t="shared" si="19"/>
        <v>0</v>
      </c>
      <c r="AK64" s="740"/>
      <c r="AL64" s="740"/>
      <c r="AM64" s="740"/>
      <c r="AN64" s="740"/>
      <c r="AO64" s="740"/>
      <c r="AQ64">
        <f t="shared" ca="1" si="20"/>
        <v>0</v>
      </c>
    </row>
    <row r="65" spans="1:43" ht="20.25" customHeight="1" x14ac:dyDescent="0.25">
      <c r="A65" s="755">
        <v>38</v>
      </c>
      <c r="B65" s="776" t="s">
        <v>4366</v>
      </c>
      <c r="C65" s="777" t="s">
        <v>328</v>
      </c>
      <c r="D65" s="778">
        <v>2</v>
      </c>
      <c r="E65" s="730"/>
      <c r="F65" s="731"/>
      <c r="G65" s="731"/>
      <c r="H65" s="732"/>
      <c r="I65" s="733" t="str">
        <f t="shared" si="13"/>
        <v xml:space="preserve"> </v>
      </c>
      <c r="J65" s="734" t="str">
        <f t="shared" si="14"/>
        <v>,</v>
      </c>
      <c r="K65" s="735">
        <f t="shared" ca="1" si="15"/>
        <v>0</v>
      </c>
      <c r="L65" s="736" t="str">
        <f t="shared" si="16"/>
        <v>000100</v>
      </c>
      <c r="M65" s="766">
        <f ca="1">IF(K65=0,0,IF(K65&lt;9,"TOO YOUNG",IF(K65&lt;14,"OK","NOT ELIGIBLE")))</f>
        <v>0</v>
      </c>
      <c r="AD65" s="722">
        <f t="shared" si="21"/>
        <v>38</v>
      </c>
      <c r="AE65" s="443" t="str">
        <f t="shared" si="22"/>
        <v>Open/Male 13/U 100m Freestyle</v>
      </c>
      <c r="AF65" s="440" t="s">
        <v>328</v>
      </c>
      <c r="AG65" s="739">
        <v>2</v>
      </c>
      <c r="AH65" s="740">
        <f t="shared" si="17"/>
        <v>0</v>
      </c>
      <c r="AI65" s="740">
        <f t="shared" si="18"/>
        <v>0</v>
      </c>
      <c r="AJ65" s="740">
        <f t="shared" si="19"/>
        <v>0</v>
      </c>
      <c r="AK65" s="740"/>
      <c r="AL65" s="740"/>
      <c r="AM65" s="740"/>
      <c r="AN65" s="740"/>
      <c r="AO65" s="740"/>
      <c r="AQ65">
        <f t="shared" ca="1" si="20"/>
        <v>0</v>
      </c>
    </row>
    <row r="66" spans="1:43" ht="20.25" customHeight="1" x14ac:dyDescent="0.25">
      <c r="A66" s="779">
        <v>39</v>
      </c>
      <c r="B66" s="780" t="s">
        <v>4367</v>
      </c>
      <c r="C66" s="781" t="s">
        <v>4635</v>
      </c>
      <c r="D66" s="782">
        <v>8</v>
      </c>
      <c r="E66" s="730"/>
      <c r="F66" s="731"/>
      <c r="G66" s="731"/>
      <c r="H66" s="732"/>
      <c r="I66" s="733" t="str">
        <f t="shared" si="13"/>
        <v xml:space="preserve"> </v>
      </c>
      <c r="J66" s="734" t="str">
        <f t="shared" si="14"/>
        <v>,</v>
      </c>
      <c r="K66" s="735">
        <f t="shared" ca="1" si="15"/>
        <v>0</v>
      </c>
      <c r="L66" s="736" t="str">
        <f t="shared" si="16"/>
        <v>000100</v>
      </c>
      <c r="M66" s="766">
        <f ca="1">IF(K66=0,0,IF(K66&lt;9,"TOO YOUNG",IF(K66&lt;16,"OK","NOT ELIGIBLE")))</f>
        <v>0</v>
      </c>
      <c r="AD66" s="722">
        <f t="shared" si="21"/>
        <v>39</v>
      </c>
      <c r="AE66" s="443" t="str">
        <f t="shared" si="22"/>
        <v>Female 15/U 100m Breaststroke</v>
      </c>
      <c r="AF66" s="440" t="s">
        <v>4635</v>
      </c>
      <c r="AG66" s="739">
        <v>9</v>
      </c>
      <c r="AH66" s="740">
        <f t="shared" si="17"/>
        <v>0</v>
      </c>
      <c r="AI66" s="740">
        <f t="shared" si="18"/>
        <v>0</v>
      </c>
      <c r="AJ66" s="740">
        <f t="shared" si="19"/>
        <v>0</v>
      </c>
      <c r="AK66" s="740"/>
      <c r="AL66" s="740"/>
      <c r="AM66" s="740"/>
      <c r="AN66" s="740"/>
      <c r="AO66" s="740"/>
      <c r="AQ66">
        <f t="shared" ca="1" si="20"/>
        <v>0</v>
      </c>
    </row>
    <row r="67" spans="1:43" ht="20.25" customHeight="1" x14ac:dyDescent="0.25">
      <c r="A67" s="779">
        <v>40</v>
      </c>
      <c r="B67" s="780" t="s">
        <v>4368</v>
      </c>
      <c r="C67" s="781" t="s">
        <v>328</v>
      </c>
      <c r="D67" s="782">
        <v>8</v>
      </c>
      <c r="E67" s="730"/>
      <c r="F67" s="731"/>
      <c r="G67" s="731"/>
      <c r="H67" s="732"/>
      <c r="I67" s="733" t="str">
        <f t="shared" si="13"/>
        <v xml:space="preserve"> </v>
      </c>
      <c r="J67" s="734" t="str">
        <f t="shared" si="14"/>
        <v>,</v>
      </c>
      <c r="K67" s="735">
        <f t="shared" ca="1" si="15"/>
        <v>0</v>
      </c>
      <c r="L67" s="736" t="str">
        <f t="shared" si="16"/>
        <v>000100</v>
      </c>
      <c r="M67" s="766">
        <f ca="1">IF(K67=0,0,IF(K67&lt;9,"TOO YOUNG",IF(K67&lt;16,"OK","NOT ELIGIBLE")))</f>
        <v>0</v>
      </c>
      <c r="AD67" s="722">
        <f t="shared" si="21"/>
        <v>40</v>
      </c>
      <c r="AE67" s="443" t="str">
        <f t="shared" si="22"/>
        <v>Open/Male 15/U 100m Breaststroke</v>
      </c>
      <c r="AF67" s="440" t="s">
        <v>328</v>
      </c>
      <c r="AG67" s="739">
        <v>9</v>
      </c>
      <c r="AH67" s="740">
        <f t="shared" si="17"/>
        <v>0</v>
      </c>
      <c r="AI67" s="740">
        <f t="shared" si="18"/>
        <v>0</v>
      </c>
      <c r="AJ67" s="740">
        <f t="shared" si="19"/>
        <v>0</v>
      </c>
      <c r="AK67" s="740"/>
      <c r="AL67" s="740"/>
      <c r="AM67" s="740"/>
      <c r="AN67" s="740"/>
      <c r="AO67" s="740"/>
      <c r="AQ67">
        <f t="shared" ca="1" si="20"/>
        <v>0</v>
      </c>
    </row>
    <row r="68" spans="1:43" ht="20.25" customHeight="1" x14ac:dyDescent="0.25">
      <c r="A68" s="727">
        <v>41</v>
      </c>
      <c r="B68" s="742" t="s">
        <v>4369</v>
      </c>
      <c r="C68" s="728" t="s">
        <v>4635</v>
      </c>
      <c r="D68" s="729">
        <v>2</v>
      </c>
      <c r="E68" s="730"/>
      <c r="F68" s="731"/>
      <c r="G68" s="731"/>
      <c r="H68" s="732"/>
      <c r="I68" s="733" t="str">
        <f t="shared" ref="I68:I101" si="23">CONCATENATE(F68," ",G68)</f>
        <v xml:space="preserve"> </v>
      </c>
      <c r="J68" s="734" t="str">
        <f t="shared" ref="J68:J101" si="24">CONCATENATE(G68,",",F68)</f>
        <v>,</v>
      </c>
      <c r="K68" s="735">
        <f t="shared" ref="K68:K99" ca="1" si="25">IF(K$2=0,0,IF(AQ68=0,0,IF(COUNTBLANK(AQ68)=1,"",YEAR(K$2)-YEAR(AQ68)-IF(DATE(YEAR(K$2),MONTH(AQ68),DAY(4638))&gt;K$2,1,0))))</f>
        <v>0</v>
      </c>
      <c r="L68" s="736" t="str">
        <f t="shared" ref="L68:L99" si="26">(TEXT(H68,"DDMMYY"))</f>
        <v>000100</v>
      </c>
      <c r="M68" s="770">
        <f ca="1">IF(K68=0,0,IF(K68&lt;9,"TOO YOUNG",IF(K68&lt;60,"OK","BIT OLD MAYBE")))</f>
        <v>0</v>
      </c>
      <c r="AD68" s="722">
        <f t="shared" si="21"/>
        <v>41</v>
      </c>
      <c r="AE68" s="443" t="str">
        <f t="shared" si="22"/>
        <v>Female 16+ 100m Freestyle</v>
      </c>
      <c r="AF68" s="440" t="s">
        <v>4635</v>
      </c>
      <c r="AG68" s="739">
        <v>2</v>
      </c>
      <c r="AH68" s="740">
        <f t="shared" ref="AH68:AH99" si="27">E68</f>
        <v>0</v>
      </c>
      <c r="AI68" s="740">
        <f t="shared" ref="AI68:AI99" si="28">F68</f>
        <v>0</v>
      </c>
      <c r="AJ68" s="740">
        <f t="shared" ref="AJ68:AJ99" si="29">G68</f>
        <v>0</v>
      </c>
      <c r="AK68" s="740"/>
      <c r="AL68" s="740"/>
      <c r="AM68" s="740"/>
      <c r="AN68" s="740"/>
      <c r="AO68" s="740"/>
      <c r="AQ68">
        <f t="shared" ref="AQ68:AQ99" ca="1" si="30">INDIRECT(ADDRESS(ROW(),AQ$3))</f>
        <v>0</v>
      </c>
    </row>
    <row r="69" spans="1:43" ht="20.25" customHeight="1" x14ac:dyDescent="0.25">
      <c r="A69" s="727">
        <v>42</v>
      </c>
      <c r="B69" s="742" t="s">
        <v>4370</v>
      </c>
      <c r="C69" s="728" t="s">
        <v>328</v>
      </c>
      <c r="D69" s="729">
        <v>2</v>
      </c>
      <c r="E69" s="730"/>
      <c r="F69" s="731"/>
      <c r="G69" s="731"/>
      <c r="H69" s="732"/>
      <c r="I69" s="733" t="str">
        <f t="shared" si="23"/>
        <v xml:space="preserve"> </v>
      </c>
      <c r="J69" s="734" t="str">
        <f t="shared" si="24"/>
        <v>,</v>
      </c>
      <c r="K69" s="735">
        <f t="shared" ca="1" si="25"/>
        <v>0</v>
      </c>
      <c r="L69" s="736" t="str">
        <f t="shared" si="26"/>
        <v>000100</v>
      </c>
      <c r="M69" s="770">
        <f ca="1">IF(K69=0,0,IF(K69&lt;9,"TOO YOUNG",IF(K69&lt;60,"OK","BIT OLD MAYBE")))</f>
        <v>0</v>
      </c>
      <c r="AD69" s="722">
        <f t="shared" si="21"/>
        <v>42</v>
      </c>
      <c r="AE69" s="443" t="str">
        <f t="shared" si="22"/>
        <v>Open/Male 16+ 100m Freestyle</v>
      </c>
      <c r="AF69" s="440" t="s">
        <v>328</v>
      </c>
      <c r="AG69" s="739">
        <v>2</v>
      </c>
      <c r="AH69" s="740">
        <f t="shared" si="27"/>
        <v>0</v>
      </c>
      <c r="AI69" s="740">
        <f t="shared" si="28"/>
        <v>0</v>
      </c>
      <c r="AJ69" s="740">
        <f t="shared" si="29"/>
        <v>0</v>
      </c>
      <c r="AK69" s="740"/>
      <c r="AL69" s="740"/>
      <c r="AM69" s="740"/>
      <c r="AN69" s="740"/>
      <c r="AO69" s="740"/>
      <c r="AQ69">
        <f t="shared" ca="1" si="30"/>
        <v>0</v>
      </c>
    </row>
    <row r="70" spans="1:43" ht="20.25" customHeight="1" x14ac:dyDescent="0.25">
      <c r="A70" s="1254">
        <v>43</v>
      </c>
      <c r="B70" s="1255" t="s">
        <v>4700</v>
      </c>
      <c r="C70" s="746"/>
      <c r="D70" s="747"/>
      <c r="E70" s="730"/>
      <c r="F70" s="731"/>
      <c r="G70" s="731"/>
      <c r="H70" s="732"/>
      <c r="I70" s="733" t="str">
        <f t="shared" si="23"/>
        <v xml:space="preserve"> </v>
      </c>
      <c r="J70" s="734" t="str">
        <f t="shared" si="24"/>
        <v>,</v>
      </c>
      <c r="K70" s="735">
        <f t="shared" ca="1" si="25"/>
        <v>0</v>
      </c>
      <c r="L70" s="736" t="str">
        <f t="shared" si="26"/>
        <v>000100</v>
      </c>
      <c r="M70" s="766">
        <f t="shared" ref="M70:M77" ca="1" si="31">IF(K70=0,0,IF(K70&lt;9,"TOO YOUNG",IF(K70&lt;12,"OK","NOT ELIGIBLE")))</f>
        <v>0</v>
      </c>
      <c r="AD70" s="1244">
        <f t="shared" si="21"/>
        <v>43</v>
      </c>
      <c r="AE70" s="1245" t="str">
        <f t="shared" si="22"/>
        <v>FEMALE 9/11 4 X 50M
MEDLEY RELAY</v>
      </c>
      <c r="AF70" s="749"/>
      <c r="AG70" s="750"/>
      <c r="AH70" s="740">
        <f t="shared" si="27"/>
        <v>0</v>
      </c>
      <c r="AI70" s="740">
        <f t="shared" si="28"/>
        <v>0</v>
      </c>
      <c r="AJ70" s="740">
        <f t="shared" si="29"/>
        <v>0</v>
      </c>
      <c r="AK70" s="740"/>
      <c r="AL70" s="740"/>
      <c r="AM70" s="740"/>
      <c r="AN70" s="740"/>
      <c r="AO70" s="740"/>
      <c r="AQ70">
        <f t="shared" ca="1" si="30"/>
        <v>0</v>
      </c>
    </row>
    <row r="71" spans="1:43" ht="20.25" customHeight="1" x14ac:dyDescent="0.25">
      <c r="A71" s="1254"/>
      <c r="B71" s="1255"/>
      <c r="C71" s="751"/>
      <c r="D71" s="752"/>
      <c r="E71" s="730"/>
      <c r="F71" s="731"/>
      <c r="G71" s="731"/>
      <c r="H71" s="732"/>
      <c r="I71" s="733" t="str">
        <f t="shared" si="23"/>
        <v xml:space="preserve"> </v>
      </c>
      <c r="J71" s="734" t="str">
        <f t="shared" si="24"/>
        <v>,</v>
      </c>
      <c r="K71" s="735">
        <f t="shared" ca="1" si="25"/>
        <v>0</v>
      </c>
      <c r="L71" s="736" t="str">
        <f t="shared" si="26"/>
        <v>000100</v>
      </c>
      <c r="M71" s="766">
        <f t="shared" ca="1" si="31"/>
        <v>0</v>
      </c>
      <c r="AD71" s="1244"/>
      <c r="AE71" s="1245"/>
      <c r="AF71" s="753"/>
      <c r="AG71" s="754"/>
      <c r="AH71" s="740">
        <f t="shared" si="27"/>
        <v>0</v>
      </c>
      <c r="AI71" s="740">
        <f t="shared" si="28"/>
        <v>0</v>
      </c>
      <c r="AJ71" s="740">
        <f t="shared" si="29"/>
        <v>0</v>
      </c>
      <c r="AK71" s="740"/>
      <c r="AL71" s="740"/>
      <c r="AM71" s="740"/>
      <c r="AN71" s="740"/>
      <c r="AO71" s="740"/>
      <c r="AQ71">
        <f t="shared" ca="1" si="30"/>
        <v>0</v>
      </c>
    </row>
    <row r="72" spans="1:43" ht="20.25" customHeight="1" x14ac:dyDescent="0.25">
      <c r="A72" s="1254"/>
      <c r="B72" s="1255"/>
      <c r="C72" s="751"/>
      <c r="D72" s="752"/>
      <c r="E72" s="730"/>
      <c r="F72" s="731"/>
      <c r="G72" s="731"/>
      <c r="H72" s="732"/>
      <c r="I72" s="733" t="str">
        <f t="shared" si="23"/>
        <v xml:space="preserve"> </v>
      </c>
      <c r="J72" s="734" t="str">
        <f t="shared" si="24"/>
        <v>,</v>
      </c>
      <c r="K72" s="735">
        <f t="shared" ca="1" si="25"/>
        <v>0</v>
      </c>
      <c r="L72" s="736" t="str">
        <f t="shared" si="26"/>
        <v>000100</v>
      </c>
      <c r="M72" s="766">
        <f t="shared" ca="1" si="31"/>
        <v>0</v>
      </c>
      <c r="AD72" s="1244"/>
      <c r="AE72" s="1245"/>
      <c r="AF72" s="753"/>
      <c r="AG72" s="754"/>
      <c r="AH72" s="740">
        <f t="shared" si="27"/>
        <v>0</v>
      </c>
      <c r="AI72" s="740">
        <f t="shared" si="28"/>
        <v>0</v>
      </c>
      <c r="AJ72" s="740">
        <f t="shared" si="29"/>
        <v>0</v>
      </c>
      <c r="AK72" s="740"/>
      <c r="AL72" s="740"/>
      <c r="AM72" s="740"/>
      <c r="AN72" s="740"/>
      <c r="AO72" s="740"/>
      <c r="AQ72">
        <f t="shared" ca="1" si="30"/>
        <v>0</v>
      </c>
    </row>
    <row r="73" spans="1:43" ht="20.25" customHeight="1" x14ac:dyDescent="0.25">
      <c r="A73" s="1254"/>
      <c r="B73" s="1255"/>
      <c r="C73" s="751"/>
      <c r="D73" s="752"/>
      <c r="E73" s="730"/>
      <c r="F73" s="731"/>
      <c r="G73" s="731"/>
      <c r="H73" s="732"/>
      <c r="I73" s="733" t="str">
        <f t="shared" si="23"/>
        <v xml:space="preserve"> </v>
      </c>
      <c r="J73" s="734" t="str">
        <f t="shared" si="24"/>
        <v>,</v>
      </c>
      <c r="K73" s="735">
        <f t="shared" ca="1" si="25"/>
        <v>0</v>
      </c>
      <c r="L73" s="736" t="str">
        <f t="shared" si="26"/>
        <v>000100</v>
      </c>
      <c r="M73" s="766">
        <f t="shared" ca="1" si="31"/>
        <v>0</v>
      </c>
      <c r="AD73" s="1244"/>
      <c r="AE73" s="1245"/>
      <c r="AF73" s="753"/>
      <c r="AG73" s="754"/>
      <c r="AH73" s="740">
        <f t="shared" si="27"/>
        <v>0</v>
      </c>
      <c r="AI73" s="740">
        <f t="shared" si="28"/>
        <v>0</v>
      </c>
      <c r="AJ73" s="740">
        <f t="shared" si="29"/>
        <v>0</v>
      </c>
      <c r="AK73" s="740"/>
      <c r="AL73" s="740"/>
      <c r="AM73" s="740"/>
      <c r="AN73" s="740"/>
      <c r="AO73" s="740"/>
      <c r="AQ73">
        <f t="shared" ca="1" si="30"/>
        <v>0</v>
      </c>
    </row>
    <row r="74" spans="1:43" ht="20.25" customHeight="1" x14ac:dyDescent="0.25">
      <c r="A74" s="1254">
        <v>44</v>
      </c>
      <c r="B74" s="1255" t="s">
        <v>4701</v>
      </c>
      <c r="C74" s="746"/>
      <c r="D74" s="747"/>
      <c r="E74" s="730"/>
      <c r="F74" s="731"/>
      <c r="G74" s="731"/>
      <c r="H74" s="732"/>
      <c r="I74" s="733" t="str">
        <f t="shared" si="23"/>
        <v xml:space="preserve"> </v>
      </c>
      <c r="J74" s="734" t="str">
        <f t="shared" si="24"/>
        <v>,</v>
      </c>
      <c r="K74" s="735">
        <f t="shared" ca="1" si="25"/>
        <v>0</v>
      </c>
      <c r="L74" s="736" t="str">
        <f t="shared" si="26"/>
        <v>000100</v>
      </c>
      <c r="M74" s="766">
        <f t="shared" ca="1" si="31"/>
        <v>0</v>
      </c>
      <c r="AD74" s="1244">
        <f>A74</f>
        <v>44</v>
      </c>
      <c r="AE74" s="1245" t="str">
        <f>B74</f>
        <v>OPEN/MALE 9/11 4 X 50M
MEDLEY RELAY</v>
      </c>
      <c r="AF74" s="749"/>
      <c r="AG74" s="750"/>
      <c r="AH74" s="740">
        <f t="shared" si="27"/>
        <v>0</v>
      </c>
      <c r="AI74" s="740">
        <f t="shared" si="28"/>
        <v>0</v>
      </c>
      <c r="AJ74" s="740">
        <f t="shared" si="29"/>
        <v>0</v>
      </c>
      <c r="AK74" s="740"/>
      <c r="AL74" s="740"/>
      <c r="AM74" s="740"/>
      <c r="AN74" s="740"/>
      <c r="AO74" s="740"/>
      <c r="AQ74">
        <f t="shared" ca="1" si="30"/>
        <v>0</v>
      </c>
    </row>
    <row r="75" spans="1:43" ht="20.25" customHeight="1" x14ac:dyDescent="0.25">
      <c r="A75" s="1254"/>
      <c r="B75" s="1255"/>
      <c r="C75" s="751"/>
      <c r="D75" s="752"/>
      <c r="E75" s="730"/>
      <c r="F75" s="731"/>
      <c r="G75" s="731"/>
      <c r="H75" s="732"/>
      <c r="I75" s="733" t="str">
        <f t="shared" si="23"/>
        <v xml:space="preserve"> </v>
      </c>
      <c r="J75" s="734" t="str">
        <f t="shared" si="24"/>
        <v>,</v>
      </c>
      <c r="K75" s="735">
        <f t="shared" ca="1" si="25"/>
        <v>0</v>
      </c>
      <c r="L75" s="736" t="str">
        <f t="shared" si="26"/>
        <v>000100</v>
      </c>
      <c r="M75" s="766">
        <f t="shared" ca="1" si="31"/>
        <v>0</v>
      </c>
      <c r="AD75" s="1244"/>
      <c r="AE75" s="1245"/>
      <c r="AF75" s="753"/>
      <c r="AG75" s="754"/>
      <c r="AH75" s="740">
        <f t="shared" si="27"/>
        <v>0</v>
      </c>
      <c r="AI75" s="740">
        <f t="shared" si="28"/>
        <v>0</v>
      </c>
      <c r="AJ75" s="740">
        <f t="shared" si="29"/>
        <v>0</v>
      </c>
      <c r="AK75" s="740"/>
      <c r="AL75" s="740"/>
      <c r="AM75" s="740"/>
      <c r="AN75" s="740"/>
      <c r="AO75" s="740"/>
      <c r="AQ75">
        <f t="shared" ca="1" si="30"/>
        <v>0</v>
      </c>
    </row>
    <row r="76" spans="1:43" ht="20.25" customHeight="1" x14ac:dyDescent="0.25">
      <c r="A76" s="1254"/>
      <c r="B76" s="1255"/>
      <c r="C76" s="751"/>
      <c r="D76" s="752"/>
      <c r="E76" s="730"/>
      <c r="F76" s="731"/>
      <c r="G76" s="731"/>
      <c r="H76" s="732"/>
      <c r="I76" s="733" t="str">
        <f t="shared" si="23"/>
        <v xml:space="preserve"> </v>
      </c>
      <c r="J76" s="734" t="str">
        <f t="shared" si="24"/>
        <v>,</v>
      </c>
      <c r="K76" s="735">
        <f t="shared" ca="1" si="25"/>
        <v>0</v>
      </c>
      <c r="L76" s="736" t="str">
        <f t="shared" si="26"/>
        <v>000100</v>
      </c>
      <c r="M76" s="766">
        <f t="shared" ca="1" si="31"/>
        <v>0</v>
      </c>
      <c r="AD76" s="1244"/>
      <c r="AE76" s="1245"/>
      <c r="AF76" s="753"/>
      <c r="AG76" s="754"/>
      <c r="AH76" s="740">
        <f t="shared" si="27"/>
        <v>0</v>
      </c>
      <c r="AI76" s="740">
        <f t="shared" si="28"/>
        <v>0</v>
      </c>
      <c r="AJ76" s="740">
        <f t="shared" si="29"/>
        <v>0</v>
      </c>
      <c r="AK76" s="740"/>
      <c r="AL76" s="740"/>
      <c r="AM76" s="740"/>
      <c r="AN76" s="740"/>
      <c r="AO76" s="740"/>
      <c r="AQ76">
        <f t="shared" ca="1" si="30"/>
        <v>0</v>
      </c>
    </row>
    <row r="77" spans="1:43" ht="20.25" customHeight="1" x14ac:dyDescent="0.25">
      <c r="A77" s="1254"/>
      <c r="B77" s="1255"/>
      <c r="C77" s="751"/>
      <c r="D77" s="752"/>
      <c r="E77" s="730"/>
      <c r="F77" s="731"/>
      <c r="G77" s="731"/>
      <c r="H77" s="732"/>
      <c r="I77" s="733" t="str">
        <f t="shared" si="23"/>
        <v xml:space="preserve"> </v>
      </c>
      <c r="J77" s="734" t="str">
        <f t="shared" si="24"/>
        <v>,</v>
      </c>
      <c r="K77" s="735">
        <f t="shared" ca="1" si="25"/>
        <v>0</v>
      </c>
      <c r="L77" s="736" t="str">
        <f t="shared" si="26"/>
        <v>000100</v>
      </c>
      <c r="M77" s="766">
        <f t="shared" ca="1" si="31"/>
        <v>0</v>
      </c>
      <c r="AD77" s="1244"/>
      <c r="AE77" s="1245"/>
      <c r="AF77" s="753"/>
      <c r="AG77" s="754"/>
      <c r="AH77" s="740">
        <f t="shared" si="27"/>
        <v>0</v>
      </c>
      <c r="AI77" s="740">
        <f t="shared" si="28"/>
        <v>0</v>
      </c>
      <c r="AJ77" s="740">
        <f t="shared" si="29"/>
        <v>0</v>
      </c>
      <c r="AK77" s="740"/>
      <c r="AL77" s="740"/>
      <c r="AM77" s="740"/>
      <c r="AN77" s="740"/>
      <c r="AO77" s="740"/>
      <c r="AQ77">
        <f t="shared" ca="1" si="30"/>
        <v>0</v>
      </c>
    </row>
    <row r="78" spans="1:43" ht="20.25" customHeight="1" x14ac:dyDescent="0.25">
      <c r="A78" s="1252">
        <v>45</v>
      </c>
      <c r="B78" s="1253" t="s">
        <v>4702</v>
      </c>
      <c r="C78" s="756"/>
      <c r="D78" s="757"/>
      <c r="E78" s="730"/>
      <c r="F78" s="731"/>
      <c r="G78" s="731"/>
      <c r="H78" s="732"/>
      <c r="I78" s="733" t="str">
        <f t="shared" si="23"/>
        <v xml:space="preserve"> </v>
      </c>
      <c r="J78" s="734" t="str">
        <f t="shared" si="24"/>
        <v>,</v>
      </c>
      <c r="K78" s="735">
        <f t="shared" ca="1" si="25"/>
        <v>0</v>
      </c>
      <c r="L78" s="736" t="str">
        <f t="shared" si="26"/>
        <v>000100</v>
      </c>
      <c r="M78" s="766">
        <f t="shared" ref="M78:M85" ca="1" si="32">IF(K78=0,0,IF(K78&lt;9,"TOO YOUNG",IF(K78&lt;14,"OK","NOT ELIGIBLE")))</f>
        <v>0</v>
      </c>
      <c r="AD78" s="1244">
        <f>A78</f>
        <v>45</v>
      </c>
      <c r="AE78" s="1245" t="str">
        <f>B78</f>
        <v>FEMALE 13/U 4 X 50M
FREESTYLE RELAY</v>
      </c>
      <c r="AF78" s="749"/>
      <c r="AG78" s="750"/>
      <c r="AH78" s="740">
        <f t="shared" si="27"/>
        <v>0</v>
      </c>
      <c r="AI78" s="740">
        <f t="shared" si="28"/>
        <v>0</v>
      </c>
      <c r="AJ78" s="740">
        <f t="shared" si="29"/>
        <v>0</v>
      </c>
      <c r="AK78" s="740"/>
      <c r="AL78" s="740"/>
      <c r="AM78" s="740"/>
      <c r="AN78" s="740"/>
      <c r="AO78" s="740"/>
      <c r="AQ78">
        <f t="shared" ca="1" si="30"/>
        <v>0</v>
      </c>
    </row>
    <row r="79" spans="1:43" ht="20.25" customHeight="1" x14ac:dyDescent="0.25">
      <c r="A79" s="1252"/>
      <c r="B79" s="1253"/>
      <c r="C79" s="758"/>
      <c r="D79" s="759"/>
      <c r="E79" s="730"/>
      <c r="F79" s="731"/>
      <c r="G79" s="731"/>
      <c r="H79" s="732"/>
      <c r="I79" s="733" t="str">
        <f t="shared" si="23"/>
        <v xml:space="preserve"> </v>
      </c>
      <c r="J79" s="734" t="str">
        <f t="shared" si="24"/>
        <v>,</v>
      </c>
      <c r="K79" s="735">
        <f t="shared" ca="1" si="25"/>
        <v>0</v>
      </c>
      <c r="L79" s="736" t="str">
        <f t="shared" si="26"/>
        <v>000100</v>
      </c>
      <c r="M79" s="766">
        <f t="shared" ca="1" si="32"/>
        <v>0</v>
      </c>
      <c r="AD79" s="1244"/>
      <c r="AE79" s="1245"/>
      <c r="AF79" s="753"/>
      <c r="AG79" s="754"/>
      <c r="AH79" s="740">
        <f t="shared" si="27"/>
        <v>0</v>
      </c>
      <c r="AI79" s="740">
        <f t="shared" si="28"/>
        <v>0</v>
      </c>
      <c r="AJ79" s="740">
        <f t="shared" si="29"/>
        <v>0</v>
      </c>
      <c r="AK79" s="740"/>
      <c r="AL79" s="740"/>
      <c r="AM79" s="740"/>
      <c r="AN79" s="740"/>
      <c r="AO79" s="740"/>
      <c r="AQ79">
        <f t="shared" ca="1" si="30"/>
        <v>0</v>
      </c>
    </row>
    <row r="80" spans="1:43" ht="20.25" customHeight="1" x14ac:dyDescent="0.25">
      <c r="A80" s="1252"/>
      <c r="B80" s="1253"/>
      <c r="C80" s="758"/>
      <c r="D80" s="759"/>
      <c r="E80" s="730"/>
      <c r="F80" s="731"/>
      <c r="G80" s="731"/>
      <c r="H80" s="732"/>
      <c r="I80" s="733" t="str">
        <f t="shared" si="23"/>
        <v xml:space="preserve"> </v>
      </c>
      <c r="J80" s="734" t="str">
        <f t="shared" si="24"/>
        <v>,</v>
      </c>
      <c r="K80" s="735">
        <f t="shared" ca="1" si="25"/>
        <v>0</v>
      </c>
      <c r="L80" s="736" t="str">
        <f t="shared" si="26"/>
        <v>000100</v>
      </c>
      <c r="M80" s="766">
        <f t="shared" ca="1" si="32"/>
        <v>0</v>
      </c>
      <c r="AD80" s="1244"/>
      <c r="AE80" s="1245"/>
      <c r="AF80" s="753"/>
      <c r="AG80" s="754"/>
      <c r="AH80" s="740">
        <f t="shared" si="27"/>
        <v>0</v>
      </c>
      <c r="AI80" s="740">
        <f t="shared" si="28"/>
        <v>0</v>
      </c>
      <c r="AJ80" s="740">
        <f t="shared" si="29"/>
        <v>0</v>
      </c>
      <c r="AK80" s="740"/>
      <c r="AL80" s="740"/>
      <c r="AM80" s="740"/>
      <c r="AN80" s="740"/>
      <c r="AO80" s="740"/>
      <c r="AQ80">
        <f t="shared" ca="1" si="30"/>
        <v>0</v>
      </c>
    </row>
    <row r="81" spans="1:43" ht="20.25" customHeight="1" x14ac:dyDescent="0.25">
      <c r="A81" s="1252"/>
      <c r="B81" s="1253"/>
      <c r="C81" s="758"/>
      <c r="D81" s="759"/>
      <c r="E81" s="730"/>
      <c r="F81" s="731"/>
      <c r="G81" s="731"/>
      <c r="H81" s="732"/>
      <c r="I81" s="733" t="str">
        <f t="shared" si="23"/>
        <v xml:space="preserve"> </v>
      </c>
      <c r="J81" s="734" t="str">
        <f t="shared" si="24"/>
        <v>,</v>
      </c>
      <c r="K81" s="735">
        <f t="shared" ca="1" si="25"/>
        <v>0</v>
      </c>
      <c r="L81" s="736" t="str">
        <f t="shared" si="26"/>
        <v>000100</v>
      </c>
      <c r="M81" s="766">
        <f t="shared" ca="1" si="32"/>
        <v>0</v>
      </c>
      <c r="AD81" s="1244"/>
      <c r="AE81" s="1245"/>
      <c r="AF81" s="753"/>
      <c r="AG81" s="754"/>
      <c r="AH81" s="740">
        <f t="shared" si="27"/>
        <v>0</v>
      </c>
      <c r="AI81" s="740">
        <f t="shared" si="28"/>
        <v>0</v>
      </c>
      <c r="AJ81" s="740">
        <f t="shared" si="29"/>
        <v>0</v>
      </c>
      <c r="AK81" s="740"/>
      <c r="AL81" s="740"/>
      <c r="AM81" s="740"/>
      <c r="AN81" s="740"/>
      <c r="AO81" s="740"/>
      <c r="AQ81">
        <f t="shared" ca="1" si="30"/>
        <v>0</v>
      </c>
    </row>
    <row r="82" spans="1:43" ht="20.25" customHeight="1" x14ac:dyDescent="0.25">
      <c r="A82" s="1252">
        <v>46</v>
      </c>
      <c r="B82" s="1253" t="s">
        <v>4703</v>
      </c>
      <c r="C82" s="756"/>
      <c r="D82" s="757"/>
      <c r="E82" s="730"/>
      <c r="F82" s="731"/>
      <c r="G82" s="731"/>
      <c r="H82" s="732"/>
      <c r="I82" s="733" t="str">
        <f t="shared" si="23"/>
        <v xml:space="preserve"> </v>
      </c>
      <c r="J82" s="734" t="str">
        <f t="shared" si="24"/>
        <v>,</v>
      </c>
      <c r="K82" s="735">
        <f t="shared" ca="1" si="25"/>
        <v>0</v>
      </c>
      <c r="L82" s="736" t="str">
        <f t="shared" si="26"/>
        <v>000100</v>
      </c>
      <c r="M82" s="766">
        <f t="shared" ca="1" si="32"/>
        <v>0</v>
      </c>
      <c r="AD82" s="1244">
        <f>A82</f>
        <v>46</v>
      </c>
      <c r="AE82" s="1245" t="str">
        <f>B82</f>
        <v>OPEN/MALE 13/U 4 X 50M
FREESTYLE RELAY</v>
      </c>
      <c r="AF82" s="749"/>
      <c r="AG82" s="750"/>
      <c r="AH82" s="740">
        <f t="shared" si="27"/>
        <v>0</v>
      </c>
      <c r="AI82" s="740">
        <f t="shared" si="28"/>
        <v>0</v>
      </c>
      <c r="AJ82" s="740">
        <f t="shared" si="29"/>
        <v>0</v>
      </c>
      <c r="AK82" s="740"/>
      <c r="AL82" s="740"/>
      <c r="AM82" s="740"/>
      <c r="AN82" s="740"/>
      <c r="AO82" s="740"/>
      <c r="AQ82">
        <f t="shared" ca="1" si="30"/>
        <v>0</v>
      </c>
    </row>
    <row r="83" spans="1:43" ht="20.25" customHeight="1" x14ac:dyDescent="0.25">
      <c r="A83" s="1252"/>
      <c r="B83" s="1253"/>
      <c r="C83" s="758"/>
      <c r="D83" s="759"/>
      <c r="E83" s="730"/>
      <c r="F83" s="731"/>
      <c r="G83" s="731"/>
      <c r="H83" s="732"/>
      <c r="I83" s="733" t="str">
        <f t="shared" si="23"/>
        <v xml:space="preserve"> </v>
      </c>
      <c r="J83" s="734" t="str">
        <f t="shared" si="24"/>
        <v>,</v>
      </c>
      <c r="K83" s="735">
        <f t="shared" ca="1" si="25"/>
        <v>0</v>
      </c>
      <c r="L83" s="736" t="str">
        <f t="shared" si="26"/>
        <v>000100</v>
      </c>
      <c r="M83" s="766">
        <f t="shared" ca="1" si="32"/>
        <v>0</v>
      </c>
      <c r="AD83" s="1244"/>
      <c r="AE83" s="1245"/>
      <c r="AF83" s="753"/>
      <c r="AG83" s="754"/>
      <c r="AH83" s="740">
        <f t="shared" si="27"/>
        <v>0</v>
      </c>
      <c r="AI83" s="740">
        <f t="shared" si="28"/>
        <v>0</v>
      </c>
      <c r="AJ83" s="740">
        <f t="shared" si="29"/>
        <v>0</v>
      </c>
      <c r="AK83" s="740"/>
      <c r="AL83" s="740"/>
      <c r="AM83" s="740"/>
      <c r="AN83" s="740"/>
      <c r="AO83" s="740"/>
      <c r="AQ83">
        <f t="shared" ca="1" si="30"/>
        <v>0</v>
      </c>
    </row>
    <row r="84" spans="1:43" ht="20.25" customHeight="1" x14ac:dyDescent="0.25">
      <c r="A84" s="1252"/>
      <c r="B84" s="1253"/>
      <c r="C84" s="758"/>
      <c r="D84" s="759"/>
      <c r="E84" s="730"/>
      <c r="F84" s="731"/>
      <c r="G84" s="731"/>
      <c r="H84" s="732"/>
      <c r="I84" s="733" t="str">
        <f t="shared" si="23"/>
        <v xml:space="preserve"> </v>
      </c>
      <c r="J84" s="734" t="str">
        <f t="shared" si="24"/>
        <v>,</v>
      </c>
      <c r="K84" s="735">
        <f t="shared" ca="1" si="25"/>
        <v>0</v>
      </c>
      <c r="L84" s="736" t="str">
        <f t="shared" si="26"/>
        <v>000100</v>
      </c>
      <c r="M84" s="766">
        <f t="shared" ca="1" si="32"/>
        <v>0</v>
      </c>
      <c r="AD84" s="1244"/>
      <c r="AE84" s="1245"/>
      <c r="AF84" s="753"/>
      <c r="AG84" s="754"/>
      <c r="AH84" s="740">
        <f t="shared" si="27"/>
        <v>0</v>
      </c>
      <c r="AI84" s="740">
        <f t="shared" si="28"/>
        <v>0</v>
      </c>
      <c r="AJ84" s="740">
        <f t="shared" si="29"/>
        <v>0</v>
      </c>
      <c r="AK84" s="740"/>
      <c r="AL84" s="740"/>
      <c r="AM84" s="740"/>
      <c r="AN84" s="740"/>
      <c r="AO84" s="740"/>
      <c r="AQ84">
        <f t="shared" ca="1" si="30"/>
        <v>0</v>
      </c>
    </row>
    <row r="85" spans="1:43" ht="20.25" customHeight="1" x14ac:dyDescent="0.25">
      <c r="A85" s="1252"/>
      <c r="B85" s="1253"/>
      <c r="C85" s="758"/>
      <c r="D85" s="759"/>
      <c r="E85" s="730"/>
      <c r="F85" s="731"/>
      <c r="G85" s="731"/>
      <c r="H85" s="732"/>
      <c r="I85" s="733" t="str">
        <f t="shared" si="23"/>
        <v xml:space="preserve"> </v>
      </c>
      <c r="J85" s="734" t="str">
        <f t="shared" si="24"/>
        <v>,</v>
      </c>
      <c r="K85" s="735">
        <f t="shared" ca="1" si="25"/>
        <v>0</v>
      </c>
      <c r="L85" s="736" t="str">
        <f t="shared" si="26"/>
        <v>000100</v>
      </c>
      <c r="M85" s="766">
        <f t="shared" ca="1" si="32"/>
        <v>0</v>
      </c>
      <c r="AD85" s="1244"/>
      <c r="AE85" s="1245"/>
      <c r="AF85" s="753"/>
      <c r="AG85" s="754"/>
      <c r="AH85" s="740">
        <f t="shared" si="27"/>
        <v>0</v>
      </c>
      <c r="AI85" s="740">
        <f t="shared" si="28"/>
        <v>0</v>
      </c>
      <c r="AJ85" s="740">
        <f t="shared" si="29"/>
        <v>0</v>
      </c>
      <c r="AK85" s="740"/>
      <c r="AL85" s="740"/>
      <c r="AM85" s="740"/>
      <c r="AN85" s="740"/>
      <c r="AO85" s="740"/>
      <c r="AQ85">
        <f t="shared" ca="1" si="30"/>
        <v>0</v>
      </c>
    </row>
    <row r="86" spans="1:43" ht="20.25" customHeight="1" x14ac:dyDescent="0.25">
      <c r="A86" s="1248">
        <v>47</v>
      </c>
      <c r="B86" s="1249" t="s">
        <v>4704</v>
      </c>
      <c r="C86" s="761"/>
      <c r="D86" s="762"/>
      <c r="E86" s="730"/>
      <c r="F86" s="731"/>
      <c r="G86" s="731"/>
      <c r="H86" s="732"/>
      <c r="I86" s="733" t="str">
        <f t="shared" si="23"/>
        <v xml:space="preserve"> </v>
      </c>
      <c r="J86" s="734" t="str">
        <f t="shared" si="24"/>
        <v>,</v>
      </c>
      <c r="K86" s="735">
        <f t="shared" ca="1" si="25"/>
        <v>0</v>
      </c>
      <c r="L86" s="736" t="str">
        <f t="shared" si="26"/>
        <v>000100</v>
      </c>
      <c r="M86" s="766">
        <f t="shared" ref="M86:M93" ca="1" si="33">IF(K86=0,0,IF(K86&lt;9,"TOO YOUNG",IF(K86&lt;16,"OK","NOT ELIGIBLE")))</f>
        <v>0</v>
      </c>
      <c r="AD86" s="1244">
        <f>A86</f>
        <v>47</v>
      </c>
      <c r="AE86" s="1245" t="str">
        <f>B86</f>
        <v>FEMALE 15/U 4 X 50M
MEDLEY RELAY</v>
      </c>
      <c r="AF86" s="749"/>
      <c r="AG86" s="750"/>
      <c r="AH86" s="740">
        <f t="shared" si="27"/>
        <v>0</v>
      </c>
      <c r="AI86" s="740">
        <f t="shared" si="28"/>
        <v>0</v>
      </c>
      <c r="AJ86" s="740">
        <f t="shared" si="29"/>
        <v>0</v>
      </c>
      <c r="AK86" s="740"/>
      <c r="AL86" s="740"/>
      <c r="AM86" s="740"/>
      <c r="AN86" s="740"/>
      <c r="AO86" s="740"/>
      <c r="AQ86">
        <f t="shared" ca="1" si="30"/>
        <v>0</v>
      </c>
    </row>
    <row r="87" spans="1:43" ht="20.25" customHeight="1" x14ac:dyDescent="0.25">
      <c r="A87" s="1248"/>
      <c r="B87" s="1249"/>
      <c r="C87" s="763"/>
      <c r="D87" s="764"/>
      <c r="E87" s="730"/>
      <c r="F87" s="731"/>
      <c r="G87" s="731"/>
      <c r="H87" s="732"/>
      <c r="I87" s="733" t="str">
        <f t="shared" si="23"/>
        <v xml:space="preserve"> </v>
      </c>
      <c r="J87" s="734" t="str">
        <f t="shared" si="24"/>
        <v>,</v>
      </c>
      <c r="K87" s="735">
        <f t="shared" ca="1" si="25"/>
        <v>0</v>
      </c>
      <c r="L87" s="736" t="str">
        <f t="shared" si="26"/>
        <v>000100</v>
      </c>
      <c r="M87" s="766">
        <f t="shared" ca="1" si="33"/>
        <v>0</v>
      </c>
      <c r="AD87" s="1244"/>
      <c r="AE87" s="1245"/>
      <c r="AF87" s="753"/>
      <c r="AG87" s="754"/>
      <c r="AH87" s="740">
        <f t="shared" si="27"/>
        <v>0</v>
      </c>
      <c r="AI87" s="740">
        <f t="shared" si="28"/>
        <v>0</v>
      </c>
      <c r="AJ87" s="740">
        <f t="shared" si="29"/>
        <v>0</v>
      </c>
      <c r="AK87" s="740"/>
      <c r="AL87" s="740"/>
      <c r="AM87" s="740"/>
      <c r="AN87" s="740"/>
      <c r="AO87" s="740"/>
      <c r="AQ87">
        <f t="shared" ca="1" si="30"/>
        <v>0</v>
      </c>
    </row>
    <row r="88" spans="1:43" ht="20.25" customHeight="1" x14ac:dyDescent="0.25">
      <c r="A88" s="1248"/>
      <c r="B88" s="1249"/>
      <c r="C88" s="763"/>
      <c r="D88" s="764"/>
      <c r="E88" s="730"/>
      <c r="F88" s="731"/>
      <c r="G88" s="731"/>
      <c r="H88" s="732"/>
      <c r="I88" s="733" t="str">
        <f t="shared" si="23"/>
        <v xml:space="preserve"> </v>
      </c>
      <c r="J88" s="734" t="str">
        <f t="shared" si="24"/>
        <v>,</v>
      </c>
      <c r="K88" s="735">
        <f t="shared" ca="1" si="25"/>
        <v>0</v>
      </c>
      <c r="L88" s="736" t="str">
        <f t="shared" si="26"/>
        <v>000100</v>
      </c>
      <c r="M88" s="766">
        <f t="shared" ca="1" si="33"/>
        <v>0</v>
      </c>
      <c r="AD88" s="1244"/>
      <c r="AE88" s="1245"/>
      <c r="AF88" s="753"/>
      <c r="AG88" s="754"/>
      <c r="AH88" s="740">
        <f t="shared" si="27"/>
        <v>0</v>
      </c>
      <c r="AI88" s="740">
        <f t="shared" si="28"/>
        <v>0</v>
      </c>
      <c r="AJ88" s="740">
        <f t="shared" si="29"/>
        <v>0</v>
      </c>
      <c r="AK88" s="740"/>
      <c r="AL88" s="740"/>
      <c r="AM88" s="740"/>
      <c r="AN88" s="740"/>
      <c r="AO88" s="740"/>
      <c r="AQ88">
        <f t="shared" ca="1" si="30"/>
        <v>0</v>
      </c>
    </row>
    <row r="89" spans="1:43" ht="20.25" customHeight="1" x14ac:dyDescent="0.25">
      <c r="A89" s="1248"/>
      <c r="B89" s="1249"/>
      <c r="C89" s="763"/>
      <c r="D89" s="764"/>
      <c r="E89" s="730"/>
      <c r="F89" s="731"/>
      <c r="G89" s="731"/>
      <c r="H89" s="732"/>
      <c r="I89" s="733" t="str">
        <f t="shared" si="23"/>
        <v xml:space="preserve"> </v>
      </c>
      <c r="J89" s="734" t="str">
        <f t="shared" si="24"/>
        <v>,</v>
      </c>
      <c r="K89" s="735">
        <f t="shared" ca="1" si="25"/>
        <v>0</v>
      </c>
      <c r="L89" s="736" t="str">
        <f t="shared" si="26"/>
        <v>000100</v>
      </c>
      <c r="M89" s="766">
        <f t="shared" ca="1" si="33"/>
        <v>0</v>
      </c>
      <c r="AD89" s="1244"/>
      <c r="AE89" s="1245"/>
      <c r="AF89" s="753"/>
      <c r="AG89" s="754"/>
      <c r="AH89" s="740">
        <f t="shared" si="27"/>
        <v>0</v>
      </c>
      <c r="AI89" s="740">
        <f t="shared" si="28"/>
        <v>0</v>
      </c>
      <c r="AJ89" s="740">
        <f t="shared" si="29"/>
        <v>0</v>
      </c>
      <c r="AK89" s="740"/>
      <c r="AL89" s="740"/>
      <c r="AM89" s="740"/>
      <c r="AN89" s="740"/>
      <c r="AO89" s="740"/>
      <c r="AQ89">
        <f t="shared" ca="1" si="30"/>
        <v>0</v>
      </c>
    </row>
    <row r="90" spans="1:43" ht="20.25" customHeight="1" x14ac:dyDescent="0.25">
      <c r="A90" s="1248">
        <v>48</v>
      </c>
      <c r="B90" s="1249" t="s">
        <v>4705</v>
      </c>
      <c r="C90" s="761"/>
      <c r="D90" s="762"/>
      <c r="E90" s="730"/>
      <c r="F90" s="731"/>
      <c r="G90" s="731"/>
      <c r="H90" s="732"/>
      <c r="I90" s="733" t="str">
        <f t="shared" si="23"/>
        <v xml:space="preserve"> </v>
      </c>
      <c r="J90" s="734" t="str">
        <f t="shared" si="24"/>
        <v>,</v>
      </c>
      <c r="K90" s="735">
        <f t="shared" ca="1" si="25"/>
        <v>0</v>
      </c>
      <c r="L90" s="736" t="str">
        <f t="shared" si="26"/>
        <v>000100</v>
      </c>
      <c r="M90" s="766">
        <f t="shared" ca="1" si="33"/>
        <v>0</v>
      </c>
      <c r="AD90" s="1244">
        <f>A90</f>
        <v>48</v>
      </c>
      <c r="AE90" s="1245" t="str">
        <f>B90</f>
        <v>OPEN/MALE 15/U 4 X 50M
MEDLEY RELAY</v>
      </c>
      <c r="AF90" s="749"/>
      <c r="AG90" s="750"/>
      <c r="AH90" s="740">
        <f t="shared" si="27"/>
        <v>0</v>
      </c>
      <c r="AI90" s="740">
        <f t="shared" si="28"/>
        <v>0</v>
      </c>
      <c r="AJ90" s="740">
        <f t="shared" si="29"/>
        <v>0</v>
      </c>
      <c r="AK90" s="740"/>
      <c r="AL90" s="740"/>
      <c r="AM90" s="740"/>
      <c r="AN90" s="740"/>
      <c r="AO90" s="740"/>
      <c r="AQ90">
        <f t="shared" ca="1" si="30"/>
        <v>0</v>
      </c>
    </row>
    <row r="91" spans="1:43" ht="20.25" customHeight="1" x14ac:dyDescent="0.25">
      <c r="A91" s="1248"/>
      <c r="B91" s="1249"/>
      <c r="C91" s="763"/>
      <c r="D91" s="764"/>
      <c r="E91" s="730"/>
      <c r="F91" s="731"/>
      <c r="G91" s="731"/>
      <c r="H91" s="732"/>
      <c r="I91" s="733" t="str">
        <f t="shared" si="23"/>
        <v xml:space="preserve"> </v>
      </c>
      <c r="J91" s="734" t="str">
        <f t="shared" si="24"/>
        <v>,</v>
      </c>
      <c r="K91" s="735">
        <f t="shared" ca="1" si="25"/>
        <v>0</v>
      </c>
      <c r="L91" s="736" t="str">
        <f t="shared" si="26"/>
        <v>000100</v>
      </c>
      <c r="M91" s="766">
        <f t="shared" ca="1" si="33"/>
        <v>0</v>
      </c>
      <c r="AD91" s="1244"/>
      <c r="AE91" s="1245"/>
      <c r="AF91" s="753"/>
      <c r="AG91" s="754"/>
      <c r="AH91" s="740">
        <f t="shared" si="27"/>
        <v>0</v>
      </c>
      <c r="AI91" s="740">
        <f t="shared" si="28"/>
        <v>0</v>
      </c>
      <c r="AJ91" s="740">
        <f t="shared" si="29"/>
        <v>0</v>
      </c>
      <c r="AK91" s="740"/>
      <c r="AL91" s="740"/>
      <c r="AM91" s="740"/>
      <c r="AN91" s="740"/>
      <c r="AO91" s="740"/>
      <c r="AQ91">
        <f t="shared" ca="1" si="30"/>
        <v>0</v>
      </c>
    </row>
    <row r="92" spans="1:43" ht="20.25" customHeight="1" x14ac:dyDescent="0.25">
      <c r="A92" s="1248"/>
      <c r="B92" s="1249"/>
      <c r="C92" s="763"/>
      <c r="D92" s="764"/>
      <c r="E92" s="730"/>
      <c r="F92" s="731"/>
      <c r="G92" s="731"/>
      <c r="H92" s="732"/>
      <c r="I92" s="733" t="str">
        <f t="shared" si="23"/>
        <v xml:space="preserve"> </v>
      </c>
      <c r="J92" s="734" t="str">
        <f t="shared" si="24"/>
        <v>,</v>
      </c>
      <c r="K92" s="735">
        <f t="shared" ca="1" si="25"/>
        <v>0</v>
      </c>
      <c r="L92" s="736" t="str">
        <f t="shared" si="26"/>
        <v>000100</v>
      </c>
      <c r="M92" s="766">
        <f t="shared" ca="1" si="33"/>
        <v>0</v>
      </c>
      <c r="AD92" s="1244"/>
      <c r="AE92" s="1245"/>
      <c r="AF92" s="753"/>
      <c r="AG92" s="754"/>
      <c r="AH92" s="740">
        <f t="shared" si="27"/>
        <v>0</v>
      </c>
      <c r="AI92" s="740">
        <f t="shared" si="28"/>
        <v>0</v>
      </c>
      <c r="AJ92" s="740">
        <f t="shared" si="29"/>
        <v>0</v>
      </c>
      <c r="AK92" s="740"/>
      <c r="AL92" s="740"/>
      <c r="AM92" s="740"/>
      <c r="AN92" s="740"/>
      <c r="AO92" s="740"/>
      <c r="AQ92">
        <f t="shared" ca="1" si="30"/>
        <v>0</v>
      </c>
    </row>
    <row r="93" spans="1:43" ht="20.25" customHeight="1" x14ac:dyDescent="0.25">
      <c r="A93" s="1248"/>
      <c r="B93" s="1249"/>
      <c r="C93" s="763"/>
      <c r="D93" s="764"/>
      <c r="E93" s="730"/>
      <c r="F93" s="731"/>
      <c r="G93" s="731"/>
      <c r="H93" s="732"/>
      <c r="I93" s="733" t="str">
        <f t="shared" si="23"/>
        <v xml:space="preserve"> </v>
      </c>
      <c r="J93" s="734" t="str">
        <f t="shared" si="24"/>
        <v>,</v>
      </c>
      <c r="K93" s="735">
        <f t="shared" ca="1" si="25"/>
        <v>0</v>
      </c>
      <c r="L93" s="736" t="str">
        <f t="shared" si="26"/>
        <v>000100</v>
      </c>
      <c r="M93" s="766">
        <f t="shared" ca="1" si="33"/>
        <v>0</v>
      </c>
      <c r="AD93" s="1244"/>
      <c r="AE93" s="1245"/>
      <c r="AF93" s="753"/>
      <c r="AG93" s="754"/>
      <c r="AH93" s="740">
        <f t="shared" si="27"/>
        <v>0</v>
      </c>
      <c r="AI93" s="740">
        <f t="shared" si="28"/>
        <v>0</v>
      </c>
      <c r="AJ93" s="740">
        <f t="shared" si="29"/>
        <v>0</v>
      </c>
      <c r="AK93" s="740"/>
      <c r="AL93" s="740"/>
      <c r="AM93" s="740"/>
      <c r="AN93" s="740"/>
      <c r="AO93" s="740"/>
      <c r="AQ93">
        <f t="shared" ca="1" si="30"/>
        <v>0</v>
      </c>
    </row>
    <row r="94" spans="1:43" ht="20.25" customHeight="1" x14ac:dyDescent="0.25">
      <c r="A94" s="1250">
        <v>49</v>
      </c>
      <c r="B94" s="1251" t="s">
        <v>4706</v>
      </c>
      <c r="C94" s="768"/>
      <c r="D94" s="769"/>
      <c r="E94" s="730"/>
      <c r="F94" s="731"/>
      <c r="G94" s="731"/>
      <c r="H94" s="732"/>
      <c r="I94" s="733" t="str">
        <f t="shared" si="23"/>
        <v xml:space="preserve"> </v>
      </c>
      <c r="J94" s="734" t="str">
        <f t="shared" si="24"/>
        <v>,</v>
      </c>
      <c r="K94" s="735">
        <f t="shared" ca="1" si="25"/>
        <v>0</v>
      </c>
      <c r="L94" s="736" t="str">
        <f t="shared" si="26"/>
        <v>000100</v>
      </c>
      <c r="M94" s="770">
        <f t="shared" ref="M94:M109" ca="1" si="34">IF(K94=0,0,IF(K94&lt;9,"TOO YOUNG",IF(K94&lt;60,"OK","BIT OLD MAYBE")))</f>
        <v>0</v>
      </c>
      <c r="AD94" s="1244">
        <f>A94</f>
        <v>49</v>
      </c>
      <c r="AE94" s="1245" t="str">
        <f>B94</f>
        <v>FEMALE 16+4 X 50M
FREESTYLE RELAY</v>
      </c>
      <c r="AF94" s="749"/>
      <c r="AG94" s="750"/>
      <c r="AH94" s="740">
        <f t="shared" si="27"/>
        <v>0</v>
      </c>
      <c r="AI94" s="740">
        <f t="shared" si="28"/>
        <v>0</v>
      </c>
      <c r="AJ94" s="740">
        <f t="shared" si="29"/>
        <v>0</v>
      </c>
      <c r="AK94" s="740"/>
      <c r="AL94" s="740"/>
      <c r="AM94" s="740"/>
      <c r="AN94" s="740"/>
      <c r="AO94" s="740"/>
      <c r="AQ94">
        <f t="shared" ca="1" si="30"/>
        <v>0</v>
      </c>
    </row>
    <row r="95" spans="1:43" ht="20.25" customHeight="1" x14ac:dyDescent="0.25">
      <c r="A95" s="1250"/>
      <c r="B95" s="1251"/>
      <c r="C95" s="771"/>
      <c r="D95" s="772"/>
      <c r="E95" s="730"/>
      <c r="F95" s="731"/>
      <c r="G95" s="731"/>
      <c r="H95" s="732"/>
      <c r="I95" s="733" t="str">
        <f t="shared" si="23"/>
        <v xml:space="preserve"> </v>
      </c>
      <c r="J95" s="734" t="str">
        <f t="shared" si="24"/>
        <v>,</v>
      </c>
      <c r="K95" s="735">
        <f t="shared" ca="1" si="25"/>
        <v>0</v>
      </c>
      <c r="L95" s="736" t="str">
        <f t="shared" si="26"/>
        <v>000100</v>
      </c>
      <c r="M95" s="770">
        <f t="shared" ca="1" si="34"/>
        <v>0</v>
      </c>
      <c r="AD95" s="1244"/>
      <c r="AE95" s="1245"/>
      <c r="AF95" s="753"/>
      <c r="AG95" s="754"/>
      <c r="AH95" s="740">
        <f t="shared" si="27"/>
        <v>0</v>
      </c>
      <c r="AI95" s="740">
        <f t="shared" si="28"/>
        <v>0</v>
      </c>
      <c r="AJ95" s="740">
        <f t="shared" si="29"/>
        <v>0</v>
      </c>
      <c r="AK95" s="740"/>
      <c r="AL95" s="740"/>
      <c r="AM95" s="740"/>
      <c r="AN95" s="740"/>
      <c r="AO95" s="740"/>
      <c r="AQ95">
        <f t="shared" ca="1" si="30"/>
        <v>0</v>
      </c>
    </row>
    <row r="96" spans="1:43" ht="20.25" customHeight="1" x14ac:dyDescent="0.25">
      <c r="A96" s="1250"/>
      <c r="B96" s="1251"/>
      <c r="C96" s="771"/>
      <c r="D96" s="772"/>
      <c r="E96" s="730"/>
      <c r="F96" s="731"/>
      <c r="G96" s="731"/>
      <c r="H96" s="732"/>
      <c r="I96" s="733" t="str">
        <f t="shared" si="23"/>
        <v xml:space="preserve"> </v>
      </c>
      <c r="J96" s="734" t="str">
        <f t="shared" si="24"/>
        <v>,</v>
      </c>
      <c r="K96" s="735">
        <f t="shared" ca="1" si="25"/>
        <v>0</v>
      </c>
      <c r="L96" s="736" t="str">
        <f t="shared" si="26"/>
        <v>000100</v>
      </c>
      <c r="M96" s="770">
        <f t="shared" ca="1" si="34"/>
        <v>0</v>
      </c>
      <c r="AD96" s="1244"/>
      <c r="AE96" s="1245"/>
      <c r="AF96" s="753"/>
      <c r="AG96" s="754"/>
      <c r="AH96" s="740">
        <f t="shared" si="27"/>
        <v>0</v>
      </c>
      <c r="AI96" s="740">
        <f t="shared" si="28"/>
        <v>0</v>
      </c>
      <c r="AJ96" s="740">
        <f t="shared" si="29"/>
        <v>0</v>
      </c>
      <c r="AK96" s="740"/>
      <c r="AL96" s="740"/>
      <c r="AM96" s="740"/>
      <c r="AN96" s="740"/>
      <c r="AO96" s="740"/>
      <c r="AQ96">
        <f t="shared" ca="1" si="30"/>
        <v>0</v>
      </c>
    </row>
    <row r="97" spans="1:43" ht="20.25" customHeight="1" x14ac:dyDescent="0.25">
      <c r="A97" s="1250"/>
      <c r="B97" s="1251"/>
      <c r="C97" s="771"/>
      <c r="D97" s="772"/>
      <c r="E97" s="730"/>
      <c r="F97" s="731"/>
      <c r="G97" s="731"/>
      <c r="H97" s="732"/>
      <c r="I97" s="733" t="str">
        <f t="shared" si="23"/>
        <v xml:space="preserve"> </v>
      </c>
      <c r="J97" s="734" t="str">
        <f t="shared" si="24"/>
        <v>,</v>
      </c>
      <c r="K97" s="735">
        <f t="shared" ca="1" si="25"/>
        <v>0</v>
      </c>
      <c r="L97" s="736" t="str">
        <f t="shared" si="26"/>
        <v>000100</v>
      </c>
      <c r="M97" s="770">
        <f t="shared" ca="1" si="34"/>
        <v>0</v>
      </c>
      <c r="AD97" s="1244"/>
      <c r="AE97" s="1245"/>
      <c r="AF97" s="753"/>
      <c r="AG97" s="754"/>
      <c r="AH97" s="740">
        <f t="shared" si="27"/>
        <v>0</v>
      </c>
      <c r="AI97" s="740">
        <f t="shared" si="28"/>
        <v>0</v>
      </c>
      <c r="AJ97" s="740">
        <f t="shared" si="29"/>
        <v>0</v>
      </c>
      <c r="AK97" s="740"/>
      <c r="AL97" s="740"/>
      <c r="AM97" s="740"/>
      <c r="AN97" s="740"/>
      <c r="AO97" s="740"/>
      <c r="AQ97">
        <f t="shared" ca="1" si="30"/>
        <v>0</v>
      </c>
    </row>
    <row r="98" spans="1:43" ht="20.25" customHeight="1" x14ac:dyDescent="0.25">
      <c r="A98" s="1242">
        <v>50</v>
      </c>
      <c r="B98" s="1243" t="s">
        <v>4707</v>
      </c>
      <c r="C98" s="768"/>
      <c r="D98" s="769"/>
      <c r="E98" s="731"/>
      <c r="F98" s="731"/>
      <c r="G98" s="731"/>
      <c r="H98" s="732"/>
      <c r="I98" s="733" t="str">
        <f t="shared" si="23"/>
        <v xml:space="preserve"> </v>
      </c>
      <c r="J98" s="734" t="str">
        <f t="shared" si="24"/>
        <v>,</v>
      </c>
      <c r="K98" s="735">
        <f t="shared" ca="1" si="25"/>
        <v>0</v>
      </c>
      <c r="L98" s="736" t="str">
        <f t="shared" si="26"/>
        <v>000100</v>
      </c>
      <c r="M98" s="770">
        <f t="shared" ca="1" si="34"/>
        <v>0</v>
      </c>
      <c r="AD98" s="1244">
        <f>A98</f>
        <v>50</v>
      </c>
      <c r="AE98" s="1245" t="str">
        <f>B98</f>
        <v>OPEN/MALE 16+4 X 50M
FREESTYLE RELAY</v>
      </c>
      <c r="AF98" s="749"/>
      <c r="AG98" s="750"/>
      <c r="AH98" s="740">
        <f t="shared" si="27"/>
        <v>0</v>
      </c>
      <c r="AI98" s="740">
        <f t="shared" si="28"/>
        <v>0</v>
      </c>
      <c r="AJ98" s="740">
        <f t="shared" si="29"/>
        <v>0</v>
      </c>
      <c r="AK98" s="740"/>
      <c r="AL98" s="740"/>
      <c r="AM98" s="740"/>
      <c r="AN98" s="740"/>
      <c r="AO98" s="740"/>
      <c r="AQ98">
        <f t="shared" ca="1" si="30"/>
        <v>0</v>
      </c>
    </row>
    <row r="99" spans="1:43" ht="20.25" customHeight="1" x14ac:dyDescent="0.25">
      <c r="A99" s="1242"/>
      <c r="B99" s="1243"/>
      <c r="C99" s="771"/>
      <c r="D99" s="772"/>
      <c r="E99" s="730"/>
      <c r="F99" s="731"/>
      <c r="G99" s="731"/>
      <c r="H99" s="732"/>
      <c r="I99" s="733" t="str">
        <f t="shared" si="23"/>
        <v xml:space="preserve"> </v>
      </c>
      <c r="J99" s="734" t="str">
        <f t="shared" si="24"/>
        <v>,</v>
      </c>
      <c r="K99" s="735">
        <f t="shared" ca="1" si="25"/>
        <v>0</v>
      </c>
      <c r="L99" s="736" t="str">
        <f t="shared" si="26"/>
        <v>000100</v>
      </c>
      <c r="M99" s="770">
        <f t="shared" ca="1" si="34"/>
        <v>0</v>
      </c>
      <c r="AD99" s="1244"/>
      <c r="AE99" s="1245"/>
      <c r="AF99" s="753"/>
      <c r="AG99" s="754"/>
      <c r="AH99" s="740">
        <f t="shared" si="27"/>
        <v>0</v>
      </c>
      <c r="AI99" s="740">
        <f t="shared" si="28"/>
        <v>0</v>
      </c>
      <c r="AJ99" s="740">
        <f t="shared" si="29"/>
        <v>0</v>
      </c>
      <c r="AK99" s="740"/>
      <c r="AL99" s="740"/>
      <c r="AM99" s="740"/>
      <c r="AN99" s="740"/>
      <c r="AO99" s="740"/>
      <c r="AQ99">
        <f t="shared" ca="1" si="30"/>
        <v>0</v>
      </c>
    </row>
    <row r="100" spans="1:43" ht="20.25" customHeight="1" x14ac:dyDescent="0.25">
      <c r="A100" s="1242"/>
      <c r="B100" s="1243"/>
      <c r="C100" s="771"/>
      <c r="D100" s="772"/>
      <c r="E100" s="730"/>
      <c r="F100" s="731"/>
      <c r="G100" s="731"/>
      <c r="H100" s="732"/>
      <c r="I100" s="733" t="str">
        <f t="shared" si="23"/>
        <v xml:space="preserve"> </v>
      </c>
      <c r="J100" s="734" t="str">
        <f t="shared" si="24"/>
        <v>,</v>
      </c>
      <c r="K100" s="735">
        <f t="shared" ref="K100:K109" ca="1" si="35">IF(K$2=0,0,IF(AQ100=0,0,IF(COUNTBLANK(AQ100)=1,"",YEAR(K$2)-YEAR(AQ100)-IF(DATE(YEAR(K$2),MONTH(AQ100),DAY(4638))&gt;K$2,1,0))))</f>
        <v>0</v>
      </c>
      <c r="L100" s="736" t="str">
        <f t="shared" ref="L100:L109" si="36">(TEXT(H100,"DDMMYY"))</f>
        <v>000100</v>
      </c>
      <c r="M100" s="770">
        <f t="shared" ca="1" si="34"/>
        <v>0</v>
      </c>
      <c r="AD100" s="1244"/>
      <c r="AE100" s="1245"/>
      <c r="AF100" s="753"/>
      <c r="AG100" s="754"/>
      <c r="AH100" s="740">
        <f t="shared" ref="AH100:AH109" si="37">E100</f>
        <v>0</v>
      </c>
      <c r="AI100" s="740">
        <f t="shared" ref="AI100:AI109" si="38">F100</f>
        <v>0</v>
      </c>
      <c r="AJ100" s="740">
        <f t="shared" ref="AJ100:AJ109" si="39">G100</f>
        <v>0</v>
      </c>
      <c r="AK100" s="740"/>
      <c r="AL100" s="740"/>
      <c r="AM100" s="740"/>
      <c r="AN100" s="740"/>
      <c r="AO100" s="740"/>
      <c r="AQ100">
        <f t="shared" ref="AQ100:AQ109" ca="1" si="40">INDIRECT(ADDRESS(ROW(),AQ$3))</f>
        <v>0</v>
      </c>
    </row>
    <row r="101" spans="1:43" ht="20.25" customHeight="1" x14ac:dyDescent="0.25">
      <c r="A101" s="1242"/>
      <c r="B101" s="1243"/>
      <c r="C101" s="771"/>
      <c r="D101" s="772"/>
      <c r="E101" s="730"/>
      <c r="F101" s="731"/>
      <c r="G101" s="731"/>
      <c r="H101" s="732"/>
      <c r="I101" s="733" t="str">
        <f t="shared" si="23"/>
        <v xml:space="preserve"> </v>
      </c>
      <c r="J101" s="734" t="str">
        <f t="shared" si="24"/>
        <v>,</v>
      </c>
      <c r="K101" s="735">
        <f t="shared" ca="1" si="35"/>
        <v>0</v>
      </c>
      <c r="L101" s="736" t="str">
        <f t="shared" si="36"/>
        <v>000100</v>
      </c>
      <c r="M101" s="770">
        <f t="shared" ca="1" si="34"/>
        <v>0</v>
      </c>
      <c r="AD101" s="1244"/>
      <c r="AE101" s="1245"/>
      <c r="AF101" s="753"/>
      <c r="AG101" s="754"/>
      <c r="AH101" s="740">
        <f t="shared" si="37"/>
        <v>0</v>
      </c>
      <c r="AI101" s="740">
        <f t="shared" si="38"/>
        <v>0</v>
      </c>
      <c r="AJ101" s="740">
        <f t="shared" si="39"/>
        <v>0</v>
      </c>
      <c r="AK101" s="740"/>
      <c r="AL101" s="740"/>
      <c r="AM101" s="740"/>
      <c r="AN101" s="740"/>
      <c r="AO101" s="740"/>
      <c r="AQ101">
        <f t="shared" ca="1" si="40"/>
        <v>0</v>
      </c>
    </row>
    <row r="102" spans="1:43" ht="20.25" customHeight="1" x14ac:dyDescent="0.25">
      <c r="A102" s="1246">
        <v>51</v>
      </c>
      <c r="B102" s="1247" t="s">
        <v>4708</v>
      </c>
      <c r="C102" s="20"/>
      <c r="D102" s="784"/>
      <c r="E102" s="730"/>
      <c r="F102" s="731"/>
      <c r="G102" s="731"/>
      <c r="H102" s="732"/>
      <c r="I102" s="785"/>
      <c r="J102" s="785"/>
      <c r="K102" s="735">
        <f t="shared" ca="1" si="35"/>
        <v>0</v>
      </c>
      <c r="L102" s="736" t="str">
        <f t="shared" si="36"/>
        <v>000100</v>
      </c>
      <c r="M102" s="770">
        <f t="shared" ca="1" si="34"/>
        <v>0</v>
      </c>
      <c r="AD102" s="1244">
        <f>A102</f>
        <v>51</v>
      </c>
      <c r="AE102" s="1245" t="str">
        <f>B102</f>
        <v>SQUADRON RELAY 8 X 50M
1 MALE &amp; 1 FEMALE FROM EACH AGE GROUP
SWIM IN ANY ORDER</v>
      </c>
      <c r="AF102" s="786"/>
      <c r="AG102" s="787"/>
      <c r="AH102" s="740">
        <f t="shared" si="37"/>
        <v>0</v>
      </c>
      <c r="AI102" s="740">
        <f t="shared" si="38"/>
        <v>0</v>
      </c>
      <c r="AJ102" s="740">
        <f t="shared" si="39"/>
        <v>0</v>
      </c>
      <c r="AK102" s="740"/>
      <c r="AL102" s="740"/>
      <c r="AM102" s="740"/>
      <c r="AN102" s="740"/>
      <c r="AO102" s="740"/>
      <c r="AQ102">
        <f t="shared" ca="1" si="40"/>
        <v>0</v>
      </c>
    </row>
    <row r="103" spans="1:43" ht="20.25" customHeight="1" x14ac:dyDescent="0.25">
      <c r="A103" s="1246"/>
      <c r="B103" s="1247"/>
      <c r="C103" s="20"/>
      <c r="D103" s="784"/>
      <c r="E103" s="730"/>
      <c r="F103" s="731"/>
      <c r="G103" s="731"/>
      <c r="H103" s="732"/>
      <c r="I103" s="785"/>
      <c r="J103" s="785"/>
      <c r="K103" s="735">
        <f t="shared" ca="1" si="35"/>
        <v>0</v>
      </c>
      <c r="L103" s="736" t="str">
        <f t="shared" si="36"/>
        <v>000100</v>
      </c>
      <c r="M103" s="770">
        <f t="shared" ca="1" si="34"/>
        <v>0</v>
      </c>
      <c r="AD103" s="1244"/>
      <c r="AE103" s="1245"/>
      <c r="AF103" s="786"/>
      <c r="AG103" s="787"/>
      <c r="AH103" s="740">
        <f t="shared" si="37"/>
        <v>0</v>
      </c>
      <c r="AI103" s="740">
        <f t="shared" si="38"/>
        <v>0</v>
      </c>
      <c r="AJ103" s="740">
        <f t="shared" si="39"/>
        <v>0</v>
      </c>
      <c r="AK103" s="740"/>
      <c r="AL103" s="740"/>
      <c r="AM103" s="740"/>
      <c r="AN103" s="740"/>
      <c r="AO103" s="740"/>
      <c r="AQ103">
        <f t="shared" ca="1" si="40"/>
        <v>0</v>
      </c>
    </row>
    <row r="104" spans="1:43" ht="20.25" customHeight="1" x14ac:dyDescent="0.25">
      <c r="A104" s="1246"/>
      <c r="B104" s="1247"/>
      <c r="C104" s="20"/>
      <c r="D104" s="784"/>
      <c r="E104" s="730"/>
      <c r="F104" s="731"/>
      <c r="G104" s="731"/>
      <c r="H104" s="732"/>
      <c r="I104" s="785"/>
      <c r="J104" s="785"/>
      <c r="K104" s="735">
        <f t="shared" ca="1" si="35"/>
        <v>0</v>
      </c>
      <c r="L104" s="736" t="str">
        <f t="shared" si="36"/>
        <v>000100</v>
      </c>
      <c r="M104" s="770">
        <f t="shared" ca="1" si="34"/>
        <v>0</v>
      </c>
      <c r="AD104" s="1244"/>
      <c r="AE104" s="1245"/>
      <c r="AF104" s="786"/>
      <c r="AG104" s="787"/>
      <c r="AH104" s="740">
        <f t="shared" si="37"/>
        <v>0</v>
      </c>
      <c r="AI104" s="740">
        <f t="shared" si="38"/>
        <v>0</v>
      </c>
      <c r="AJ104" s="740">
        <f t="shared" si="39"/>
        <v>0</v>
      </c>
      <c r="AK104" s="740"/>
      <c r="AL104" s="740"/>
      <c r="AM104" s="740"/>
      <c r="AN104" s="740"/>
      <c r="AO104" s="740"/>
      <c r="AQ104">
        <f t="shared" ca="1" si="40"/>
        <v>0</v>
      </c>
    </row>
    <row r="105" spans="1:43" ht="20.25" customHeight="1" x14ac:dyDescent="0.25">
      <c r="A105" s="1246"/>
      <c r="B105" s="1247"/>
      <c r="C105" s="20"/>
      <c r="D105" s="784"/>
      <c r="E105" s="730"/>
      <c r="F105" s="731"/>
      <c r="G105" s="731"/>
      <c r="H105" s="732"/>
      <c r="I105" s="785"/>
      <c r="J105" s="785"/>
      <c r="K105" s="735">
        <f t="shared" ca="1" si="35"/>
        <v>0</v>
      </c>
      <c r="L105" s="736" t="str">
        <f t="shared" si="36"/>
        <v>000100</v>
      </c>
      <c r="M105" s="770">
        <f t="shared" ca="1" si="34"/>
        <v>0</v>
      </c>
      <c r="AD105" s="1244"/>
      <c r="AE105" s="1245"/>
      <c r="AF105" s="786"/>
      <c r="AG105" s="787"/>
      <c r="AH105" s="740">
        <f t="shared" si="37"/>
        <v>0</v>
      </c>
      <c r="AI105" s="740">
        <f t="shared" si="38"/>
        <v>0</v>
      </c>
      <c r="AJ105" s="740">
        <f t="shared" si="39"/>
        <v>0</v>
      </c>
      <c r="AK105" s="740"/>
      <c r="AL105" s="740"/>
      <c r="AM105" s="740"/>
      <c r="AN105" s="740"/>
      <c r="AO105" s="740"/>
      <c r="AQ105">
        <f t="shared" ca="1" si="40"/>
        <v>0</v>
      </c>
    </row>
    <row r="106" spans="1:43" ht="20.25" customHeight="1" x14ac:dyDescent="0.25">
      <c r="A106" s="1246"/>
      <c r="B106" s="1247"/>
      <c r="E106" s="730"/>
      <c r="F106" s="731"/>
      <c r="G106" s="731"/>
      <c r="H106" s="732"/>
      <c r="I106" s="785"/>
      <c r="J106" s="785"/>
      <c r="K106" s="735">
        <f t="shared" ca="1" si="35"/>
        <v>0</v>
      </c>
      <c r="L106" s="736" t="str">
        <f t="shared" si="36"/>
        <v>000100</v>
      </c>
      <c r="M106" s="770">
        <f t="shared" ca="1" si="34"/>
        <v>0</v>
      </c>
      <c r="AD106" s="1244"/>
      <c r="AE106" s="1245"/>
      <c r="AH106" s="740">
        <f t="shared" si="37"/>
        <v>0</v>
      </c>
      <c r="AI106" s="740">
        <f t="shared" si="38"/>
        <v>0</v>
      </c>
      <c r="AJ106" s="740">
        <f t="shared" si="39"/>
        <v>0</v>
      </c>
      <c r="AK106" s="211"/>
      <c r="AL106" s="211"/>
      <c r="AM106" s="211"/>
      <c r="AN106" s="211"/>
      <c r="AO106" s="211"/>
      <c r="AQ106">
        <f t="shared" ca="1" si="40"/>
        <v>0</v>
      </c>
    </row>
    <row r="107" spans="1:43" ht="20.25" customHeight="1" x14ac:dyDescent="0.25">
      <c r="A107" s="1246"/>
      <c r="B107" s="1247"/>
      <c r="E107" s="730"/>
      <c r="F107" s="731"/>
      <c r="G107" s="731"/>
      <c r="H107" s="732"/>
      <c r="I107" s="785"/>
      <c r="J107" s="785"/>
      <c r="K107" s="735">
        <f t="shared" ca="1" si="35"/>
        <v>0</v>
      </c>
      <c r="L107" s="736" t="str">
        <f t="shared" si="36"/>
        <v>000100</v>
      </c>
      <c r="M107" s="770">
        <f t="shared" ca="1" si="34"/>
        <v>0</v>
      </c>
      <c r="AD107" s="1244"/>
      <c r="AE107" s="1245"/>
      <c r="AH107" s="740">
        <f t="shared" si="37"/>
        <v>0</v>
      </c>
      <c r="AI107" s="740">
        <f t="shared" si="38"/>
        <v>0</v>
      </c>
      <c r="AJ107" s="740">
        <f t="shared" si="39"/>
        <v>0</v>
      </c>
      <c r="AK107" s="211"/>
      <c r="AL107" s="211"/>
      <c r="AM107" s="211"/>
      <c r="AN107" s="211"/>
      <c r="AO107" s="211"/>
      <c r="AQ107">
        <f t="shared" ca="1" si="40"/>
        <v>0</v>
      </c>
    </row>
    <row r="108" spans="1:43" ht="20.25" customHeight="1" x14ac:dyDescent="0.25">
      <c r="A108" s="1246"/>
      <c r="B108" s="1247"/>
      <c r="E108" s="730"/>
      <c r="F108" s="731"/>
      <c r="G108" s="731"/>
      <c r="H108" s="732"/>
      <c r="I108" s="785"/>
      <c r="J108" s="785"/>
      <c r="K108" s="735">
        <f t="shared" ca="1" si="35"/>
        <v>0</v>
      </c>
      <c r="L108" s="736" t="str">
        <f t="shared" si="36"/>
        <v>000100</v>
      </c>
      <c r="M108" s="770">
        <f t="shared" ca="1" si="34"/>
        <v>0</v>
      </c>
      <c r="AD108" s="1244"/>
      <c r="AE108" s="1245"/>
      <c r="AH108" s="740">
        <f t="shared" si="37"/>
        <v>0</v>
      </c>
      <c r="AI108" s="740">
        <f t="shared" si="38"/>
        <v>0</v>
      </c>
      <c r="AJ108" s="740">
        <f t="shared" si="39"/>
        <v>0</v>
      </c>
      <c r="AK108" s="211"/>
      <c r="AL108" s="211"/>
      <c r="AM108" s="211"/>
      <c r="AN108" s="211"/>
      <c r="AO108" s="211"/>
      <c r="AQ108">
        <f t="shared" ca="1" si="40"/>
        <v>0</v>
      </c>
    </row>
    <row r="109" spans="1:43" ht="20.25" customHeight="1" x14ac:dyDescent="0.25">
      <c r="A109" s="1246"/>
      <c r="B109" s="1247"/>
      <c r="E109" s="730"/>
      <c r="F109" s="731"/>
      <c r="G109" s="731"/>
      <c r="H109" s="732"/>
      <c r="I109" s="785"/>
      <c r="J109" s="785"/>
      <c r="K109" s="735">
        <f t="shared" ca="1" si="35"/>
        <v>0</v>
      </c>
      <c r="L109" s="736" t="str">
        <f t="shared" si="36"/>
        <v>000100</v>
      </c>
      <c r="M109" s="770">
        <f t="shared" ca="1" si="34"/>
        <v>0</v>
      </c>
      <c r="AD109" s="1244"/>
      <c r="AE109" s="1245"/>
      <c r="AH109" s="740">
        <f t="shared" si="37"/>
        <v>0</v>
      </c>
      <c r="AI109" s="740">
        <f t="shared" si="38"/>
        <v>0</v>
      </c>
      <c r="AJ109" s="740">
        <f t="shared" si="39"/>
        <v>0</v>
      </c>
      <c r="AK109" s="211"/>
      <c r="AL109" s="211"/>
      <c r="AM109" s="211"/>
      <c r="AN109" s="211"/>
      <c r="AO109" s="211"/>
      <c r="AQ109">
        <f t="shared" ca="1" si="40"/>
        <v>0</v>
      </c>
    </row>
    <row r="110" spans="1:43" s="134" customFormat="1" ht="9" customHeight="1" x14ac:dyDescent="0.25">
      <c r="E110" s="788"/>
      <c r="F110" s="789"/>
      <c r="G110" s="789"/>
      <c r="H110" s="790"/>
      <c r="AD110" s="791"/>
      <c r="AE110" s="792"/>
    </row>
    <row r="111" spans="1:43" s="134" customFormat="1" ht="9" customHeight="1" x14ac:dyDescent="0.25">
      <c r="E111" s="788"/>
      <c r="F111" s="789"/>
      <c r="G111" s="789"/>
      <c r="H111" s="790"/>
      <c r="AD111" s="791"/>
      <c r="AE111" s="792"/>
    </row>
    <row r="112" spans="1:43" s="134" customFormat="1" ht="9" customHeight="1" x14ac:dyDescent="0.25">
      <c r="E112" s="788"/>
      <c r="F112" s="789"/>
      <c r="G112" s="789"/>
      <c r="H112" s="790"/>
      <c r="AD112" s="791"/>
      <c r="AE112" s="792"/>
    </row>
    <row r="113" spans="5:31" s="134" customFormat="1" ht="9" customHeight="1" x14ac:dyDescent="0.25">
      <c r="E113" s="788"/>
      <c r="F113" s="789"/>
      <c r="G113" s="789"/>
      <c r="H113" s="790"/>
      <c r="AD113" s="791"/>
      <c r="AE113" s="792"/>
    </row>
    <row r="114" spans="5:31" s="134" customFormat="1" ht="9" customHeight="1" x14ac:dyDescent="0.25">
      <c r="E114" s="788"/>
      <c r="F114" s="789"/>
      <c r="G114" s="789"/>
      <c r="H114" s="790"/>
      <c r="AD114" s="791"/>
      <c r="AE114" s="792"/>
    </row>
    <row r="115" spans="5:31" s="134" customFormat="1" ht="9" customHeight="1" x14ac:dyDescent="0.25">
      <c r="E115" s="788"/>
      <c r="F115" s="789"/>
      <c r="G115" s="789"/>
      <c r="H115" s="790"/>
      <c r="AD115" s="791"/>
      <c r="AE115" s="792"/>
    </row>
    <row r="116" spans="5:31" s="134" customFormat="1" ht="9" customHeight="1" x14ac:dyDescent="0.25">
      <c r="E116" s="788"/>
      <c r="F116" s="789"/>
      <c r="G116" s="789"/>
      <c r="H116" s="790"/>
      <c r="AD116" s="791"/>
      <c r="AE116" s="792"/>
    </row>
    <row r="117" spans="5:31" s="134" customFormat="1" ht="9" customHeight="1" x14ac:dyDescent="0.25">
      <c r="E117" s="788"/>
      <c r="F117" s="789"/>
      <c r="G117" s="789"/>
      <c r="H117" s="790"/>
      <c r="AD117" s="791"/>
      <c r="AE117" s="792"/>
    </row>
    <row r="118" spans="5:31" s="134" customFormat="1" ht="9" customHeight="1" x14ac:dyDescent="0.25">
      <c r="E118" s="788"/>
      <c r="F118" s="789"/>
      <c r="G118" s="789"/>
      <c r="H118" s="790"/>
      <c r="AD118" s="791"/>
      <c r="AE118" s="792"/>
    </row>
    <row r="119" spans="5:31" s="134" customFormat="1" ht="9" customHeight="1" x14ac:dyDescent="0.25">
      <c r="E119" s="788"/>
      <c r="F119" s="789"/>
      <c r="G119" s="789"/>
      <c r="H119" s="790"/>
      <c r="AD119" s="791"/>
      <c r="AE119" s="792"/>
    </row>
    <row r="120" spans="5:31" s="134" customFormat="1" ht="9" customHeight="1" x14ac:dyDescent="0.25">
      <c r="E120" s="788"/>
      <c r="F120" s="789"/>
      <c r="G120" s="789"/>
      <c r="H120" s="790"/>
      <c r="AD120" s="791"/>
      <c r="AE120" s="792"/>
    </row>
    <row r="121" spans="5:31" s="134" customFormat="1" ht="9" customHeight="1" x14ac:dyDescent="0.25">
      <c r="E121" s="788"/>
      <c r="F121" s="789"/>
      <c r="G121" s="789"/>
      <c r="H121" s="790"/>
      <c r="AD121" s="791"/>
      <c r="AE121" s="792"/>
    </row>
    <row r="122" spans="5:31" s="134" customFormat="1" ht="9" customHeight="1" x14ac:dyDescent="0.25">
      <c r="E122" s="788"/>
      <c r="F122" s="789"/>
      <c r="G122" s="789"/>
      <c r="H122" s="790"/>
      <c r="AD122" s="791"/>
      <c r="AE122" s="792"/>
    </row>
    <row r="123" spans="5:31" s="134" customFormat="1" ht="9" customHeight="1" x14ac:dyDescent="0.25">
      <c r="E123" s="788"/>
      <c r="F123" s="789"/>
      <c r="G123" s="789"/>
      <c r="H123" s="790"/>
      <c r="AD123" s="791"/>
      <c r="AE123" s="792"/>
    </row>
    <row r="124" spans="5:31" s="134" customFormat="1" ht="9" customHeight="1" x14ac:dyDescent="0.25">
      <c r="E124" s="788"/>
      <c r="F124" s="789"/>
      <c r="G124" s="789"/>
      <c r="H124" s="790"/>
      <c r="AD124" s="791"/>
      <c r="AE124" s="792"/>
    </row>
    <row r="125" spans="5:31" s="134" customFormat="1" ht="9" customHeight="1" x14ac:dyDescent="0.25">
      <c r="E125" s="788"/>
      <c r="F125" s="789"/>
      <c r="G125" s="789"/>
      <c r="H125" s="790"/>
      <c r="AD125" s="791"/>
      <c r="AE125" s="792"/>
    </row>
    <row r="126" spans="5:31" s="134" customFormat="1" ht="9" customHeight="1" x14ac:dyDescent="0.25">
      <c r="E126" s="788"/>
      <c r="F126" s="789"/>
      <c r="G126" s="789"/>
      <c r="H126" s="790"/>
      <c r="AD126" s="791"/>
      <c r="AE126" s="792"/>
    </row>
    <row r="127" spans="5:31" s="134" customFormat="1" ht="9" customHeight="1" x14ac:dyDescent="0.25">
      <c r="E127" s="788"/>
      <c r="F127" s="789"/>
      <c r="G127" s="789"/>
      <c r="H127" s="790"/>
      <c r="AD127" s="791"/>
      <c r="AE127" s="792"/>
    </row>
    <row r="128" spans="5:31" s="134" customFormat="1" ht="9" customHeight="1" x14ac:dyDescent="0.25">
      <c r="E128" s="788"/>
      <c r="F128" s="789"/>
      <c r="G128" s="789"/>
      <c r="H128" s="790"/>
      <c r="AD128" s="791"/>
      <c r="AE128" s="792"/>
    </row>
    <row r="129" spans="5:31" s="134" customFormat="1" ht="9" customHeight="1" x14ac:dyDescent="0.25">
      <c r="E129" s="788"/>
      <c r="F129" s="789"/>
      <c r="G129" s="789"/>
      <c r="H129" s="790"/>
      <c r="AD129" s="791"/>
      <c r="AE129" s="792"/>
    </row>
    <row r="130" spans="5:31" s="134" customFormat="1" ht="9" customHeight="1" x14ac:dyDescent="0.25">
      <c r="E130" s="788"/>
      <c r="F130" s="789"/>
      <c r="G130" s="789"/>
      <c r="H130" s="790"/>
      <c r="AD130" s="791"/>
      <c r="AE130" s="792"/>
    </row>
    <row r="131" spans="5:31" s="134" customFormat="1" ht="9" customHeight="1" x14ac:dyDescent="0.25">
      <c r="E131" s="788"/>
      <c r="F131" s="789"/>
      <c r="G131" s="789"/>
      <c r="H131" s="790"/>
      <c r="AD131" s="791"/>
      <c r="AE131" s="792"/>
    </row>
    <row r="132" spans="5:31" s="134" customFormat="1" ht="9" customHeight="1" x14ac:dyDescent="0.25">
      <c r="E132" s="788"/>
      <c r="F132" s="789"/>
      <c r="G132" s="789"/>
      <c r="H132" s="790"/>
      <c r="AD132" s="791"/>
      <c r="AE132" s="792"/>
    </row>
    <row r="133" spans="5:31" s="134" customFormat="1" ht="9" customHeight="1" x14ac:dyDescent="0.25">
      <c r="E133" s="788"/>
      <c r="F133" s="789"/>
      <c r="G133" s="789"/>
      <c r="H133" s="790"/>
      <c r="AD133" s="791"/>
      <c r="AE133" s="792"/>
    </row>
    <row r="134" spans="5:31" s="134" customFormat="1" ht="9" customHeight="1" x14ac:dyDescent="0.25">
      <c r="E134" s="788"/>
      <c r="F134" s="789"/>
      <c r="G134" s="789"/>
      <c r="H134" s="790"/>
      <c r="AD134" s="791"/>
      <c r="AE134" s="792"/>
    </row>
    <row r="135" spans="5:31" s="134" customFormat="1" ht="9" customHeight="1" x14ac:dyDescent="0.25">
      <c r="E135" s="788"/>
      <c r="F135" s="789"/>
      <c r="G135" s="789"/>
      <c r="H135" s="790"/>
      <c r="AD135" s="791"/>
      <c r="AE135" s="792"/>
    </row>
    <row r="136" spans="5:31" s="134" customFormat="1" ht="9" customHeight="1" x14ac:dyDescent="0.25">
      <c r="E136" s="788"/>
      <c r="F136" s="789"/>
      <c r="G136" s="789"/>
      <c r="H136" s="790"/>
      <c r="AD136" s="791"/>
      <c r="AE136" s="792"/>
    </row>
    <row r="137" spans="5:31" s="134" customFormat="1" ht="9" customHeight="1" x14ac:dyDescent="0.25">
      <c r="E137" s="788"/>
      <c r="F137" s="789"/>
      <c r="G137" s="789"/>
      <c r="H137" s="790"/>
      <c r="AD137" s="791"/>
      <c r="AE137" s="792"/>
    </row>
    <row r="138" spans="5:31" s="134" customFormat="1" ht="9" customHeight="1" x14ac:dyDescent="0.25">
      <c r="E138" s="788"/>
      <c r="F138" s="789"/>
      <c r="G138" s="789"/>
      <c r="H138" s="790"/>
      <c r="AD138" s="791"/>
      <c r="AE138" s="792"/>
    </row>
    <row r="139" spans="5:31" s="134" customFormat="1" ht="9" customHeight="1" x14ac:dyDescent="0.25">
      <c r="E139" s="788"/>
      <c r="F139" s="789"/>
      <c r="G139" s="789"/>
      <c r="H139" s="790"/>
      <c r="AD139" s="791"/>
      <c r="AE139" s="792"/>
    </row>
    <row r="140" spans="5:31" s="134" customFormat="1" ht="9" customHeight="1" x14ac:dyDescent="0.25">
      <c r="E140" s="788"/>
      <c r="F140" s="789"/>
      <c r="G140" s="789"/>
      <c r="H140" s="790"/>
      <c r="AD140" s="791"/>
      <c r="AE140" s="792"/>
    </row>
    <row r="141" spans="5:31" s="134" customFormat="1" ht="9" customHeight="1" x14ac:dyDescent="0.25">
      <c r="E141" s="789"/>
      <c r="F141" s="789"/>
      <c r="G141" s="789"/>
      <c r="H141" s="790"/>
      <c r="AD141" s="791"/>
      <c r="AE141" s="792"/>
    </row>
    <row r="142" spans="5:31" s="134" customFormat="1" ht="9" customHeight="1" x14ac:dyDescent="0.25">
      <c r="E142" s="789"/>
      <c r="F142" s="789"/>
      <c r="G142" s="789"/>
      <c r="H142" s="790"/>
      <c r="AD142" s="791"/>
      <c r="AE142" s="792"/>
    </row>
    <row r="143" spans="5:31" s="134" customFormat="1" ht="9" customHeight="1" x14ac:dyDescent="0.25">
      <c r="E143" s="789"/>
      <c r="F143" s="789"/>
      <c r="G143" s="789"/>
      <c r="H143" s="790"/>
      <c r="AD143" s="791"/>
      <c r="AE143" s="792"/>
    </row>
    <row r="144" spans="5:31" s="134" customFormat="1" ht="9" customHeight="1" x14ac:dyDescent="0.25">
      <c r="E144" s="789"/>
      <c r="F144" s="789"/>
      <c r="G144" s="789"/>
      <c r="H144" s="790"/>
      <c r="AD144" s="791"/>
      <c r="AE144" s="792"/>
    </row>
    <row r="145" spans="5:31" s="134" customFormat="1" ht="9" customHeight="1" x14ac:dyDescent="0.25">
      <c r="E145" s="789"/>
      <c r="F145" s="789"/>
      <c r="G145" s="789"/>
      <c r="H145" s="790"/>
      <c r="AD145" s="791"/>
      <c r="AE145" s="792"/>
    </row>
    <row r="146" spans="5:31" s="134" customFormat="1" ht="9" customHeight="1" x14ac:dyDescent="0.25">
      <c r="E146" s="789"/>
      <c r="F146" s="789"/>
      <c r="G146" s="789"/>
      <c r="H146" s="790"/>
      <c r="AD146" s="791"/>
      <c r="AE146" s="792"/>
    </row>
    <row r="147" spans="5:31" s="134" customFormat="1" ht="9" customHeight="1" x14ac:dyDescent="0.25">
      <c r="E147" s="789"/>
      <c r="F147" s="789"/>
      <c r="G147" s="789"/>
      <c r="H147" s="790"/>
      <c r="AD147" s="791"/>
      <c r="AE147" s="792"/>
    </row>
    <row r="148" spans="5:31" s="134" customFormat="1" ht="9" customHeight="1" x14ac:dyDescent="0.25">
      <c r="E148" s="789"/>
      <c r="F148" s="789"/>
      <c r="G148" s="789"/>
      <c r="H148" s="790"/>
      <c r="AD148" s="791"/>
      <c r="AE148" s="792"/>
    </row>
    <row r="149" spans="5:31" s="134" customFormat="1" ht="9" customHeight="1" x14ac:dyDescent="0.25">
      <c r="E149" s="789"/>
      <c r="F149" s="789"/>
      <c r="G149" s="789"/>
      <c r="H149" s="790"/>
      <c r="AD149" s="791"/>
      <c r="AE149" s="792"/>
    </row>
    <row r="150" spans="5:31" s="134" customFormat="1" ht="9" customHeight="1" x14ac:dyDescent="0.25">
      <c r="E150" s="789"/>
      <c r="F150" s="789"/>
      <c r="G150" s="789"/>
      <c r="H150" s="790"/>
      <c r="AD150" s="791"/>
      <c r="AE150" s="792"/>
    </row>
    <row r="151" spans="5:31" s="134" customFormat="1" ht="9" customHeight="1" x14ac:dyDescent="0.25">
      <c r="E151" s="789"/>
      <c r="F151" s="789"/>
      <c r="G151" s="789"/>
      <c r="H151" s="790"/>
      <c r="AD151" s="791"/>
      <c r="AE151" s="792"/>
    </row>
    <row r="152" spans="5:31" s="134" customFormat="1" ht="9" customHeight="1" x14ac:dyDescent="0.25">
      <c r="E152" s="789"/>
      <c r="F152" s="789"/>
      <c r="G152" s="789"/>
      <c r="H152" s="790"/>
      <c r="AD152" s="791"/>
      <c r="AE152" s="792"/>
    </row>
    <row r="153" spans="5:31" s="134" customFormat="1" ht="9" customHeight="1" x14ac:dyDescent="0.25">
      <c r="E153" s="789"/>
      <c r="F153" s="789"/>
      <c r="G153" s="789"/>
      <c r="H153" s="790"/>
      <c r="AD153" s="791"/>
      <c r="AE153" s="792"/>
    </row>
    <row r="154" spans="5:31" s="134" customFormat="1" ht="9" customHeight="1" x14ac:dyDescent="0.25">
      <c r="E154" s="789"/>
      <c r="F154" s="789"/>
      <c r="G154" s="789"/>
      <c r="H154" s="790"/>
      <c r="AD154" s="791"/>
      <c r="AE154" s="792"/>
    </row>
    <row r="155" spans="5:31" s="134" customFormat="1" ht="9" customHeight="1" x14ac:dyDescent="0.25">
      <c r="E155" s="789"/>
      <c r="F155" s="789"/>
      <c r="G155" s="789"/>
      <c r="H155" s="790"/>
      <c r="AD155" s="791"/>
      <c r="AE155" s="792"/>
    </row>
    <row r="156" spans="5:31" s="134" customFormat="1" ht="9" customHeight="1" x14ac:dyDescent="0.25">
      <c r="E156" s="789"/>
      <c r="F156" s="789"/>
      <c r="G156" s="789"/>
      <c r="H156" s="790"/>
      <c r="AD156" s="791"/>
      <c r="AE156" s="792"/>
    </row>
    <row r="157" spans="5:31" s="134" customFormat="1" ht="9" customHeight="1" x14ac:dyDescent="0.25">
      <c r="E157" s="789"/>
      <c r="F157" s="789"/>
      <c r="G157" s="789"/>
      <c r="H157" s="790"/>
      <c r="AD157" s="791"/>
      <c r="AE157" s="792"/>
    </row>
    <row r="158" spans="5:31" s="134" customFormat="1" ht="9" customHeight="1" x14ac:dyDescent="0.25">
      <c r="E158" s="789"/>
      <c r="F158" s="789"/>
      <c r="G158" s="789"/>
      <c r="H158" s="790"/>
      <c r="AD158" s="791"/>
      <c r="AE158" s="792"/>
    </row>
    <row r="159" spans="5:31" s="134" customFormat="1" ht="9" customHeight="1" x14ac:dyDescent="0.25">
      <c r="E159" s="789"/>
      <c r="F159" s="789"/>
      <c r="G159" s="789"/>
      <c r="H159" s="790"/>
      <c r="AD159" s="791"/>
      <c r="AE159" s="792"/>
    </row>
    <row r="160" spans="5:31" s="134" customFormat="1" ht="9" customHeight="1" x14ac:dyDescent="0.25">
      <c r="E160" s="789"/>
      <c r="F160" s="789"/>
      <c r="G160" s="789"/>
      <c r="H160" s="790"/>
      <c r="AD160" s="791"/>
      <c r="AE160" s="792"/>
    </row>
    <row r="161" spans="5:31" s="134" customFormat="1" ht="9" customHeight="1" x14ac:dyDescent="0.25">
      <c r="E161" s="789"/>
      <c r="F161" s="789"/>
      <c r="G161" s="789"/>
      <c r="H161" s="790"/>
      <c r="AD161" s="791"/>
      <c r="AE161" s="792"/>
    </row>
    <row r="162" spans="5:31" s="134" customFormat="1" ht="9" customHeight="1" x14ac:dyDescent="0.25">
      <c r="E162" s="789"/>
      <c r="F162" s="789"/>
      <c r="G162" s="789"/>
      <c r="H162" s="790"/>
      <c r="AD162" s="791"/>
      <c r="AE162" s="792"/>
    </row>
    <row r="163" spans="5:31" s="134" customFormat="1" ht="9" customHeight="1" x14ac:dyDescent="0.25">
      <c r="E163" s="789"/>
      <c r="F163" s="789"/>
      <c r="G163" s="789"/>
      <c r="H163" s="790"/>
      <c r="AD163" s="791"/>
      <c r="AE163" s="792"/>
    </row>
    <row r="164" spans="5:31" s="134" customFormat="1" ht="9" customHeight="1" x14ac:dyDescent="0.25">
      <c r="E164" s="789"/>
      <c r="F164" s="789"/>
      <c r="G164" s="789"/>
      <c r="H164" s="790"/>
      <c r="AD164" s="791"/>
      <c r="AE164" s="792"/>
    </row>
    <row r="165" spans="5:31" s="134" customFormat="1" ht="9" customHeight="1" x14ac:dyDescent="0.25">
      <c r="E165" s="789"/>
      <c r="F165" s="789"/>
      <c r="G165" s="789"/>
      <c r="H165" s="790"/>
      <c r="AD165" s="791"/>
      <c r="AE165" s="792"/>
    </row>
    <row r="166" spans="5:31" s="134" customFormat="1" ht="9" customHeight="1" x14ac:dyDescent="0.25">
      <c r="E166" s="789"/>
      <c r="F166" s="789"/>
      <c r="G166" s="789"/>
      <c r="H166" s="790"/>
      <c r="AD166" s="791"/>
      <c r="AE166" s="792"/>
    </row>
    <row r="167" spans="5:31" s="134" customFormat="1" ht="9" customHeight="1" x14ac:dyDescent="0.25">
      <c r="E167" s="789"/>
      <c r="F167" s="789"/>
      <c r="G167" s="789"/>
      <c r="H167" s="790"/>
      <c r="AD167" s="791"/>
      <c r="AE167" s="792"/>
    </row>
    <row r="168" spans="5:31" s="134" customFormat="1" ht="9" customHeight="1" x14ac:dyDescent="0.25">
      <c r="E168" s="789"/>
      <c r="F168" s="789"/>
      <c r="G168" s="789"/>
      <c r="H168" s="790"/>
      <c r="AD168" s="791"/>
      <c r="AE168" s="792"/>
    </row>
    <row r="169" spans="5:31" s="134" customFormat="1" ht="9" customHeight="1" x14ac:dyDescent="0.25">
      <c r="E169" s="789"/>
      <c r="F169" s="789"/>
      <c r="G169" s="789"/>
      <c r="H169" s="790"/>
      <c r="AD169" s="791"/>
      <c r="AE169" s="792"/>
    </row>
    <row r="170" spans="5:31" s="134" customFormat="1" ht="9" customHeight="1" x14ac:dyDescent="0.25">
      <c r="E170" s="789"/>
      <c r="F170" s="789"/>
      <c r="G170" s="789"/>
      <c r="H170" s="790"/>
      <c r="AD170" s="791"/>
      <c r="AE170" s="792"/>
    </row>
    <row r="171" spans="5:31" s="134" customFormat="1" ht="9" customHeight="1" x14ac:dyDescent="0.25">
      <c r="E171" s="789"/>
      <c r="F171" s="789"/>
      <c r="G171" s="789"/>
      <c r="H171" s="790"/>
      <c r="AD171" s="791"/>
      <c r="AE171" s="792"/>
    </row>
    <row r="172" spans="5:31" s="134" customFormat="1" ht="9" customHeight="1" x14ac:dyDescent="0.25">
      <c r="E172" s="789"/>
      <c r="F172" s="789"/>
      <c r="G172" s="789"/>
      <c r="H172" s="790"/>
      <c r="AD172" s="791"/>
      <c r="AE172" s="792"/>
    </row>
    <row r="173" spans="5:31" s="134" customFormat="1" ht="9" customHeight="1" x14ac:dyDescent="0.25">
      <c r="E173" s="789"/>
      <c r="F173" s="789"/>
      <c r="G173" s="789"/>
      <c r="H173" s="790"/>
      <c r="AD173" s="791"/>
      <c r="AE173" s="792"/>
    </row>
    <row r="174" spans="5:31" s="134" customFormat="1" ht="9" customHeight="1" x14ac:dyDescent="0.25">
      <c r="E174" s="789"/>
      <c r="F174" s="789"/>
      <c r="G174" s="789"/>
      <c r="H174" s="790"/>
      <c r="AD174" s="791"/>
      <c r="AE174" s="792"/>
    </row>
    <row r="175" spans="5:31" s="134" customFormat="1" ht="9" customHeight="1" x14ac:dyDescent="0.25">
      <c r="E175" s="789"/>
      <c r="F175" s="789"/>
      <c r="G175" s="789"/>
      <c r="H175" s="790"/>
      <c r="AD175" s="791"/>
      <c r="AE175" s="792"/>
    </row>
    <row r="176" spans="5:31" s="134" customFormat="1" ht="9" customHeight="1" x14ac:dyDescent="0.25">
      <c r="E176" s="789"/>
      <c r="F176" s="789"/>
      <c r="G176" s="789"/>
      <c r="H176" s="790"/>
      <c r="AD176" s="791"/>
      <c r="AE176" s="792"/>
    </row>
    <row r="177" spans="5:31" s="134" customFormat="1" ht="9" customHeight="1" x14ac:dyDescent="0.25">
      <c r="E177" s="789"/>
      <c r="F177" s="789"/>
      <c r="G177" s="789"/>
      <c r="H177" s="790"/>
      <c r="AD177" s="791"/>
      <c r="AE177" s="792"/>
    </row>
    <row r="178" spans="5:31" s="134" customFormat="1" ht="9" customHeight="1" x14ac:dyDescent="0.25">
      <c r="E178" s="789"/>
      <c r="F178" s="789"/>
      <c r="G178" s="789"/>
      <c r="H178" s="790"/>
      <c r="AD178" s="791"/>
      <c r="AE178" s="792"/>
    </row>
    <row r="179" spans="5:31" s="134" customFormat="1" ht="9" customHeight="1" x14ac:dyDescent="0.25">
      <c r="E179" s="789"/>
      <c r="F179" s="789"/>
      <c r="G179" s="789"/>
      <c r="H179" s="790"/>
      <c r="AD179" s="791"/>
      <c r="AE179" s="792"/>
    </row>
    <row r="180" spans="5:31" s="134" customFormat="1" ht="9" customHeight="1" x14ac:dyDescent="0.25">
      <c r="E180" s="789"/>
      <c r="F180" s="789"/>
      <c r="G180" s="789"/>
      <c r="H180" s="790"/>
      <c r="AD180" s="791"/>
      <c r="AE180" s="792"/>
    </row>
    <row r="181" spans="5:31" s="134" customFormat="1" ht="9" customHeight="1" x14ac:dyDescent="0.25">
      <c r="E181" s="789"/>
      <c r="F181" s="789"/>
      <c r="G181" s="789"/>
      <c r="H181" s="790"/>
      <c r="AD181" s="791"/>
      <c r="AE181" s="792"/>
    </row>
    <row r="182" spans="5:31" s="134" customFormat="1" ht="9" customHeight="1" x14ac:dyDescent="0.25">
      <c r="E182" s="789"/>
      <c r="F182" s="789"/>
      <c r="G182" s="789"/>
      <c r="H182" s="790"/>
      <c r="AD182" s="791"/>
      <c r="AE182" s="792"/>
    </row>
    <row r="183" spans="5:31" s="134" customFormat="1" ht="9" customHeight="1" x14ac:dyDescent="0.25">
      <c r="E183" s="789"/>
      <c r="F183" s="789"/>
      <c r="G183" s="789"/>
      <c r="H183" s="790"/>
      <c r="AD183" s="791"/>
      <c r="AE183" s="792"/>
    </row>
    <row r="184" spans="5:31" s="134" customFormat="1" ht="9" customHeight="1" x14ac:dyDescent="0.25">
      <c r="E184" s="789"/>
      <c r="F184" s="789"/>
      <c r="G184" s="789"/>
      <c r="H184" s="790"/>
      <c r="AD184" s="791"/>
      <c r="AE184" s="792"/>
    </row>
    <row r="185" spans="5:31" s="134" customFormat="1" ht="9" customHeight="1" x14ac:dyDescent="0.25">
      <c r="E185" s="789"/>
      <c r="F185" s="789"/>
      <c r="G185" s="789"/>
      <c r="H185" s="790"/>
      <c r="AD185" s="791"/>
      <c r="AE185" s="792"/>
    </row>
    <row r="186" spans="5:31" s="134" customFormat="1" ht="9" customHeight="1" x14ac:dyDescent="0.25">
      <c r="E186" s="789"/>
      <c r="F186" s="789"/>
      <c r="G186" s="789"/>
      <c r="H186" s="790"/>
      <c r="AD186" s="791"/>
      <c r="AE186" s="792"/>
    </row>
    <row r="187" spans="5:31" s="134" customFormat="1" ht="9" customHeight="1" x14ac:dyDescent="0.25">
      <c r="E187" s="789"/>
      <c r="F187" s="789"/>
      <c r="G187" s="789"/>
      <c r="H187" s="790"/>
      <c r="AD187" s="791"/>
      <c r="AE187" s="792"/>
    </row>
    <row r="188" spans="5:31" s="134" customFormat="1" ht="9" customHeight="1" x14ac:dyDescent="0.25">
      <c r="E188" s="789"/>
      <c r="F188" s="789"/>
      <c r="G188" s="789"/>
      <c r="H188" s="790"/>
      <c r="AD188" s="791"/>
      <c r="AE188" s="792"/>
    </row>
    <row r="189" spans="5:31" s="134" customFormat="1" ht="9" customHeight="1" x14ac:dyDescent="0.25">
      <c r="E189" s="789"/>
      <c r="F189" s="789"/>
      <c r="G189" s="789"/>
      <c r="H189" s="790"/>
      <c r="AD189" s="791"/>
      <c r="AE189" s="792"/>
    </row>
    <row r="190" spans="5:31" s="134" customFormat="1" ht="9" customHeight="1" x14ac:dyDescent="0.25">
      <c r="E190" s="789"/>
      <c r="F190" s="789"/>
      <c r="G190" s="789"/>
      <c r="H190" s="790"/>
      <c r="AD190" s="791"/>
      <c r="AE190" s="792"/>
    </row>
    <row r="191" spans="5:31" s="134" customFormat="1" ht="9" customHeight="1" x14ac:dyDescent="0.25">
      <c r="E191" s="789"/>
      <c r="F191" s="789"/>
      <c r="G191" s="789"/>
      <c r="H191" s="790"/>
      <c r="AD191" s="791"/>
      <c r="AE191" s="792"/>
    </row>
    <row r="192" spans="5:31" s="134" customFormat="1" ht="9" customHeight="1" x14ac:dyDescent="0.25">
      <c r="E192" s="789"/>
      <c r="F192" s="789"/>
      <c r="G192" s="789"/>
      <c r="H192" s="790"/>
      <c r="AD192" s="791"/>
      <c r="AE192" s="792"/>
    </row>
    <row r="193" spans="5:31" s="134" customFormat="1" ht="9" customHeight="1" x14ac:dyDescent="0.25">
      <c r="E193" s="789"/>
      <c r="F193" s="789"/>
      <c r="G193" s="789"/>
      <c r="H193" s="790"/>
      <c r="AD193" s="791"/>
      <c r="AE193" s="792"/>
    </row>
    <row r="194" spans="5:31" s="134" customFormat="1" ht="9" customHeight="1" x14ac:dyDescent="0.25">
      <c r="E194" s="789"/>
      <c r="F194" s="789"/>
      <c r="G194" s="789"/>
      <c r="H194" s="790"/>
      <c r="AD194" s="791"/>
      <c r="AE194" s="792"/>
    </row>
    <row r="195" spans="5:31" s="134" customFormat="1" ht="9" customHeight="1" x14ac:dyDescent="0.25">
      <c r="E195" s="789"/>
      <c r="F195" s="789"/>
      <c r="G195" s="789"/>
      <c r="H195" s="790"/>
      <c r="AD195" s="791"/>
      <c r="AE195" s="792"/>
    </row>
    <row r="196" spans="5:31" s="134" customFormat="1" ht="9" customHeight="1" x14ac:dyDescent="0.25">
      <c r="E196" s="789"/>
      <c r="F196" s="789"/>
      <c r="G196" s="789"/>
      <c r="H196" s="790"/>
      <c r="AD196" s="791"/>
      <c r="AE196" s="792"/>
    </row>
    <row r="197" spans="5:31" s="134" customFormat="1" ht="9" customHeight="1" x14ac:dyDescent="0.25">
      <c r="E197" s="789"/>
      <c r="F197" s="789"/>
      <c r="G197" s="789"/>
      <c r="H197" s="790"/>
      <c r="AD197" s="791"/>
      <c r="AE197" s="792"/>
    </row>
    <row r="198" spans="5:31" s="134" customFormat="1" ht="9" customHeight="1" x14ac:dyDescent="0.25">
      <c r="E198" s="789"/>
      <c r="F198" s="789"/>
      <c r="G198" s="789"/>
      <c r="H198" s="790"/>
      <c r="AD198" s="791"/>
      <c r="AE198" s="792"/>
    </row>
    <row r="199" spans="5:31" s="134" customFormat="1" ht="9" customHeight="1" x14ac:dyDescent="0.25">
      <c r="E199" s="789"/>
      <c r="F199" s="789"/>
      <c r="G199" s="789"/>
      <c r="H199" s="790"/>
      <c r="AD199" s="791"/>
      <c r="AE199" s="792"/>
    </row>
    <row r="200" spans="5:31" s="134" customFormat="1" ht="3" customHeight="1" x14ac:dyDescent="0.25">
      <c r="E200" s="789"/>
      <c r="F200" s="789"/>
      <c r="G200" s="789"/>
      <c r="H200" s="790"/>
      <c r="AD200" s="791"/>
      <c r="AE200" s="792"/>
    </row>
    <row r="201" spans="5:31" s="134" customFormat="1" ht="3" customHeight="1" x14ac:dyDescent="0.25">
      <c r="E201" s="789"/>
      <c r="F201" s="789"/>
      <c r="G201" s="789"/>
      <c r="H201" s="790"/>
      <c r="AD201" s="791"/>
      <c r="AE201" s="792"/>
    </row>
    <row r="202" spans="5:31" s="134" customFormat="1" ht="3" customHeight="1" x14ac:dyDescent="0.25">
      <c r="E202" s="789"/>
      <c r="F202" s="789"/>
      <c r="G202" s="789"/>
      <c r="H202" s="790"/>
      <c r="AD202" s="791"/>
      <c r="AE202" s="792"/>
    </row>
    <row r="203" spans="5:31" s="134" customFormat="1" ht="3" customHeight="1" x14ac:dyDescent="0.25">
      <c r="E203" s="789"/>
      <c r="F203" s="789"/>
      <c r="G203" s="789"/>
      <c r="H203" s="790"/>
      <c r="AD203" s="791"/>
      <c r="AE203" s="792"/>
    </row>
    <row r="204" spans="5:31" s="134" customFormat="1" ht="3" customHeight="1" x14ac:dyDescent="0.25">
      <c r="E204" s="789"/>
      <c r="F204" s="789"/>
      <c r="G204" s="789"/>
      <c r="H204" s="790"/>
      <c r="AD204" s="791"/>
      <c r="AE204" s="792"/>
    </row>
    <row r="205" spans="5:31" s="134" customFormat="1" ht="3" customHeight="1" x14ac:dyDescent="0.25">
      <c r="E205" s="789"/>
      <c r="F205" s="789"/>
      <c r="G205" s="789"/>
      <c r="H205" s="790"/>
      <c r="AD205" s="791"/>
      <c r="AE205" s="792"/>
    </row>
    <row r="206" spans="5:31" s="134" customFormat="1" ht="3" customHeight="1" x14ac:dyDescent="0.25">
      <c r="E206" s="789"/>
      <c r="F206" s="789"/>
      <c r="G206" s="789"/>
      <c r="H206" s="790"/>
      <c r="AD206" s="791"/>
      <c r="AE206" s="792"/>
    </row>
    <row r="207" spans="5:31" s="134" customFormat="1" ht="3" customHeight="1" x14ac:dyDescent="0.25">
      <c r="E207" s="789"/>
      <c r="F207" s="789"/>
      <c r="G207" s="789"/>
      <c r="H207" s="790"/>
      <c r="AD207" s="791"/>
      <c r="AE207" s="792"/>
    </row>
    <row r="208" spans="5:31" s="134" customFormat="1" ht="3" customHeight="1" x14ac:dyDescent="0.25">
      <c r="E208" s="789"/>
      <c r="F208" s="789"/>
      <c r="G208" s="789"/>
      <c r="H208" s="790"/>
      <c r="AD208" s="791"/>
      <c r="AE208" s="792"/>
    </row>
    <row r="209" spans="5:31" s="134" customFormat="1" ht="3" customHeight="1" x14ac:dyDescent="0.25">
      <c r="E209" s="789"/>
      <c r="F209" s="789"/>
      <c r="G209" s="789"/>
      <c r="H209" s="790"/>
      <c r="AD209" s="791"/>
      <c r="AE209" s="792"/>
    </row>
    <row r="210" spans="5:31" s="134" customFormat="1" ht="3" customHeight="1" x14ac:dyDescent="0.25">
      <c r="E210" s="789"/>
      <c r="F210" s="789"/>
      <c r="G210" s="789"/>
      <c r="H210" s="790"/>
      <c r="AD210" s="791"/>
      <c r="AE210" s="792"/>
    </row>
    <row r="211" spans="5:31" s="134" customFormat="1" ht="3" customHeight="1" x14ac:dyDescent="0.25">
      <c r="E211" s="789"/>
      <c r="F211" s="789"/>
      <c r="G211" s="789"/>
      <c r="H211" s="790"/>
      <c r="AD211" s="791"/>
      <c r="AE211" s="792"/>
    </row>
    <row r="212" spans="5:31" s="134" customFormat="1" ht="3" customHeight="1" x14ac:dyDescent="0.25">
      <c r="E212" s="789"/>
      <c r="F212" s="789"/>
      <c r="G212" s="789"/>
      <c r="H212" s="790"/>
      <c r="AD212" s="791"/>
      <c r="AE212" s="792"/>
    </row>
    <row r="213" spans="5:31" s="134" customFormat="1" ht="3" customHeight="1" x14ac:dyDescent="0.25">
      <c r="E213" s="789"/>
      <c r="F213" s="789"/>
      <c r="G213" s="789"/>
      <c r="H213" s="790"/>
      <c r="AD213" s="791"/>
      <c r="AE213" s="792"/>
    </row>
    <row r="214" spans="5:31" s="134" customFormat="1" ht="3" customHeight="1" x14ac:dyDescent="0.25">
      <c r="E214" s="789"/>
      <c r="F214" s="789"/>
      <c r="G214" s="789"/>
      <c r="H214" s="790"/>
      <c r="AD214" s="791"/>
      <c r="AE214" s="792"/>
    </row>
    <row r="215" spans="5:31" s="134" customFormat="1" ht="3" customHeight="1" x14ac:dyDescent="0.25">
      <c r="E215" s="789"/>
      <c r="F215" s="789"/>
      <c r="G215" s="789"/>
      <c r="H215" s="790"/>
      <c r="AD215" s="791"/>
      <c r="AE215" s="792"/>
    </row>
    <row r="216" spans="5:31" s="134" customFormat="1" ht="3" customHeight="1" x14ac:dyDescent="0.25">
      <c r="E216" s="789"/>
      <c r="F216" s="789"/>
      <c r="G216" s="789"/>
      <c r="H216" s="790"/>
      <c r="AD216" s="791"/>
      <c r="AE216" s="792"/>
    </row>
    <row r="217" spans="5:31" s="134" customFormat="1" ht="3" customHeight="1" x14ac:dyDescent="0.25">
      <c r="E217" s="789"/>
      <c r="F217" s="789"/>
      <c r="G217" s="789"/>
      <c r="H217" s="790"/>
      <c r="AD217" s="791"/>
      <c r="AE217" s="792"/>
    </row>
    <row r="218" spans="5:31" s="134" customFormat="1" ht="3" customHeight="1" x14ac:dyDescent="0.25">
      <c r="E218" s="789"/>
      <c r="F218" s="789"/>
      <c r="G218" s="789"/>
      <c r="H218" s="790"/>
      <c r="AD218" s="791"/>
      <c r="AE218" s="792"/>
    </row>
    <row r="219" spans="5:31" s="134" customFormat="1" ht="3" customHeight="1" x14ac:dyDescent="0.25">
      <c r="E219" s="789"/>
      <c r="F219" s="789"/>
      <c r="G219" s="789"/>
      <c r="H219" s="790"/>
      <c r="AD219" s="791"/>
      <c r="AE219" s="792"/>
    </row>
    <row r="220" spans="5:31" s="134" customFormat="1" ht="3" customHeight="1" x14ac:dyDescent="0.25">
      <c r="E220" s="789"/>
      <c r="F220" s="789"/>
      <c r="G220" s="789"/>
      <c r="H220" s="790"/>
      <c r="AD220" s="791"/>
      <c r="AE220" s="792"/>
    </row>
    <row r="221" spans="5:31" s="134" customFormat="1" ht="3" customHeight="1" x14ac:dyDescent="0.25">
      <c r="E221" s="789"/>
      <c r="F221" s="789"/>
      <c r="G221" s="789"/>
      <c r="H221" s="790"/>
      <c r="AD221" s="791"/>
      <c r="AE221" s="792"/>
    </row>
    <row r="222" spans="5:31" s="134" customFormat="1" ht="3" customHeight="1" x14ac:dyDescent="0.25">
      <c r="E222" s="789"/>
      <c r="F222" s="789"/>
      <c r="G222" s="789"/>
      <c r="H222" s="790"/>
      <c r="AD222" s="791"/>
      <c r="AE222" s="792"/>
    </row>
    <row r="223" spans="5:31" s="134" customFormat="1" ht="3" customHeight="1" x14ac:dyDescent="0.25">
      <c r="E223" s="789"/>
      <c r="F223" s="789"/>
      <c r="G223" s="789"/>
      <c r="H223" s="790"/>
      <c r="AD223" s="791"/>
      <c r="AE223" s="792"/>
    </row>
    <row r="224" spans="5:31" s="134" customFormat="1" ht="3" customHeight="1" x14ac:dyDescent="0.25">
      <c r="E224" s="789"/>
      <c r="F224" s="789"/>
      <c r="G224" s="789"/>
      <c r="H224" s="790"/>
      <c r="AD224" s="791"/>
      <c r="AE224" s="792"/>
    </row>
    <row r="225" spans="5:31" s="134" customFormat="1" ht="3" customHeight="1" x14ac:dyDescent="0.25">
      <c r="E225" s="789"/>
      <c r="F225" s="789"/>
      <c r="G225" s="789"/>
      <c r="H225" s="790"/>
      <c r="AD225" s="791"/>
      <c r="AE225" s="792"/>
    </row>
    <row r="226" spans="5:31" s="134" customFormat="1" ht="3" customHeight="1" x14ac:dyDescent="0.25">
      <c r="E226" s="789"/>
      <c r="F226" s="789"/>
      <c r="G226" s="789"/>
      <c r="H226" s="790"/>
      <c r="AD226" s="791"/>
      <c r="AE226" s="792"/>
    </row>
    <row r="227" spans="5:31" s="134" customFormat="1" ht="3" customHeight="1" x14ac:dyDescent="0.25">
      <c r="E227" s="789"/>
      <c r="F227" s="789"/>
      <c r="G227" s="789"/>
      <c r="H227" s="790"/>
      <c r="AD227" s="791"/>
      <c r="AE227" s="792"/>
    </row>
    <row r="228" spans="5:31" s="134" customFormat="1" ht="3" customHeight="1" x14ac:dyDescent="0.25">
      <c r="E228" s="789"/>
      <c r="F228" s="789"/>
      <c r="G228" s="789"/>
      <c r="H228" s="790"/>
      <c r="AD228" s="791"/>
      <c r="AE228" s="792"/>
    </row>
    <row r="229" spans="5:31" s="134" customFormat="1" ht="3" customHeight="1" x14ac:dyDescent="0.25">
      <c r="E229" s="789"/>
      <c r="F229" s="789"/>
      <c r="G229" s="789"/>
      <c r="H229" s="790"/>
      <c r="AD229" s="791"/>
      <c r="AE229" s="792"/>
    </row>
    <row r="230" spans="5:31" s="134" customFormat="1" ht="3" customHeight="1" x14ac:dyDescent="0.25">
      <c r="E230" s="789"/>
      <c r="F230" s="789"/>
      <c r="G230" s="789"/>
      <c r="H230" s="790"/>
      <c r="AD230" s="791"/>
      <c r="AE230" s="792"/>
    </row>
    <row r="231" spans="5:31" s="134" customFormat="1" ht="3" customHeight="1" x14ac:dyDescent="0.25">
      <c r="E231" s="789"/>
      <c r="F231" s="789"/>
      <c r="G231" s="789"/>
      <c r="H231" s="790"/>
      <c r="AD231" s="791"/>
      <c r="AE231" s="792"/>
    </row>
    <row r="232" spans="5:31" s="134" customFormat="1" ht="3" customHeight="1" x14ac:dyDescent="0.25">
      <c r="E232" s="789"/>
      <c r="F232" s="789"/>
      <c r="G232" s="789"/>
      <c r="H232" s="790"/>
      <c r="AD232" s="791"/>
      <c r="AE232" s="792"/>
    </row>
    <row r="233" spans="5:31" s="134" customFormat="1" ht="3" customHeight="1" x14ac:dyDescent="0.25">
      <c r="E233" s="789"/>
      <c r="F233" s="789"/>
      <c r="G233" s="789"/>
      <c r="H233" s="790"/>
      <c r="AD233" s="791"/>
      <c r="AE233" s="792"/>
    </row>
    <row r="234" spans="5:31" s="134" customFormat="1" ht="3" customHeight="1" x14ac:dyDescent="0.25">
      <c r="E234" s="789"/>
      <c r="F234" s="789"/>
      <c r="G234" s="789"/>
      <c r="H234" s="790"/>
      <c r="AD234" s="791"/>
      <c r="AE234" s="792"/>
    </row>
    <row r="235" spans="5:31" s="134" customFormat="1" ht="3" customHeight="1" x14ac:dyDescent="0.25">
      <c r="E235" s="789"/>
      <c r="F235" s="789"/>
      <c r="G235" s="789"/>
      <c r="H235" s="790"/>
      <c r="AD235" s="791"/>
      <c r="AE235" s="792"/>
    </row>
    <row r="236" spans="5:31" s="134" customFormat="1" ht="3" customHeight="1" x14ac:dyDescent="0.25">
      <c r="E236" s="789"/>
      <c r="F236" s="789"/>
      <c r="G236" s="789"/>
      <c r="H236" s="790"/>
      <c r="AD236" s="791"/>
      <c r="AE236" s="792"/>
    </row>
    <row r="237" spans="5:31" s="134" customFormat="1" ht="3" customHeight="1" x14ac:dyDescent="0.25">
      <c r="E237" s="789"/>
      <c r="F237" s="789"/>
      <c r="G237" s="789"/>
      <c r="H237" s="790"/>
      <c r="AD237" s="791"/>
      <c r="AE237" s="792"/>
    </row>
    <row r="238" spans="5:31" s="134" customFormat="1" ht="3" customHeight="1" x14ac:dyDescent="0.25">
      <c r="E238" s="789"/>
      <c r="F238" s="789"/>
      <c r="G238" s="789"/>
      <c r="H238" s="790"/>
      <c r="AD238" s="791"/>
      <c r="AE238" s="792"/>
    </row>
    <row r="239" spans="5:31" s="134" customFormat="1" ht="3" customHeight="1" x14ac:dyDescent="0.25">
      <c r="E239" s="789"/>
      <c r="F239" s="789"/>
      <c r="G239" s="789"/>
      <c r="H239" s="790"/>
      <c r="AD239" s="791"/>
      <c r="AE239" s="792"/>
    </row>
    <row r="240" spans="5:31" s="134" customFormat="1" ht="3" customHeight="1" x14ac:dyDescent="0.25">
      <c r="E240" s="789"/>
      <c r="F240" s="789"/>
      <c r="G240" s="789"/>
      <c r="H240" s="790"/>
      <c r="AD240" s="791"/>
      <c r="AE240" s="792"/>
    </row>
    <row r="241" spans="5:31" s="134" customFormat="1" ht="3" customHeight="1" x14ac:dyDescent="0.25">
      <c r="E241" s="789"/>
      <c r="F241" s="789"/>
      <c r="G241" s="789"/>
      <c r="H241" s="790"/>
      <c r="AD241" s="791"/>
      <c r="AE241" s="792"/>
    </row>
    <row r="242" spans="5:31" s="134" customFormat="1" ht="3" customHeight="1" x14ac:dyDescent="0.25">
      <c r="E242" s="789"/>
      <c r="F242" s="789"/>
      <c r="G242" s="789"/>
      <c r="H242" s="790"/>
      <c r="AD242" s="791"/>
      <c r="AE242" s="792"/>
    </row>
    <row r="243" spans="5:31" s="134" customFormat="1" ht="3" customHeight="1" x14ac:dyDescent="0.25">
      <c r="E243" s="789"/>
      <c r="F243" s="789"/>
      <c r="G243" s="789"/>
      <c r="H243" s="790"/>
      <c r="AD243" s="791"/>
      <c r="AE243" s="792"/>
    </row>
    <row r="244" spans="5:31" s="134" customFormat="1" ht="3" customHeight="1" x14ac:dyDescent="0.25">
      <c r="E244" s="789"/>
      <c r="F244" s="789"/>
      <c r="G244" s="789"/>
      <c r="H244" s="790"/>
      <c r="AD244" s="791"/>
      <c r="AE244" s="792"/>
    </row>
    <row r="245" spans="5:31" s="134" customFormat="1" ht="3" customHeight="1" x14ac:dyDescent="0.25">
      <c r="E245" s="789"/>
      <c r="F245" s="789"/>
      <c r="G245" s="789"/>
      <c r="H245" s="790"/>
      <c r="AD245" s="791"/>
      <c r="AE245" s="792"/>
    </row>
    <row r="246" spans="5:31" s="134" customFormat="1" ht="3" customHeight="1" x14ac:dyDescent="0.25">
      <c r="E246" s="789"/>
      <c r="F246" s="789"/>
      <c r="G246" s="789"/>
      <c r="H246" s="790"/>
      <c r="AD246" s="791"/>
      <c r="AE246" s="792"/>
    </row>
    <row r="247" spans="5:31" s="134" customFormat="1" ht="3" customHeight="1" x14ac:dyDescent="0.25">
      <c r="E247" s="789"/>
      <c r="F247" s="789"/>
      <c r="G247" s="789"/>
      <c r="H247" s="790"/>
      <c r="AD247" s="791"/>
      <c r="AE247" s="792"/>
    </row>
    <row r="248" spans="5:31" s="134" customFormat="1" ht="3" customHeight="1" x14ac:dyDescent="0.25">
      <c r="E248" s="789"/>
      <c r="F248" s="789"/>
      <c r="G248" s="789"/>
      <c r="H248" s="790"/>
      <c r="AD248" s="791"/>
      <c r="AE248" s="792"/>
    </row>
    <row r="249" spans="5:31" s="134" customFormat="1" ht="3" customHeight="1" x14ac:dyDescent="0.25">
      <c r="E249" s="789"/>
      <c r="F249" s="789"/>
      <c r="G249" s="789"/>
      <c r="H249" s="790"/>
      <c r="AD249" s="791"/>
      <c r="AE249" s="792"/>
    </row>
    <row r="250" spans="5:31" s="134" customFormat="1" ht="3" customHeight="1" x14ac:dyDescent="0.25">
      <c r="E250" s="789"/>
      <c r="F250" s="789"/>
      <c r="G250" s="789"/>
      <c r="H250" s="790"/>
      <c r="AD250" s="791"/>
      <c r="AE250" s="792"/>
    </row>
    <row r="251" spans="5:31" s="134" customFormat="1" ht="3" customHeight="1" x14ac:dyDescent="0.25">
      <c r="E251" s="789"/>
      <c r="F251" s="789"/>
      <c r="G251" s="789"/>
      <c r="H251" s="790"/>
      <c r="AD251" s="791"/>
      <c r="AE251" s="792"/>
    </row>
    <row r="252" spans="5:31" s="134" customFormat="1" ht="3" customHeight="1" x14ac:dyDescent="0.25">
      <c r="E252" s="789"/>
      <c r="F252" s="789"/>
      <c r="G252" s="789"/>
      <c r="H252" s="790"/>
      <c r="AD252" s="791"/>
      <c r="AE252" s="792"/>
    </row>
    <row r="253" spans="5:31" s="134" customFormat="1" ht="3" customHeight="1" x14ac:dyDescent="0.25">
      <c r="E253" s="789"/>
      <c r="F253" s="789"/>
      <c r="G253" s="789"/>
      <c r="H253" s="790"/>
      <c r="AD253" s="791"/>
      <c r="AE253" s="792"/>
    </row>
    <row r="254" spans="5:31" s="134" customFormat="1" ht="3" customHeight="1" x14ac:dyDescent="0.25">
      <c r="E254" s="789"/>
      <c r="F254" s="789"/>
      <c r="G254" s="789"/>
      <c r="H254" s="790"/>
      <c r="AD254" s="791"/>
      <c r="AE254" s="792"/>
    </row>
    <row r="255" spans="5:31" s="134" customFormat="1" ht="3" customHeight="1" x14ac:dyDescent="0.25">
      <c r="E255" s="789"/>
      <c r="F255" s="789"/>
      <c r="G255" s="789"/>
      <c r="H255" s="790"/>
      <c r="AD255" s="791"/>
      <c r="AE255" s="792"/>
    </row>
    <row r="256" spans="5:31" s="134" customFormat="1" ht="3" customHeight="1" x14ac:dyDescent="0.25">
      <c r="E256" s="789"/>
      <c r="F256" s="789"/>
      <c r="G256" s="789"/>
      <c r="H256" s="790"/>
      <c r="AD256" s="791"/>
      <c r="AE256" s="792"/>
    </row>
    <row r="257" spans="5:31" s="134" customFormat="1" ht="3" customHeight="1" x14ac:dyDescent="0.25">
      <c r="E257" s="789"/>
      <c r="F257" s="789"/>
      <c r="G257" s="789"/>
      <c r="H257" s="790"/>
      <c r="AD257" s="791"/>
      <c r="AE257" s="792"/>
    </row>
    <row r="258" spans="5:31" s="134" customFormat="1" ht="3" customHeight="1" x14ac:dyDescent="0.25">
      <c r="E258" s="789"/>
      <c r="F258" s="789"/>
      <c r="G258" s="789"/>
      <c r="H258" s="790"/>
      <c r="AD258" s="791"/>
      <c r="AE258" s="792"/>
    </row>
    <row r="259" spans="5:31" s="134" customFormat="1" ht="3" customHeight="1" x14ac:dyDescent="0.25">
      <c r="E259" s="789"/>
      <c r="F259" s="789"/>
      <c r="G259" s="789"/>
      <c r="H259" s="790"/>
      <c r="AD259" s="791"/>
      <c r="AE259" s="792"/>
    </row>
    <row r="260" spans="5:31" s="134" customFormat="1" ht="3" customHeight="1" x14ac:dyDescent="0.25">
      <c r="E260" s="789"/>
      <c r="F260" s="789"/>
      <c r="G260" s="789"/>
      <c r="H260" s="790"/>
      <c r="AD260" s="791"/>
      <c r="AE260" s="792"/>
    </row>
    <row r="261" spans="5:31" s="134" customFormat="1" ht="3" customHeight="1" x14ac:dyDescent="0.25">
      <c r="E261" s="789"/>
      <c r="F261" s="789"/>
      <c r="G261" s="789"/>
      <c r="H261" s="790"/>
      <c r="AD261" s="791"/>
      <c r="AE261" s="792"/>
    </row>
    <row r="262" spans="5:31" s="134" customFormat="1" ht="3" customHeight="1" x14ac:dyDescent="0.25">
      <c r="E262" s="789"/>
      <c r="F262" s="789"/>
      <c r="G262" s="789"/>
      <c r="H262" s="790"/>
      <c r="AD262" s="791"/>
      <c r="AE262" s="792"/>
    </row>
    <row r="263" spans="5:31" s="134" customFormat="1" ht="3" customHeight="1" x14ac:dyDescent="0.25">
      <c r="E263" s="789"/>
      <c r="F263" s="789"/>
      <c r="G263" s="789"/>
      <c r="H263" s="790"/>
      <c r="AD263" s="791"/>
      <c r="AE263" s="792"/>
    </row>
    <row r="264" spans="5:31" s="134" customFormat="1" ht="3" customHeight="1" x14ac:dyDescent="0.25">
      <c r="E264" s="789"/>
      <c r="F264" s="789"/>
      <c r="G264" s="789"/>
      <c r="H264" s="790"/>
      <c r="AD264" s="791"/>
      <c r="AE264" s="792"/>
    </row>
    <row r="265" spans="5:31" s="134" customFormat="1" ht="3" customHeight="1" x14ac:dyDescent="0.25">
      <c r="E265" s="789"/>
      <c r="F265" s="789"/>
      <c r="G265" s="789"/>
      <c r="H265" s="790"/>
      <c r="AD265" s="791"/>
      <c r="AE265" s="792"/>
    </row>
    <row r="266" spans="5:31" s="134" customFormat="1" ht="3" customHeight="1" x14ac:dyDescent="0.25">
      <c r="E266" s="789"/>
      <c r="F266" s="789"/>
      <c r="G266" s="789"/>
      <c r="H266" s="790"/>
      <c r="AD266" s="791"/>
      <c r="AE266" s="792"/>
    </row>
    <row r="267" spans="5:31" s="134" customFormat="1" ht="3" customHeight="1" x14ac:dyDescent="0.25">
      <c r="E267" s="789"/>
      <c r="F267" s="789"/>
      <c r="G267" s="789"/>
      <c r="H267" s="790"/>
      <c r="AD267" s="791"/>
      <c r="AE267" s="792"/>
    </row>
    <row r="268" spans="5:31" s="134" customFormat="1" ht="3" customHeight="1" x14ac:dyDescent="0.25">
      <c r="E268" s="789"/>
      <c r="F268" s="789"/>
      <c r="G268" s="789"/>
      <c r="H268" s="790"/>
      <c r="AD268" s="791"/>
      <c r="AE268" s="792"/>
    </row>
    <row r="269" spans="5:31" s="134" customFormat="1" ht="3" customHeight="1" x14ac:dyDescent="0.25">
      <c r="E269" s="789"/>
      <c r="F269" s="789"/>
      <c r="G269" s="789"/>
      <c r="H269" s="790"/>
      <c r="AD269" s="791"/>
      <c r="AE269" s="792"/>
    </row>
    <row r="270" spans="5:31" s="134" customFormat="1" ht="3" customHeight="1" x14ac:dyDescent="0.25">
      <c r="E270" s="789"/>
      <c r="F270" s="789"/>
      <c r="G270" s="789"/>
      <c r="H270" s="790"/>
      <c r="AD270" s="791"/>
      <c r="AE270" s="792"/>
    </row>
    <row r="271" spans="5:31" s="134" customFormat="1" ht="3" customHeight="1" x14ac:dyDescent="0.25">
      <c r="E271" s="789"/>
      <c r="F271" s="789"/>
      <c r="G271" s="789"/>
      <c r="H271" s="790"/>
      <c r="AD271" s="791"/>
      <c r="AE271" s="792"/>
    </row>
    <row r="272" spans="5:31" s="134" customFormat="1" ht="3" customHeight="1" x14ac:dyDescent="0.25">
      <c r="E272" s="789"/>
      <c r="F272" s="789"/>
      <c r="G272" s="789"/>
      <c r="H272" s="790"/>
      <c r="AD272" s="791"/>
      <c r="AE272" s="792"/>
    </row>
    <row r="273" spans="5:31" s="134" customFormat="1" ht="3" customHeight="1" x14ac:dyDescent="0.25">
      <c r="E273" s="789"/>
      <c r="F273" s="789"/>
      <c r="G273" s="789"/>
      <c r="H273" s="790"/>
      <c r="AD273" s="791"/>
      <c r="AE273" s="792"/>
    </row>
    <row r="274" spans="5:31" s="134" customFormat="1" ht="3" customHeight="1" x14ac:dyDescent="0.25">
      <c r="E274" s="789"/>
      <c r="F274" s="789"/>
      <c r="G274" s="789"/>
      <c r="H274" s="790"/>
      <c r="AD274" s="791"/>
      <c r="AE274" s="792"/>
    </row>
    <row r="275" spans="5:31" s="134" customFormat="1" ht="3" customHeight="1" x14ac:dyDescent="0.25">
      <c r="E275" s="789"/>
      <c r="F275" s="789"/>
      <c r="G275" s="789"/>
      <c r="H275" s="790"/>
      <c r="AD275" s="791"/>
      <c r="AE275" s="792"/>
    </row>
    <row r="276" spans="5:31" s="134" customFormat="1" ht="3" customHeight="1" x14ac:dyDescent="0.25">
      <c r="E276" s="789"/>
      <c r="F276" s="789"/>
      <c r="G276" s="789"/>
      <c r="H276" s="790"/>
      <c r="AD276" s="791"/>
      <c r="AE276" s="792"/>
    </row>
    <row r="277" spans="5:31" s="134" customFormat="1" ht="3" customHeight="1" x14ac:dyDescent="0.25">
      <c r="E277" s="789"/>
      <c r="F277" s="789"/>
      <c r="G277" s="789"/>
      <c r="H277" s="790"/>
      <c r="AD277" s="791"/>
      <c r="AE277" s="792"/>
    </row>
    <row r="278" spans="5:31" s="134" customFormat="1" ht="3" customHeight="1" x14ac:dyDescent="0.25">
      <c r="E278" s="789"/>
      <c r="F278" s="789"/>
      <c r="G278" s="789"/>
      <c r="H278" s="790"/>
      <c r="AD278" s="791"/>
      <c r="AE278" s="792"/>
    </row>
    <row r="279" spans="5:31" s="134" customFormat="1" ht="3" customHeight="1" x14ac:dyDescent="0.25">
      <c r="E279" s="789"/>
      <c r="F279" s="789"/>
      <c r="G279" s="789"/>
      <c r="H279" s="790"/>
      <c r="AD279" s="791"/>
      <c r="AE279" s="792"/>
    </row>
    <row r="280" spans="5:31" s="134" customFormat="1" ht="3" customHeight="1" x14ac:dyDescent="0.25">
      <c r="E280" s="789"/>
      <c r="F280" s="789"/>
      <c r="G280" s="789"/>
      <c r="H280" s="790"/>
      <c r="AD280" s="791"/>
      <c r="AE280" s="792"/>
    </row>
    <row r="281" spans="5:31" s="134" customFormat="1" ht="3" customHeight="1" x14ac:dyDescent="0.25">
      <c r="E281" s="789"/>
      <c r="F281" s="789"/>
      <c r="G281" s="789"/>
      <c r="H281" s="790"/>
      <c r="AD281" s="791"/>
      <c r="AE281" s="792"/>
    </row>
    <row r="282" spans="5:31" s="134" customFormat="1" ht="3" customHeight="1" x14ac:dyDescent="0.25">
      <c r="E282" s="789"/>
      <c r="F282" s="789"/>
      <c r="G282" s="789"/>
      <c r="H282" s="790"/>
      <c r="AD282" s="791"/>
      <c r="AE282" s="792"/>
    </row>
    <row r="283" spans="5:31" s="134" customFormat="1" ht="3" customHeight="1" x14ac:dyDescent="0.25">
      <c r="E283" s="789"/>
      <c r="F283" s="789"/>
      <c r="G283" s="789"/>
      <c r="H283" s="790"/>
      <c r="AD283" s="791"/>
      <c r="AE283" s="792"/>
    </row>
    <row r="284" spans="5:31" s="134" customFormat="1" ht="3" customHeight="1" x14ac:dyDescent="0.25">
      <c r="E284" s="789"/>
      <c r="F284" s="789"/>
      <c r="G284" s="789"/>
      <c r="H284" s="790"/>
      <c r="AD284" s="791"/>
      <c r="AE284" s="792"/>
    </row>
    <row r="285" spans="5:31" s="134" customFormat="1" ht="3" customHeight="1" x14ac:dyDescent="0.25">
      <c r="E285" s="789"/>
      <c r="F285" s="789"/>
      <c r="G285" s="789"/>
      <c r="H285" s="790"/>
      <c r="AD285" s="791"/>
      <c r="AE285" s="792"/>
    </row>
    <row r="286" spans="5:31" s="134" customFormat="1" ht="3" customHeight="1" x14ac:dyDescent="0.25">
      <c r="E286" s="789"/>
      <c r="F286" s="789"/>
      <c r="G286" s="789"/>
      <c r="H286" s="790"/>
      <c r="AD286" s="791"/>
      <c r="AE286" s="792"/>
    </row>
    <row r="287" spans="5:31" s="134" customFormat="1" ht="3" customHeight="1" x14ac:dyDescent="0.25">
      <c r="E287" s="789"/>
      <c r="F287" s="789"/>
      <c r="G287" s="789"/>
      <c r="H287" s="790"/>
      <c r="AD287" s="791"/>
      <c r="AE287" s="792"/>
    </row>
    <row r="288" spans="5:31" s="134" customFormat="1" ht="3" customHeight="1" x14ac:dyDescent="0.25">
      <c r="E288" s="789"/>
      <c r="F288" s="789"/>
      <c r="G288" s="789"/>
      <c r="H288" s="790"/>
      <c r="AD288" s="791"/>
      <c r="AE288" s="792"/>
    </row>
    <row r="289" spans="5:31" s="134" customFormat="1" ht="3" customHeight="1" x14ac:dyDescent="0.25">
      <c r="E289" s="789"/>
      <c r="F289" s="789"/>
      <c r="G289" s="789"/>
      <c r="H289" s="790"/>
      <c r="AD289" s="791"/>
      <c r="AE289" s="792"/>
    </row>
    <row r="290" spans="5:31" s="134" customFormat="1" ht="3" customHeight="1" x14ac:dyDescent="0.25">
      <c r="E290" s="789"/>
      <c r="F290" s="789"/>
      <c r="G290" s="789"/>
      <c r="H290" s="790"/>
      <c r="AD290" s="791"/>
      <c r="AE290" s="792"/>
    </row>
    <row r="291" spans="5:31" s="134" customFormat="1" ht="3" customHeight="1" x14ac:dyDescent="0.25">
      <c r="E291" s="789"/>
      <c r="F291" s="789"/>
      <c r="G291" s="789"/>
      <c r="H291" s="790"/>
      <c r="AD291" s="791"/>
      <c r="AE291" s="792"/>
    </row>
    <row r="292" spans="5:31" s="134" customFormat="1" ht="3" customHeight="1" x14ac:dyDescent="0.25">
      <c r="E292" s="789"/>
      <c r="F292" s="789"/>
      <c r="G292" s="789"/>
      <c r="H292" s="790"/>
      <c r="AD292" s="791"/>
      <c r="AE292" s="792"/>
    </row>
    <row r="293" spans="5:31" s="134" customFormat="1" ht="3" customHeight="1" x14ac:dyDescent="0.25">
      <c r="E293" s="789"/>
      <c r="F293" s="789"/>
      <c r="G293" s="789"/>
      <c r="H293" s="790"/>
      <c r="AD293" s="791"/>
      <c r="AE293" s="792"/>
    </row>
    <row r="294" spans="5:31" s="134" customFormat="1" ht="3" customHeight="1" x14ac:dyDescent="0.25">
      <c r="E294" s="789"/>
      <c r="F294" s="789"/>
      <c r="G294" s="789"/>
      <c r="H294" s="790"/>
      <c r="AD294" s="791"/>
      <c r="AE294" s="792"/>
    </row>
    <row r="295" spans="5:31" s="134" customFormat="1" ht="3" customHeight="1" x14ac:dyDescent="0.25">
      <c r="E295" s="789"/>
      <c r="F295" s="789"/>
      <c r="G295" s="789"/>
      <c r="H295" s="790"/>
      <c r="AD295" s="791"/>
      <c r="AE295" s="792"/>
    </row>
    <row r="296" spans="5:31" s="134" customFormat="1" ht="3" customHeight="1" x14ac:dyDescent="0.25">
      <c r="E296" s="789"/>
      <c r="F296" s="789"/>
      <c r="G296" s="789"/>
      <c r="H296" s="790"/>
      <c r="AD296" s="791"/>
      <c r="AE296" s="792"/>
    </row>
    <row r="297" spans="5:31" s="134" customFormat="1" ht="3" customHeight="1" x14ac:dyDescent="0.25">
      <c r="E297" s="789"/>
      <c r="F297" s="789"/>
      <c r="G297" s="789"/>
      <c r="H297" s="790"/>
      <c r="AD297" s="791"/>
      <c r="AE297" s="792"/>
    </row>
    <row r="298" spans="5:31" s="134" customFormat="1" ht="3" customHeight="1" x14ac:dyDescent="0.25">
      <c r="E298" s="789"/>
      <c r="F298" s="789"/>
      <c r="G298" s="789"/>
      <c r="H298" s="790"/>
      <c r="AD298" s="791"/>
      <c r="AE298" s="792"/>
    </row>
    <row r="299" spans="5:31" s="134" customFormat="1" ht="3" customHeight="1" x14ac:dyDescent="0.25">
      <c r="E299" s="789"/>
      <c r="F299" s="789"/>
      <c r="G299" s="789"/>
      <c r="H299" s="790"/>
      <c r="AD299" s="791"/>
      <c r="AE299" s="792"/>
    </row>
    <row r="300" spans="5:31" s="134" customFormat="1" ht="3" customHeight="1" x14ac:dyDescent="0.25">
      <c r="E300" s="789"/>
      <c r="F300" s="789"/>
      <c r="G300" s="789"/>
      <c r="H300" s="790"/>
      <c r="AD300" s="791"/>
      <c r="AE300" s="792"/>
    </row>
    <row r="301" spans="5:31" s="134" customFormat="1" ht="3" customHeight="1" x14ac:dyDescent="0.25">
      <c r="E301" s="789"/>
      <c r="F301" s="789"/>
      <c r="G301" s="789"/>
      <c r="H301" s="790"/>
      <c r="AD301" s="791"/>
      <c r="AE301" s="792"/>
    </row>
    <row r="302" spans="5:31" s="134" customFormat="1" ht="3" customHeight="1" x14ac:dyDescent="0.25">
      <c r="E302" s="789"/>
      <c r="F302" s="789"/>
      <c r="G302" s="789"/>
      <c r="H302" s="790"/>
      <c r="AD302" s="791"/>
      <c r="AE302" s="792"/>
    </row>
    <row r="303" spans="5:31" s="134" customFormat="1" ht="3" customHeight="1" x14ac:dyDescent="0.25">
      <c r="E303" s="789"/>
      <c r="F303" s="789"/>
      <c r="G303" s="789"/>
      <c r="H303" s="790"/>
      <c r="AD303" s="791"/>
      <c r="AE303" s="792"/>
    </row>
    <row r="304" spans="5:31" s="134" customFormat="1" ht="3" customHeight="1" x14ac:dyDescent="0.25">
      <c r="E304" s="789"/>
      <c r="F304" s="789"/>
      <c r="G304" s="789"/>
      <c r="H304" s="790"/>
      <c r="AD304" s="791"/>
      <c r="AE304" s="792"/>
    </row>
    <row r="305" spans="5:31" s="134" customFormat="1" ht="3" customHeight="1" x14ac:dyDescent="0.25">
      <c r="E305" s="789"/>
      <c r="F305" s="789"/>
      <c r="G305" s="789"/>
      <c r="H305" s="790"/>
      <c r="AD305" s="791"/>
      <c r="AE305" s="792"/>
    </row>
    <row r="306" spans="5:31" s="134" customFormat="1" ht="3" customHeight="1" x14ac:dyDescent="0.25">
      <c r="E306" s="789"/>
      <c r="F306" s="789"/>
      <c r="G306" s="789"/>
      <c r="H306" s="790"/>
      <c r="AD306" s="791"/>
      <c r="AE306" s="792"/>
    </row>
    <row r="307" spans="5:31" s="134" customFormat="1" ht="3" customHeight="1" x14ac:dyDescent="0.25">
      <c r="E307" s="789"/>
      <c r="F307" s="789"/>
      <c r="G307" s="789"/>
      <c r="H307" s="790"/>
      <c r="AD307" s="791"/>
      <c r="AE307" s="792"/>
    </row>
    <row r="308" spans="5:31" s="134" customFormat="1" ht="3" customHeight="1" x14ac:dyDescent="0.25">
      <c r="E308" s="789"/>
      <c r="F308" s="789"/>
      <c r="G308" s="789"/>
      <c r="H308" s="790"/>
      <c r="AD308" s="791"/>
      <c r="AE308" s="792"/>
    </row>
    <row r="309" spans="5:31" s="134" customFormat="1" ht="12.75" customHeight="1" x14ac:dyDescent="0.25">
      <c r="E309" s="789"/>
      <c r="F309" s="789"/>
      <c r="G309" s="789"/>
      <c r="H309" s="790"/>
      <c r="AD309" s="791"/>
      <c r="AE309" s="792"/>
    </row>
    <row r="310" spans="5:31" s="134" customFormat="1" ht="12.75" customHeight="1" x14ac:dyDescent="0.25">
      <c r="E310" s="789"/>
      <c r="F310" s="789"/>
      <c r="G310" s="789"/>
      <c r="H310" s="790"/>
      <c r="AD310" s="791"/>
      <c r="AE310" s="792"/>
    </row>
    <row r="311" spans="5:31" s="134" customFormat="1" ht="12.75" customHeight="1" x14ac:dyDescent="0.25">
      <c r="E311" s="789"/>
      <c r="F311" s="789"/>
      <c r="G311" s="789"/>
      <c r="H311" s="790"/>
      <c r="AD311" s="791"/>
      <c r="AE311" s="792"/>
    </row>
    <row r="312" spans="5:31" s="134" customFormat="1" ht="12.75" customHeight="1" x14ac:dyDescent="0.25">
      <c r="E312" s="789"/>
      <c r="F312" s="789"/>
      <c r="G312" s="789"/>
      <c r="H312" s="790"/>
      <c r="AD312" s="791"/>
      <c r="AE312" s="792"/>
    </row>
    <row r="313" spans="5:31" s="134" customFormat="1" ht="12.75" customHeight="1" x14ac:dyDescent="0.25">
      <c r="E313" s="789"/>
      <c r="F313" s="789"/>
      <c r="G313" s="789"/>
      <c r="H313" s="790"/>
      <c r="AD313" s="791"/>
      <c r="AE313" s="792"/>
    </row>
    <row r="314" spans="5:31" s="134" customFormat="1" ht="12.75" customHeight="1" x14ac:dyDescent="0.25">
      <c r="E314" s="789"/>
      <c r="F314" s="789"/>
      <c r="G314" s="789"/>
      <c r="H314" s="790"/>
      <c r="AD314" s="791"/>
      <c r="AE314" s="792"/>
    </row>
    <row r="315" spans="5:31" s="134" customFormat="1" ht="12.75" customHeight="1" x14ac:dyDescent="0.25">
      <c r="E315" s="789"/>
      <c r="F315" s="789"/>
      <c r="G315" s="789"/>
      <c r="H315" s="790"/>
      <c r="AD315" s="791"/>
      <c r="AE315" s="792"/>
    </row>
    <row r="316" spans="5:31" s="134" customFormat="1" ht="12.75" customHeight="1" x14ac:dyDescent="0.25">
      <c r="E316" s="789"/>
      <c r="F316" s="789"/>
      <c r="G316" s="789"/>
      <c r="H316" s="790"/>
      <c r="AD316" s="791"/>
      <c r="AE316" s="792"/>
    </row>
    <row r="317" spans="5:31" s="134" customFormat="1" ht="12.75" customHeight="1" x14ac:dyDescent="0.25">
      <c r="E317" s="789"/>
      <c r="F317" s="789"/>
      <c r="G317" s="789"/>
      <c r="H317" s="790"/>
      <c r="AD317" s="791"/>
      <c r="AE317" s="792"/>
    </row>
    <row r="318" spans="5:31" s="134" customFormat="1" ht="12.75" customHeight="1" x14ac:dyDescent="0.25">
      <c r="E318" s="789"/>
      <c r="F318" s="789"/>
      <c r="G318" s="789"/>
      <c r="H318" s="790"/>
      <c r="AD318" s="791"/>
      <c r="AE318" s="792"/>
    </row>
    <row r="319" spans="5:31" s="134" customFormat="1" ht="12.75" customHeight="1" x14ac:dyDescent="0.25">
      <c r="E319" s="789"/>
      <c r="F319" s="789"/>
      <c r="G319" s="789"/>
      <c r="H319" s="790"/>
      <c r="AD319" s="791"/>
      <c r="AE319" s="792"/>
    </row>
    <row r="320" spans="5:31" s="134" customFormat="1" ht="12.75" customHeight="1" x14ac:dyDescent="0.25">
      <c r="E320" s="789"/>
      <c r="F320" s="789"/>
      <c r="G320" s="789"/>
      <c r="H320" s="790"/>
      <c r="AD320" s="791"/>
      <c r="AE320" s="792"/>
    </row>
    <row r="321" spans="5:31" s="134" customFormat="1" ht="12.75" customHeight="1" x14ac:dyDescent="0.25">
      <c r="E321" s="789"/>
      <c r="F321" s="789"/>
      <c r="G321" s="789"/>
      <c r="H321" s="790"/>
      <c r="AD321" s="791"/>
      <c r="AE321" s="792"/>
    </row>
    <row r="322" spans="5:31" s="134" customFormat="1" ht="12.75" customHeight="1" x14ac:dyDescent="0.25">
      <c r="E322" s="789"/>
      <c r="F322" s="789"/>
      <c r="G322" s="789"/>
      <c r="H322" s="790"/>
      <c r="AD322" s="791"/>
      <c r="AE322" s="792"/>
    </row>
    <row r="323" spans="5:31" s="134" customFormat="1" ht="12.75" customHeight="1" x14ac:dyDescent="0.25">
      <c r="E323" s="789"/>
      <c r="F323" s="789"/>
      <c r="G323" s="789"/>
      <c r="H323" s="790"/>
      <c r="AD323" s="791"/>
      <c r="AE323" s="792"/>
    </row>
    <row r="324" spans="5:31" s="134" customFormat="1" ht="12.75" customHeight="1" x14ac:dyDescent="0.25">
      <c r="E324" s="789"/>
      <c r="F324" s="789"/>
      <c r="G324" s="789"/>
      <c r="H324" s="790"/>
      <c r="AD324" s="791"/>
      <c r="AE324" s="792"/>
    </row>
    <row r="325" spans="5:31" s="134" customFormat="1" ht="12.75" customHeight="1" x14ac:dyDescent="0.25">
      <c r="E325" s="789"/>
      <c r="F325" s="789"/>
      <c r="G325" s="789"/>
      <c r="H325" s="790"/>
      <c r="AD325" s="791"/>
      <c r="AE325" s="792"/>
    </row>
    <row r="326" spans="5:31" s="134" customFormat="1" ht="12.75" customHeight="1" x14ac:dyDescent="0.25">
      <c r="E326" s="789"/>
      <c r="F326" s="789"/>
      <c r="G326" s="789"/>
      <c r="H326" s="790"/>
      <c r="AD326" s="791"/>
      <c r="AE326" s="792"/>
    </row>
    <row r="327" spans="5:31" s="134" customFormat="1" ht="12.75" customHeight="1" x14ac:dyDescent="0.25">
      <c r="E327" s="789"/>
      <c r="F327" s="789"/>
      <c r="G327" s="789"/>
      <c r="H327" s="790"/>
      <c r="AD327" s="791"/>
      <c r="AE327" s="792"/>
    </row>
    <row r="328" spans="5:31" s="134" customFormat="1" ht="12.75" customHeight="1" x14ac:dyDescent="0.25">
      <c r="E328" s="789"/>
      <c r="F328" s="789"/>
      <c r="G328" s="789"/>
      <c r="H328" s="790"/>
      <c r="AD328" s="791"/>
      <c r="AE328" s="792"/>
    </row>
    <row r="329" spans="5:31" s="134" customFormat="1" ht="12.75" customHeight="1" x14ac:dyDescent="0.25">
      <c r="E329" s="789"/>
      <c r="F329" s="789"/>
      <c r="G329" s="789"/>
      <c r="H329" s="790"/>
      <c r="AD329" s="791"/>
      <c r="AE329" s="792"/>
    </row>
    <row r="330" spans="5:31" s="134" customFormat="1" ht="12.75" customHeight="1" x14ac:dyDescent="0.25">
      <c r="E330" s="789"/>
      <c r="F330" s="789"/>
      <c r="G330" s="789"/>
      <c r="H330" s="790"/>
      <c r="AD330" s="791"/>
      <c r="AE330" s="792"/>
    </row>
    <row r="331" spans="5:31" s="134" customFormat="1" ht="12.75" customHeight="1" x14ac:dyDescent="0.25">
      <c r="E331" s="789"/>
      <c r="F331" s="789"/>
      <c r="G331" s="789"/>
      <c r="H331" s="790"/>
      <c r="AD331" s="791"/>
      <c r="AE331" s="792"/>
    </row>
    <row r="332" spans="5:31" s="134" customFormat="1" ht="12.75" customHeight="1" x14ac:dyDescent="0.25">
      <c r="E332" s="789"/>
      <c r="F332" s="789"/>
      <c r="G332" s="789"/>
      <c r="H332" s="790"/>
      <c r="AD332" s="791"/>
      <c r="AE332" s="792"/>
    </row>
    <row r="333" spans="5:31" s="134" customFormat="1" ht="12.75" customHeight="1" x14ac:dyDescent="0.25">
      <c r="E333" s="789"/>
      <c r="F333" s="789"/>
      <c r="G333" s="789"/>
      <c r="H333" s="790"/>
      <c r="AD333" s="791"/>
      <c r="AE333" s="792"/>
    </row>
    <row r="334" spans="5:31" s="134" customFormat="1" ht="12.75" customHeight="1" x14ac:dyDescent="0.25">
      <c r="E334" s="789"/>
      <c r="F334" s="789"/>
      <c r="G334" s="789"/>
      <c r="H334" s="790"/>
      <c r="AD334" s="791"/>
      <c r="AE334" s="792"/>
    </row>
    <row r="335" spans="5:31" s="134" customFormat="1" ht="12.75" customHeight="1" x14ac:dyDescent="0.25">
      <c r="E335" s="789"/>
      <c r="F335" s="789"/>
      <c r="G335" s="789"/>
      <c r="H335" s="790"/>
      <c r="AD335" s="791"/>
      <c r="AE335" s="792"/>
    </row>
    <row r="336" spans="5:31" s="134" customFormat="1" ht="12.75" customHeight="1" x14ac:dyDescent="0.25">
      <c r="E336" s="789"/>
      <c r="F336" s="789"/>
      <c r="G336" s="789"/>
      <c r="H336" s="790"/>
      <c r="AD336" s="791"/>
      <c r="AE336" s="792"/>
    </row>
    <row r="337" spans="5:31" s="134" customFormat="1" ht="12.75" customHeight="1" x14ac:dyDescent="0.25">
      <c r="E337" s="789"/>
      <c r="F337" s="789"/>
      <c r="G337" s="789"/>
      <c r="H337" s="790"/>
      <c r="AD337" s="791"/>
      <c r="AE337" s="792"/>
    </row>
    <row r="338" spans="5:31" s="134" customFormat="1" ht="12.75" customHeight="1" x14ac:dyDescent="0.25">
      <c r="E338" s="789"/>
      <c r="F338" s="789"/>
      <c r="G338" s="789"/>
      <c r="H338" s="790"/>
      <c r="AD338" s="791"/>
      <c r="AE338" s="792"/>
    </row>
    <row r="339" spans="5:31" s="134" customFormat="1" ht="12.75" customHeight="1" x14ac:dyDescent="0.25">
      <c r="E339" s="789"/>
      <c r="F339" s="789"/>
      <c r="G339" s="789"/>
      <c r="H339" s="790"/>
      <c r="AD339" s="791"/>
      <c r="AE339" s="792"/>
    </row>
    <row r="340" spans="5:31" s="134" customFormat="1" ht="12.75" customHeight="1" x14ac:dyDescent="0.25">
      <c r="E340" s="789"/>
      <c r="F340" s="789"/>
      <c r="G340" s="789"/>
      <c r="H340" s="790"/>
      <c r="AD340" s="791"/>
      <c r="AE340" s="792"/>
    </row>
    <row r="341" spans="5:31" s="134" customFormat="1" ht="12.75" customHeight="1" x14ac:dyDescent="0.25">
      <c r="E341" s="789"/>
      <c r="F341" s="789"/>
      <c r="G341" s="789"/>
      <c r="H341" s="790"/>
      <c r="AD341" s="791"/>
      <c r="AE341" s="792"/>
    </row>
    <row r="342" spans="5:31" s="134" customFormat="1" ht="12.75" customHeight="1" x14ac:dyDescent="0.25">
      <c r="E342" s="789"/>
      <c r="F342" s="789"/>
      <c r="G342" s="789"/>
      <c r="H342" s="790"/>
      <c r="AD342" s="791"/>
      <c r="AE342" s="792"/>
    </row>
    <row r="343" spans="5:31" s="134" customFormat="1" ht="12.75" customHeight="1" x14ac:dyDescent="0.25">
      <c r="E343" s="789"/>
      <c r="F343" s="789"/>
      <c r="G343" s="789"/>
      <c r="H343" s="790"/>
      <c r="AD343" s="791"/>
      <c r="AE343" s="792"/>
    </row>
    <row r="344" spans="5:31" s="134" customFormat="1" ht="12.75" customHeight="1" x14ac:dyDescent="0.25">
      <c r="E344" s="789"/>
      <c r="F344" s="789"/>
      <c r="G344" s="789"/>
      <c r="H344" s="790"/>
      <c r="AD344" s="791"/>
      <c r="AE344" s="792"/>
    </row>
    <row r="345" spans="5:31" s="134" customFormat="1" ht="12.75" customHeight="1" x14ac:dyDescent="0.25">
      <c r="E345" s="789"/>
      <c r="F345" s="789"/>
      <c r="G345" s="789"/>
      <c r="H345" s="790"/>
      <c r="AD345" s="791"/>
      <c r="AE345" s="792"/>
    </row>
    <row r="346" spans="5:31" s="134" customFormat="1" ht="12.75" customHeight="1" x14ac:dyDescent="0.25">
      <c r="E346" s="789"/>
      <c r="F346" s="789"/>
      <c r="G346" s="789"/>
      <c r="H346" s="790"/>
      <c r="AD346" s="791"/>
      <c r="AE346" s="792"/>
    </row>
    <row r="347" spans="5:31" s="134" customFormat="1" ht="12.75" customHeight="1" x14ac:dyDescent="0.25">
      <c r="E347" s="789"/>
      <c r="F347" s="789"/>
      <c r="G347" s="789"/>
      <c r="H347" s="790"/>
      <c r="AD347" s="791"/>
      <c r="AE347" s="792"/>
    </row>
    <row r="348" spans="5:31" s="134" customFormat="1" ht="12.75" customHeight="1" x14ac:dyDescent="0.25">
      <c r="E348" s="789"/>
      <c r="F348" s="789"/>
      <c r="G348" s="789"/>
      <c r="H348" s="790"/>
      <c r="AD348" s="791"/>
      <c r="AE348" s="792"/>
    </row>
    <row r="349" spans="5:31" s="134" customFormat="1" ht="12.75" customHeight="1" x14ac:dyDescent="0.25">
      <c r="E349" s="789"/>
      <c r="F349" s="789"/>
      <c r="G349" s="789"/>
      <c r="H349" s="790"/>
      <c r="AD349" s="791"/>
      <c r="AE349" s="792"/>
    </row>
    <row r="350" spans="5:31" s="134" customFormat="1" ht="12.75" customHeight="1" x14ac:dyDescent="0.25">
      <c r="E350" s="789"/>
      <c r="F350" s="789"/>
      <c r="G350" s="789"/>
      <c r="H350" s="790"/>
      <c r="AD350" s="791"/>
      <c r="AE350" s="792"/>
    </row>
    <row r="351" spans="5:31" s="134" customFormat="1" ht="12.75" customHeight="1" x14ac:dyDescent="0.25">
      <c r="E351" s="789"/>
      <c r="F351" s="789"/>
      <c r="G351" s="789"/>
      <c r="H351" s="790"/>
      <c r="AD351" s="791"/>
      <c r="AE351" s="792"/>
    </row>
    <row r="352" spans="5:31" s="134" customFormat="1" ht="12.75" customHeight="1" x14ac:dyDescent="0.25">
      <c r="E352" s="789"/>
      <c r="F352" s="789"/>
      <c r="G352" s="789"/>
      <c r="H352" s="790"/>
      <c r="AD352" s="791"/>
      <c r="AE352" s="792"/>
    </row>
    <row r="353" spans="5:31" s="134" customFormat="1" ht="12.75" customHeight="1" x14ac:dyDescent="0.25">
      <c r="E353" s="789"/>
      <c r="F353" s="789"/>
      <c r="G353" s="789"/>
      <c r="H353" s="790"/>
      <c r="AD353" s="791"/>
      <c r="AE353" s="792"/>
    </row>
    <row r="354" spans="5:31" s="134" customFormat="1" ht="12.75" customHeight="1" x14ac:dyDescent="0.25">
      <c r="E354" s="789"/>
      <c r="F354" s="789"/>
      <c r="G354" s="789"/>
      <c r="H354" s="790"/>
      <c r="AD354" s="791"/>
      <c r="AE354" s="792"/>
    </row>
    <row r="355" spans="5:31" s="134" customFormat="1" ht="12.75" customHeight="1" x14ac:dyDescent="0.25">
      <c r="E355" s="789"/>
      <c r="F355" s="789"/>
      <c r="G355" s="789"/>
      <c r="H355" s="790"/>
      <c r="AD355" s="791"/>
      <c r="AE355" s="792"/>
    </row>
    <row r="356" spans="5:31" s="134" customFormat="1" ht="12.75" customHeight="1" x14ac:dyDescent="0.25">
      <c r="E356" s="789"/>
      <c r="F356" s="789"/>
      <c r="G356" s="789"/>
      <c r="H356" s="790"/>
      <c r="AD356" s="791"/>
      <c r="AE356" s="792"/>
    </row>
    <row r="357" spans="5:31" s="134" customFormat="1" ht="12.75" customHeight="1" x14ac:dyDescent="0.25">
      <c r="E357" s="789"/>
      <c r="F357" s="789"/>
      <c r="G357" s="789"/>
      <c r="H357" s="790"/>
      <c r="AD357" s="791"/>
      <c r="AE357" s="792"/>
    </row>
    <row r="358" spans="5:31" s="134" customFormat="1" ht="12.75" customHeight="1" x14ac:dyDescent="0.25">
      <c r="E358" s="789"/>
      <c r="F358" s="789"/>
      <c r="G358" s="789"/>
      <c r="H358" s="790"/>
      <c r="AD358" s="791"/>
      <c r="AE358" s="792"/>
    </row>
    <row r="359" spans="5:31" s="134" customFormat="1" ht="12.75" customHeight="1" x14ac:dyDescent="0.25">
      <c r="E359" s="789"/>
      <c r="F359" s="789"/>
      <c r="G359" s="789"/>
      <c r="H359" s="790"/>
      <c r="AD359" s="791"/>
      <c r="AE359" s="792"/>
    </row>
    <row r="360" spans="5:31" s="134" customFormat="1" ht="12.75" customHeight="1" x14ac:dyDescent="0.25">
      <c r="E360" s="789"/>
      <c r="F360" s="789"/>
      <c r="G360" s="789"/>
      <c r="H360" s="790"/>
      <c r="AD360" s="791"/>
      <c r="AE360" s="792"/>
    </row>
    <row r="361" spans="5:31" s="134" customFormat="1" ht="12.75" customHeight="1" x14ac:dyDescent="0.25">
      <c r="E361" s="789"/>
      <c r="F361" s="789"/>
      <c r="G361" s="789"/>
      <c r="H361" s="790"/>
      <c r="AD361" s="791"/>
      <c r="AE361" s="792"/>
    </row>
    <row r="362" spans="5:31" s="134" customFormat="1" ht="12.75" customHeight="1" x14ac:dyDescent="0.25">
      <c r="E362" s="789"/>
      <c r="F362" s="789"/>
      <c r="G362" s="789"/>
      <c r="H362" s="790"/>
      <c r="AD362" s="791"/>
      <c r="AE362" s="792"/>
    </row>
    <row r="363" spans="5:31" s="134" customFormat="1" ht="12.75" customHeight="1" x14ac:dyDescent="0.25">
      <c r="E363" s="789"/>
      <c r="F363" s="789"/>
      <c r="G363" s="789"/>
      <c r="H363" s="790"/>
      <c r="AD363" s="791"/>
      <c r="AE363" s="792"/>
    </row>
    <row r="364" spans="5:31" s="134" customFormat="1" ht="12.75" customHeight="1" x14ac:dyDescent="0.25">
      <c r="E364" s="789"/>
      <c r="F364" s="789"/>
      <c r="G364" s="789"/>
      <c r="H364" s="790"/>
      <c r="AD364" s="791"/>
      <c r="AE364" s="792"/>
    </row>
    <row r="365" spans="5:31" ht="12.75" customHeight="1" x14ac:dyDescent="0.25">
      <c r="E365" s="793"/>
      <c r="F365" s="793"/>
      <c r="G365" s="793"/>
      <c r="H365" s="794"/>
    </row>
    <row r="366" spans="5:31" ht="12.75" customHeight="1" x14ac:dyDescent="0.25">
      <c r="E366" s="793"/>
      <c r="F366" s="793"/>
      <c r="G366" s="793"/>
      <c r="H366" s="794"/>
    </row>
    <row r="367" spans="5:31" ht="12.75" customHeight="1" x14ac:dyDescent="0.25">
      <c r="E367" s="793"/>
      <c r="F367" s="793"/>
      <c r="G367" s="793"/>
      <c r="H367" s="794"/>
    </row>
    <row r="368" spans="5:31" ht="12.75" customHeight="1" x14ac:dyDescent="0.25">
      <c r="E368" s="793"/>
      <c r="F368" s="793"/>
      <c r="G368" s="793"/>
      <c r="H368" s="794"/>
    </row>
    <row r="369" spans="5:8" ht="12.75" customHeight="1" x14ac:dyDescent="0.25">
      <c r="E369" s="793"/>
      <c r="F369" s="793"/>
      <c r="G369" s="793"/>
      <c r="H369" s="794"/>
    </row>
    <row r="370" spans="5:8" ht="12.75" customHeight="1" x14ac:dyDescent="0.25">
      <c r="E370" s="793"/>
      <c r="F370" s="793"/>
      <c r="G370" s="793"/>
      <c r="H370" s="794"/>
    </row>
    <row r="371" spans="5:8" ht="12.75" customHeight="1" x14ac:dyDescent="0.25">
      <c r="E371" s="793"/>
      <c r="F371" s="793"/>
      <c r="G371" s="793"/>
      <c r="H371" s="794"/>
    </row>
    <row r="372" spans="5:8" ht="12.75" customHeight="1" x14ac:dyDescent="0.25">
      <c r="E372" s="793"/>
      <c r="F372" s="793"/>
      <c r="G372" s="793"/>
      <c r="H372" s="794"/>
    </row>
    <row r="373" spans="5:8" ht="12.75" customHeight="1" x14ac:dyDescent="0.25">
      <c r="E373" s="793"/>
      <c r="F373" s="793"/>
      <c r="G373" s="793"/>
      <c r="H373" s="794"/>
    </row>
    <row r="374" spans="5:8" ht="12.75" customHeight="1" x14ac:dyDescent="0.25">
      <c r="E374" s="793"/>
      <c r="F374" s="793"/>
      <c r="G374" s="793"/>
      <c r="H374" s="794"/>
    </row>
    <row r="375" spans="5:8" ht="12.75" customHeight="1" x14ac:dyDescent="0.25">
      <c r="E375" s="793"/>
      <c r="F375" s="793"/>
      <c r="G375" s="793"/>
      <c r="H375" s="794"/>
    </row>
    <row r="376" spans="5:8" ht="12.75" customHeight="1" x14ac:dyDescent="0.25">
      <c r="E376" s="793"/>
      <c r="F376" s="793"/>
      <c r="G376" s="793"/>
      <c r="H376" s="794"/>
    </row>
    <row r="377" spans="5:8" ht="12.75" customHeight="1" x14ac:dyDescent="0.25">
      <c r="E377" s="793"/>
      <c r="F377" s="793"/>
      <c r="G377" s="793"/>
      <c r="H377" s="794"/>
    </row>
    <row r="378" spans="5:8" ht="12.75" customHeight="1" x14ac:dyDescent="0.25">
      <c r="E378" s="793"/>
      <c r="F378" s="793"/>
      <c r="G378" s="793"/>
      <c r="H378" s="794"/>
    </row>
    <row r="379" spans="5:8" ht="12.75" customHeight="1" x14ac:dyDescent="0.25">
      <c r="E379" s="793"/>
      <c r="F379" s="793"/>
      <c r="G379" s="793"/>
      <c r="H379" s="794"/>
    </row>
    <row r="380" spans="5:8" ht="12.75" customHeight="1" x14ac:dyDescent="0.25">
      <c r="E380" s="793"/>
      <c r="F380" s="793"/>
      <c r="G380" s="793"/>
      <c r="H380" s="794"/>
    </row>
    <row r="381" spans="5:8" ht="12.75" customHeight="1" x14ac:dyDescent="0.25">
      <c r="E381" s="793"/>
      <c r="F381" s="793"/>
      <c r="G381" s="793"/>
      <c r="H381" s="794"/>
    </row>
    <row r="382" spans="5:8" ht="12.75" customHeight="1" x14ac:dyDescent="0.25">
      <c r="E382" s="793"/>
      <c r="F382" s="793"/>
      <c r="G382" s="793"/>
      <c r="H382" s="794"/>
    </row>
    <row r="383" spans="5:8" ht="12.75" customHeight="1" x14ac:dyDescent="0.25">
      <c r="E383" s="793"/>
      <c r="F383" s="793"/>
      <c r="G383" s="793"/>
      <c r="H383" s="794"/>
    </row>
    <row r="384" spans="5:8" ht="12.75" customHeight="1" x14ac:dyDescent="0.25">
      <c r="E384" s="793"/>
      <c r="F384" s="793"/>
      <c r="G384" s="793"/>
      <c r="H384" s="794"/>
    </row>
    <row r="385" spans="5:8" ht="12.75" customHeight="1" x14ac:dyDescent="0.25">
      <c r="E385" s="793"/>
      <c r="F385" s="793"/>
      <c r="G385" s="793"/>
      <c r="H385" s="794"/>
    </row>
    <row r="386" spans="5:8" ht="12.75" customHeight="1" x14ac:dyDescent="0.25">
      <c r="E386" s="793"/>
      <c r="F386" s="793"/>
      <c r="G386" s="793"/>
      <c r="H386" s="794"/>
    </row>
    <row r="387" spans="5:8" ht="12.75" customHeight="1" x14ac:dyDescent="0.25">
      <c r="E387" s="793"/>
      <c r="F387" s="793"/>
      <c r="G387" s="793"/>
      <c r="H387" s="794"/>
    </row>
    <row r="388" spans="5:8" ht="12.75" customHeight="1" x14ac:dyDescent="0.25">
      <c r="E388" s="793"/>
      <c r="F388" s="793"/>
      <c r="G388" s="793"/>
      <c r="H388" s="794"/>
    </row>
    <row r="389" spans="5:8" ht="12.75" customHeight="1" x14ac:dyDescent="0.25">
      <c r="E389" s="793"/>
      <c r="F389" s="793"/>
      <c r="G389" s="793"/>
      <c r="H389" s="794"/>
    </row>
    <row r="390" spans="5:8" ht="12.75" customHeight="1" x14ac:dyDescent="0.25">
      <c r="E390" s="793"/>
      <c r="F390" s="793"/>
      <c r="G390" s="793"/>
      <c r="H390" s="794"/>
    </row>
    <row r="391" spans="5:8" ht="12.75" customHeight="1" x14ac:dyDescent="0.25">
      <c r="E391" s="793"/>
      <c r="F391" s="793"/>
      <c r="G391" s="793"/>
      <c r="H391" s="794"/>
    </row>
    <row r="392" spans="5:8" ht="12.75" customHeight="1" x14ac:dyDescent="0.25">
      <c r="E392" s="793"/>
      <c r="F392" s="793"/>
      <c r="G392" s="793"/>
      <c r="H392" s="794"/>
    </row>
    <row r="393" spans="5:8" ht="12.75" customHeight="1" x14ac:dyDescent="0.25">
      <c r="E393" s="793"/>
      <c r="F393" s="793"/>
      <c r="G393" s="793"/>
      <c r="H393" s="794"/>
    </row>
    <row r="394" spans="5:8" ht="12.75" customHeight="1" x14ac:dyDescent="0.25">
      <c r="E394" s="793"/>
      <c r="F394" s="793"/>
      <c r="G394" s="793"/>
      <c r="H394" s="794"/>
    </row>
    <row r="395" spans="5:8" ht="12.75" customHeight="1" x14ac:dyDescent="0.25">
      <c r="E395" s="793"/>
      <c r="F395" s="793"/>
      <c r="G395" s="793"/>
      <c r="H395" s="794"/>
    </row>
    <row r="396" spans="5:8" ht="12.75" customHeight="1" x14ac:dyDescent="0.25">
      <c r="E396" s="793"/>
      <c r="F396" s="793"/>
      <c r="G396" s="793"/>
      <c r="H396" s="794"/>
    </row>
    <row r="397" spans="5:8" ht="12.75" customHeight="1" x14ac:dyDescent="0.25">
      <c r="E397" s="793"/>
      <c r="F397" s="793"/>
      <c r="G397" s="793"/>
      <c r="H397" s="794"/>
    </row>
    <row r="398" spans="5:8" ht="12.75" customHeight="1" x14ac:dyDescent="0.25">
      <c r="E398" s="793"/>
      <c r="F398" s="793"/>
      <c r="G398" s="793"/>
      <c r="H398" s="794"/>
    </row>
    <row r="399" spans="5:8" ht="12.75" customHeight="1" x14ac:dyDescent="0.25">
      <c r="E399" s="793"/>
      <c r="F399" s="793"/>
      <c r="G399" s="793"/>
      <c r="H399" s="794"/>
    </row>
    <row r="400" spans="5:8" ht="12.75" customHeight="1" x14ac:dyDescent="0.25">
      <c r="E400" s="793"/>
      <c r="F400" s="793"/>
      <c r="G400" s="793"/>
      <c r="H400" s="794"/>
    </row>
    <row r="401" spans="5:8" ht="12.75" customHeight="1" x14ac:dyDescent="0.25">
      <c r="E401" s="793"/>
      <c r="F401" s="793"/>
      <c r="G401" s="793"/>
      <c r="H401" s="794"/>
    </row>
    <row r="402" spans="5:8" ht="12.75" customHeight="1" x14ac:dyDescent="0.25">
      <c r="E402" s="793"/>
      <c r="F402" s="793"/>
      <c r="G402" s="793"/>
      <c r="H402" s="794"/>
    </row>
    <row r="403" spans="5:8" ht="12.75" customHeight="1" x14ac:dyDescent="0.25">
      <c r="E403" s="793"/>
      <c r="F403" s="793"/>
      <c r="G403" s="793"/>
      <c r="H403" s="794"/>
    </row>
    <row r="404" spans="5:8" ht="12.75" customHeight="1" x14ac:dyDescent="0.25">
      <c r="E404" s="793"/>
      <c r="F404" s="793"/>
      <c r="G404" s="793"/>
      <c r="H404" s="794"/>
    </row>
    <row r="405" spans="5:8" ht="12.75" customHeight="1" x14ac:dyDescent="0.25">
      <c r="E405" s="793"/>
      <c r="F405" s="793"/>
      <c r="G405" s="793"/>
      <c r="H405" s="794"/>
    </row>
    <row r="406" spans="5:8" ht="12.75" customHeight="1" x14ac:dyDescent="0.25">
      <c r="E406" s="793"/>
      <c r="F406" s="793"/>
      <c r="G406" s="793"/>
      <c r="H406" s="794"/>
    </row>
    <row r="407" spans="5:8" ht="12.75" customHeight="1" x14ac:dyDescent="0.25">
      <c r="E407" s="793"/>
      <c r="F407" s="793"/>
      <c r="G407" s="793"/>
      <c r="H407" s="794"/>
    </row>
    <row r="408" spans="5:8" ht="12.75" customHeight="1" x14ac:dyDescent="0.25">
      <c r="E408" s="793"/>
      <c r="F408" s="793"/>
      <c r="G408" s="793"/>
      <c r="H408" s="794"/>
    </row>
    <row r="409" spans="5:8" ht="12.75" customHeight="1" x14ac:dyDescent="0.25">
      <c r="E409" s="793"/>
      <c r="F409" s="793"/>
      <c r="G409" s="793"/>
      <c r="H409" s="794"/>
    </row>
    <row r="410" spans="5:8" ht="12.75" customHeight="1" x14ac:dyDescent="0.25">
      <c r="E410" s="793"/>
      <c r="F410" s="793"/>
      <c r="G410" s="793"/>
      <c r="H410" s="794"/>
    </row>
    <row r="411" spans="5:8" ht="12.75" customHeight="1" x14ac:dyDescent="0.25">
      <c r="E411" s="793"/>
      <c r="F411" s="793"/>
      <c r="G411" s="793"/>
      <c r="H411" s="794"/>
    </row>
    <row r="412" spans="5:8" ht="12.75" customHeight="1" x14ac:dyDescent="0.25">
      <c r="E412" s="793"/>
      <c r="F412" s="793"/>
      <c r="G412" s="793"/>
      <c r="H412" s="794"/>
    </row>
    <row r="413" spans="5:8" ht="12.75" customHeight="1" x14ac:dyDescent="0.25">
      <c r="E413" s="793"/>
      <c r="F413" s="793"/>
      <c r="G413" s="793"/>
      <c r="H413" s="794"/>
    </row>
    <row r="414" spans="5:8" ht="12.75" customHeight="1" x14ac:dyDescent="0.25">
      <c r="E414" s="793"/>
      <c r="F414" s="793"/>
      <c r="G414" s="793"/>
      <c r="H414" s="794"/>
    </row>
    <row r="415" spans="5:8" ht="12.75" customHeight="1" x14ac:dyDescent="0.25">
      <c r="E415" s="793"/>
      <c r="F415" s="793"/>
      <c r="G415" s="793"/>
      <c r="H415" s="794"/>
    </row>
    <row r="416" spans="5:8" ht="12.75" customHeight="1" x14ac:dyDescent="0.25">
      <c r="E416" s="793"/>
      <c r="F416" s="793"/>
      <c r="G416" s="793"/>
      <c r="H416" s="794"/>
    </row>
    <row r="417" spans="5:8" ht="12.75" customHeight="1" x14ac:dyDescent="0.25">
      <c r="E417" s="793"/>
      <c r="F417" s="793"/>
      <c r="G417" s="793"/>
      <c r="H417" s="794"/>
    </row>
    <row r="418" spans="5:8" ht="12.75" customHeight="1" x14ac:dyDescent="0.25">
      <c r="E418" s="793"/>
      <c r="F418" s="793"/>
      <c r="G418" s="793"/>
      <c r="H418" s="794"/>
    </row>
    <row r="419" spans="5:8" ht="12.75" customHeight="1" x14ac:dyDescent="0.25">
      <c r="E419" s="793"/>
      <c r="F419" s="793"/>
      <c r="G419" s="793"/>
      <c r="H419" s="794"/>
    </row>
    <row r="420" spans="5:8" ht="12.75" customHeight="1" x14ac:dyDescent="0.25">
      <c r="E420" s="793"/>
      <c r="F420" s="793"/>
      <c r="G420" s="793"/>
      <c r="H420" s="794"/>
    </row>
    <row r="421" spans="5:8" ht="12.75" customHeight="1" x14ac:dyDescent="0.25">
      <c r="E421" s="793"/>
      <c r="F421" s="793"/>
      <c r="G421" s="793"/>
      <c r="H421" s="794"/>
    </row>
    <row r="422" spans="5:8" ht="12.75" customHeight="1" x14ac:dyDescent="0.25">
      <c r="E422" s="793"/>
      <c r="F422" s="793"/>
      <c r="G422" s="793"/>
      <c r="H422" s="794"/>
    </row>
    <row r="423" spans="5:8" ht="12.75" customHeight="1" x14ac:dyDescent="0.25">
      <c r="E423" s="793"/>
      <c r="F423" s="793"/>
      <c r="G423" s="793"/>
      <c r="H423" s="794"/>
    </row>
    <row r="424" spans="5:8" ht="12.75" customHeight="1" x14ac:dyDescent="0.25">
      <c r="E424" s="793"/>
      <c r="F424" s="793"/>
      <c r="G424" s="793"/>
      <c r="H424" s="794"/>
    </row>
    <row r="425" spans="5:8" ht="12.75" customHeight="1" x14ac:dyDescent="0.25">
      <c r="E425" s="793"/>
      <c r="F425" s="793"/>
      <c r="G425" s="793"/>
      <c r="H425" s="794"/>
    </row>
    <row r="426" spans="5:8" ht="12.75" customHeight="1" x14ac:dyDescent="0.25">
      <c r="E426" s="793"/>
      <c r="F426" s="793"/>
      <c r="G426" s="793"/>
      <c r="H426" s="794"/>
    </row>
    <row r="427" spans="5:8" ht="12.75" customHeight="1" x14ac:dyDescent="0.25">
      <c r="E427" s="793"/>
      <c r="F427" s="793"/>
      <c r="G427" s="793"/>
      <c r="H427" s="794"/>
    </row>
    <row r="428" spans="5:8" ht="12.75" customHeight="1" x14ac:dyDescent="0.25">
      <c r="E428" s="793"/>
      <c r="F428" s="793"/>
      <c r="G428" s="793"/>
      <c r="H428" s="794"/>
    </row>
    <row r="429" spans="5:8" ht="12.75" customHeight="1" x14ac:dyDescent="0.25">
      <c r="E429" s="793"/>
      <c r="F429" s="793"/>
      <c r="G429" s="793"/>
      <c r="H429" s="794"/>
    </row>
    <row r="430" spans="5:8" ht="12.75" customHeight="1" x14ac:dyDescent="0.25">
      <c r="E430" s="793"/>
      <c r="F430" s="793"/>
      <c r="G430" s="793"/>
      <c r="H430" s="794"/>
    </row>
    <row r="431" spans="5:8" ht="12.75" customHeight="1" x14ac:dyDescent="0.25">
      <c r="E431" s="793"/>
      <c r="F431" s="793"/>
      <c r="G431" s="793"/>
      <c r="H431" s="794"/>
    </row>
    <row r="432" spans="5:8" ht="12.75" customHeight="1" x14ac:dyDescent="0.25">
      <c r="E432" s="793"/>
      <c r="F432" s="793"/>
      <c r="G432" s="793"/>
      <c r="H432" s="794"/>
    </row>
    <row r="433" spans="5:8" ht="12.75" customHeight="1" x14ac:dyDescent="0.25">
      <c r="E433" s="793"/>
      <c r="F433" s="793"/>
      <c r="G433" s="793"/>
      <c r="H433" s="794"/>
    </row>
    <row r="434" spans="5:8" ht="12.75" customHeight="1" x14ac:dyDescent="0.25">
      <c r="E434" s="793"/>
      <c r="F434" s="793"/>
      <c r="G434" s="793"/>
      <c r="H434" s="794"/>
    </row>
    <row r="435" spans="5:8" ht="12.75" customHeight="1" x14ac:dyDescent="0.25">
      <c r="E435" s="793"/>
      <c r="F435" s="793"/>
      <c r="G435" s="793"/>
      <c r="H435" s="794"/>
    </row>
    <row r="436" spans="5:8" ht="12.75" customHeight="1" x14ac:dyDescent="0.25">
      <c r="E436" s="793"/>
      <c r="F436" s="793"/>
      <c r="G436" s="793"/>
      <c r="H436" s="794"/>
    </row>
    <row r="437" spans="5:8" ht="12.75" customHeight="1" x14ac:dyDescent="0.25">
      <c r="E437" s="793"/>
      <c r="F437" s="793"/>
      <c r="G437" s="793"/>
      <c r="H437" s="794"/>
    </row>
    <row r="438" spans="5:8" ht="12.75" customHeight="1" x14ac:dyDescent="0.25">
      <c r="E438" s="793"/>
      <c r="F438" s="793"/>
      <c r="G438" s="793"/>
      <c r="H438" s="794"/>
    </row>
    <row r="439" spans="5:8" ht="12.75" customHeight="1" x14ac:dyDescent="0.25">
      <c r="E439" s="793"/>
      <c r="F439" s="793"/>
      <c r="G439" s="793"/>
      <c r="H439" s="794"/>
    </row>
    <row r="440" spans="5:8" ht="12.75" customHeight="1" x14ac:dyDescent="0.25">
      <c r="E440" s="793"/>
      <c r="F440" s="793"/>
      <c r="G440" s="793"/>
      <c r="H440" s="794"/>
    </row>
    <row r="441" spans="5:8" ht="12.75" customHeight="1" x14ac:dyDescent="0.25">
      <c r="E441" s="793"/>
      <c r="F441" s="793"/>
      <c r="G441" s="793"/>
      <c r="H441" s="794"/>
    </row>
    <row r="442" spans="5:8" ht="12.75" customHeight="1" x14ac:dyDescent="0.25">
      <c r="E442" s="793"/>
      <c r="F442" s="793"/>
      <c r="G442" s="793"/>
      <c r="H442" s="794"/>
    </row>
    <row r="443" spans="5:8" ht="12.75" customHeight="1" x14ac:dyDescent="0.25">
      <c r="E443" s="793"/>
      <c r="F443" s="793"/>
      <c r="G443" s="793"/>
      <c r="H443" s="794"/>
    </row>
    <row r="444" spans="5:8" ht="12.75" customHeight="1" x14ac:dyDescent="0.25">
      <c r="E444" s="793"/>
      <c r="F444" s="793"/>
      <c r="G444" s="793"/>
      <c r="H444" s="794"/>
    </row>
    <row r="445" spans="5:8" ht="12.75" customHeight="1" x14ac:dyDescent="0.25">
      <c r="E445" s="793"/>
      <c r="F445" s="793"/>
      <c r="G445" s="793"/>
      <c r="H445" s="794"/>
    </row>
    <row r="446" spans="5:8" ht="12.75" customHeight="1" x14ac:dyDescent="0.25">
      <c r="E446" s="793"/>
      <c r="F446" s="793"/>
      <c r="G446" s="793"/>
      <c r="H446" s="794"/>
    </row>
    <row r="447" spans="5:8" ht="12.75" customHeight="1" x14ac:dyDescent="0.25">
      <c r="E447" s="793"/>
      <c r="F447" s="793"/>
      <c r="G447" s="793"/>
      <c r="H447" s="794"/>
    </row>
    <row r="448" spans="5:8" ht="12.75" customHeight="1" x14ac:dyDescent="0.25">
      <c r="E448" s="793"/>
      <c r="F448" s="793"/>
      <c r="G448" s="793"/>
      <c r="H448" s="794"/>
    </row>
    <row r="449" spans="5:8" ht="12.75" customHeight="1" x14ac:dyDescent="0.25">
      <c r="E449" s="793"/>
      <c r="F449" s="793"/>
      <c r="G449" s="793"/>
      <c r="H449" s="794"/>
    </row>
    <row r="450" spans="5:8" ht="12.75" customHeight="1" x14ac:dyDescent="0.25">
      <c r="E450" s="793"/>
      <c r="F450" s="793"/>
      <c r="G450" s="793"/>
      <c r="H450" s="794"/>
    </row>
    <row r="451" spans="5:8" ht="12.75" customHeight="1" x14ac:dyDescent="0.25">
      <c r="E451" s="793"/>
      <c r="F451" s="793"/>
      <c r="G451" s="793"/>
      <c r="H451" s="794"/>
    </row>
    <row r="452" spans="5:8" ht="12.75" customHeight="1" x14ac:dyDescent="0.25">
      <c r="E452" s="793"/>
      <c r="F452" s="793"/>
      <c r="G452" s="793"/>
      <c r="H452" s="794"/>
    </row>
    <row r="453" spans="5:8" ht="12.75" customHeight="1" x14ac:dyDescent="0.25">
      <c r="E453" s="793"/>
      <c r="F453" s="793"/>
      <c r="G453" s="793"/>
      <c r="H453" s="794"/>
    </row>
    <row r="454" spans="5:8" ht="12.75" customHeight="1" x14ac:dyDescent="0.25">
      <c r="E454" s="793"/>
      <c r="F454" s="793"/>
      <c r="G454" s="793"/>
      <c r="H454" s="794"/>
    </row>
    <row r="455" spans="5:8" ht="12.75" customHeight="1" x14ac:dyDescent="0.25">
      <c r="E455" s="793"/>
      <c r="F455" s="793"/>
      <c r="G455" s="793"/>
      <c r="H455" s="794"/>
    </row>
    <row r="456" spans="5:8" ht="12.75" customHeight="1" x14ac:dyDescent="0.25">
      <c r="E456" s="793"/>
      <c r="F456" s="793"/>
      <c r="G456" s="793"/>
      <c r="H456" s="794"/>
    </row>
    <row r="457" spans="5:8" ht="12.75" customHeight="1" x14ac:dyDescent="0.25">
      <c r="E457" s="793"/>
      <c r="F457" s="793"/>
      <c r="G457" s="793"/>
      <c r="H457" s="794"/>
    </row>
    <row r="458" spans="5:8" ht="12.75" customHeight="1" x14ac:dyDescent="0.25">
      <c r="E458" s="793"/>
      <c r="F458" s="793"/>
      <c r="G458" s="793"/>
      <c r="H458" s="794"/>
    </row>
    <row r="459" spans="5:8" ht="12.75" customHeight="1" x14ac:dyDescent="0.25">
      <c r="E459" s="793"/>
      <c r="F459" s="793"/>
      <c r="G459" s="793"/>
      <c r="H459" s="794"/>
    </row>
    <row r="460" spans="5:8" ht="12.75" customHeight="1" x14ac:dyDescent="0.25">
      <c r="E460" s="793"/>
      <c r="F460" s="793"/>
      <c r="G460" s="793"/>
      <c r="H460" s="794"/>
    </row>
    <row r="461" spans="5:8" ht="12.75" customHeight="1" x14ac:dyDescent="0.25">
      <c r="E461" s="793"/>
      <c r="F461" s="793"/>
      <c r="G461" s="793"/>
      <c r="H461" s="794"/>
    </row>
    <row r="462" spans="5:8" ht="12.75" customHeight="1" x14ac:dyDescent="0.25">
      <c r="E462" s="793"/>
      <c r="F462" s="793"/>
      <c r="G462" s="793"/>
      <c r="H462" s="794"/>
    </row>
    <row r="463" spans="5:8" ht="12.75" customHeight="1" x14ac:dyDescent="0.25">
      <c r="E463" s="793"/>
      <c r="F463" s="793"/>
      <c r="G463" s="793"/>
      <c r="H463" s="794"/>
    </row>
    <row r="464" spans="5:8" ht="12.75" customHeight="1" x14ac:dyDescent="0.25">
      <c r="E464" s="793"/>
      <c r="F464" s="793"/>
      <c r="G464" s="793"/>
      <c r="H464" s="794"/>
    </row>
    <row r="465" spans="5:8" ht="12.75" customHeight="1" x14ac:dyDescent="0.25">
      <c r="E465" s="793"/>
      <c r="F465" s="793"/>
      <c r="G465" s="793"/>
      <c r="H465" s="794"/>
    </row>
    <row r="466" spans="5:8" ht="12.75" customHeight="1" x14ac:dyDescent="0.25">
      <c r="E466" s="793"/>
      <c r="F466" s="793"/>
      <c r="G466" s="793"/>
      <c r="H466" s="794"/>
    </row>
    <row r="467" spans="5:8" ht="12.75" customHeight="1" x14ac:dyDescent="0.25">
      <c r="E467" s="793"/>
      <c r="F467" s="793"/>
      <c r="G467" s="793"/>
      <c r="H467" s="794"/>
    </row>
    <row r="468" spans="5:8" ht="12.75" customHeight="1" x14ac:dyDescent="0.25">
      <c r="E468" s="793"/>
      <c r="F468" s="793"/>
      <c r="G468" s="793"/>
      <c r="H468" s="794"/>
    </row>
    <row r="469" spans="5:8" ht="12.75" customHeight="1" x14ac:dyDescent="0.25">
      <c r="E469" s="793"/>
      <c r="F469" s="793"/>
      <c r="G469" s="793"/>
      <c r="H469" s="794"/>
    </row>
    <row r="470" spans="5:8" ht="12.75" customHeight="1" x14ac:dyDescent="0.25">
      <c r="E470" s="793"/>
      <c r="F470" s="793"/>
      <c r="G470" s="793"/>
      <c r="H470" s="794"/>
    </row>
    <row r="471" spans="5:8" ht="12.75" customHeight="1" x14ac:dyDescent="0.25">
      <c r="E471" s="793"/>
      <c r="F471" s="793"/>
      <c r="G471" s="793"/>
      <c r="H471" s="794"/>
    </row>
    <row r="472" spans="5:8" ht="12.75" customHeight="1" x14ac:dyDescent="0.25">
      <c r="E472" s="793"/>
      <c r="F472" s="793"/>
      <c r="G472" s="793"/>
      <c r="H472" s="794"/>
    </row>
    <row r="473" spans="5:8" ht="12.75" customHeight="1" x14ac:dyDescent="0.25">
      <c r="E473" s="793"/>
      <c r="F473" s="793"/>
      <c r="G473" s="793"/>
      <c r="H473" s="794"/>
    </row>
    <row r="474" spans="5:8" ht="12.75" customHeight="1" x14ac:dyDescent="0.25">
      <c r="E474" s="793"/>
      <c r="F474" s="793"/>
      <c r="G474" s="793"/>
      <c r="H474" s="794"/>
    </row>
    <row r="475" spans="5:8" ht="12.75" customHeight="1" x14ac:dyDescent="0.25">
      <c r="E475" s="793"/>
      <c r="F475" s="793"/>
      <c r="G475" s="793"/>
      <c r="H475" s="794"/>
    </row>
    <row r="476" spans="5:8" ht="12.75" customHeight="1" x14ac:dyDescent="0.25">
      <c r="E476" s="793"/>
      <c r="F476" s="793"/>
      <c r="G476" s="793"/>
      <c r="H476" s="794"/>
    </row>
    <row r="477" spans="5:8" ht="12.75" customHeight="1" x14ac:dyDescent="0.25">
      <c r="E477" s="793"/>
      <c r="F477" s="793"/>
      <c r="G477" s="793"/>
      <c r="H477" s="794"/>
    </row>
    <row r="478" spans="5:8" ht="12.75" customHeight="1" x14ac:dyDescent="0.25">
      <c r="E478" s="793"/>
      <c r="F478" s="793"/>
      <c r="G478" s="793"/>
      <c r="H478" s="794"/>
    </row>
    <row r="479" spans="5:8" ht="12.75" customHeight="1" x14ac:dyDescent="0.25">
      <c r="E479" s="793"/>
      <c r="F479" s="793"/>
      <c r="G479" s="793"/>
      <c r="H479" s="794"/>
    </row>
    <row r="480" spans="5:8" ht="12.75" customHeight="1" x14ac:dyDescent="0.25">
      <c r="E480" s="793"/>
      <c r="F480" s="793"/>
      <c r="G480" s="793"/>
      <c r="H480" s="794"/>
    </row>
    <row r="481" spans="5:8" ht="12.75" customHeight="1" x14ac:dyDescent="0.25">
      <c r="E481" s="793"/>
      <c r="F481" s="793"/>
      <c r="G481" s="793"/>
      <c r="H481" s="794"/>
    </row>
    <row r="482" spans="5:8" ht="12.75" customHeight="1" x14ac:dyDescent="0.25">
      <c r="E482" s="793"/>
      <c r="F482" s="793"/>
      <c r="G482" s="793"/>
      <c r="H482" s="794"/>
    </row>
    <row r="483" spans="5:8" ht="12.75" customHeight="1" x14ac:dyDescent="0.25">
      <c r="E483" s="793"/>
      <c r="F483" s="793"/>
      <c r="G483" s="793"/>
      <c r="H483" s="794"/>
    </row>
    <row r="484" spans="5:8" ht="12.75" customHeight="1" x14ac:dyDescent="0.25">
      <c r="E484" s="793"/>
      <c r="F484" s="793"/>
      <c r="G484" s="793"/>
      <c r="H484" s="794"/>
    </row>
    <row r="485" spans="5:8" ht="12.75" customHeight="1" x14ac:dyDescent="0.25">
      <c r="E485" s="793"/>
      <c r="F485" s="793"/>
      <c r="G485" s="793"/>
      <c r="H485" s="794"/>
    </row>
    <row r="486" spans="5:8" ht="12.75" customHeight="1" x14ac:dyDescent="0.25">
      <c r="E486" s="793"/>
      <c r="F486" s="793"/>
      <c r="G486" s="793"/>
      <c r="H486" s="794"/>
    </row>
    <row r="487" spans="5:8" ht="12.75" customHeight="1" x14ac:dyDescent="0.25">
      <c r="E487" s="793"/>
      <c r="F487" s="793"/>
      <c r="G487" s="793"/>
      <c r="H487" s="794"/>
    </row>
    <row r="488" spans="5:8" ht="12.75" customHeight="1" x14ac:dyDescent="0.25">
      <c r="E488" s="793"/>
      <c r="F488" s="793"/>
      <c r="G488" s="793"/>
      <c r="H488" s="794"/>
    </row>
    <row r="489" spans="5:8" ht="12.75" customHeight="1" x14ac:dyDescent="0.25">
      <c r="E489" s="793"/>
      <c r="F489" s="793"/>
      <c r="G489" s="793"/>
      <c r="H489" s="794"/>
    </row>
    <row r="490" spans="5:8" ht="12.75" customHeight="1" x14ac:dyDescent="0.25">
      <c r="E490" s="793"/>
      <c r="F490" s="793"/>
      <c r="G490" s="793"/>
      <c r="H490" s="794"/>
    </row>
    <row r="491" spans="5:8" ht="12.75" customHeight="1" x14ac:dyDescent="0.25">
      <c r="E491" s="793"/>
      <c r="F491" s="793"/>
      <c r="G491" s="793"/>
      <c r="H491" s="794"/>
    </row>
    <row r="492" spans="5:8" ht="12.75" customHeight="1" x14ac:dyDescent="0.25">
      <c r="E492" s="793"/>
      <c r="F492" s="793"/>
      <c r="G492" s="793"/>
      <c r="H492" s="794"/>
    </row>
    <row r="493" spans="5:8" ht="12.75" customHeight="1" x14ac:dyDescent="0.25">
      <c r="E493" s="793"/>
      <c r="F493" s="793"/>
      <c r="G493" s="793"/>
      <c r="H493" s="794"/>
    </row>
    <row r="494" spans="5:8" ht="12.75" customHeight="1" x14ac:dyDescent="0.25">
      <c r="E494" s="793"/>
      <c r="F494" s="793"/>
      <c r="G494" s="793"/>
      <c r="H494" s="794"/>
    </row>
    <row r="495" spans="5:8" ht="12.75" customHeight="1" x14ac:dyDescent="0.25">
      <c r="E495" s="793"/>
      <c r="F495" s="793"/>
      <c r="G495" s="793"/>
      <c r="H495" s="794"/>
    </row>
    <row r="496" spans="5:8" ht="12.75" customHeight="1" x14ac:dyDescent="0.25">
      <c r="E496" s="793"/>
      <c r="F496" s="793"/>
      <c r="G496" s="793"/>
      <c r="H496" s="794"/>
    </row>
    <row r="497" spans="5:8" ht="12.75" customHeight="1" x14ac:dyDescent="0.25">
      <c r="E497" s="793"/>
      <c r="F497" s="793"/>
      <c r="G497" s="793"/>
      <c r="H497" s="794"/>
    </row>
    <row r="498" spans="5:8" ht="12.75" customHeight="1" x14ac:dyDescent="0.25">
      <c r="E498" s="793"/>
      <c r="F498" s="793"/>
      <c r="G498" s="793"/>
      <c r="H498" s="794"/>
    </row>
    <row r="499" spans="5:8" ht="12.75" customHeight="1" x14ac:dyDescent="0.25">
      <c r="E499" s="793"/>
      <c r="F499" s="793"/>
      <c r="G499" s="793"/>
      <c r="H499" s="794"/>
    </row>
    <row r="500" spans="5:8" ht="12.75" customHeight="1" x14ac:dyDescent="0.25">
      <c r="E500" s="793"/>
      <c r="F500" s="793"/>
      <c r="G500" s="793"/>
      <c r="H500" s="794"/>
    </row>
    <row r="501" spans="5:8" ht="12.75" customHeight="1" x14ac:dyDescent="0.25">
      <c r="E501" s="793"/>
      <c r="F501" s="793"/>
      <c r="G501" s="793"/>
      <c r="H501" s="794"/>
    </row>
    <row r="502" spans="5:8" ht="12.75" customHeight="1" x14ac:dyDescent="0.25">
      <c r="E502" s="793"/>
      <c r="F502" s="793"/>
      <c r="G502" s="793"/>
      <c r="H502" s="794"/>
    </row>
    <row r="503" spans="5:8" ht="12.75" customHeight="1" x14ac:dyDescent="0.25">
      <c r="E503" s="793"/>
      <c r="F503" s="793"/>
      <c r="G503" s="793"/>
      <c r="H503" s="794"/>
    </row>
    <row r="504" spans="5:8" ht="12.75" customHeight="1" x14ac:dyDescent="0.25">
      <c r="E504" s="793"/>
      <c r="F504" s="793"/>
      <c r="G504" s="793"/>
      <c r="H504" s="794"/>
    </row>
    <row r="505" spans="5:8" ht="12.75" customHeight="1" x14ac:dyDescent="0.25">
      <c r="E505" s="793"/>
      <c r="F505" s="793"/>
      <c r="G505" s="793"/>
      <c r="H505" s="794"/>
    </row>
    <row r="506" spans="5:8" ht="12.75" customHeight="1" x14ac:dyDescent="0.25">
      <c r="E506" s="793"/>
      <c r="F506" s="793"/>
      <c r="G506" s="793"/>
      <c r="H506" s="794"/>
    </row>
    <row r="507" spans="5:8" ht="12.75" customHeight="1" x14ac:dyDescent="0.25">
      <c r="E507" s="793"/>
      <c r="F507" s="793"/>
      <c r="G507" s="793"/>
      <c r="H507" s="794"/>
    </row>
    <row r="508" spans="5:8" ht="12.75" customHeight="1" x14ac:dyDescent="0.25">
      <c r="E508" s="793"/>
      <c r="F508" s="793"/>
      <c r="G508" s="793"/>
      <c r="H508" s="794"/>
    </row>
    <row r="509" spans="5:8" ht="12.75" customHeight="1" x14ac:dyDescent="0.25">
      <c r="E509" s="793"/>
      <c r="F509" s="793"/>
      <c r="G509" s="793"/>
      <c r="H509" s="794"/>
    </row>
    <row r="510" spans="5:8" ht="12.75" customHeight="1" x14ac:dyDescent="0.25">
      <c r="E510" s="793"/>
      <c r="F510" s="793"/>
      <c r="G510" s="793"/>
      <c r="H510" s="794"/>
    </row>
    <row r="511" spans="5:8" ht="12.75" customHeight="1" x14ac:dyDescent="0.25">
      <c r="E511" s="793"/>
      <c r="F511" s="793"/>
      <c r="G511" s="793"/>
      <c r="H511" s="794"/>
    </row>
    <row r="512" spans="5:8" ht="12.75" customHeight="1" x14ac:dyDescent="0.25">
      <c r="E512" s="793"/>
      <c r="F512" s="793"/>
      <c r="G512" s="793"/>
      <c r="H512" s="794"/>
    </row>
    <row r="513" spans="5:8" ht="12.75" customHeight="1" x14ac:dyDescent="0.25">
      <c r="E513" s="793"/>
      <c r="F513" s="793"/>
      <c r="G513" s="793"/>
      <c r="H513" s="794"/>
    </row>
    <row r="514" spans="5:8" ht="12.75" customHeight="1" x14ac:dyDescent="0.25">
      <c r="E514" s="793"/>
      <c r="F514" s="793"/>
      <c r="G514" s="793"/>
      <c r="H514" s="794"/>
    </row>
    <row r="515" spans="5:8" ht="12.75" customHeight="1" x14ac:dyDescent="0.25">
      <c r="E515" s="793"/>
      <c r="F515" s="793"/>
      <c r="G515" s="793"/>
      <c r="H515" s="794"/>
    </row>
    <row r="516" spans="5:8" ht="12.75" customHeight="1" x14ac:dyDescent="0.25">
      <c r="E516" s="793"/>
      <c r="F516" s="793"/>
      <c r="G516" s="793"/>
      <c r="H516" s="794"/>
    </row>
    <row r="517" spans="5:8" ht="12.75" customHeight="1" x14ac:dyDescent="0.25">
      <c r="E517" s="793"/>
      <c r="F517" s="793"/>
      <c r="G517" s="793"/>
      <c r="H517" s="794"/>
    </row>
    <row r="518" spans="5:8" ht="12.75" customHeight="1" x14ac:dyDescent="0.25">
      <c r="E518" s="793"/>
      <c r="F518" s="793"/>
      <c r="G518" s="793"/>
      <c r="H518" s="794"/>
    </row>
    <row r="519" spans="5:8" ht="12.75" customHeight="1" x14ac:dyDescent="0.25">
      <c r="E519" s="793"/>
      <c r="F519" s="793"/>
      <c r="G519" s="793"/>
      <c r="H519" s="794"/>
    </row>
    <row r="520" spans="5:8" ht="12.75" customHeight="1" x14ac:dyDescent="0.25">
      <c r="E520" s="793"/>
      <c r="F520" s="793"/>
      <c r="G520" s="793"/>
      <c r="H520" s="794"/>
    </row>
    <row r="521" spans="5:8" ht="12.75" customHeight="1" x14ac:dyDescent="0.25">
      <c r="E521" s="793"/>
      <c r="F521" s="793"/>
      <c r="G521" s="793"/>
      <c r="H521" s="794"/>
    </row>
    <row r="522" spans="5:8" ht="12.75" customHeight="1" x14ac:dyDescent="0.25">
      <c r="E522" s="793"/>
      <c r="F522" s="793"/>
      <c r="G522" s="793"/>
      <c r="H522" s="794"/>
    </row>
    <row r="523" spans="5:8" ht="12.75" customHeight="1" x14ac:dyDescent="0.25">
      <c r="E523" s="793"/>
      <c r="F523" s="793"/>
      <c r="G523" s="793"/>
      <c r="H523" s="794"/>
    </row>
    <row r="524" spans="5:8" ht="12.75" customHeight="1" x14ac:dyDescent="0.25">
      <c r="E524" s="793"/>
      <c r="F524" s="793"/>
      <c r="G524" s="793"/>
      <c r="H524" s="794"/>
    </row>
    <row r="525" spans="5:8" ht="12.75" customHeight="1" x14ac:dyDescent="0.25">
      <c r="E525" s="793"/>
      <c r="F525" s="793"/>
      <c r="G525" s="793"/>
      <c r="H525" s="794"/>
    </row>
    <row r="526" spans="5:8" ht="12.75" customHeight="1" x14ac:dyDescent="0.25">
      <c r="E526" s="793"/>
      <c r="F526" s="793"/>
      <c r="G526" s="793"/>
      <c r="H526" s="794"/>
    </row>
    <row r="527" spans="5:8" ht="12.75" customHeight="1" x14ac:dyDescent="0.25">
      <c r="E527" s="793"/>
      <c r="F527" s="793"/>
      <c r="G527" s="793"/>
      <c r="H527" s="794"/>
    </row>
    <row r="528" spans="5:8" ht="12.75" customHeight="1" x14ac:dyDescent="0.25">
      <c r="E528" s="793"/>
      <c r="F528" s="793"/>
      <c r="G528" s="793"/>
      <c r="H528" s="794"/>
    </row>
    <row r="529" spans="5:8" ht="12.75" customHeight="1" x14ac:dyDescent="0.25">
      <c r="E529" s="793"/>
      <c r="F529" s="793"/>
      <c r="G529" s="793"/>
      <c r="H529" s="794"/>
    </row>
    <row r="530" spans="5:8" ht="12.75" customHeight="1" x14ac:dyDescent="0.25">
      <c r="E530" s="793"/>
      <c r="F530" s="793"/>
      <c r="G530" s="793"/>
      <c r="H530" s="794"/>
    </row>
    <row r="531" spans="5:8" ht="12.75" customHeight="1" x14ac:dyDescent="0.25">
      <c r="E531" s="793"/>
      <c r="F531" s="793"/>
      <c r="G531" s="793"/>
      <c r="H531" s="794"/>
    </row>
    <row r="532" spans="5:8" ht="12.75" customHeight="1" x14ac:dyDescent="0.25">
      <c r="E532" s="793"/>
      <c r="F532" s="793"/>
      <c r="G532" s="793"/>
      <c r="H532" s="794"/>
    </row>
    <row r="533" spans="5:8" ht="12.75" customHeight="1" x14ac:dyDescent="0.25">
      <c r="E533" s="793"/>
      <c r="F533" s="793"/>
      <c r="G533" s="793"/>
      <c r="H533" s="794"/>
    </row>
    <row r="534" spans="5:8" ht="12.75" customHeight="1" x14ac:dyDescent="0.25">
      <c r="E534" s="793"/>
      <c r="F534" s="793"/>
      <c r="G534" s="793"/>
      <c r="H534" s="794"/>
    </row>
    <row r="535" spans="5:8" ht="12.75" customHeight="1" x14ac:dyDescent="0.25">
      <c r="E535" s="793"/>
      <c r="F535" s="793"/>
      <c r="G535" s="793"/>
      <c r="H535" s="794"/>
    </row>
    <row r="536" spans="5:8" ht="12.75" customHeight="1" x14ac:dyDescent="0.25">
      <c r="E536" s="793"/>
      <c r="F536" s="793"/>
      <c r="G536" s="793"/>
      <c r="H536" s="794"/>
    </row>
    <row r="537" spans="5:8" ht="12.75" customHeight="1" x14ac:dyDescent="0.25">
      <c r="E537" s="793"/>
      <c r="F537" s="793"/>
      <c r="G537" s="793"/>
      <c r="H537" s="794"/>
    </row>
    <row r="538" spans="5:8" ht="12.75" customHeight="1" x14ac:dyDescent="0.25">
      <c r="E538" s="793"/>
      <c r="F538" s="793"/>
      <c r="G538" s="793"/>
      <c r="H538" s="794"/>
    </row>
    <row r="539" spans="5:8" ht="12.75" customHeight="1" x14ac:dyDescent="0.25">
      <c r="E539" s="793"/>
      <c r="F539" s="793"/>
      <c r="G539" s="793"/>
      <c r="H539" s="794"/>
    </row>
    <row r="540" spans="5:8" ht="12.75" customHeight="1" x14ac:dyDescent="0.25">
      <c r="E540" s="793"/>
      <c r="F540" s="793"/>
      <c r="G540" s="793"/>
      <c r="H540" s="794"/>
    </row>
    <row r="541" spans="5:8" ht="12.75" customHeight="1" x14ac:dyDescent="0.25">
      <c r="E541" s="793"/>
      <c r="F541" s="793"/>
      <c r="G541" s="793"/>
      <c r="H541" s="794"/>
    </row>
    <row r="542" spans="5:8" ht="12.75" customHeight="1" x14ac:dyDescent="0.25">
      <c r="E542" s="793"/>
      <c r="F542" s="793"/>
      <c r="G542" s="793"/>
      <c r="H542" s="794"/>
    </row>
    <row r="543" spans="5:8" ht="12.75" customHeight="1" x14ac:dyDescent="0.25">
      <c r="E543" s="793"/>
      <c r="F543" s="793"/>
      <c r="G543" s="793"/>
      <c r="H543" s="794"/>
    </row>
    <row r="544" spans="5:8" ht="12.75" customHeight="1" x14ac:dyDescent="0.25">
      <c r="E544" s="793"/>
      <c r="F544" s="793"/>
      <c r="G544" s="793"/>
      <c r="H544" s="794"/>
    </row>
    <row r="545" spans="5:8" ht="12.75" customHeight="1" x14ac:dyDescent="0.25">
      <c r="E545" s="793"/>
      <c r="F545" s="793"/>
      <c r="G545" s="793"/>
      <c r="H545" s="794"/>
    </row>
    <row r="546" spans="5:8" ht="12.75" customHeight="1" x14ac:dyDescent="0.25">
      <c r="E546" s="793"/>
      <c r="F546" s="793"/>
      <c r="G546" s="793"/>
      <c r="H546" s="794"/>
    </row>
    <row r="547" spans="5:8" ht="12.75" customHeight="1" x14ac:dyDescent="0.25">
      <c r="E547" s="793"/>
      <c r="F547" s="793"/>
      <c r="G547" s="793"/>
      <c r="H547" s="794"/>
    </row>
    <row r="548" spans="5:8" ht="12.75" customHeight="1" x14ac:dyDescent="0.25">
      <c r="E548" s="793"/>
      <c r="F548" s="793"/>
      <c r="G548" s="793"/>
      <c r="H548" s="794"/>
    </row>
    <row r="549" spans="5:8" ht="12.75" customHeight="1" x14ac:dyDescent="0.25">
      <c r="E549" s="793"/>
      <c r="F549" s="793"/>
      <c r="G549" s="793"/>
      <c r="H549" s="794"/>
    </row>
    <row r="550" spans="5:8" ht="12.75" customHeight="1" x14ac:dyDescent="0.25">
      <c r="E550" s="793"/>
      <c r="F550" s="793"/>
      <c r="G550" s="793"/>
      <c r="H550" s="794"/>
    </row>
    <row r="551" spans="5:8" ht="12.75" customHeight="1" x14ac:dyDescent="0.25">
      <c r="E551" s="793"/>
      <c r="F551" s="793"/>
      <c r="G551" s="793"/>
      <c r="H551" s="794"/>
    </row>
    <row r="552" spans="5:8" ht="12.75" customHeight="1" x14ac:dyDescent="0.25">
      <c r="E552" s="793"/>
      <c r="F552" s="793"/>
      <c r="G552" s="793"/>
      <c r="H552" s="794"/>
    </row>
    <row r="553" spans="5:8" ht="12.75" customHeight="1" x14ac:dyDescent="0.25">
      <c r="E553" s="793"/>
      <c r="F553" s="793"/>
      <c r="G553" s="793"/>
      <c r="H553" s="794"/>
    </row>
    <row r="554" spans="5:8" ht="12.75" customHeight="1" x14ac:dyDescent="0.25">
      <c r="E554" s="793"/>
      <c r="F554" s="793"/>
      <c r="G554" s="793"/>
      <c r="H554" s="794"/>
    </row>
    <row r="555" spans="5:8" ht="12.75" customHeight="1" x14ac:dyDescent="0.25">
      <c r="E555" s="793"/>
      <c r="F555" s="793"/>
      <c r="G555" s="793"/>
      <c r="H555" s="794"/>
    </row>
    <row r="556" spans="5:8" ht="12.75" customHeight="1" x14ac:dyDescent="0.25">
      <c r="E556" s="793"/>
      <c r="F556" s="793"/>
      <c r="G556" s="793"/>
      <c r="H556" s="794"/>
    </row>
    <row r="557" spans="5:8" ht="12.75" customHeight="1" x14ac:dyDescent="0.25">
      <c r="E557" s="793"/>
      <c r="F557" s="793"/>
      <c r="G557" s="793"/>
      <c r="H557" s="794"/>
    </row>
    <row r="558" spans="5:8" ht="12.75" customHeight="1" x14ac:dyDescent="0.25">
      <c r="E558" s="793"/>
      <c r="F558" s="793"/>
      <c r="G558" s="793"/>
      <c r="H558" s="794"/>
    </row>
    <row r="559" spans="5:8" ht="12.75" customHeight="1" x14ac:dyDescent="0.25">
      <c r="E559" s="793"/>
      <c r="F559" s="793"/>
      <c r="G559" s="793"/>
      <c r="H559" s="794"/>
    </row>
    <row r="560" spans="5:8" ht="12.75" customHeight="1" x14ac:dyDescent="0.25">
      <c r="E560" s="793"/>
      <c r="F560" s="793"/>
      <c r="G560" s="793"/>
      <c r="H560" s="794"/>
    </row>
    <row r="561" spans="5:8" ht="12.75" customHeight="1" x14ac:dyDescent="0.25">
      <c r="E561" s="793"/>
      <c r="F561" s="793"/>
      <c r="G561" s="793"/>
      <c r="H561" s="794"/>
    </row>
    <row r="562" spans="5:8" ht="12.75" customHeight="1" x14ac:dyDescent="0.25">
      <c r="E562" s="793"/>
      <c r="F562" s="793"/>
      <c r="G562" s="793"/>
      <c r="H562" s="794"/>
    </row>
    <row r="563" spans="5:8" ht="12.75" customHeight="1" x14ac:dyDescent="0.25">
      <c r="E563" s="793"/>
      <c r="F563" s="793"/>
      <c r="G563" s="793"/>
      <c r="H563" s="794"/>
    </row>
    <row r="564" spans="5:8" ht="12.75" customHeight="1" x14ac:dyDescent="0.25">
      <c r="E564" s="793"/>
      <c r="F564" s="793"/>
      <c r="G564" s="793"/>
      <c r="H564" s="794"/>
    </row>
    <row r="565" spans="5:8" ht="12.75" customHeight="1" x14ac:dyDescent="0.25">
      <c r="E565" s="793"/>
      <c r="F565" s="793"/>
      <c r="G565" s="793"/>
      <c r="H565" s="794"/>
    </row>
    <row r="566" spans="5:8" ht="12.75" customHeight="1" x14ac:dyDescent="0.25">
      <c r="E566" s="793"/>
      <c r="F566" s="793"/>
      <c r="G566" s="793"/>
      <c r="H566" s="794"/>
    </row>
    <row r="567" spans="5:8" ht="12.75" customHeight="1" x14ac:dyDescent="0.25">
      <c r="E567" s="793"/>
      <c r="F567" s="793"/>
      <c r="G567" s="793"/>
      <c r="H567" s="794"/>
    </row>
    <row r="568" spans="5:8" ht="12.75" customHeight="1" x14ac:dyDescent="0.25">
      <c r="E568" s="793"/>
      <c r="F568" s="793"/>
      <c r="G568" s="793"/>
      <c r="H568" s="794"/>
    </row>
    <row r="569" spans="5:8" ht="12.75" customHeight="1" x14ac:dyDescent="0.25">
      <c r="E569" s="793"/>
      <c r="F569" s="793"/>
      <c r="G569" s="793"/>
      <c r="H569" s="794"/>
    </row>
    <row r="570" spans="5:8" ht="12.75" customHeight="1" x14ac:dyDescent="0.25">
      <c r="E570" s="793"/>
      <c r="F570" s="793"/>
      <c r="G570" s="793"/>
      <c r="H570" s="794"/>
    </row>
    <row r="571" spans="5:8" ht="12.75" customHeight="1" x14ac:dyDescent="0.25">
      <c r="E571" s="793"/>
      <c r="F571" s="793"/>
      <c r="G571" s="793"/>
      <c r="H571" s="794"/>
    </row>
    <row r="572" spans="5:8" ht="12.75" customHeight="1" x14ac:dyDescent="0.25">
      <c r="E572" s="793"/>
      <c r="F572" s="793"/>
      <c r="G572" s="793"/>
      <c r="H572" s="794"/>
    </row>
    <row r="573" spans="5:8" ht="12.75" customHeight="1" x14ac:dyDescent="0.25">
      <c r="E573" s="793"/>
      <c r="F573" s="793"/>
      <c r="G573" s="793"/>
      <c r="H573" s="794"/>
    </row>
    <row r="574" spans="5:8" ht="12.75" customHeight="1" x14ac:dyDescent="0.25">
      <c r="E574" s="793"/>
      <c r="F574" s="793"/>
      <c r="G574" s="793"/>
      <c r="H574" s="794"/>
    </row>
    <row r="575" spans="5:8" ht="12.75" customHeight="1" x14ac:dyDescent="0.25">
      <c r="E575" s="793"/>
      <c r="F575" s="793"/>
      <c r="G575" s="793"/>
      <c r="H575" s="794"/>
    </row>
    <row r="576" spans="5:8" ht="12.75" customHeight="1" x14ac:dyDescent="0.25">
      <c r="E576" s="793"/>
      <c r="F576" s="793"/>
      <c r="G576" s="793"/>
      <c r="H576" s="794"/>
    </row>
    <row r="577" spans="5:8" ht="12.75" customHeight="1" x14ac:dyDescent="0.25">
      <c r="E577" s="793"/>
      <c r="F577" s="793"/>
      <c r="G577" s="793"/>
      <c r="H577" s="794"/>
    </row>
    <row r="578" spans="5:8" ht="12.75" customHeight="1" x14ac:dyDescent="0.25">
      <c r="E578" s="793"/>
      <c r="F578" s="793"/>
      <c r="G578" s="793"/>
      <c r="H578" s="794"/>
    </row>
    <row r="579" spans="5:8" ht="12.75" customHeight="1" x14ac:dyDescent="0.25">
      <c r="E579" s="793"/>
      <c r="F579" s="793"/>
      <c r="G579" s="793"/>
      <c r="H579" s="794"/>
    </row>
    <row r="580" spans="5:8" ht="12.75" customHeight="1" x14ac:dyDescent="0.25">
      <c r="E580" s="793"/>
      <c r="F580" s="793"/>
      <c r="G580" s="793"/>
      <c r="H580" s="794"/>
    </row>
    <row r="581" spans="5:8" ht="12.75" customHeight="1" x14ac:dyDescent="0.25">
      <c r="E581" s="793"/>
      <c r="F581" s="793"/>
      <c r="G581" s="793"/>
      <c r="H581" s="794"/>
    </row>
    <row r="582" spans="5:8" ht="12.75" customHeight="1" x14ac:dyDescent="0.25">
      <c r="E582" s="793"/>
      <c r="F582" s="793"/>
      <c r="G582" s="793"/>
      <c r="H582" s="794"/>
    </row>
    <row r="583" spans="5:8" ht="12.75" customHeight="1" x14ac:dyDescent="0.25">
      <c r="E583" s="793"/>
      <c r="F583" s="793"/>
      <c r="G583" s="793"/>
      <c r="H583" s="794"/>
    </row>
    <row r="584" spans="5:8" ht="12.75" customHeight="1" x14ac:dyDescent="0.25">
      <c r="E584" s="793"/>
      <c r="F584" s="793"/>
      <c r="G584" s="793"/>
      <c r="H584" s="794"/>
    </row>
    <row r="585" spans="5:8" ht="12.75" customHeight="1" x14ac:dyDescent="0.25">
      <c r="E585" s="793"/>
      <c r="F585" s="793"/>
      <c r="G585" s="793"/>
      <c r="H585" s="794"/>
    </row>
    <row r="586" spans="5:8" ht="12.75" customHeight="1" x14ac:dyDescent="0.25">
      <c r="E586" s="793"/>
      <c r="F586" s="793"/>
      <c r="G586" s="793"/>
      <c r="H586" s="794"/>
    </row>
    <row r="587" spans="5:8" ht="12.75" customHeight="1" x14ac:dyDescent="0.25">
      <c r="E587" s="793"/>
      <c r="F587" s="793"/>
      <c r="G587" s="793"/>
      <c r="H587" s="794"/>
    </row>
    <row r="588" spans="5:8" ht="12.75" customHeight="1" x14ac:dyDescent="0.25">
      <c r="E588" s="793"/>
      <c r="F588" s="793"/>
      <c r="G588" s="793"/>
      <c r="H588" s="794"/>
    </row>
    <row r="589" spans="5:8" ht="12.75" customHeight="1" x14ac:dyDescent="0.25">
      <c r="E589" s="793"/>
      <c r="F589" s="793"/>
      <c r="G589" s="793"/>
      <c r="H589" s="794"/>
    </row>
    <row r="590" spans="5:8" ht="12.75" customHeight="1" x14ac:dyDescent="0.25">
      <c r="E590" s="793"/>
      <c r="F590" s="793"/>
      <c r="G590" s="793"/>
      <c r="H590" s="794"/>
    </row>
    <row r="591" spans="5:8" ht="12.75" customHeight="1" x14ac:dyDescent="0.25">
      <c r="E591" s="793"/>
      <c r="F591" s="793"/>
      <c r="G591" s="793"/>
      <c r="H591" s="794"/>
    </row>
    <row r="592" spans="5:8" ht="12.75" customHeight="1" x14ac:dyDescent="0.25">
      <c r="E592" s="793"/>
      <c r="F592" s="793"/>
      <c r="G592" s="793"/>
      <c r="H592" s="794"/>
    </row>
    <row r="593" spans="5:8" ht="12.75" customHeight="1" x14ac:dyDescent="0.25">
      <c r="E593" s="793"/>
      <c r="F593" s="793"/>
      <c r="G593" s="793"/>
      <c r="H593" s="794"/>
    </row>
    <row r="594" spans="5:8" ht="12.75" customHeight="1" x14ac:dyDescent="0.25">
      <c r="E594" s="793"/>
      <c r="F594" s="793"/>
      <c r="G594" s="793"/>
      <c r="H594" s="794"/>
    </row>
    <row r="595" spans="5:8" ht="12.75" customHeight="1" x14ac:dyDescent="0.25">
      <c r="E595" s="793"/>
      <c r="F595" s="793"/>
      <c r="G595" s="793"/>
      <c r="H595" s="794"/>
    </row>
    <row r="596" spans="5:8" ht="12.75" customHeight="1" x14ac:dyDescent="0.25">
      <c r="E596" s="793"/>
      <c r="F596" s="793"/>
      <c r="G596" s="793"/>
      <c r="H596" s="794"/>
    </row>
    <row r="597" spans="5:8" ht="12.75" customHeight="1" x14ac:dyDescent="0.25">
      <c r="E597" s="793"/>
      <c r="F597" s="793"/>
      <c r="G597" s="793"/>
      <c r="H597" s="794"/>
    </row>
    <row r="598" spans="5:8" ht="12.75" customHeight="1" x14ac:dyDescent="0.25">
      <c r="E598" s="793"/>
      <c r="F598" s="793"/>
      <c r="G598" s="793"/>
      <c r="H598" s="794"/>
    </row>
    <row r="599" spans="5:8" ht="12.75" customHeight="1" x14ac:dyDescent="0.25">
      <c r="E599" s="793"/>
      <c r="F599" s="793"/>
      <c r="G599" s="793"/>
      <c r="H599" s="794"/>
    </row>
    <row r="600" spans="5:8" ht="12.75" customHeight="1" x14ac:dyDescent="0.25">
      <c r="E600" s="793"/>
      <c r="F600" s="793"/>
      <c r="G600" s="793"/>
      <c r="H600" s="794"/>
    </row>
    <row r="601" spans="5:8" ht="12.75" customHeight="1" x14ac:dyDescent="0.25">
      <c r="E601" s="793"/>
      <c r="F601" s="793"/>
      <c r="G601" s="793"/>
      <c r="H601" s="794"/>
    </row>
    <row r="602" spans="5:8" ht="12.75" customHeight="1" x14ac:dyDescent="0.25">
      <c r="E602" s="793"/>
      <c r="F602" s="793"/>
      <c r="G602" s="793"/>
      <c r="H602" s="794"/>
    </row>
    <row r="603" spans="5:8" ht="12.75" customHeight="1" x14ac:dyDescent="0.25">
      <c r="E603" s="793"/>
      <c r="F603" s="793"/>
      <c r="G603" s="793"/>
      <c r="H603" s="794"/>
    </row>
    <row r="604" spans="5:8" ht="12.75" customHeight="1" x14ac:dyDescent="0.25">
      <c r="E604" s="793"/>
      <c r="F604" s="793"/>
      <c r="G604" s="793"/>
      <c r="H604" s="794"/>
    </row>
    <row r="605" spans="5:8" ht="12.75" customHeight="1" x14ac:dyDescent="0.25">
      <c r="E605" s="793"/>
      <c r="F605" s="793"/>
      <c r="G605" s="793"/>
      <c r="H605" s="794"/>
    </row>
    <row r="606" spans="5:8" ht="12.75" customHeight="1" x14ac:dyDescent="0.25">
      <c r="E606" s="793"/>
      <c r="F606" s="793"/>
      <c r="G606" s="793"/>
      <c r="H606" s="794"/>
    </row>
    <row r="607" spans="5:8" ht="12.75" customHeight="1" x14ac:dyDescent="0.25">
      <c r="E607" s="793"/>
      <c r="F607" s="793"/>
      <c r="G607" s="793"/>
      <c r="H607" s="794"/>
    </row>
    <row r="608" spans="5:8" ht="12.75" customHeight="1" x14ac:dyDescent="0.25">
      <c r="E608" s="793"/>
      <c r="F608" s="793"/>
      <c r="G608" s="793"/>
      <c r="H608" s="794"/>
    </row>
    <row r="609" spans="5:8" ht="12.75" customHeight="1" x14ac:dyDescent="0.25">
      <c r="E609" s="793"/>
      <c r="F609" s="793"/>
      <c r="G609" s="793"/>
      <c r="H609" s="794"/>
    </row>
    <row r="610" spans="5:8" ht="12.75" customHeight="1" x14ac:dyDescent="0.25">
      <c r="E610" s="793"/>
      <c r="F610" s="793"/>
      <c r="G610" s="793"/>
      <c r="H610" s="794"/>
    </row>
    <row r="611" spans="5:8" ht="12.75" customHeight="1" x14ac:dyDescent="0.25">
      <c r="E611" s="793"/>
      <c r="F611" s="793"/>
      <c r="G611" s="793"/>
      <c r="H611" s="794"/>
    </row>
    <row r="612" spans="5:8" ht="12.75" customHeight="1" x14ac:dyDescent="0.25">
      <c r="E612" s="793"/>
      <c r="F612" s="793"/>
      <c r="G612" s="793"/>
      <c r="H612" s="794"/>
    </row>
    <row r="613" spans="5:8" ht="12.75" customHeight="1" x14ac:dyDescent="0.25">
      <c r="E613" s="793"/>
      <c r="F613" s="793"/>
      <c r="G613" s="793"/>
      <c r="H613" s="794"/>
    </row>
    <row r="614" spans="5:8" ht="12.75" customHeight="1" x14ac:dyDescent="0.25">
      <c r="E614" s="793"/>
      <c r="F614" s="793"/>
      <c r="G614" s="793"/>
      <c r="H614" s="794"/>
    </row>
    <row r="615" spans="5:8" ht="12.75" customHeight="1" x14ac:dyDescent="0.25">
      <c r="E615" s="793"/>
      <c r="F615" s="793"/>
      <c r="G615" s="793"/>
      <c r="H615" s="794"/>
    </row>
    <row r="616" spans="5:8" ht="12.75" customHeight="1" x14ac:dyDescent="0.25">
      <c r="E616" s="793"/>
      <c r="F616" s="793"/>
      <c r="G616" s="793"/>
      <c r="H616" s="794"/>
    </row>
    <row r="617" spans="5:8" ht="12.75" customHeight="1" x14ac:dyDescent="0.25">
      <c r="E617" s="793"/>
      <c r="F617" s="793"/>
      <c r="G617" s="793"/>
      <c r="H617" s="794"/>
    </row>
    <row r="618" spans="5:8" ht="12.75" customHeight="1" x14ac:dyDescent="0.25">
      <c r="E618" s="793"/>
      <c r="F618" s="793"/>
      <c r="G618" s="793"/>
      <c r="H618" s="794"/>
    </row>
    <row r="619" spans="5:8" ht="12.75" customHeight="1" x14ac:dyDescent="0.25">
      <c r="E619" s="793"/>
      <c r="F619" s="793"/>
      <c r="G619" s="793"/>
      <c r="H619" s="794"/>
    </row>
    <row r="620" spans="5:8" ht="12.75" customHeight="1" x14ac:dyDescent="0.25">
      <c r="E620" s="793"/>
      <c r="F620" s="793"/>
      <c r="G620" s="793"/>
      <c r="H620" s="794"/>
    </row>
    <row r="621" spans="5:8" ht="12.75" customHeight="1" x14ac:dyDescent="0.25">
      <c r="E621" s="793"/>
      <c r="F621" s="793"/>
      <c r="G621" s="793"/>
      <c r="H621" s="794"/>
    </row>
    <row r="622" spans="5:8" ht="12.75" customHeight="1" x14ac:dyDescent="0.25">
      <c r="E622" s="793"/>
      <c r="F622" s="793"/>
      <c r="G622" s="793"/>
      <c r="H622" s="794"/>
    </row>
    <row r="623" spans="5:8" ht="12.75" customHeight="1" x14ac:dyDescent="0.25">
      <c r="E623" s="793"/>
      <c r="F623" s="793"/>
      <c r="G623" s="793"/>
      <c r="H623" s="794"/>
    </row>
    <row r="624" spans="5:8" ht="12.75" customHeight="1" x14ac:dyDescent="0.25">
      <c r="E624" s="793"/>
      <c r="F624" s="793"/>
      <c r="G624" s="793"/>
      <c r="H624" s="794"/>
    </row>
    <row r="625" spans="5:8" ht="12.75" customHeight="1" x14ac:dyDescent="0.25">
      <c r="E625" s="793"/>
      <c r="F625" s="793"/>
      <c r="G625" s="793"/>
      <c r="H625" s="794"/>
    </row>
    <row r="626" spans="5:8" ht="12.75" customHeight="1" x14ac:dyDescent="0.25">
      <c r="E626" s="793"/>
      <c r="F626" s="793"/>
      <c r="G626" s="793"/>
      <c r="H626" s="794"/>
    </row>
    <row r="627" spans="5:8" ht="12.75" customHeight="1" x14ac:dyDescent="0.25">
      <c r="E627" s="793"/>
      <c r="F627" s="793"/>
      <c r="G627" s="793"/>
      <c r="H627" s="794"/>
    </row>
    <row r="628" spans="5:8" ht="12.75" customHeight="1" x14ac:dyDescent="0.25">
      <c r="E628" s="793"/>
      <c r="F628" s="793"/>
      <c r="G628" s="793"/>
      <c r="H628" s="794"/>
    </row>
    <row r="629" spans="5:8" ht="12.75" customHeight="1" x14ac:dyDescent="0.25">
      <c r="E629" s="793"/>
      <c r="F629" s="793"/>
      <c r="G629" s="793"/>
      <c r="H629" s="794"/>
    </row>
    <row r="630" spans="5:8" ht="12.75" customHeight="1" x14ac:dyDescent="0.25">
      <c r="E630" s="793"/>
      <c r="F630" s="793"/>
      <c r="G630" s="793"/>
      <c r="H630" s="794"/>
    </row>
    <row r="631" spans="5:8" ht="12.75" customHeight="1" x14ac:dyDescent="0.25">
      <c r="E631" s="793"/>
      <c r="F631" s="793"/>
      <c r="G631" s="793"/>
      <c r="H631" s="794"/>
    </row>
    <row r="632" spans="5:8" ht="12.75" customHeight="1" x14ac:dyDescent="0.25">
      <c r="E632" s="793"/>
      <c r="F632" s="793"/>
      <c r="G632" s="793"/>
      <c r="H632" s="794"/>
    </row>
    <row r="633" spans="5:8" ht="12.75" customHeight="1" x14ac:dyDescent="0.25">
      <c r="E633" s="793"/>
      <c r="F633" s="793"/>
      <c r="G633" s="793"/>
      <c r="H633" s="794"/>
    </row>
    <row r="634" spans="5:8" ht="12.75" customHeight="1" x14ac:dyDescent="0.25">
      <c r="E634" s="793"/>
      <c r="F634" s="793"/>
      <c r="G634" s="793"/>
      <c r="H634" s="794"/>
    </row>
    <row r="635" spans="5:8" ht="12.75" customHeight="1" x14ac:dyDescent="0.25"/>
    <row r="636" spans="5:8" ht="12.75" customHeight="1" x14ac:dyDescent="0.25"/>
    <row r="637" spans="5:8" ht="12.75" customHeight="1" x14ac:dyDescent="0.25"/>
    <row r="638" spans="5:8" ht="12.75" customHeight="1" x14ac:dyDescent="0.25"/>
    <row r="639" spans="5:8" ht="12.75" customHeight="1" x14ac:dyDescent="0.25"/>
    <row r="640" spans="5:8"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row r="1068" ht="12.75" customHeight="1" x14ac:dyDescent="0.25"/>
    <row r="1069" ht="12.75" customHeight="1" x14ac:dyDescent="0.25"/>
    <row r="1070" ht="12.75" customHeight="1" x14ac:dyDescent="0.25"/>
    <row r="1071" ht="12.75" customHeight="1" x14ac:dyDescent="0.25"/>
    <row r="1072" ht="12.75" customHeight="1" x14ac:dyDescent="0.25"/>
    <row r="1073" ht="12.75" customHeight="1" x14ac:dyDescent="0.25"/>
    <row r="1074" ht="12.75" customHeight="1" x14ac:dyDescent="0.25"/>
    <row r="1075" ht="12.75" customHeight="1" x14ac:dyDescent="0.25"/>
    <row r="1076" ht="12.75" customHeight="1" x14ac:dyDescent="0.25"/>
    <row r="1077" ht="12.75" customHeight="1" x14ac:dyDescent="0.25"/>
    <row r="1078" ht="12.75" customHeight="1" x14ac:dyDescent="0.25"/>
    <row r="1079" ht="12.75" customHeight="1" x14ac:dyDescent="0.25"/>
    <row r="1080" ht="12.75" customHeight="1" x14ac:dyDescent="0.25"/>
    <row r="1081" ht="12.75" customHeight="1" x14ac:dyDescent="0.25"/>
    <row r="1082" ht="12.75" customHeight="1" x14ac:dyDescent="0.25"/>
    <row r="1083" ht="12.75" customHeight="1" x14ac:dyDescent="0.25"/>
    <row r="1084" ht="12.75" customHeight="1" x14ac:dyDescent="0.25"/>
    <row r="1085" ht="12.75" customHeight="1" x14ac:dyDescent="0.25"/>
    <row r="1086" ht="12.75" customHeight="1" x14ac:dyDescent="0.25"/>
    <row r="1087" ht="12.75" customHeight="1" x14ac:dyDescent="0.25"/>
    <row r="1088" ht="12.75" customHeight="1" x14ac:dyDescent="0.25"/>
    <row r="1089" ht="12.75" customHeight="1" x14ac:dyDescent="0.25"/>
    <row r="1090" ht="12.75" customHeight="1" x14ac:dyDescent="0.25"/>
    <row r="1091" ht="12.75" customHeight="1" x14ac:dyDescent="0.25"/>
    <row r="1092" ht="12.75" customHeight="1" x14ac:dyDescent="0.25"/>
    <row r="1093" ht="12.75" customHeight="1" x14ac:dyDescent="0.25"/>
    <row r="1094" ht="12.75" customHeight="1" x14ac:dyDescent="0.25"/>
    <row r="1095" ht="12.75" customHeight="1" x14ac:dyDescent="0.25"/>
    <row r="1096" ht="12.75" customHeight="1" x14ac:dyDescent="0.25"/>
    <row r="1097" ht="12.75" customHeight="1" x14ac:dyDescent="0.25"/>
    <row r="1098" ht="12.75" customHeight="1" x14ac:dyDescent="0.25"/>
    <row r="1099" ht="12.75" customHeight="1" x14ac:dyDescent="0.25"/>
    <row r="1100" ht="12.75" customHeight="1" x14ac:dyDescent="0.25"/>
    <row r="1101" ht="12.75" customHeight="1" x14ac:dyDescent="0.25"/>
    <row r="1102" ht="12.75" customHeight="1" x14ac:dyDescent="0.25"/>
    <row r="1103" ht="12.75" customHeight="1" x14ac:dyDescent="0.25"/>
    <row r="1104" ht="12.75" customHeight="1" x14ac:dyDescent="0.25"/>
    <row r="1105" ht="12.75" customHeight="1" x14ac:dyDescent="0.25"/>
    <row r="1106" ht="12.75" customHeight="1" x14ac:dyDescent="0.25"/>
    <row r="1107" ht="12.75" customHeight="1" x14ac:dyDescent="0.25"/>
    <row r="1108" ht="12.75" customHeight="1" x14ac:dyDescent="0.25"/>
    <row r="1109" ht="12.75" customHeight="1" x14ac:dyDescent="0.25"/>
  </sheetData>
  <sheetProtection algorithmName="SHA-512" hashValue="0z9zKccPd3zEzAP3b5MwOWNphI5MbBl3gPM8SFw8lm2VOv0cgB0yxclBj0bx8V63nq6BL4i18nr1NVzKg1swyw==" saltValue="4Bp1S3QtwfijHRoL0Xu0Zw==" spinCount="100000" sheet="1" autoFilter="0"/>
  <mergeCells count="85">
    <mergeCell ref="A1:B2"/>
    <mergeCell ref="E1:H2"/>
    <mergeCell ref="K1:M1"/>
    <mergeCell ref="N1:P1"/>
    <mergeCell ref="AD1:AE2"/>
    <mergeCell ref="AH1:AJ2"/>
    <mergeCell ref="AK1:AN3"/>
    <mergeCell ref="K2:M2"/>
    <mergeCell ref="N2:O17"/>
    <mergeCell ref="P2:P17"/>
    <mergeCell ref="A3:B3"/>
    <mergeCell ref="K3:M3"/>
    <mergeCell ref="AD3:AE3"/>
    <mergeCell ref="A6:A9"/>
    <mergeCell ref="B6:B9"/>
    <mergeCell ref="AD6:AD9"/>
    <mergeCell ref="AE6:AE9"/>
    <mergeCell ref="A10:A13"/>
    <mergeCell ref="B10:B13"/>
    <mergeCell ref="AD10:AD13"/>
    <mergeCell ref="AE10:AE13"/>
    <mergeCell ref="A14:A17"/>
    <mergeCell ref="B14:B17"/>
    <mergeCell ref="AD14:AD17"/>
    <mergeCell ref="AE14:AE17"/>
    <mergeCell ref="AD18:AD21"/>
    <mergeCell ref="AE18:AE21"/>
    <mergeCell ref="A22:A25"/>
    <mergeCell ref="B22:B25"/>
    <mergeCell ref="N22:P23"/>
    <mergeCell ref="AD22:AD25"/>
    <mergeCell ref="AE22:AE25"/>
    <mergeCell ref="A18:A21"/>
    <mergeCell ref="B18:B21"/>
    <mergeCell ref="N18:N21"/>
    <mergeCell ref="O18:O21"/>
    <mergeCell ref="P18:P21"/>
    <mergeCell ref="A26:A29"/>
    <mergeCell ref="B26:B29"/>
    <mergeCell ref="AD26:AD29"/>
    <mergeCell ref="AE26:AE29"/>
    <mergeCell ref="A30:A33"/>
    <mergeCell ref="B30:B33"/>
    <mergeCell ref="AD30:AD33"/>
    <mergeCell ref="AE30:AE33"/>
    <mergeCell ref="A34:A37"/>
    <mergeCell ref="B34:B37"/>
    <mergeCell ref="AD34:AD37"/>
    <mergeCell ref="AE34:AE37"/>
    <mergeCell ref="A70:A73"/>
    <mergeCell ref="B70:B73"/>
    <mergeCell ref="AD70:AD73"/>
    <mergeCell ref="AE70:AE73"/>
    <mergeCell ref="A74:A77"/>
    <mergeCell ref="B74:B77"/>
    <mergeCell ref="AD74:AD77"/>
    <mergeCell ref="AE74:AE77"/>
    <mergeCell ref="A78:A81"/>
    <mergeCell ref="B78:B81"/>
    <mergeCell ref="AD78:AD81"/>
    <mergeCell ref="AE78:AE81"/>
    <mergeCell ref="A82:A85"/>
    <mergeCell ref="B82:B85"/>
    <mergeCell ref="AD82:AD85"/>
    <mergeCell ref="AE82:AE85"/>
    <mergeCell ref="A86:A89"/>
    <mergeCell ref="B86:B89"/>
    <mergeCell ref="AD86:AD89"/>
    <mergeCell ref="AE86:AE89"/>
    <mergeCell ref="A90:A93"/>
    <mergeCell ref="B90:B93"/>
    <mergeCell ref="AD90:AD93"/>
    <mergeCell ref="AE90:AE93"/>
    <mergeCell ref="A94:A97"/>
    <mergeCell ref="B94:B97"/>
    <mergeCell ref="AD94:AD97"/>
    <mergeCell ref="AE94:AE97"/>
    <mergeCell ref="A98:A101"/>
    <mergeCell ref="B98:B101"/>
    <mergeCell ref="AD98:AD101"/>
    <mergeCell ref="AE98:AE101"/>
    <mergeCell ref="A102:A109"/>
    <mergeCell ref="B102:B109"/>
    <mergeCell ref="AD102:AD109"/>
    <mergeCell ref="AE102:AE109"/>
  </mergeCells>
  <conditionalFormatting sqref="E3:G65536">
    <cfRule type="cellIs" dxfId="48" priority="2" operator="equal">
      <formula>0</formula>
    </cfRule>
  </conditionalFormatting>
  <conditionalFormatting sqref="K4:K109">
    <cfRule type="cellIs" dxfId="47" priority="12" operator="between">
      <formula>8</formula>
      <formula>1</formula>
    </cfRule>
  </conditionalFormatting>
  <conditionalFormatting sqref="M4:M5 M30:M37 M44:M45 M52:M53 M60:M61 M68:M69 M94:M109">
    <cfRule type="cellIs" dxfId="46" priority="10" operator="equal">
      <formula>"BIT OLD MAYBE"</formula>
    </cfRule>
    <cfRule type="cellIs" dxfId="45" priority="11" operator="equal">
      <formula>"TOO YOUNG"</formula>
    </cfRule>
  </conditionalFormatting>
  <conditionalFormatting sqref="M4:M109">
    <cfRule type="cellIs" dxfId="44" priority="9" operator="equal">
      <formula>"OK"</formula>
    </cfRule>
  </conditionalFormatting>
  <conditionalFormatting sqref="M6:M29 M38:M43 M46:M51 M54:M59 M62:M67 M70:M93">
    <cfRule type="cellIs" dxfId="43" priority="13" operator="equal">
      <formula>"NOT ELIGIBLE"</formula>
    </cfRule>
    <cfRule type="cellIs" dxfId="42" priority="14" operator="equal">
      <formula>"TOO YOUNG"</formula>
    </cfRule>
  </conditionalFormatting>
  <conditionalFormatting sqref="N2">
    <cfRule type="cellIs" dxfId="41" priority="3" operator="greaterThan">
      <formula>0</formula>
    </cfRule>
  </conditionalFormatting>
  <conditionalFormatting sqref="N18:O21">
    <cfRule type="cellIs" dxfId="40" priority="6" operator="greaterThan">
      <formula>0</formula>
    </cfRule>
  </conditionalFormatting>
  <conditionalFormatting sqref="P2">
    <cfRule type="cellIs" dxfId="39" priority="7" operator="greaterThan">
      <formula>0</formula>
    </cfRule>
  </conditionalFormatting>
  <conditionalFormatting sqref="P18">
    <cfRule type="cellIs" dxfId="38" priority="5" operator="greaterThan">
      <formula>0</formula>
    </cfRule>
  </conditionalFormatting>
  <conditionalFormatting sqref="Q1:Q17 P2 Q22:Q23">
    <cfRule type="cellIs" dxfId="37" priority="4" operator="greaterThan">
      <formula>"A"</formula>
    </cfRule>
  </conditionalFormatting>
  <conditionalFormatting sqref="AH1:AJ1 AH3:AJ3 AH4:AO94 AK95:AO105 AH95:AJ109">
    <cfRule type="cellIs" dxfId="36" priority="8" operator="equal">
      <formula>0</formula>
    </cfRule>
  </conditionalFormatting>
  <dataValidations count="9">
    <dataValidation allowBlank="1" showInputMessage="1" showErrorMessage="1" promptTitle="DRAG &amp; DROP IS NOT PERMITTED" sqref="J4:J101" xr:uid="{00000000-0002-0000-0E00-000000000000}">
      <formula1>0</formula1>
      <formula2>0</formula2>
    </dataValidation>
    <dataValidation allowBlank="1" showInputMessage="1" showErrorMessage="1" promptTitle="IF EMPTY" prompt="Please add the row title GIVEN NAME in this box (See Left)" sqref="F3" xr:uid="{00000000-0002-0000-0E00-000001000000}">
      <formula1>0</formula1>
      <formula2>0</formula2>
    </dataValidation>
    <dataValidation allowBlank="1" showInputMessage="1" showErrorMessage="1" promptTitle="IF EMPTY" prompt="Please add the row title FAMILY NAME in this box (See Left)" sqref="G3" xr:uid="{00000000-0002-0000-0E00-000002000000}">
      <formula1>0</formula1>
      <formula2>0</formula2>
    </dataValidation>
    <dataValidation allowBlank="1" showInputMessage="1" showErrorMessage="1" promptTitle="IF EMPTY" prompt="Please add the row title ASA NO in this box (See Left)" sqref="E3" xr:uid="{00000000-0002-0000-0E00-000003000000}">
      <formula1>0</formula1>
      <formula2>0</formula2>
    </dataValidation>
    <dataValidation allowBlank="1" showInputMessage="1" showErrorMessage="1" promptTitle="IF EMPTY" prompt="Please add the row title D.O.B. in this box (See Left)" sqref="H3" xr:uid="{00000000-0002-0000-0E00-000004000000}">
      <formula1>0</formula1>
      <formula2>0</formula2>
    </dataValidation>
    <dataValidation allowBlank="1" showInputMessage="1" showErrorMessage="1" prompt="Enter the swimmers Family Name as registered with the ASA" sqref="G4 G30 G82" xr:uid="{00000000-0002-0000-0E00-000005000000}">
      <formula1>0</formula1>
      <formula2>0</formula2>
    </dataValidation>
    <dataValidation allowBlank="1" showInputMessage="1" showErrorMessage="1" prompt="Enter the Swimmers Given name (1st Name) as registered with the ASA_x000a_" sqref="F4 F30 F82" xr:uid="{00000000-0002-0000-0E00-000006000000}">
      <formula1>0</formula1>
      <formula2>0</formula2>
    </dataValidation>
    <dataValidation allowBlank="1" showInputMessage="1" showErrorMessage="1" prompt="Enter the Swimmers Date of birth.  Day, Month, Year  _x000a_ie 21/11/2011" sqref="H4 H52" xr:uid="{00000000-0002-0000-0E00-000007000000}">
      <formula1>0</formula1>
      <formula2>0</formula2>
    </dataValidation>
    <dataValidation allowBlank="1" showInputMessage="1" showErrorMessage="1" error="You must now &quot;undo&quot; drag and drop" sqref="F5:H5 F31:G31 H53 F83:G83" xr:uid="{00000000-0002-0000-0E00-000008000000}">
      <formula1>0</formula1>
      <formula2>0</formula2>
    </dataValidation>
  </dataValidations>
  <hyperlinks>
    <hyperlink ref="N18" location="'Gala Setup'!G2" display="Gala Setup" xr:uid="{00000000-0004-0000-0E00-000000000000}"/>
    <hyperlink ref="O18" location="Recording!C26" display="Gala Recording" xr:uid="{00000000-0004-0000-0E00-000001000000}"/>
    <hyperlink ref="P18" location="'Lane Timer sheets'!D1" display="Lane Timer Sheets" xr:uid="{00000000-0004-0000-0E00-000002000000}"/>
  </hyperlinks>
  <pageMargins left="0.75" right="0.75" top="1" bottom="1" header="0.511811023622047" footer="0.511811023622047"/>
  <pageSetup paperSize="9" scale="64"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Q1109"/>
  <sheetViews>
    <sheetView showRowColHeaders="0" zoomScale="80" zoomScaleNormal="80" workbookViewId="0">
      <selection activeCell="E3" sqref="E3"/>
    </sheetView>
  </sheetViews>
  <sheetFormatPr defaultColWidth="8.6640625" defaultRowHeight="13.2" x14ac:dyDescent="0.25"/>
  <cols>
    <col min="1" max="1" width="4.5546875" customWidth="1"/>
    <col min="2" max="2" width="31.88671875" customWidth="1"/>
    <col min="3" max="3" width="4.5546875" hidden="1" customWidth="1"/>
    <col min="4" max="4" width="9.6640625" hidden="1" customWidth="1"/>
    <col min="5" max="5" width="9.88671875" style="130" customWidth="1"/>
    <col min="6" max="6" width="23.6640625" style="130" customWidth="1"/>
    <col min="7" max="7" width="33.88671875" style="130" customWidth="1"/>
    <col min="8" max="8" width="12.109375" style="698" customWidth="1"/>
    <col min="9" max="10" width="12.109375" hidden="1" customWidth="1"/>
    <col min="11" max="11" width="10.6640625" customWidth="1"/>
    <col min="12" max="12" width="4.5546875" hidden="1" customWidth="1"/>
    <col min="13" max="13" width="17.6640625" customWidth="1"/>
    <col min="14" max="15" width="14.6640625" style="134" customWidth="1"/>
    <col min="16" max="16" width="29.6640625" style="134" customWidth="1"/>
    <col min="17" max="17" width="8.33203125" style="134" customWidth="1"/>
    <col min="18" max="29" width="8.88671875" style="134" customWidth="1"/>
    <col min="30" max="30" width="4.5546875" style="699" customWidth="1"/>
    <col min="31" max="31" width="26" style="700" customWidth="1"/>
    <col min="32" max="32" width="2.33203125" hidden="1" customWidth="1"/>
    <col min="33" max="33" width="3.6640625" hidden="1" customWidth="1"/>
    <col min="34" max="34" width="9.88671875" customWidth="1"/>
    <col min="35" max="35" width="23.6640625" customWidth="1"/>
    <col min="36" max="36" width="34.33203125" customWidth="1"/>
    <col min="41" max="41" width="9.109375" customWidth="1"/>
    <col min="42" max="42" width="23.6640625" customWidth="1"/>
    <col min="43" max="43" width="11.5546875" hidden="1" customWidth="1"/>
  </cols>
  <sheetData>
    <row r="1" spans="1:43" ht="42.75" customHeight="1" x14ac:dyDescent="0.25">
      <c r="A1" s="1267" t="s">
        <v>4621</v>
      </c>
      <c r="B1" s="1267"/>
      <c r="C1" s="701"/>
      <c r="D1" s="702"/>
      <c r="E1" s="1268"/>
      <c r="F1" s="1268"/>
      <c r="G1" s="1268"/>
      <c r="H1" s="1268"/>
      <c r="I1" s="703"/>
      <c r="J1" s="704"/>
      <c r="K1" s="1269" t="s">
        <v>4623</v>
      </c>
      <c r="L1" s="1269"/>
      <c r="M1" s="1269"/>
      <c r="N1" s="1270" t="s">
        <v>4624</v>
      </c>
      <c r="O1" s="1270"/>
      <c r="P1" s="1270"/>
      <c r="Q1" s="705"/>
      <c r="AD1" s="1271" t="str">
        <f>'Team 1'!AD1</f>
        <v>TEAM NAME</v>
      </c>
      <c r="AE1" s="1271"/>
      <c r="AF1" s="706"/>
      <c r="AG1" s="707"/>
      <c r="AH1" s="1262">
        <f>E1</f>
        <v>0</v>
      </c>
      <c r="AI1" s="1262"/>
      <c r="AJ1" s="1262"/>
      <c r="AK1" s="1263"/>
      <c r="AL1" s="1263"/>
      <c r="AM1" s="1263"/>
      <c r="AN1" s="1263"/>
      <c r="AO1" s="708"/>
    </row>
    <row r="2" spans="1:43" ht="42.75" customHeight="1" x14ac:dyDescent="0.25">
      <c r="A2" s="1267"/>
      <c r="B2" s="1267"/>
      <c r="C2" s="709"/>
      <c r="D2" s="710"/>
      <c r="E2" s="1268"/>
      <c r="F2" s="1268"/>
      <c r="G2" s="1268"/>
      <c r="H2" s="1268"/>
      <c r="I2" s="711"/>
      <c r="J2" s="712"/>
      <c r="K2" s="1264">
        <f ca="1">DATE(YEAR(NOW()),12,31)</f>
        <v>45291</v>
      </c>
      <c r="L2" s="1264"/>
      <c r="M2" s="1264"/>
      <c r="N2" s="1265" t="s">
        <v>5055</v>
      </c>
      <c r="O2" s="1265"/>
      <c r="P2" s="1266" t="s">
        <v>4627</v>
      </c>
      <c r="Q2" s="705"/>
      <c r="AD2" s="1271"/>
      <c r="AE2" s="1271"/>
      <c r="AF2" s="713"/>
      <c r="AG2" s="714"/>
      <c r="AH2" s="1262"/>
      <c r="AI2" s="1262"/>
      <c r="AJ2" s="1262"/>
      <c r="AK2" s="1263"/>
      <c r="AL2" s="1263"/>
      <c r="AM2" s="1263"/>
      <c r="AN2" s="1263"/>
      <c r="AO2" s="708"/>
      <c r="AP2" s="708"/>
    </row>
    <row r="3" spans="1:43" ht="46.5" customHeight="1" x14ac:dyDescent="0.25">
      <c r="A3" s="1260" t="s">
        <v>65</v>
      </c>
      <c r="B3" s="1260"/>
      <c r="C3" s="715"/>
      <c r="D3" s="716"/>
      <c r="E3" s="717" t="s">
        <v>4628</v>
      </c>
      <c r="F3" s="718" t="s">
        <v>4629</v>
      </c>
      <c r="G3" s="718" t="s">
        <v>4630</v>
      </c>
      <c r="H3" s="795" t="s">
        <v>4631</v>
      </c>
      <c r="I3" s="720"/>
      <c r="J3" s="721"/>
      <c r="K3" s="1261" t="s">
        <v>4632</v>
      </c>
      <c r="L3" s="1261"/>
      <c r="M3" s="1261"/>
      <c r="N3" s="1265"/>
      <c r="O3" s="1265"/>
      <c r="P3" s="1266"/>
      <c r="Q3" s="705"/>
      <c r="AD3" s="1244"/>
      <c r="AE3" s="1244"/>
      <c r="AF3" s="723"/>
      <c r="AG3" s="724"/>
      <c r="AH3" s="725" t="str">
        <f>'Team 1'!AH3</f>
        <v>SE No</v>
      </c>
      <c r="AI3" s="726" t="s">
        <v>4629</v>
      </c>
      <c r="AJ3" s="726" t="s">
        <v>4630</v>
      </c>
      <c r="AK3" s="1263"/>
      <c r="AL3" s="1263"/>
      <c r="AM3" s="1263"/>
      <c r="AN3" s="1263"/>
      <c r="AO3" s="726"/>
      <c r="AQ3">
        <v>8</v>
      </c>
    </row>
    <row r="4" spans="1:43" ht="20.25" customHeight="1" x14ac:dyDescent="0.25">
      <c r="A4" s="727">
        <v>1</v>
      </c>
      <c r="B4" s="728" t="s">
        <v>4634</v>
      </c>
      <c r="C4" s="728" t="s">
        <v>4635</v>
      </c>
      <c r="D4" s="729">
        <f>IF('Gala Setup'!J$9="100M",29,IF('Gala Setup'!J$9="200M",16))</f>
        <v>16</v>
      </c>
      <c r="E4" s="730"/>
      <c r="F4" s="731"/>
      <c r="G4" s="731"/>
      <c r="H4" s="732"/>
      <c r="I4" s="733" t="str">
        <f t="shared" ref="I4:I35" si="0">CONCATENATE(F4," ",G4)</f>
        <v xml:space="preserve"> </v>
      </c>
      <c r="J4" s="734" t="str">
        <f t="shared" ref="J4:J35" si="1">CONCATENATE(G4,",",F4)</f>
        <v>,</v>
      </c>
      <c r="K4" s="735">
        <f t="shared" ref="K4:K35" ca="1" si="2">IF(K$2=0,0,IF(AQ4=0,0,IF(COUNTBLANK(AQ4)=1,"",YEAR(K$2)-YEAR(AQ4)-IF(DATE(YEAR(K$2),MONTH(AQ4),DAY(4638))&gt;K$2,1,0))))</f>
        <v>0</v>
      </c>
      <c r="L4" s="736" t="str">
        <f t="shared" ref="L4:L35" si="3">(TEXT(H4,"DDMMYY"))</f>
        <v>000100</v>
      </c>
      <c r="M4" s="737">
        <f ca="1">IF(K4=0,0,IF(K4&lt;9,"TOO YOUNG",IF(K4&lt;60,"OK","BIT OLD MAYBE")))</f>
        <v>0</v>
      </c>
      <c r="N4" s="1265"/>
      <c r="O4" s="1265"/>
      <c r="P4" s="1266"/>
      <c r="Q4" s="705"/>
      <c r="AD4" s="722">
        <f t="shared" ref="AD4:AE6" si="4">A4</f>
        <v>1</v>
      </c>
      <c r="AE4" s="738" t="str">
        <f t="shared" si="4"/>
        <v>FEMALE 16+  200M  IM</v>
      </c>
      <c r="AF4" s="440" t="s">
        <v>4635</v>
      </c>
      <c r="AG4" s="739">
        <v>16</v>
      </c>
      <c r="AH4" s="740">
        <f t="shared" ref="AH4:AH35" si="5">E4</f>
        <v>0</v>
      </c>
      <c r="AI4" s="740">
        <f t="shared" ref="AI4:AI35" si="6">F4</f>
        <v>0</v>
      </c>
      <c r="AJ4" s="740">
        <f t="shared" ref="AJ4:AJ35" si="7">G4</f>
        <v>0</v>
      </c>
      <c r="AK4" s="740"/>
      <c r="AL4" s="740"/>
      <c r="AM4" s="740"/>
      <c r="AN4" s="740"/>
      <c r="AO4" s="740"/>
      <c r="AQ4" s="741">
        <f t="shared" ref="AQ4:AQ35" ca="1" si="8">INDIRECT(ADDRESS(ROW(),AQ$3))</f>
        <v>0</v>
      </c>
    </row>
    <row r="5" spans="1:43" ht="20.25" customHeight="1" x14ac:dyDescent="0.25">
      <c r="A5" s="727">
        <v>2</v>
      </c>
      <c r="B5" s="742" t="s">
        <v>4638</v>
      </c>
      <c r="C5" s="742" t="s">
        <v>328</v>
      </c>
      <c r="D5" s="729">
        <f>IF('Gala Setup'!J$9="100M",29,IF('Gala Setup'!J$9="200M",16))</f>
        <v>16</v>
      </c>
      <c r="E5" s="730"/>
      <c r="F5" s="731"/>
      <c r="G5" s="731"/>
      <c r="H5" s="732"/>
      <c r="I5" s="733" t="str">
        <f t="shared" si="0"/>
        <v xml:space="preserve"> </v>
      </c>
      <c r="J5" s="734" t="str">
        <f t="shared" si="1"/>
        <v>,</v>
      </c>
      <c r="K5" s="735">
        <f t="shared" ca="1" si="2"/>
        <v>0</v>
      </c>
      <c r="L5" s="736" t="str">
        <f t="shared" si="3"/>
        <v>000100</v>
      </c>
      <c r="M5" s="743">
        <f ca="1">IF(K5=0,0,IF(K5&lt;9,"TOO YOUNG",IF(K5&lt;60,"OK","BIT OLD MAYBE")))</f>
        <v>0</v>
      </c>
      <c r="N5" s="1265"/>
      <c r="O5" s="1265"/>
      <c r="P5" s="1266"/>
      <c r="Q5" s="705"/>
      <c r="AD5" s="722">
        <f t="shared" si="4"/>
        <v>2</v>
      </c>
      <c r="AE5" s="738" t="str">
        <f t="shared" si="4"/>
        <v>OPEN/MALE 16+ 200M  IM</v>
      </c>
      <c r="AF5" s="443" t="s">
        <v>328</v>
      </c>
      <c r="AG5" s="744">
        <v>16</v>
      </c>
      <c r="AH5" s="740">
        <f t="shared" si="5"/>
        <v>0</v>
      </c>
      <c r="AI5" s="740">
        <f t="shared" si="6"/>
        <v>0</v>
      </c>
      <c r="AJ5" s="740">
        <f t="shared" si="7"/>
        <v>0</v>
      </c>
      <c r="AK5" s="740"/>
      <c r="AL5" s="740"/>
      <c r="AM5" s="740"/>
      <c r="AN5" s="740"/>
      <c r="AO5" s="740"/>
      <c r="AQ5" s="741">
        <f t="shared" ca="1" si="8"/>
        <v>0</v>
      </c>
    </row>
    <row r="6" spans="1:43" ht="20.25" customHeight="1" x14ac:dyDescent="0.25">
      <c r="A6" s="1254">
        <v>3</v>
      </c>
      <c r="B6" s="1255" t="s">
        <v>4641</v>
      </c>
      <c r="C6" s="746"/>
      <c r="D6" s="747"/>
      <c r="E6" s="730"/>
      <c r="F6" s="731"/>
      <c r="G6" s="731"/>
      <c r="H6" s="732"/>
      <c r="I6" s="733" t="str">
        <f t="shared" si="0"/>
        <v xml:space="preserve"> </v>
      </c>
      <c r="J6" s="734" t="str">
        <f t="shared" si="1"/>
        <v>,</v>
      </c>
      <c r="K6" s="735">
        <f t="shared" ca="1" si="2"/>
        <v>0</v>
      </c>
      <c r="L6" s="736" t="str">
        <f t="shared" si="3"/>
        <v>000100</v>
      </c>
      <c r="M6" s="748">
        <f t="shared" ref="M6:M13" ca="1" si="9">IF(K6=0,0,IF(K6&lt;9,"TOO YOUNG",IF(K6&lt;12,"OK","NOT ELIGIBLE")))</f>
        <v>0</v>
      </c>
      <c r="N6" s="1265"/>
      <c r="O6" s="1265"/>
      <c r="P6" s="1266"/>
      <c r="Q6" s="705"/>
      <c r="AD6" s="1244">
        <f t="shared" si="4"/>
        <v>3</v>
      </c>
      <c r="AE6" s="1245" t="str">
        <f t="shared" si="4"/>
        <v>FEMALE 9/11 4 X 50M
FREESTYLE RELAY</v>
      </c>
      <c r="AF6" s="749"/>
      <c r="AG6" s="750"/>
      <c r="AH6" s="740">
        <f t="shared" si="5"/>
        <v>0</v>
      </c>
      <c r="AI6" s="740">
        <f t="shared" si="6"/>
        <v>0</v>
      </c>
      <c r="AJ6" s="740">
        <f t="shared" si="7"/>
        <v>0</v>
      </c>
      <c r="AK6" s="740"/>
      <c r="AL6" s="740"/>
      <c r="AM6" s="740"/>
      <c r="AN6" s="740"/>
      <c r="AO6" s="740"/>
      <c r="AQ6" s="741">
        <f t="shared" ca="1" si="8"/>
        <v>0</v>
      </c>
    </row>
    <row r="7" spans="1:43" ht="20.25" customHeight="1" x14ac:dyDescent="0.25">
      <c r="A7" s="1254"/>
      <c r="B7" s="1255"/>
      <c r="C7" s="751"/>
      <c r="D7" s="752"/>
      <c r="E7" s="730"/>
      <c r="F7" s="731"/>
      <c r="G7" s="731"/>
      <c r="H7" s="732"/>
      <c r="I7" s="733" t="str">
        <f t="shared" si="0"/>
        <v xml:space="preserve"> </v>
      </c>
      <c r="J7" s="734" t="str">
        <f t="shared" si="1"/>
        <v>,</v>
      </c>
      <c r="K7" s="735">
        <f t="shared" ca="1" si="2"/>
        <v>0</v>
      </c>
      <c r="L7" s="736" t="str">
        <f t="shared" si="3"/>
        <v>000100</v>
      </c>
      <c r="M7" s="748">
        <f t="shared" ca="1" si="9"/>
        <v>0</v>
      </c>
      <c r="N7" s="1265"/>
      <c r="O7" s="1265"/>
      <c r="P7" s="1266"/>
      <c r="Q7" s="705"/>
      <c r="AD7" s="1244"/>
      <c r="AE7" s="1245"/>
      <c r="AF7" s="753"/>
      <c r="AG7" s="754"/>
      <c r="AH7" s="740">
        <f t="shared" si="5"/>
        <v>0</v>
      </c>
      <c r="AI7" s="740">
        <f t="shared" si="6"/>
        <v>0</v>
      </c>
      <c r="AJ7" s="740">
        <f t="shared" si="7"/>
        <v>0</v>
      </c>
      <c r="AK7" s="740"/>
      <c r="AL7" s="740"/>
      <c r="AM7" s="740"/>
      <c r="AN7" s="740"/>
      <c r="AO7" s="740"/>
      <c r="AQ7" s="741">
        <f t="shared" ca="1" si="8"/>
        <v>0</v>
      </c>
    </row>
    <row r="8" spans="1:43" ht="20.25" customHeight="1" x14ac:dyDescent="0.25">
      <c r="A8" s="1254"/>
      <c r="B8" s="1255"/>
      <c r="C8" s="751"/>
      <c r="D8" s="752"/>
      <c r="E8" s="730"/>
      <c r="F8" s="731"/>
      <c r="G8" s="731"/>
      <c r="H8" s="732"/>
      <c r="I8" s="733" t="str">
        <f t="shared" si="0"/>
        <v xml:space="preserve"> </v>
      </c>
      <c r="J8" s="734" t="str">
        <f t="shared" si="1"/>
        <v>,</v>
      </c>
      <c r="K8" s="735">
        <f t="shared" ca="1" si="2"/>
        <v>0</v>
      </c>
      <c r="L8" s="736" t="str">
        <f t="shared" si="3"/>
        <v>000100</v>
      </c>
      <c r="M8" s="748">
        <f t="shared" ca="1" si="9"/>
        <v>0</v>
      </c>
      <c r="N8" s="1265"/>
      <c r="O8" s="1265"/>
      <c r="P8" s="1266"/>
      <c r="Q8" s="705"/>
      <c r="AD8" s="1244"/>
      <c r="AE8" s="1245"/>
      <c r="AF8" s="753"/>
      <c r="AG8" s="754"/>
      <c r="AH8" s="740">
        <f t="shared" si="5"/>
        <v>0</v>
      </c>
      <c r="AI8" s="740">
        <f t="shared" si="6"/>
        <v>0</v>
      </c>
      <c r="AJ8" s="740">
        <f t="shared" si="7"/>
        <v>0</v>
      </c>
      <c r="AK8" s="740"/>
      <c r="AL8" s="740"/>
      <c r="AM8" s="740"/>
      <c r="AN8" s="740"/>
      <c r="AO8" s="740"/>
      <c r="AQ8" s="741">
        <f t="shared" ca="1" si="8"/>
        <v>0</v>
      </c>
    </row>
    <row r="9" spans="1:43" ht="20.25" customHeight="1" x14ac:dyDescent="0.25">
      <c r="A9" s="1254"/>
      <c r="B9" s="1255"/>
      <c r="C9" s="751"/>
      <c r="D9" s="752"/>
      <c r="E9" s="730"/>
      <c r="F9" s="731"/>
      <c r="G9" s="731"/>
      <c r="H9" s="732"/>
      <c r="I9" s="733" t="str">
        <f t="shared" si="0"/>
        <v xml:space="preserve"> </v>
      </c>
      <c r="J9" s="734" t="str">
        <f t="shared" si="1"/>
        <v>,</v>
      </c>
      <c r="K9" s="735">
        <f t="shared" ca="1" si="2"/>
        <v>0</v>
      </c>
      <c r="L9" s="736" t="str">
        <f t="shared" si="3"/>
        <v>000100</v>
      </c>
      <c r="M9" s="748">
        <f t="shared" ca="1" si="9"/>
        <v>0</v>
      </c>
      <c r="N9" s="1265"/>
      <c r="O9" s="1265"/>
      <c r="P9" s="1266"/>
      <c r="Q9" s="705"/>
      <c r="AD9" s="1244"/>
      <c r="AE9" s="1245"/>
      <c r="AF9" s="753"/>
      <c r="AG9" s="754"/>
      <c r="AH9" s="740">
        <f t="shared" si="5"/>
        <v>0</v>
      </c>
      <c r="AI9" s="740">
        <f t="shared" si="6"/>
        <v>0</v>
      </c>
      <c r="AJ9" s="740">
        <f t="shared" si="7"/>
        <v>0</v>
      </c>
      <c r="AK9" s="740"/>
      <c r="AL9" s="740"/>
      <c r="AM9" s="740"/>
      <c r="AN9" s="740"/>
      <c r="AO9" s="740"/>
      <c r="AQ9" s="741">
        <f t="shared" ca="1" si="8"/>
        <v>0</v>
      </c>
    </row>
    <row r="10" spans="1:43" ht="20.25" customHeight="1" x14ac:dyDescent="0.25">
      <c r="A10" s="1254">
        <v>4</v>
      </c>
      <c r="B10" s="1255" t="s">
        <v>4650</v>
      </c>
      <c r="C10" s="746"/>
      <c r="D10" s="747"/>
      <c r="E10" s="730"/>
      <c r="F10" s="731"/>
      <c r="G10" s="731"/>
      <c r="H10" s="732"/>
      <c r="I10" s="733" t="str">
        <f t="shared" si="0"/>
        <v xml:space="preserve"> </v>
      </c>
      <c r="J10" s="734" t="str">
        <f t="shared" si="1"/>
        <v>,</v>
      </c>
      <c r="K10" s="735">
        <f t="shared" ca="1" si="2"/>
        <v>0</v>
      </c>
      <c r="L10" s="736" t="str">
        <f t="shared" si="3"/>
        <v>000100</v>
      </c>
      <c r="M10" s="748">
        <f t="shared" ca="1" si="9"/>
        <v>0</v>
      </c>
      <c r="N10" s="1265"/>
      <c r="O10" s="1265"/>
      <c r="P10" s="1266"/>
      <c r="Q10" s="705"/>
      <c r="AD10" s="1244">
        <f>A10</f>
        <v>4</v>
      </c>
      <c r="AE10" s="1245" t="str">
        <f>B10</f>
        <v>OPEN/MALE 9/11 4 X50M
FREESTYLE RELAY</v>
      </c>
      <c r="AF10" s="749"/>
      <c r="AG10" s="750"/>
      <c r="AH10" s="740">
        <f t="shared" si="5"/>
        <v>0</v>
      </c>
      <c r="AI10" s="740">
        <f t="shared" si="6"/>
        <v>0</v>
      </c>
      <c r="AJ10" s="740">
        <f t="shared" si="7"/>
        <v>0</v>
      </c>
      <c r="AK10" s="740"/>
      <c r="AL10" s="740"/>
      <c r="AM10" s="740"/>
      <c r="AN10" s="740"/>
      <c r="AO10" s="740"/>
      <c r="AQ10" s="741">
        <f t="shared" ca="1" si="8"/>
        <v>0</v>
      </c>
    </row>
    <row r="11" spans="1:43" ht="20.25" customHeight="1" x14ac:dyDescent="0.25">
      <c r="A11" s="1254"/>
      <c r="B11" s="1255"/>
      <c r="C11" s="751"/>
      <c r="D11" s="752"/>
      <c r="E11" s="730"/>
      <c r="F11" s="731"/>
      <c r="G11" s="731"/>
      <c r="H11" s="732"/>
      <c r="I11" s="733" t="str">
        <f t="shared" si="0"/>
        <v xml:space="preserve"> </v>
      </c>
      <c r="J11" s="734" t="str">
        <f t="shared" si="1"/>
        <v>,</v>
      </c>
      <c r="K11" s="735">
        <f t="shared" ca="1" si="2"/>
        <v>0</v>
      </c>
      <c r="L11" s="736" t="str">
        <f t="shared" si="3"/>
        <v>000100</v>
      </c>
      <c r="M11" s="748">
        <f t="shared" ca="1" si="9"/>
        <v>0</v>
      </c>
      <c r="N11" s="1265"/>
      <c r="O11" s="1265"/>
      <c r="P11" s="1266"/>
      <c r="Q11" s="705"/>
      <c r="AD11" s="1244"/>
      <c r="AE11" s="1245"/>
      <c r="AF11" s="753"/>
      <c r="AG11" s="754"/>
      <c r="AH11" s="740">
        <f t="shared" si="5"/>
        <v>0</v>
      </c>
      <c r="AI11" s="740">
        <f t="shared" si="6"/>
        <v>0</v>
      </c>
      <c r="AJ11" s="740">
        <f t="shared" si="7"/>
        <v>0</v>
      </c>
      <c r="AK11" s="740"/>
      <c r="AL11" s="740"/>
      <c r="AM11" s="740"/>
      <c r="AN11" s="740"/>
      <c r="AO11" s="740"/>
      <c r="AQ11" s="741">
        <f t="shared" ca="1" si="8"/>
        <v>0</v>
      </c>
    </row>
    <row r="12" spans="1:43" ht="20.25" customHeight="1" x14ac:dyDescent="0.25">
      <c r="A12" s="1254"/>
      <c r="B12" s="1255"/>
      <c r="C12" s="751"/>
      <c r="D12" s="752"/>
      <c r="E12" s="730"/>
      <c r="F12" s="731"/>
      <c r="G12" s="731"/>
      <c r="H12" s="732"/>
      <c r="I12" s="733" t="str">
        <f t="shared" si="0"/>
        <v xml:space="preserve"> </v>
      </c>
      <c r="J12" s="734" t="str">
        <f t="shared" si="1"/>
        <v>,</v>
      </c>
      <c r="K12" s="735">
        <f t="shared" ca="1" si="2"/>
        <v>0</v>
      </c>
      <c r="L12" s="736" t="str">
        <f t="shared" si="3"/>
        <v>000100</v>
      </c>
      <c r="M12" s="748">
        <f t="shared" ca="1" si="9"/>
        <v>0</v>
      </c>
      <c r="N12" s="1265"/>
      <c r="O12" s="1265"/>
      <c r="P12" s="1266"/>
      <c r="Q12" s="705"/>
      <c r="AD12" s="1244"/>
      <c r="AE12" s="1245"/>
      <c r="AF12" s="753"/>
      <c r="AG12" s="754"/>
      <c r="AH12" s="740">
        <f t="shared" si="5"/>
        <v>0</v>
      </c>
      <c r="AI12" s="740">
        <f t="shared" si="6"/>
        <v>0</v>
      </c>
      <c r="AJ12" s="740">
        <f t="shared" si="7"/>
        <v>0</v>
      </c>
      <c r="AK12" s="740"/>
      <c r="AL12" s="740"/>
      <c r="AM12" s="740"/>
      <c r="AN12" s="740"/>
      <c r="AO12" s="740"/>
      <c r="AQ12" s="741">
        <f t="shared" ca="1" si="8"/>
        <v>0</v>
      </c>
    </row>
    <row r="13" spans="1:43" ht="20.25" customHeight="1" x14ac:dyDescent="0.25">
      <c r="A13" s="1254"/>
      <c r="B13" s="1255"/>
      <c r="C13" s="751"/>
      <c r="D13" s="752"/>
      <c r="E13" s="730"/>
      <c r="F13" s="731"/>
      <c r="G13" s="731"/>
      <c r="H13" s="732"/>
      <c r="I13" s="733" t="str">
        <f t="shared" si="0"/>
        <v xml:space="preserve"> </v>
      </c>
      <c r="J13" s="734" t="str">
        <f t="shared" si="1"/>
        <v>,</v>
      </c>
      <c r="K13" s="735">
        <f t="shared" ca="1" si="2"/>
        <v>0</v>
      </c>
      <c r="L13" s="736" t="str">
        <f t="shared" si="3"/>
        <v>000100</v>
      </c>
      <c r="M13" s="748">
        <f t="shared" ca="1" si="9"/>
        <v>0</v>
      </c>
      <c r="N13" s="1265"/>
      <c r="O13" s="1265"/>
      <c r="P13" s="1266"/>
      <c r="Q13" s="705"/>
      <c r="AD13" s="1244"/>
      <c r="AE13" s="1245"/>
      <c r="AF13" s="753"/>
      <c r="AG13" s="754"/>
      <c r="AH13" s="740">
        <f t="shared" si="5"/>
        <v>0</v>
      </c>
      <c r="AI13" s="740">
        <f t="shared" si="6"/>
        <v>0</v>
      </c>
      <c r="AJ13" s="740">
        <f t="shared" si="7"/>
        <v>0</v>
      </c>
      <c r="AK13" s="740"/>
      <c r="AL13" s="740"/>
      <c r="AM13" s="740"/>
      <c r="AN13" s="740"/>
      <c r="AO13" s="740"/>
      <c r="AQ13" s="741">
        <f t="shared" ca="1" si="8"/>
        <v>0</v>
      </c>
    </row>
    <row r="14" spans="1:43" ht="20.25" customHeight="1" x14ac:dyDescent="0.25">
      <c r="A14" s="1252">
        <v>5</v>
      </c>
      <c r="B14" s="1253" t="s">
        <v>4651</v>
      </c>
      <c r="C14" s="756"/>
      <c r="D14" s="757"/>
      <c r="E14" s="730"/>
      <c r="F14" s="731"/>
      <c r="G14" s="731"/>
      <c r="H14" s="732"/>
      <c r="I14" s="733" t="str">
        <f t="shared" si="0"/>
        <v xml:space="preserve"> </v>
      </c>
      <c r="J14" s="734" t="str">
        <f t="shared" si="1"/>
        <v>,</v>
      </c>
      <c r="K14" s="735">
        <f t="shared" ca="1" si="2"/>
        <v>0</v>
      </c>
      <c r="L14" s="736" t="str">
        <f t="shared" si="3"/>
        <v>000100</v>
      </c>
      <c r="M14" s="748">
        <f t="shared" ref="M14:M21" ca="1" si="10">IF(K14=0,0,IF(K14&lt;9,"TOO YOUNG",IF(K14&lt;14,"OK","NOT ELIGIBLE")))</f>
        <v>0</v>
      </c>
      <c r="N14" s="1265"/>
      <c r="O14" s="1265"/>
      <c r="P14" s="1266"/>
      <c r="Q14" s="705"/>
      <c r="AD14" s="1244">
        <f>A14</f>
        <v>5</v>
      </c>
      <c r="AE14" s="1245" t="str">
        <f>B14</f>
        <v>FEMALE 13/U 4 X 50M
MEDLEY RELAY</v>
      </c>
      <c r="AF14" s="749"/>
      <c r="AG14" s="750"/>
      <c r="AH14" s="740">
        <f t="shared" si="5"/>
        <v>0</v>
      </c>
      <c r="AI14" s="740">
        <f t="shared" si="6"/>
        <v>0</v>
      </c>
      <c r="AJ14" s="740">
        <f t="shared" si="7"/>
        <v>0</v>
      </c>
      <c r="AK14" s="740"/>
      <c r="AL14" s="740"/>
      <c r="AM14" s="740"/>
      <c r="AN14" s="740"/>
      <c r="AO14" s="740"/>
      <c r="AQ14" s="741">
        <f t="shared" ca="1" si="8"/>
        <v>0</v>
      </c>
    </row>
    <row r="15" spans="1:43" ht="20.25" customHeight="1" x14ac:dyDescent="0.25">
      <c r="A15" s="1252"/>
      <c r="B15" s="1253"/>
      <c r="C15" s="758"/>
      <c r="D15" s="759"/>
      <c r="E15" s="730"/>
      <c r="F15" s="731"/>
      <c r="G15" s="731"/>
      <c r="H15" s="732"/>
      <c r="I15" s="733" t="str">
        <f t="shared" si="0"/>
        <v xml:space="preserve"> </v>
      </c>
      <c r="J15" s="734" t="str">
        <f t="shared" si="1"/>
        <v>,</v>
      </c>
      <c r="K15" s="735">
        <f t="shared" ca="1" si="2"/>
        <v>0</v>
      </c>
      <c r="L15" s="736" t="str">
        <f t="shared" si="3"/>
        <v>000100</v>
      </c>
      <c r="M15" s="748">
        <f t="shared" ca="1" si="10"/>
        <v>0</v>
      </c>
      <c r="N15" s="1265"/>
      <c r="O15" s="1265"/>
      <c r="P15" s="1266"/>
      <c r="Q15" s="705"/>
      <c r="AD15" s="1244"/>
      <c r="AE15" s="1245"/>
      <c r="AF15" s="753"/>
      <c r="AG15" s="754"/>
      <c r="AH15" s="740">
        <f t="shared" si="5"/>
        <v>0</v>
      </c>
      <c r="AI15" s="740">
        <f t="shared" si="6"/>
        <v>0</v>
      </c>
      <c r="AJ15" s="740">
        <f t="shared" si="7"/>
        <v>0</v>
      </c>
      <c r="AK15" s="740"/>
      <c r="AL15" s="740"/>
      <c r="AM15" s="740"/>
      <c r="AN15" s="740"/>
      <c r="AO15" s="740"/>
      <c r="AQ15" s="741">
        <f t="shared" ca="1" si="8"/>
        <v>0</v>
      </c>
    </row>
    <row r="16" spans="1:43" ht="20.25" customHeight="1" x14ac:dyDescent="0.25">
      <c r="A16" s="1252"/>
      <c r="B16" s="1253"/>
      <c r="C16" s="758"/>
      <c r="D16" s="759"/>
      <c r="E16" s="730"/>
      <c r="F16" s="731"/>
      <c r="G16" s="731"/>
      <c r="H16" s="732"/>
      <c r="I16" s="733" t="str">
        <f t="shared" si="0"/>
        <v xml:space="preserve"> </v>
      </c>
      <c r="J16" s="734" t="str">
        <f t="shared" si="1"/>
        <v>,</v>
      </c>
      <c r="K16" s="735">
        <f t="shared" ca="1" si="2"/>
        <v>0</v>
      </c>
      <c r="L16" s="736" t="str">
        <f t="shared" si="3"/>
        <v>000100</v>
      </c>
      <c r="M16" s="748">
        <f t="shared" ca="1" si="10"/>
        <v>0</v>
      </c>
      <c r="N16" s="1265"/>
      <c r="O16" s="1265"/>
      <c r="P16" s="1266"/>
      <c r="Q16" s="705"/>
      <c r="AD16" s="1244"/>
      <c r="AE16" s="1245"/>
      <c r="AF16" s="753"/>
      <c r="AG16" s="754"/>
      <c r="AH16" s="740">
        <f t="shared" si="5"/>
        <v>0</v>
      </c>
      <c r="AI16" s="740">
        <f t="shared" si="6"/>
        <v>0</v>
      </c>
      <c r="AJ16" s="740">
        <f t="shared" si="7"/>
        <v>0</v>
      </c>
      <c r="AK16" s="740"/>
      <c r="AL16" s="740"/>
      <c r="AM16" s="740"/>
      <c r="AN16" s="740"/>
      <c r="AO16" s="740"/>
      <c r="AQ16" s="741">
        <f t="shared" ca="1" si="8"/>
        <v>0</v>
      </c>
    </row>
    <row r="17" spans="1:43" ht="20.25" customHeight="1" x14ac:dyDescent="0.25">
      <c r="A17" s="1252"/>
      <c r="B17" s="1253"/>
      <c r="C17" s="758"/>
      <c r="D17" s="759"/>
      <c r="E17" s="730"/>
      <c r="F17" s="731"/>
      <c r="G17" s="731"/>
      <c r="H17" s="732"/>
      <c r="I17" s="733" t="str">
        <f t="shared" si="0"/>
        <v xml:space="preserve"> </v>
      </c>
      <c r="J17" s="734" t="str">
        <f t="shared" si="1"/>
        <v>,</v>
      </c>
      <c r="K17" s="735">
        <f t="shared" ca="1" si="2"/>
        <v>0</v>
      </c>
      <c r="L17" s="736" t="str">
        <f t="shared" si="3"/>
        <v>000100</v>
      </c>
      <c r="M17" s="748">
        <f t="shared" ca="1" si="10"/>
        <v>0</v>
      </c>
      <c r="N17" s="1265"/>
      <c r="O17" s="1265"/>
      <c r="P17" s="1266"/>
      <c r="Q17" s="705"/>
      <c r="AD17" s="1244"/>
      <c r="AE17" s="1245"/>
      <c r="AF17" s="753"/>
      <c r="AG17" s="754"/>
      <c r="AH17" s="740">
        <f t="shared" si="5"/>
        <v>0</v>
      </c>
      <c r="AI17" s="740">
        <f t="shared" si="6"/>
        <v>0</v>
      </c>
      <c r="AJ17" s="740">
        <f t="shared" si="7"/>
        <v>0</v>
      </c>
      <c r="AK17" s="740"/>
      <c r="AL17" s="740"/>
      <c r="AM17" s="740"/>
      <c r="AN17" s="740"/>
      <c r="AO17" s="740"/>
      <c r="AQ17" s="741">
        <f t="shared" ca="1" si="8"/>
        <v>0</v>
      </c>
    </row>
    <row r="18" spans="1:43" ht="20.25" customHeight="1" x14ac:dyDescent="0.25">
      <c r="A18" s="1252">
        <v>6</v>
      </c>
      <c r="B18" s="1253" t="s">
        <v>4660</v>
      </c>
      <c r="C18" s="756"/>
      <c r="D18" s="757"/>
      <c r="E18" s="730"/>
      <c r="F18" s="731"/>
      <c r="G18" s="731"/>
      <c r="H18" s="732"/>
      <c r="I18" s="733" t="str">
        <f t="shared" si="0"/>
        <v xml:space="preserve"> </v>
      </c>
      <c r="J18" s="734" t="str">
        <f t="shared" si="1"/>
        <v>,</v>
      </c>
      <c r="K18" s="735">
        <f t="shared" ca="1" si="2"/>
        <v>0</v>
      </c>
      <c r="L18" s="736" t="str">
        <f t="shared" si="3"/>
        <v>000100</v>
      </c>
      <c r="M18" s="748">
        <f t="shared" ca="1" si="10"/>
        <v>0</v>
      </c>
      <c r="N18" s="1258" t="s">
        <v>4319</v>
      </c>
      <c r="O18" s="1258" t="s">
        <v>4320</v>
      </c>
      <c r="P18" s="1259" t="s">
        <v>4663</v>
      </c>
      <c r="R18" s="760"/>
      <c r="S18" s="760"/>
      <c r="AD18" s="1244">
        <f>A18</f>
        <v>6</v>
      </c>
      <c r="AE18" s="1245" t="str">
        <f>B18</f>
        <v>OPEN/MALE 13/U 4 X 50M
MEDLEY RELAY</v>
      </c>
      <c r="AF18" s="749"/>
      <c r="AG18" s="750"/>
      <c r="AH18" s="740">
        <f t="shared" si="5"/>
        <v>0</v>
      </c>
      <c r="AI18" s="740">
        <f t="shared" si="6"/>
        <v>0</v>
      </c>
      <c r="AJ18" s="740">
        <f t="shared" si="7"/>
        <v>0</v>
      </c>
      <c r="AK18" s="740"/>
      <c r="AL18" s="740"/>
      <c r="AM18" s="740"/>
      <c r="AN18" s="740"/>
      <c r="AO18" s="740"/>
      <c r="AQ18" s="741">
        <f t="shared" ca="1" si="8"/>
        <v>0</v>
      </c>
    </row>
    <row r="19" spans="1:43" ht="20.25" customHeight="1" x14ac:dyDescent="0.25">
      <c r="A19" s="1252"/>
      <c r="B19" s="1253"/>
      <c r="C19" s="758"/>
      <c r="D19" s="759"/>
      <c r="E19" s="730"/>
      <c r="F19" s="731"/>
      <c r="G19" s="731"/>
      <c r="H19" s="732"/>
      <c r="I19" s="733" t="str">
        <f t="shared" si="0"/>
        <v xml:space="preserve"> </v>
      </c>
      <c r="J19" s="734" t="str">
        <f t="shared" si="1"/>
        <v>,</v>
      </c>
      <c r="K19" s="735">
        <f t="shared" ca="1" si="2"/>
        <v>0</v>
      </c>
      <c r="L19" s="736" t="str">
        <f t="shared" si="3"/>
        <v>000100</v>
      </c>
      <c r="M19" s="748">
        <f t="shared" ca="1" si="10"/>
        <v>0</v>
      </c>
      <c r="N19" s="1258"/>
      <c r="O19" s="1258"/>
      <c r="P19" s="1259"/>
      <c r="R19" s="760"/>
      <c r="S19" s="760"/>
      <c r="AD19" s="1244"/>
      <c r="AE19" s="1245"/>
      <c r="AF19" s="753"/>
      <c r="AG19" s="754"/>
      <c r="AH19" s="740">
        <f t="shared" si="5"/>
        <v>0</v>
      </c>
      <c r="AI19" s="740">
        <f t="shared" si="6"/>
        <v>0</v>
      </c>
      <c r="AJ19" s="740">
        <f t="shared" si="7"/>
        <v>0</v>
      </c>
      <c r="AK19" s="740"/>
      <c r="AL19" s="740"/>
      <c r="AM19" s="740"/>
      <c r="AN19" s="740"/>
      <c r="AO19" s="740"/>
      <c r="AQ19" s="741">
        <f t="shared" ca="1" si="8"/>
        <v>0</v>
      </c>
    </row>
    <row r="20" spans="1:43" ht="20.25" customHeight="1" x14ac:dyDescent="0.25">
      <c r="A20" s="1252"/>
      <c r="B20" s="1253"/>
      <c r="C20" s="758"/>
      <c r="D20" s="759"/>
      <c r="E20" s="730"/>
      <c r="F20" s="731"/>
      <c r="G20" s="731"/>
      <c r="H20" s="732"/>
      <c r="I20" s="733" t="str">
        <f t="shared" si="0"/>
        <v xml:space="preserve"> </v>
      </c>
      <c r="J20" s="734" t="str">
        <f t="shared" si="1"/>
        <v>,</v>
      </c>
      <c r="K20" s="735">
        <f t="shared" ca="1" si="2"/>
        <v>0</v>
      </c>
      <c r="L20" s="736" t="str">
        <f t="shared" si="3"/>
        <v>000100</v>
      </c>
      <c r="M20" s="748">
        <f t="shared" ca="1" si="10"/>
        <v>0</v>
      </c>
      <c r="N20" s="1258"/>
      <c r="O20" s="1258"/>
      <c r="P20" s="1259"/>
      <c r="R20" s="760"/>
      <c r="S20" s="760"/>
      <c r="AD20" s="1244"/>
      <c r="AE20" s="1245"/>
      <c r="AF20" s="753"/>
      <c r="AG20" s="754"/>
      <c r="AH20" s="740">
        <f t="shared" si="5"/>
        <v>0</v>
      </c>
      <c r="AI20" s="740">
        <f t="shared" si="6"/>
        <v>0</v>
      </c>
      <c r="AJ20" s="740">
        <f t="shared" si="7"/>
        <v>0</v>
      </c>
      <c r="AK20" s="740"/>
      <c r="AL20" s="740"/>
      <c r="AM20" s="740"/>
      <c r="AN20" s="740"/>
      <c r="AO20" s="740"/>
      <c r="AQ20" s="741">
        <f t="shared" ca="1" si="8"/>
        <v>0</v>
      </c>
    </row>
    <row r="21" spans="1:43" ht="20.25" customHeight="1" x14ac:dyDescent="0.25">
      <c r="A21" s="1252"/>
      <c r="B21" s="1253"/>
      <c r="C21" s="758"/>
      <c r="D21" s="759"/>
      <c r="E21" s="730"/>
      <c r="F21" s="731"/>
      <c r="G21" s="731"/>
      <c r="H21" s="732"/>
      <c r="I21" s="733" t="str">
        <f t="shared" si="0"/>
        <v xml:space="preserve"> </v>
      </c>
      <c r="J21" s="734" t="str">
        <f t="shared" si="1"/>
        <v>,</v>
      </c>
      <c r="K21" s="735">
        <f t="shared" ca="1" si="2"/>
        <v>0</v>
      </c>
      <c r="L21" s="736" t="str">
        <f t="shared" si="3"/>
        <v>000100</v>
      </c>
      <c r="M21" s="748">
        <f t="shared" ca="1" si="10"/>
        <v>0</v>
      </c>
      <c r="N21" s="1258"/>
      <c r="O21" s="1258"/>
      <c r="P21" s="1259"/>
      <c r="R21" s="760"/>
      <c r="S21" s="760"/>
      <c r="AD21" s="1244"/>
      <c r="AE21" s="1245"/>
      <c r="AF21" s="753"/>
      <c r="AG21" s="754"/>
      <c r="AH21" s="740">
        <f t="shared" si="5"/>
        <v>0</v>
      </c>
      <c r="AI21" s="740">
        <f t="shared" si="6"/>
        <v>0</v>
      </c>
      <c r="AJ21" s="740">
        <f t="shared" si="7"/>
        <v>0</v>
      </c>
      <c r="AK21" s="740"/>
      <c r="AL21" s="740"/>
      <c r="AM21" s="740"/>
      <c r="AN21" s="740"/>
      <c r="AO21" s="740"/>
      <c r="AQ21">
        <f t="shared" ca="1" si="8"/>
        <v>0</v>
      </c>
    </row>
    <row r="22" spans="1:43" ht="20.25" customHeight="1" x14ac:dyDescent="0.25">
      <c r="A22" s="1256">
        <v>7</v>
      </c>
      <c r="B22" s="1249" t="s">
        <v>4667</v>
      </c>
      <c r="C22" s="761"/>
      <c r="D22" s="762"/>
      <c r="E22" s="730"/>
      <c r="F22" s="731"/>
      <c r="G22" s="731"/>
      <c r="H22" s="732"/>
      <c r="I22" s="733" t="str">
        <f t="shared" si="0"/>
        <v xml:space="preserve"> </v>
      </c>
      <c r="J22" s="734" t="str">
        <f t="shared" si="1"/>
        <v>,</v>
      </c>
      <c r="K22" s="735">
        <f t="shared" ca="1" si="2"/>
        <v>0</v>
      </c>
      <c r="L22" s="736" t="str">
        <f t="shared" si="3"/>
        <v>000100</v>
      </c>
      <c r="M22" s="748">
        <f t="shared" ref="M22:M29" ca="1" si="11">IF(K22=0,0,IF(K22&lt;9,"TOO YOUNG",IF(K22&lt;16,"OK","NOT ELIGIBLE")))</f>
        <v>0</v>
      </c>
      <c r="N22" s="1257" t="str">
        <f>'Gala Setup'!S4</f>
        <v>NASL.2023 V6</v>
      </c>
      <c r="O22" s="1257"/>
      <c r="P22" s="1257"/>
      <c r="Q22" s="705"/>
      <c r="AD22" s="1244">
        <f>A22</f>
        <v>7</v>
      </c>
      <c r="AE22" s="1245" t="str">
        <f>B22</f>
        <v>FEMALE 15/U 4 X 50M
FREESTYLE RELAY</v>
      </c>
      <c r="AF22" s="749"/>
      <c r="AG22" s="750"/>
      <c r="AH22" s="740">
        <f t="shared" si="5"/>
        <v>0</v>
      </c>
      <c r="AI22" s="740">
        <f t="shared" si="6"/>
        <v>0</v>
      </c>
      <c r="AJ22" s="740">
        <f t="shared" si="7"/>
        <v>0</v>
      </c>
      <c r="AK22" s="740"/>
      <c r="AL22" s="740"/>
      <c r="AM22" s="740"/>
      <c r="AN22" s="740"/>
      <c r="AO22" s="740"/>
      <c r="AQ22">
        <f t="shared" ca="1" si="8"/>
        <v>0</v>
      </c>
    </row>
    <row r="23" spans="1:43" ht="20.25" customHeight="1" x14ac:dyDescent="0.25">
      <c r="A23" s="1256"/>
      <c r="B23" s="1249"/>
      <c r="C23" s="763"/>
      <c r="D23" s="764"/>
      <c r="E23" s="730"/>
      <c r="F23" s="731"/>
      <c r="G23" s="731"/>
      <c r="H23" s="732"/>
      <c r="I23" s="733" t="str">
        <f t="shared" si="0"/>
        <v xml:space="preserve"> </v>
      </c>
      <c r="J23" s="734" t="str">
        <f t="shared" si="1"/>
        <v>,</v>
      </c>
      <c r="K23" s="735">
        <f t="shared" ca="1" si="2"/>
        <v>0</v>
      </c>
      <c r="L23" s="736" t="str">
        <f t="shared" si="3"/>
        <v>000100</v>
      </c>
      <c r="M23" s="748">
        <f t="shared" ca="1" si="11"/>
        <v>0</v>
      </c>
      <c r="N23" s="1257"/>
      <c r="O23" s="1257"/>
      <c r="P23" s="1257"/>
      <c r="Q23" s="705"/>
      <c r="AD23" s="1244"/>
      <c r="AE23" s="1245"/>
      <c r="AF23" s="753"/>
      <c r="AG23" s="754"/>
      <c r="AH23" s="740">
        <f t="shared" si="5"/>
        <v>0</v>
      </c>
      <c r="AI23" s="740">
        <f t="shared" si="6"/>
        <v>0</v>
      </c>
      <c r="AJ23" s="740">
        <f t="shared" si="7"/>
        <v>0</v>
      </c>
      <c r="AK23" s="740"/>
      <c r="AL23" s="740"/>
      <c r="AM23" s="740"/>
      <c r="AN23" s="740"/>
      <c r="AO23" s="740"/>
      <c r="AQ23">
        <f t="shared" ca="1" si="8"/>
        <v>0</v>
      </c>
    </row>
    <row r="24" spans="1:43" ht="20.25" customHeight="1" x14ac:dyDescent="0.25">
      <c r="A24" s="1256"/>
      <c r="B24" s="1249"/>
      <c r="C24" s="763"/>
      <c r="D24" s="764"/>
      <c r="E24" s="730"/>
      <c r="F24" s="731"/>
      <c r="G24" s="731"/>
      <c r="H24" s="732"/>
      <c r="I24" s="733" t="str">
        <f t="shared" si="0"/>
        <v xml:space="preserve"> </v>
      </c>
      <c r="J24" s="734" t="str">
        <f t="shared" si="1"/>
        <v>,</v>
      </c>
      <c r="K24" s="735">
        <f t="shared" ca="1" si="2"/>
        <v>0</v>
      </c>
      <c r="L24" s="736" t="str">
        <f t="shared" si="3"/>
        <v>000100</v>
      </c>
      <c r="M24" s="748">
        <f t="shared" ca="1" si="11"/>
        <v>0</v>
      </c>
      <c r="N24" s="765"/>
      <c r="Q24" s="765"/>
      <c r="AD24" s="1244"/>
      <c r="AE24" s="1245"/>
      <c r="AF24" s="753"/>
      <c r="AG24" s="754"/>
      <c r="AH24" s="740">
        <f t="shared" si="5"/>
        <v>0</v>
      </c>
      <c r="AI24" s="740">
        <f t="shared" si="6"/>
        <v>0</v>
      </c>
      <c r="AJ24" s="740">
        <f t="shared" si="7"/>
        <v>0</v>
      </c>
      <c r="AK24" s="740"/>
      <c r="AL24" s="740"/>
      <c r="AM24" s="740"/>
      <c r="AN24" s="740"/>
      <c r="AO24" s="740"/>
      <c r="AQ24">
        <f t="shared" ca="1" si="8"/>
        <v>0</v>
      </c>
    </row>
    <row r="25" spans="1:43" ht="20.25" customHeight="1" x14ac:dyDescent="0.25">
      <c r="A25" s="1256"/>
      <c r="B25" s="1249"/>
      <c r="C25" s="763"/>
      <c r="D25" s="764"/>
      <c r="E25" s="730"/>
      <c r="F25" s="731"/>
      <c r="G25" s="731"/>
      <c r="H25" s="732"/>
      <c r="I25" s="733" t="str">
        <f t="shared" si="0"/>
        <v xml:space="preserve"> </v>
      </c>
      <c r="J25" s="734" t="str">
        <f t="shared" si="1"/>
        <v>,</v>
      </c>
      <c r="K25" s="735">
        <f t="shared" ca="1" si="2"/>
        <v>0</v>
      </c>
      <c r="L25" s="736" t="str">
        <f t="shared" si="3"/>
        <v>000100</v>
      </c>
      <c r="M25" s="748">
        <f t="shared" ca="1" si="11"/>
        <v>0</v>
      </c>
      <c r="N25" s="765"/>
      <c r="Q25" s="765"/>
      <c r="AD25" s="1244"/>
      <c r="AE25" s="1245"/>
      <c r="AF25" s="753"/>
      <c r="AG25" s="754"/>
      <c r="AH25" s="740">
        <f t="shared" si="5"/>
        <v>0</v>
      </c>
      <c r="AI25" s="740">
        <f t="shared" si="6"/>
        <v>0</v>
      </c>
      <c r="AJ25" s="740">
        <f t="shared" si="7"/>
        <v>0</v>
      </c>
      <c r="AK25" s="740"/>
      <c r="AL25" s="740"/>
      <c r="AM25" s="740"/>
      <c r="AN25" s="740"/>
      <c r="AO25" s="740"/>
      <c r="AQ25">
        <f t="shared" ca="1" si="8"/>
        <v>0</v>
      </c>
    </row>
    <row r="26" spans="1:43" ht="20.25" customHeight="1" x14ac:dyDescent="0.25">
      <c r="A26" s="1256">
        <v>8</v>
      </c>
      <c r="B26" s="1249" t="s">
        <v>4676</v>
      </c>
      <c r="C26" s="761"/>
      <c r="D26" s="762"/>
      <c r="E26" s="730"/>
      <c r="F26" s="731"/>
      <c r="G26" s="731"/>
      <c r="H26" s="732"/>
      <c r="I26" s="733" t="str">
        <f t="shared" si="0"/>
        <v xml:space="preserve"> </v>
      </c>
      <c r="J26" s="734" t="str">
        <f t="shared" si="1"/>
        <v>,</v>
      </c>
      <c r="K26" s="735">
        <f t="shared" ca="1" si="2"/>
        <v>0</v>
      </c>
      <c r="L26" s="736" t="str">
        <f t="shared" si="3"/>
        <v>000100</v>
      </c>
      <c r="M26" s="766">
        <f t="shared" ca="1" si="11"/>
        <v>0</v>
      </c>
      <c r="N26" s="767"/>
      <c r="AD26" s="1244">
        <f>A26</f>
        <v>8</v>
      </c>
      <c r="AE26" s="1245" t="str">
        <f>B26</f>
        <v>OPEN/MALE 15/U 4 X 50M
FREESTYLE RELAY</v>
      </c>
      <c r="AF26" s="749"/>
      <c r="AG26" s="750"/>
      <c r="AH26" s="740">
        <f t="shared" si="5"/>
        <v>0</v>
      </c>
      <c r="AI26" s="740">
        <f t="shared" si="6"/>
        <v>0</v>
      </c>
      <c r="AJ26" s="740">
        <f t="shared" si="7"/>
        <v>0</v>
      </c>
      <c r="AK26" s="740"/>
      <c r="AL26" s="740"/>
      <c r="AM26" s="740"/>
      <c r="AN26" s="740"/>
      <c r="AO26" s="740"/>
      <c r="AQ26">
        <f t="shared" ca="1" si="8"/>
        <v>0</v>
      </c>
    </row>
    <row r="27" spans="1:43" ht="20.25" customHeight="1" x14ac:dyDescent="0.25">
      <c r="A27" s="1256"/>
      <c r="B27" s="1249"/>
      <c r="C27" s="763"/>
      <c r="D27" s="764"/>
      <c r="E27" s="730"/>
      <c r="F27" s="731"/>
      <c r="G27" s="731"/>
      <c r="H27" s="732"/>
      <c r="I27" s="733" t="str">
        <f t="shared" si="0"/>
        <v xml:space="preserve"> </v>
      </c>
      <c r="J27" s="734" t="str">
        <f t="shared" si="1"/>
        <v>,</v>
      </c>
      <c r="K27" s="735">
        <f t="shared" ca="1" si="2"/>
        <v>0</v>
      </c>
      <c r="L27" s="736" t="str">
        <f t="shared" si="3"/>
        <v>000100</v>
      </c>
      <c r="M27" s="766">
        <f t="shared" ca="1" si="11"/>
        <v>0</v>
      </c>
      <c r="N27" s="767"/>
      <c r="AD27" s="1244"/>
      <c r="AE27" s="1245"/>
      <c r="AF27" s="753"/>
      <c r="AG27" s="754"/>
      <c r="AH27" s="740">
        <f t="shared" si="5"/>
        <v>0</v>
      </c>
      <c r="AI27" s="740">
        <f t="shared" si="6"/>
        <v>0</v>
      </c>
      <c r="AJ27" s="740">
        <f t="shared" si="7"/>
        <v>0</v>
      </c>
      <c r="AK27" s="740"/>
      <c r="AL27" s="740"/>
      <c r="AM27" s="740"/>
      <c r="AN27" s="740"/>
      <c r="AO27" s="740"/>
      <c r="AQ27">
        <f t="shared" ca="1" si="8"/>
        <v>0</v>
      </c>
    </row>
    <row r="28" spans="1:43" ht="20.25" customHeight="1" x14ac:dyDescent="0.25">
      <c r="A28" s="1256"/>
      <c r="B28" s="1249"/>
      <c r="C28" s="763"/>
      <c r="D28" s="764"/>
      <c r="E28" s="730"/>
      <c r="F28" s="731"/>
      <c r="G28" s="731"/>
      <c r="H28" s="732"/>
      <c r="I28" s="733" t="str">
        <f t="shared" si="0"/>
        <v xml:space="preserve"> </v>
      </c>
      <c r="J28" s="734" t="str">
        <f t="shared" si="1"/>
        <v>,</v>
      </c>
      <c r="K28" s="735">
        <f t="shared" ca="1" si="2"/>
        <v>0</v>
      </c>
      <c r="L28" s="736" t="str">
        <f t="shared" si="3"/>
        <v>000100</v>
      </c>
      <c r="M28" s="766">
        <f t="shared" ca="1" si="11"/>
        <v>0</v>
      </c>
      <c r="N28" s="767"/>
      <c r="AD28" s="1244"/>
      <c r="AE28" s="1245"/>
      <c r="AF28" s="753"/>
      <c r="AG28" s="754"/>
      <c r="AH28" s="740">
        <f t="shared" si="5"/>
        <v>0</v>
      </c>
      <c r="AI28" s="740">
        <f t="shared" si="6"/>
        <v>0</v>
      </c>
      <c r="AJ28" s="740">
        <f t="shared" si="7"/>
        <v>0</v>
      </c>
      <c r="AK28" s="740"/>
      <c r="AL28" s="740"/>
      <c r="AM28" s="740"/>
      <c r="AN28" s="740"/>
      <c r="AO28" s="740"/>
      <c r="AQ28">
        <f t="shared" ca="1" si="8"/>
        <v>0</v>
      </c>
    </row>
    <row r="29" spans="1:43" ht="20.25" customHeight="1" x14ac:dyDescent="0.25">
      <c r="A29" s="1256"/>
      <c r="B29" s="1249"/>
      <c r="C29" s="763"/>
      <c r="D29" s="764"/>
      <c r="E29" s="730"/>
      <c r="F29" s="731"/>
      <c r="G29" s="731"/>
      <c r="H29" s="732"/>
      <c r="I29" s="733" t="str">
        <f t="shared" si="0"/>
        <v xml:space="preserve"> </v>
      </c>
      <c r="J29" s="734" t="str">
        <f t="shared" si="1"/>
        <v>,</v>
      </c>
      <c r="K29" s="735">
        <f t="shared" ca="1" si="2"/>
        <v>0</v>
      </c>
      <c r="L29" s="736" t="str">
        <f t="shared" si="3"/>
        <v>000100</v>
      </c>
      <c r="M29" s="766">
        <f t="shared" ca="1" si="11"/>
        <v>0</v>
      </c>
      <c r="N29" s="767"/>
      <c r="AD29" s="1244"/>
      <c r="AE29" s="1245"/>
      <c r="AF29" s="753"/>
      <c r="AG29" s="754"/>
      <c r="AH29" s="740">
        <f t="shared" si="5"/>
        <v>0</v>
      </c>
      <c r="AI29" s="740">
        <f t="shared" si="6"/>
        <v>0</v>
      </c>
      <c r="AJ29" s="740">
        <f t="shared" si="7"/>
        <v>0</v>
      </c>
      <c r="AK29" s="740"/>
      <c r="AL29" s="740"/>
      <c r="AM29" s="740"/>
      <c r="AN29" s="740"/>
      <c r="AO29" s="740"/>
      <c r="AQ29">
        <f t="shared" ca="1" si="8"/>
        <v>0</v>
      </c>
    </row>
    <row r="30" spans="1:43" ht="20.25" customHeight="1" x14ac:dyDescent="0.25">
      <c r="A30" s="1250">
        <v>9</v>
      </c>
      <c r="B30" s="1251" t="s">
        <v>4681</v>
      </c>
      <c r="C30" s="768"/>
      <c r="D30" s="769"/>
      <c r="E30" s="730"/>
      <c r="F30" s="731"/>
      <c r="G30" s="731"/>
      <c r="H30" s="732"/>
      <c r="I30" s="733" t="str">
        <f t="shared" si="0"/>
        <v xml:space="preserve"> </v>
      </c>
      <c r="J30" s="734" t="str">
        <f t="shared" si="1"/>
        <v>,</v>
      </c>
      <c r="K30" s="735">
        <f t="shared" ca="1" si="2"/>
        <v>0</v>
      </c>
      <c r="L30" s="736" t="str">
        <f t="shared" si="3"/>
        <v>000100</v>
      </c>
      <c r="M30" s="770">
        <f t="shared" ref="M30:M37" ca="1" si="12">IF(K30=0,0,IF(K30&lt;9,"TOO YOUNG",IF(K30&lt;60,"OK","BIT OLD MAYBE")))</f>
        <v>0</v>
      </c>
      <c r="N30" s="767"/>
      <c r="AD30" s="1244">
        <f>A30</f>
        <v>9</v>
      </c>
      <c r="AE30" s="1245" t="str">
        <f>B30</f>
        <v>FEMALE 16+ 4 X 50M
MEDLEY RELAY</v>
      </c>
      <c r="AF30" s="749"/>
      <c r="AG30" s="750"/>
      <c r="AH30" s="740">
        <f t="shared" si="5"/>
        <v>0</v>
      </c>
      <c r="AI30" s="740">
        <f t="shared" si="6"/>
        <v>0</v>
      </c>
      <c r="AJ30" s="740">
        <f t="shared" si="7"/>
        <v>0</v>
      </c>
      <c r="AK30" s="740"/>
      <c r="AL30" s="740"/>
      <c r="AM30" s="740"/>
      <c r="AN30" s="740"/>
      <c r="AO30" s="740"/>
      <c r="AQ30">
        <f t="shared" ca="1" si="8"/>
        <v>0</v>
      </c>
    </row>
    <row r="31" spans="1:43" ht="20.25" customHeight="1" x14ac:dyDescent="0.25">
      <c r="A31" s="1250"/>
      <c r="B31" s="1251"/>
      <c r="C31" s="771"/>
      <c r="D31" s="772"/>
      <c r="E31" s="730"/>
      <c r="F31" s="731"/>
      <c r="G31" s="731"/>
      <c r="H31" s="732"/>
      <c r="I31" s="733" t="str">
        <f t="shared" si="0"/>
        <v xml:space="preserve"> </v>
      </c>
      <c r="J31" s="734" t="str">
        <f t="shared" si="1"/>
        <v>,</v>
      </c>
      <c r="K31" s="735">
        <f t="shared" ca="1" si="2"/>
        <v>0</v>
      </c>
      <c r="L31" s="736" t="str">
        <f t="shared" si="3"/>
        <v>000100</v>
      </c>
      <c r="M31" s="770">
        <f t="shared" ca="1" si="12"/>
        <v>0</v>
      </c>
      <c r="N31" s="767"/>
      <c r="AD31" s="1244"/>
      <c r="AE31" s="1245"/>
      <c r="AF31" s="753"/>
      <c r="AG31" s="754"/>
      <c r="AH31" s="740">
        <f t="shared" si="5"/>
        <v>0</v>
      </c>
      <c r="AI31" s="740">
        <f t="shared" si="6"/>
        <v>0</v>
      </c>
      <c r="AJ31" s="740">
        <f t="shared" si="7"/>
        <v>0</v>
      </c>
      <c r="AK31" s="740"/>
      <c r="AL31" s="740"/>
      <c r="AM31" s="740"/>
      <c r="AN31" s="740"/>
      <c r="AO31" s="740"/>
      <c r="AQ31">
        <f t="shared" ca="1" si="8"/>
        <v>0</v>
      </c>
    </row>
    <row r="32" spans="1:43" ht="20.25" customHeight="1" x14ac:dyDescent="0.25">
      <c r="A32" s="1250"/>
      <c r="B32" s="1251"/>
      <c r="C32" s="771"/>
      <c r="D32" s="772"/>
      <c r="E32" s="730"/>
      <c r="F32" s="731"/>
      <c r="G32" s="731"/>
      <c r="H32" s="732"/>
      <c r="I32" s="733" t="str">
        <f t="shared" si="0"/>
        <v xml:space="preserve"> </v>
      </c>
      <c r="J32" s="734" t="str">
        <f t="shared" si="1"/>
        <v>,</v>
      </c>
      <c r="K32" s="735">
        <f t="shared" ca="1" si="2"/>
        <v>0</v>
      </c>
      <c r="L32" s="736" t="str">
        <f t="shared" si="3"/>
        <v>000100</v>
      </c>
      <c r="M32" s="770">
        <f t="shared" ca="1" si="12"/>
        <v>0</v>
      </c>
      <c r="N32" s="767"/>
      <c r="AD32" s="1244"/>
      <c r="AE32" s="1245"/>
      <c r="AF32" s="753"/>
      <c r="AG32" s="754"/>
      <c r="AH32" s="740">
        <f t="shared" si="5"/>
        <v>0</v>
      </c>
      <c r="AI32" s="740">
        <f t="shared" si="6"/>
        <v>0</v>
      </c>
      <c r="AJ32" s="740">
        <f t="shared" si="7"/>
        <v>0</v>
      </c>
      <c r="AK32" s="740"/>
      <c r="AL32" s="740"/>
      <c r="AM32" s="740"/>
      <c r="AN32" s="740"/>
      <c r="AO32" s="740"/>
      <c r="AQ32">
        <f t="shared" ca="1" si="8"/>
        <v>0</v>
      </c>
    </row>
    <row r="33" spans="1:43" ht="20.25" customHeight="1" x14ac:dyDescent="0.25">
      <c r="A33" s="1250"/>
      <c r="B33" s="1251"/>
      <c r="C33" s="771"/>
      <c r="D33" s="772"/>
      <c r="E33" s="730"/>
      <c r="F33" s="731"/>
      <c r="G33" s="731"/>
      <c r="H33" s="732"/>
      <c r="I33" s="733" t="str">
        <f t="shared" si="0"/>
        <v xml:space="preserve"> </v>
      </c>
      <c r="J33" s="734" t="str">
        <f t="shared" si="1"/>
        <v>,</v>
      </c>
      <c r="K33" s="735">
        <f t="shared" ca="1" si="2"/>
        <v>0</v>
      </c>
      <c r="L33" s="736" t="str">
        <f t="shared" si="3"/>
        <v>000100</v>
      </c>
      <c r="M33" s="770">
        <f t="shared" ca="1" si="12"/>
        <v>0</v>
      </c>
      <c r="N33" s="767"/>
      <c r="AD33" s="1244"/>
      <c r="AE33" s="1245"/>
      <c r="AF33" s="753"/>
      <c r="AG33" s="754"/>
      <c r="AH33" s="740">
        <f t="shared" si="5"/>
        <v>0</v>
      </c>
      <c r="AI33" s="740">
        <f t="shared" si="6"/>
        <v>0</v>
      </c>
      <c r="AJ33" s="740">
        <f t="shared" si="7"/>
        <v>0</v>
      </c>
      <c r="AK33" s="740"/>
      <c r="AL33" s="740"/>
      <c r="AM33" s="740"/>
      <c r="AN33" s="740"/>
      <c r="AO33" s="740"/>
      <c r="AQ33">
        <f t="shared" ca="1" si="8"/>
        <v>0</v>
      </c>
    </row>
    <row r="34" spans="1:43" ht="20.25" customHeight="1" x14ac:dyDescent="0.25">
      <c r="A34" s="1250">
        <v>10</v>
      </c>
      <c r="B34" s="1251" t="s">
        <v>4687</v>
      </c>
      <c r="C34" s="768"/>
      <c r="D34" s="769"/>
      <c r="E34" s="730"/>
      <c r="F34" s="731"/>
      <c r="G34" s="731"/>
      <c r="H34" s="732"/>
      <c r="I34" s="733" t="str">
        <f t="shared" si="0"/>
        <v xml:space="preserve"> </v>
      </c>
      <c r="J34" s="734" t="str">
        <f t="shared" si="1"/>
        <v>,</v>
      </c>
      <c r="K34" s="735">
        <f t="shared" ca="1" si="2"/>
        <v>0</v>
      </c>
      <c r="L34" s="736" t="str">
        <f t="shared" si="3"/>
        <v>000100</v>
      </c>
      <c r="M34" s="770">
        <f t="shared" ca="1" si="12"/>
        <v>0</v>
      </c>
      <c r="N34" s="767"/>
      <c r="AD34" s="1244">
        <f>A34</f>
        <v>10</v>
      </c>
      <c r="AE34" s="1245" t="str">
        <f>B34</f>
        <v>OPEN/MALE 16+ 4 X 50M
MEDLEY RELAY</v>
      </c>
      <c r="AF34" s="749"/>
      <c r="AG34" s="750"/>
      <c r="AH34" s="740">
        <f t="shared" si="5"/>
        <v>0</v>
      </c>
      <c r="AI34" s="740">
        <f t="shared" si="6"/>
        <v>0</v>
      </c>
      <c r="AJ34" s="740">
        <f t="shared" si="7"/>
        <v>0</v>
      </c>
      <c r="AK34" s="740"/>
      <c r="AL34" s="740"/>
      <c r="AM34" s="740"/>
      <c r="AN34" s="740"/>
      <c r="AO34" s="740"/>
      <c r="AQ34">
        <f t="shared" ca="1" si="8"/>
        <v>0</v>
      </c>
    </row>
    <row r="35" spans="1:43" ht="20.25" customHeight="1" x14ac:dyDescent="0.25">
      <c r="A35" s="1250"/>
      <c r="B35" s="1251"/>
      <c r="C35" s="771"/>
      <c r="D35" s="772"/>
      <c r="E35" s="730"/>
      <c r="F35" s="731"/>
      <c r="G35" s="731"/>
      <c r="H35" s="732"/>
      <c r="I35" s="733" t="str">
        <f t="shared" si="0"/>
        <v xml:space="preserve"> </v>
      </c>
      <c r="J35" s="734" t="str">
        <f t="shared" si="1"/>
        <v>,</v>
      </c>
      <c r="K35" s="735">
        <f t="shared" ca="1" si="2"/>
        <v>0</v>
      </c>
      <c r="L35" s="736" t="str">
        <f t="shared" si="3"/>
        <v>000100</v>
      </c>
      <c r="M35" s="770">
        <f t="shared" ca="1" si="12"/>
        <v>0</v>
      </c>
      <c r="AD35" s="1244"/>
      <c r="AE35" s="1245"/>
      <c r="AF35" s="753"/>
      <c r="AG35" s="754"/>
      <c r="AH35" s="740">
        <f t="shared" si="5"/>
        <v>0</v>
      </c>
      <c r="AI35" s="740">
        <f t="shared" si="6"/>
        <v>0</v>
      </c>
      <c r="AJ35" s="740">
        <f t="shared" si="7"/>
        <v>0</v>
      </c>
      <c r="AK35" s="740"/>
      <c r="AL35" s="740"/>
      <c r="AM35" s="740"/>
      <c r="AN35" s="740"/>
      <c r="AO35" s="740"/>
      <c r="AQ35">
        <f t="shared" ca="1" si="8"/>
        <v>0</v>
      </c>
    </row>
    <row r="36" spans="1:43" ht="20.25" customHeight="1" x14ac:dyDescent="0.25">
      <c r="A36" s="1250"/>
      <c r="B36" s="1251"/>
      <c r="C36" s="771"/>
      <c r="D36" s="772"/>
      <c r="E36" s="730"/>
      <c r="F36" s="731"/>
      <c r="G36" s="731"/>
      <c r="H36" s="732"/>
      <c r="I36" s="733" t="str">
        <f t="shared" ref="I36:I67" si="13">CONCATENATE(F36," ",G36)</f>
        <v xml:space="preserve"> </v>
      </c>
      <c r="J36" s="734" t="str">
        <f t="shared" ref="J36:J67" si="14">CONCATENATE(G36,",",F36)</f>
        <v>,</v>
      </c>
      <c r="K36" s="735">
        <f t="shared" ref="K36:K67" ca="1" si="15">IF(K$2=0,0,IF(AQ36=0,0,IF(COUNTBLANK(AQ36)=1,"",YEAR(K$2)-YEAR(AQ36)-IF(DATE(YEAR(K$2),MONTH(AQ36),DAY(4638))&gt;K$2,1,0))))</f>
        <v>0</v>
      </c>
      <c r="L36" s="736" t="str">
        <f t="shared" ref="L36:L67" si="16">(TEXT(H36,"DDMMYY"))</f>
        <v>000100</v>
      </c>
      <c r="M36" s="770">
        <f t="shared" ca="1" si="12"/>
        <v>0</v>
      </c>
      <c r="AD36" s="1244"/>
      <c r="AE36" s="1245"/>
      <c r="AF36" s="753"/>
      <c r="AG36" s="754"/>
      <c r="AH36" s="740">
        <f t="shared" ref="AH36:AH67" si="17">E36</f>
        <v>0</v>
      </c>
      <c r="AI36" s="740">
        <f t="shared" ref="AI36:AI67" si="18">F36</f>
        <v>0</v>
      </c>
      <c r="AJ36" s="740">
        <f t="shared" ref="AJ36:AJ67" si="19">G36</f>
        <v>0</v>
      </c>
      <c r="AK36" s="740"/>
      <c r="AL36" s="740"/>
      <c r="AM36" s="740"/>
      <c r="AN36" s="740"/>
      <c r="AO36" s="740"/>
      <c r="AQ36">
        <f t="shared" ref="AQ36:AQ67" ca="1" si="20">INDIRECT(ADDRESS(ROW(),AQ$3))</f>
        <v>0</v>
      </c>
    </row>
    <row r="37" spans="1:43" ht="20.25" customHeight="1" x14ac:dyDescent="0.25">
      <c r="A37" s="1250"/>
      <c r="B37" s="1251"/>
      <c r="C37" s="771"/>
      <c r="D37" s="772"/>
      <c r="E37" s="730"/>
      <c r="F37" s="731"/>
      <c r="G37" s="731"/>
      <c r="H37" s="732"/>
      <c r="I37" s="733" t="str">
        <f t="shared" si="13"/>
        <v xml:space="preserve"> </v>
      </c>
      <c r="J37" s="734" t="str">
        <f t="shared" si="14"/>
        <v>,</v>
      </c>
      <c r="K37" s="735">
        <f t="shared" ca="1" si="15"/>
        <v>0</v>
      </c>
      <c r="L37" s="736" t="str">
        <f t="shared" si="16"/>
        <v>000100</v>
      </c>
      <c r="M37" s="770">
        <f t="shared" ca="1" si="12"/>
        <v>0</v>
      </c>
      <c r="AD37" s="1244"/>
      <c r="AE37" s="1245"/>
      <c r="AF37" s="753"/>
      <c r="AG37" s="754"/>
      <c r="AH37" s="740">
        <f t="shared" si="17"/>
        <v>0</v>
      </c>
      <c r="AI37" s="740">
        <f t="shared" si="18"/>
        <v>0</v>
      </c>
      <c r="AJ37" s="740">
        <f t="shared" si="19"/>
        <v>0</v>
      </c>
      <c r="AK37" s="740"/>
      <c r="AL37" s="740"/>
      <c r="AM37" s="740"/>
      <c r="AN37" s="740"/>
      <c r="AO37" s="740"/>
      <c r="AQ37">
        <f t="shared" ca="1" si="20"/>
        <v>0</v>
      </c>
    </row>
    <row r="38" spans="1:43" ht="20.25" customHeight="1" x14ac:dyDescent="0.25">
      <c r="A38" s="745">
        <v>11</v>
      </c>
      <c r="B38" s="773" t="s">
        <v>4339</v>
      </c>
      <c r="C38" s="774" t="s">
        <v>4635</v>
      </c>
      <c r="D38" s="775">
        <v>13</v>
      </c>
      <c r="E38" s="730"/>
      <c r="F38" s="731"/>
      <c r="G38" s="731"/>
      <c r="H38" s="732"/>
      <c r="I38" s="733" t="str">
        <f t="shared" si="13"/>
        <v xml:space="preserve"> </v>
      </c>
      <c r="J38" s="734" t="str">
        <f t="shared" si="14"/>
        <v>,</v>
      </c>
      <c r="K38" s="735">
        <f t="shared" ca="1" si="15"/>
        <v>0</v>
      </c>
      <c r="L38" s="736" t="str">
        <f t="shared" si="16"/>
        <v>000100</v>
      </c>
      <c r="M38" s="766">
        <f ca="1">IF(K38=0,0,IF(K38&lt;10,"TOO YOUNG",IF(K38&lt;12,"OK","NOT ELIGIBLE")))</f>
        <v>0</v>
      </c>
      <c r="AD38" s="722">
        <f t="shared" ref="AD38:AD70" si="21">A38</f>
        <v>11</v>
      </c>
      <c r="AE38" s="443" t="str">
        <f t="shared" ref="AE38:AE70" si="22">B38</f>
        <v>Female 10/11 50m Backstroke</v>
      </c>
      <c r="AF38" s="440" t="s">
        <v>4635</v>
      </c>
      <c r="AG38" s="739">
        <v>13</v>
      </c>
      <c r="AH38" s="740">
        <f t="shared" si="17"/>
        <v>0</v>
      </c>
      <c r="AI38" s="740">
        <f t="shared" si="18"/>
        <v>0</v>
      </c>
      <c r="AJ38" s="740">
        <f t="shared" si="19"/>
        <v>0</v>
      </c>
      <c r="AK38" s="740"/>
      <c r="AL38" s="740"/>
      <c r="AM38" s="740"/>
      <c r="AN38" s="740"/>
      <c r="AO38" s="740"/>
      <c r="AQ38">
        <f t="shared" ca="1" si="20"/>
        <v>0</v>
      </c>
    </row>
    <row r="39" spans="1:43" ht="20.25" customHeight="1" x14ac:dyDescent="0.25">
      <c r="A39" s="745">
        <v>12</v>
      </c>
      <c r="B39" s="773" t="s">
        <v>4340</v>
      </c>
      <c r="C39" s="774" t="s">
        <v>328</v>
      </c>
      <c r="D39" s="775">
        <v>13</v>
      </c>
      <c r="E39" s="730"/>
      <c r="F39" s="731"/>
      <c r="G39" s="731"/>
      <c r="H39" s="732"/>
      <c r="I39" s="733" t="str">
        <f t="shared" si="13"/>
        <v xml:space="preserve"> </v>
      </c>
      <c r="J39" s="734" t="str">
        <f t="shared" si="14"/>
        <v>,</v>
      </c>
      <c r="K39" s="735">
        <f t="shared" ca="1" si="15"/>
        <v>0</v>
      </c>
      <c r="L39" s="736" t="str">
        <f t="shared" si="16"/>
        <v>000100</v>
      </c>
      <c r="M39" s="766">
        <f ca="1">IF(K39=0,0,IF(K39&lt;10,"TOO YOUNG",IF(K39&lt;12,"OK","NOT ELIGIBLE")))</f>
        <v>0</v>
      </c>
      <c r="AD39" s="722">
        <f t="shared" si="21"/>
        <v>12</v>
      </c>
      <c r="AE39" s="443" t="str">
        <f t="shared" si="22"/>
        <v>Open/Male 10/11 50m Backstroke</v>
      </c>
      <c r="AF39" s="440" t="s">
        <v>328</v>
      </c>
      <c r="AG39" s="739">
        <v>13</v>
      </c>
      <c r="AH39" s="740">
        <f t="shared" si="17"/>
        <v>0</v>
      </c>
      <c r="AI39" s="740">
        <f t="shared" si="18"/>
        <v>0</v>
      </c>
      <c r="AJ39" s="740">
        <f t="shared" si="19"/>
        <v>0</v>
      </c>
      <c r="AK39" s="740"/>
      <c r="AL39" s="740"/>
      <c r="AM39" s="740"/>
      <c r="AN39" s="740"/>
      <c r="AO39" s="740"/>
      <c r="AQ39">
        <f t="shared" ca="1" si="20"/>
        <v>0</v>
      </c>
    </row>
    <row r="40" spans="1:43" ht="20.25" customHeight="1" x14ac:dyDescent="0.25">
      <c r="A40" s="755">
        <v>13</v>
      </c>
      <c r="B40" s="776" t="s">
        <v>4341</v>
      </c>
      <c r="C40" s="777" t="s">
        <v>4635</v>
      </c>
      <c r="D40" s="778">
        <v>8</v>
      </c>
      <c r="E40" s="730"/>
      <c r="F40" s="731"/>
      <c r="G40" s="731"/>
      <c r="H40" s="732"/>
      <c r="I40" s="733" t="str">
        <f t="shared" si="13"/>
        <v xml:space="preserve"> </v>
      </c>
      <c r="J40" s="734" t="str">
        <f t="shared" si="14"/>
        <v>,</v>
      </c>
      <c r="K40" s="735">
        <f t="shared" ca="1" si="15"/>
        <v>0</v>
      </c>
      <c r="L40" s="736" t="str">
        <f t="shared" si="16"/>
        <v>000100</v>
      </c>
      <c r="M40" s="766">
        <f ca="1">IF(K40=0,0,IF(K40&lt;9,"TOO YOUNG",IF(K40&lt;14,"OK","NOT ELIGIBLE")))</f>
        <v>0</v>
      </c>
      <c r="AD40" s="722">
        <f t="shared" si="21"/>
        <v>13</v>
      </c>
      <c r="AE40" s="443" t="str">
        <f t="shared" si="22"/>
        <v>Female 13/U 100m Breaststroke</v>
      </c>
      <c r="AF40" s="440" t="s">
        <v>4635</v>
      </c>
      <c r="AG40" s="739">
        <v>8</v>
      </c>
      <c r="AH40" s="740">
        <f t="shared" si="17"/>
        <v>0</v>
      </c>
      <c r="AI40" s="740">
        <f t="shared" si="18"/>
        <v>0</v>
      </c>
      <c r="AJ40" s="740">
        <f t="shared" si="19"/>
        <v>0</v>
      </c>
      <c r="AK40" s="740"/>
      <c r="AL40" s="740"/>
      <c r="AM40" s="740"/>
      <c r="AN40" s="740"/>
      <c r="AO40" s="740"/>
      <c r="AQ40">
        <f t="shared" ca="1" si="20"/>
        <v>0</v>
      </c>
    </row>
    <row r="41" spans="1:43" ht="20.25" customHeight="1" x14ac:dyDescent="0.25">
      <c r="A41" s="755">
        <v>14</v>
      </c>
      <c r="B41" s="776" t="s">
        <v>4342</v>
      </c>
      <c r="C41" s="777" t="s">
        <v>328</v>
      </c>
      <c r="D41" s="778">
        <v>8</v>
      </c>
      <c r="E41" s="730"/>
      <c r="F41" s="731"/>
      <c r="G41" s="731"/>
      <c r="H41" s="732"/>
      <c r="I41" s="733" t="str">
        <f t="shared" si="13"/>
        <v xml:space="preserve"> </v>
      </c>
      <c r="J41" s="734" t="str">
        <f t="shared" si="14"/>
        <v>,</v>
      </c>
      <c r="K41" s="735">
        <f t="shared" ca="1" si="15"/>
        <v>0</v>
      </c>
      <c r="L41" s="736" t="str">
        <f t="shared" si="16"/>
        <v>000100</v>
      </c>
      <c r="M41" s="766">
        <f ca="1">IF(K41=0,0,IF(K41&lt;9,"TOO YOUNG",IF(K41&lt;14,"OK","NOT ELIGIBLE")))</f>
        <v>0</v>
      </c>
      <c r="AD41" s="722">
        <f t="shared" si="21"/>
        <v>14</v>
      </c>
      <c r="AE41" s="443" t="str">
        <f t="shared" si="22"/>
        <v>Open/Male 13/U 100m Breaststroke</v>
      </c>
      <c r="AF41" s="440" t="s">
        <v>328</v>
      </c>
      <c r="AG41" s="739">
        <v>8</v>
      </c>
      <c r="AH41" s="740">
        <f t="shared" si="17"/>
        <v>0</v>
      </c>
      <c r="AI41" s="740">
        <f t="shared" si="18"/>
        <v>0</v>
      </c>
      <c r="AJ41" s="740">
        <f t="shared" si="19"/>
        <v>0</v>
      </c>
      <c r="AK41" s="740"/>
      <c r="AL41" s="740"/>
      <c r="AM41" s="740"/>
      <c r="AN41" s="740"/>
      <c r="AO41" s="740"/>
      <c r="AQ41">
        <f t="shared" ca="1" si="20"/>
        <v>0</v>
      </c>
    </row>
    <row r="42" spans="1:43" ht="20.25" customHeight="1" x14ac:dyDescent="0.25">
      <c r="A42" s="779">
        <v>15</v>
      </c>
      <c r="B42" s="780" t="s">
        <v>4343</v>
      </c>
      <c r="C42" s="781" t="s">
        <v>4635</v>
      </c>
      <c r="D42" s="782">
        <v>14</v>
      </c>
      <c r="E42" s="730"/>
      <c r="F42" s="731"/>
      <c r="G42" s="731"/>
      <c r="H42" s="732"/>
      <c r="I42" s="733" t="str">
        <f t="shared" si="13"/>
        <v xml:space="preserve"> </v>
      </c>
      <c r="J42" s="734" t="str">
        <f t="shared" si="14"/>
        <v>,</v>
      </c>
      <c r="K42" s="735">
        <f t="shared" ca="1" si="15"/>
        <v>0</v>
      </c>
      <c r="L42" s="736" t="str">
        <f t="shared" si="16"/>
        <v>000100</v>
      </c>
      <c r="M42" s="766">
        <f ca="1">IF(K42=0,0,IF(K42&lt;9,"TOO YOUNG",IF(K42&lt;16,"OK","NOT ELIGIBLE")))</f>
        <v>0</v>
      </c>
      <c r="AD42" s="722">
        <f t="shared" si="21"/>
        <v>15</v>
      </c>
      <c r="AE42" s="443" t="str">
        <f t="shared" si="22"/>
        <v>Female 15/U 100m Backstroke</v>
      </c>
      <c r="AF42" s="440" t="s">
        <v>4635</v>
      </c>
      <c r="AG42" s="739">
        <v>14</v>
      </c>
      <c r="AH42" s="740">
        <f t="shared" si="17"/>
        <v>0</v>
      </c>
      <c r="AI42" s="740">
        <f t="shared" si="18"/>
        <v>0</v>
      </c>
      <c r="AJ42" s="740">
        <f t="shared" si="19"/>
        <v>0</v>
      </c>
      <c r="AK42" s="740"/>
      <c r="AL42" s="740"/>
      <c r="AM42" s="740"/>
      <c r="AN42" s="740"/>
      <c r="AO42" s="740"/>
      <c r="AQ42">
        <f t="shared" ca="1" si="20"/>
        <v>0</v>
      </c>
    </row>
    <row r="43" spans="1:43" ht="20.25" customHeight="1" x14ac:dyDescent="0.25">
      <c r="A43" s="779">
        <v>16</v>
      </c>
      <c r="B43" s="780" t="s">
        <v>4694</v>
      </c>
      <c r="C43" s="781" t="s">
        <v>328</v>
      </c>
      <c r="D43" s="782">
        <v>14</v>
      </c>
      <c r="E43" s="730"/>
      <c r="F43" s="731"/>
      <c r="G43" s="731"/>
      <c r="H43" s="732"/>
      <c r="I43" s="733" t="str">
        <f t="shared" si="13"/>
        <v xml:space="preserve"> </v>
      </c>
      <c r="J43" s="734" t="str">
        <f t="shared" si="14"/>
        <v>,</v>
      </c>
      <c r="K43" s="735">
        <f t="shared" ca="1" si="15"/>
        <v>0</v>
      </c>
      <c r="L43" s="736" t="str">
        <f t="shared" si="16"/>
        <v>000100</v>
      </c>
      <c r="M43" s="766">
        <f ca="1">IF(K43=0,0,IF(K43&lt;9,"TOO YOUNG",IF(K43&lt;16,"OK","NOT ELIGIBLE")))</f>
        <v>0</v>
      </c>
      <c r="AD43" s="722">
        <f t="shared" si="21"/>
        <v>16</v>
      </c>
      <c r="AE43" s="443" t="str">
        <f t="shared" si="22"/>
        <v>Open/Male 15/U 100m Backstroke</v>
      </c>
      <c r="AF43" s="440" t="s">
        <v>328</v>
      </c>
      <c r="AG43" s="739">
        <v>14</v>
      </c>
      <c r="AH43" s="740">
        <f t="shared" si="17"/>
        <v>0</v>
      </c>
      <c r="AI43" s="740">
        <f t="shared" si="18"/>
        <v>0</v>
      </c>
      <c r="AJ43" s="740">
        <f t="shared" si="19"/>
        <v>0</v>
      </c>
      <c r="AK43" s="740"/>
      <c r="AL43" s="740"/>
      <c r="AM43" s="740"/>
      <c r="AN43" s="740"/>
      <c r="AO43" s="740"/>
      <c r="AQ43">
        <f t="shared" ca="1" si="20"/>
        <v>0</v>
      </c>
    </row>
    <row r="44" spans="1:43" ht="20.25" customHeight="1" x14ac:dyDescent="0.25">
      <c r="A44" s="727">
        <v>17</v>
      </c>
      <c r="B44" s="742" t="s">
        <v>4345</v>
      </c>
      <c r="C44" s="728" t="s">
        <v>4635</v>
      </c>
      <c r="D44" s="729">
        <v>11</v>
      </c>
      <c r="E44" s="730"/>
      <c r="F44" s="731"/>
      <c r="G44" s="731"/>
      <c r="H44" s="732"/>
      <c r="I44" s="733" t="str">
        <f t="shared" si="13"/>
        <v xml:space="preserve"> </v>
      </c>
      <c r="J44" s="734" t="str">
        <f t="shared" si="14"/>
        <v>,</v>
      </c>
      <c r="K44" s="735">
        <f t="shared" ca="1" si="15"/>
        <v>0</v>
      </c>
      <c r="L44" s="736" t="str">
        <f t="shared" si="16"/>
        <v>000100</v>
      </c>
      <c r="M44" s="770">
        <f ca="1">IF(K44=0,0,IF(K44&lt;9,"TOO YOUNG",IF(K44&lt;60,"OK","BIT OLD MAYBE")))</f>
        <v>0</v>
      </c>
      <c r="AD44" s="722">
        <f t="shared" si="21"/>
        <v>17</v>
      </c>
      <c r="AE44" s="443" t="str">
        <f t="shared" si="22"/>
        <v>Female 16+ 100m Butterfly</v>
      </c>
      <c r="AF44" s="440" t="s">
        <v>4635</v>
      </c>
      <c r="AG44" s="739">
        <v>11</v>
      </c>
      <c r="AH44" s="740">
        <f t="shared" si="17"/>
        <v>0</v>
      </c>
      <c r="AI44" s="740">
        <f t="shared" si="18"/>
        <v>0</v>
      </c>
      <c r="AJ44" s="740">
        <f t="shared" si="19"/>
        <v>0</v>
      </c>
      <c r="AK44" s="740"/>
      <c r="AL44" s="740"/>
      <c r="AM44" s="740"/>
      <c r="AN44" s="740"/>
      <c r="AO44" s="740"/>
      <c r="AQ44">
        <f t="shared" ca="1" si="20"/>
        <v>0</v>
      </c>
    </row>
    <row r="45" spans="1:43" ht="20.25" customHeight="1" x14ac:dyDescent="0.25">
      <c r="A45" s="727">
        <v>18</v>
      </c>
      <c r="B45" s="742" t="s">
        <v>4346</v>
      </c>
      <c r="C45" s="728" t="s">
        <v>328</v>
      </c>
      <c r="D45" s="729">
        <v>11</v>
      </c>
      <c r="E45" s="730"/>
      <c r="F45" s="731"/>
      <c r="G45" s="731"/>
      <c r="H45" s="732"/>
      <c r="I45" s="733" t="str">
        <f t="shared" si="13"/>
        <v xml:space="preserve"> </v>
      </c>
      <c r="J45" s="734" t="str">
        <f t="shared" si="14"/>
        <v>,</v>
      </c>
      <c r="K45" s="735">
        <f t="shared" ca="1" si="15"/>
        <v>0</v>
      </c>
      <c r="L45" s="736" t="str">
        <f t="shared" si="16"/>
        <v>000100</v>
      </c>
      <c r="M45" s="770">
        <f ca="1">IF(K45=0,0,IF(K45&lt;9,"TOO YOUNG",IF(K45&lt;60,"OK","BIT OLD MAYBE")))</f>
        <v>0</v>
      </c>
      <c r="AD45" s="722">
        <f t="shared" si="21"/>
        <v>18</v>
      </c>
      <c r="AE45" s="443" t="str">
        <f t="shared" si="22"/>
        <v>Open/Male 16+ 100m Butterfly</v>
      </c>
      <c r="AF45" s="440" t="s">
        <v>328</v>
      </c>
      <c r="AG45" s="739">
        <v>11</v>
      </c>
      <c r="AH45" s="740">
        <f t="shared" si="17"/>
        <v>0</v>
      </c>
      <c r="AI45" s="740">
        <f t="shared" si="18"/>
        <v>0</v>
      </c>
      <c r="AJ45" s="740">
        <f t="shared" si="19"/>
        <v>0</v>
      </c>
      <c r="AK45" s="740"/>
      <c r="AL45" s="740"/>
      <c r="AM45" s="740"/>
      <c r="AN45" s="740"/>
      <c r="AO45" s="740"/>
      <c r="AQ45">
        <f t="shared" ca="1" si="20"/>
        <v>0</v>
      </c>
    </row>
    <row r="46" spans="1:43" ht="20.25" customHeight="1" x14ac:dyDescent="0.25">
      <c r="A46" s="745">
        <v>19</v>
      </c>
      <c r="B46" s="773" t="s">
        <v>4347</v>
      </c>
      <c r="C46" s="774" t="s">
        <v>4635</v>
      </c>
      <c r="D46" s="775">
        <v>10</v>
      </c>
      <c r="E46" s="730"/>
      <c r="F46" s="731"/>
      <c r="G46" s="731"/>
      <c r="H46" s="732"/>
      <c r="I46" s="733" t="str">
        <f t="shared" si="13"/>
        <v xml:space="preserve"> </v>
      </c>
      <c r="J46" s="734" t="str">
        <f t="shared" si="14"/>
        <v>,</v>
      </c>
      <c r="K46" s="735">
        <f t="shared" ca="1" si="15"/>
        <v>0</v>
      </c>
      <c r="L46" s="736" t="str">
        <f t="shared" si="16"/>
        <v>000100</v>
      </c>
      <c r="M46" s="766">
        <f ca="1">IF(K46=0,0,IF(K46&lt;10,"TOO YOUNG",IF(K46&lt;12,"OK","NOT ELIGIBLE")))</f>
        <v>0</v>
      </c>
      <c r="AD46" s="722">
        <f t="shared" si="21"/>
        <v>19</v>
      </c>
      <c r="AE46" s="443" t="str">
        <f t="shared" si="22"/>
        <v>Female 10/11 50m Butterfly</v>
      </c>
      <c r="AF46" s="440" t="s">
        <v>4635</v>
      </c>
      <c r="AG46" s="739">
        <v>10</v>
      </c>
      <c r="AH46" s="740">
        <f t="shared" si="17"/>
        <v>0</v>
      </c>
      <c r="AI46" s="740">
        <f t="shared" si="18"/>
        <v>0</v>
      </c>
      <c r="AJ46" s="740">
        <f t="shared" si="19"/>
        <v>0</v>
      </c>
      <c r="AK46" s="740"/>
      <c r="AL46" s="740"/>
      <c r="AM46" s="740"/>
      <c r="AN46" s="740"/>
      <c r="AO46" s="740"/>
      <c r="AQ46">
        <f t="shared" ca="1" si="20"/>
        <v>0</v>
      </c>
    </row>
    <row r="47" spans="1:43" ht="20.25" customHeight="1" x14ac:dyDescent="0.25">
      <c r="A47" s="745">
        <v>20</v>
      </c>
      <c r="B47" s="773" t="s">
        <v>4348</v>
      </c>
      <c r="C47" s="774" t="s">
        <v>328</v>
      </c>
      <c r="D47" s="775">
        <v>10</v>
      </c>
      <c r="E47" s="730"/>
      <c r="F47" s="731"/>
      <c r="G47" s="731"/>
      <c r="H47" s="732"/>
      <c r="I47" s="733" t="str">
        <f t="shared" si="13"/>
        <v xml:space="preserve"> </v>
      </c>
      <c r="J47" s="734" t="str">
        <f t="shared" si="14"/>
        <v>,</v>
      </c>
      <c r="K47" s="735">
        <f t="shared" ca="1" si="15"/>
        <v>0</v>
      </c>
      <c r="L47" s="736" t="str">
        <f t="shared" si="16"/>
        <v>000100</v>
      </c>
      <c r="M47" s="766">
        <f ca="1">IF(K47=0,0,IF(K47&lt;10,"TOO YOUNG",IF(K47&lt;12,"OK","NOT ELIGIBLE")))</f>
        <v>0</v>
      </c>
      <c r="AD47" s="722">
        <f t="shared" si="21"/>
        <v>20</v>
      </c>
      <c r="AE47" s="443" t="str">
        <f t="shared" si="22"/>
        <v>Open/Male 10/11 50m Butterfly</v>
      </c>
      <c r="AF47" s="440" t="s">
        <v>328</v>
      </c>
      <c r="AG47" s="739">
        <v>10</v>
      </c>
      <c r="AH47" s="740">
        <f t="shared" si="17"/>
        <v>0</v>
      </c>
      <c r="AI47" s="740">
        <f t="shared" si="18"/>
        <v>0</v>
      </c>
      <c r="AJ47" s="740">
        <f t="shared" si="19"/>
        <v>0</v>
      </c>
      <c r="AK47" s="740"/>
      <c r="AL47" s="740"/>
      <c r="AM47" s="740"/>
      <c r="AN47" s="740"/>
      <c r="AO47" s="740"/>
      <c r="AQ47">
        <f t="shared" ca="1" si="20"/>
        <v>0</v>
      </c>
    </row>
    <row r="48" spans="1:43" ht="20.25" customHeight="1" x14ac:dyDescent="0.25">
      <c r="A48" s="755">
        <v>21</v>
      </c>
      <c r="B48" s="776" t="s">
        <v>4349</v>
      </c>
      <c r="C48" s="777" t="s">
        <v>4635</v>
      </c>
      <c r="D48" s="778">
        <v>14</v>
      </c>
      <c r="E48" s="730"/>
      <c r="F48" s="731"/>
      <c r="G48" s="731"/>
      <c r="H48" s="732"/>
      <c r="I48" s="733" t="str">
        <f t="shared" si="13"/>
        <v xml:space="preserve"> </v>
      </c>
      <c r="J48" s="734" t="str">
        <f t="shared" si="14"/>
        <v>,</v>
      </c>
      <c r="K48" s="735">
        <f t="shared" ca="1" si="15"/>
        <v>0</v>
      </c>
      <c r="L48" s="736" t="str">
        <f t="shared" si="16"/>
        <v>000100</v>
      </c>
      <c r="M48" s="766">
        <f ca="1">IF(K48=0,0,IF(K48&lt;9,"TOO YOUNG",IF(K48&lt;14,"OK","NOT ELIGIBLE")))</f>
        <v>0</v>
      </c>
      <c r="AD48" s="722">
        <f t="shared" si="21"/>
        <v>21</v>
      </c>
      <c r="AE48" s="443" t="str">
        <f t="shared" si="22"/>
        <v>Female 13/U 100m Backstroke</v>
      </c>
      <c r="AF48" s="440" t="s">
        <v>4635</v>
      </c>
      <c r="AG48" s="739">
        <v>14</v>
      </c>
      <c r="AH48" s="740">
        <f t="shared" si="17"/>
        <v>0</v>
      </c>
      <c r="AI48" s="740">
        <f t="shared" si="18"/>
        <v>0</v>
      </c>
      <c r="AJ48" s="740">
        <f t="shared" si="19"/>
        <v>0</v>
      </c>
      <c r="AK48" s="740"/>
      <c r="AL48" s="740"/>
      <c r="AM48" s="740"/>
      <c r="AN48" s="740"/>
      <c r="AO48" s="740"/>
      <c r="AQ48">
        <f t="shared" ca="1" si="20"/>
        <v>0</v>
      </c>
    </row>
    <row r="49" spans="1:43" ht="20.25" customHeight="1" x14ac:dyDescent="0.25">
      <c r="A49" s="755">
        <v>22</v>
      </c>
      <c r="B49" s="776" t="s">
        <v>4350</v>
      </c>
      <c r="C49" s="777" t="s">
        <v>328</v>
      </c>
      <c r="D49" s="778">
        <v>14</v>
      </c>
      <c r="E49" s="730"/>
      <c r="F49" s="731"/>
      <c r="G49" s="731"/>
      <c r="H49" s="732"/>
      <c r="I49" s="733" t="str">
        <f t="shared" si="13"/>
        <v xml:space="preserve"> </v>
      </c>
      <c r="J49" s="734" t="str">
        <f t="shared" si="14"/>
        <v>,</v>
      </c>
      <c r="K49" s="735">
        <f t="shared" ca="1" si="15"/>
        <v>0</v>
      </c>
      <c r="L49" s="736" t="str">
        <f t="shared" si="16"/>
        <v>000100</v>
      </c>
      <c r="M49" s="766">
        <f ca="1">IF(K49=0,0,IF(K49&lt;9,"TOO YOUNG",IF(K49&lt;14,"OK","NOT ELIGIBLE")))</f>
        <v>0</v>
      </c>
      <c r="AD49" s="722">
        <f t="shared" si="21"/>
        <v>22</v>
      </c>
      <c r="AE49" s="443" t="str">
        <f t="shared" si="22"/>
        <v>Open/Male 13/U 100m Backstroke</v>
      </c>
      <c r="AF49" s="440" t="s">
        <v>328</v>
      </c>
      <c r="AG49" s="739">
        <v>14</v>
      </c>
      <c r="AH49" s="740">
        <f t="shared" si="17"/>
        <v>0</v>
      </c>
      <c r="AI49" s="740">
        <f t="shared" si="18"/>
        <v>0</v>
      </c>
      <c r="AJ49" s="740">
        <f t="shared" si="19"/>
        <v>0</v>
      </c>
      <c r="AK49" s="740"/>
      <c r="AL49" s="740"/>
      <c r="AM49" s="740"/>
      <c r="AN49" s="740"/>
      <c r="AO49" s="740"/>
      <c r="AQ49">
        <f t="shared" ca="1" si="20"/>
        <v>0</v>
      </c>
    </row>
    <row r="50" spans="1:43" ht="20.25" customHeight="1" x14ac:dyDescent="0.25">
      <c r="A50" s="779">
        <v>23</v>
      </c>
      <c r="B50" s="780" t="s">
        <v>4351</v>
      </c>
      <c r="C50" s="781" t="s">
        <v>4635</v>
      </c>
      <c r="D50" s="782">
        <v>11</v>
      </c>
      <c r="E50" s="730"/>
      <c r="F50" s="731"/>
      <c r="G50" s="731"/>
      <c r="H50" s="732"/>
      <c r="I50" s="733" t="str">
        <f t="shared" si="13"/>
        <v xml:space="preserve"> </v>
      </c>
      <c r="J50" s="734" t="str">
        <f t="shared" si="14"/>
        <v>,</v>
      </c>
      <c r="K50" s="735">
        <f t="shared" ca="1" si="15"/>
        <v>0</v>
      </c>
      <c r="L50" s="736" t="str">
        <f t="shared" si="16"/>
        <v>000100</v>
      </c>
      <c r="M50" s="766">
        <f ca="1">IF(K50=0,0,IF(K50&lt;9,"TOO YOUNG",IF(K50&lt;16,"OK","NOT ELIGIBLE")))</f>
        <v>0</v>
      </c>
      <c r="AD50" s="722">
        <f t="shared" si="21"/>
        <v>23</v>
      </c>
      <c r="AE50" s="443" t="str">
        <f t="shared" si="22"/>
        <v>Female 15/U 100m Butterfly</v>
      </c>
      <c r="AF50" s="440" t="s">
        <v>4635</v>
      </c>
      <c r="AG50" s="739">
        <v>11</v>
      </c>
      <c r="AH50" s="740">
        <f t="shared" si="17"/>
        <v>0</v>
      </c>
      <c r="AI50" s="740">
        <f t="shared" si="18"/>
        <v>0</v>
      </c>
      <c r="AJ50" s="740">
        <f t="shared" si="19"/>
        <v>0</v>
      </c>
      <c r="AK50" s="740"/>
      <c r="AL50" s="740"/>
      <c r="AM50" s="740"/>
      <c r="AN50" s="740"/>
      <c r="AO50" s="740"/>
      <c r="AQ50">
        <f t="shared" ca="1" si="20"/>
        <v>0</v>
      </c>
    </row>
    <row r="51" spans="1:43" ht="20.25" customHeight="1" x14ac:dyDescent="0.25">
      <c r="A51" s="779">
        <v>24</v>
      </c>
      <c r="B51" s="780" t="s">
        <v>4697</v>
      </c>
      <c r="C51" s="781" t="s">
        <v>328</v>
      </c>
      <c r="D51" s="782">
        <v>11</v>
      </c>
      <c r="E51" s="730"/>
      <c r="F51" s="731"/>
      <c r="G51" s="731"/>
      <c r="H51" s="732"/>
      <c r="I51" s="733" t="str">
        <f t="shared" si="13"/>
        <v xml:space="preserve"> </v>
      </c>
      <c r="J51" s="734" t="str">
        <f t="shared" si="14"/>
        <v>,</v>
      </c>
      <c r="K51" s="735">
        <f t="shared" ca="1" si="15"/>
        <v>0</v>
      </c>
      <c r="L51" s="736" t="str">
        <f t="shared" si="16"/>
        <v>000100</v>
      </c>
      <c r="M51" s="766">
        <f ca="1">IF(K51=0,0,IF(K51&lt;9,"TOO YOUNG",IF(K51&lt;16,"OK","NOT ELIGIBLE")))</f>
        <v>0</v>
      </c>
      <c r="AD51" s="722">
        <f t="shared" si="21"/>
        <v>24</v>
      </c>
      <c r="AE51" s="443" t="str">
        <f t="shared" si="22"/>
        <v>Open/Male 15/U 100m Butterfly</v>
      </c>
      <c r="AF51" s="440" t="s">
        <v>328</v>
      </c>
      <c r="AG51" s="739">
        <v>11</v>
      </c>
      <c r="AH51" s="740">
        <f t="shared" si="17"/>
        <v>0</v>
      </c>
      <c r="AI51" s="740">
        <f t="shared" si="18"/>
        <v>0</v>
      </c>
      <c r="AJ51" s="740">
        <f t="shared" si="19"/>
        <v>0</v>
      </c>
      <c r="AK51" s="740"/>
      <c r="AL51" s="740"/>
      <c r="AM51" s="740"/>
      <c r="AN51" s="740"/>
      <c r="AO51" s="740"/>
      <c r="AQ51">
        <f t="shared" ca="1" si="20"/>
        <v>0</v>
      </c>
    </row>
    <row r="52" spans="1:43" ht="20.25" customHeight="1" x14ac:dyDescent="0.25">
      <c r="A52" s="727">
        <v>25</v>
      </c>
      <c r="B52" s="742" t="s">
        <v>4353</v>
      </c>
      <c r="C52" s="728" t="s">
        <v>4635</v>
      </c>
      <c r="D52" s="729">
        <v>14</v>
      </c>
      <c r="E52" s="730"/>
      <c r="F52" s="731"/>
      <c r="G52" s="731"/>
      <c r="H52" s="732"/>
      <c r="I52" s="733" t="str">
        <f t="shared" si="13"/>
        <v xml:space="preserve"> </v>
      </c>
      <c r="J52" s="734" t="str">
        <f t="shared" si="14"/>
        <v>,</v>
      </c>
      <c r="K52" s="735">
        <f t="shared" ca="1" si="15"/>
        <v>0</v>
      </c>
      <c r="L52" s="736" t="str">
        <f t="shared" si="16"/>
        <v>000100</v>
      </c>
      <c r="M52" s="770">
        <f ca="1">IF(K52=0,0,IF(K52&lt;9,"TOO YOUNG",IF(K52&lt;60,"OK","BIT OLD MAYBE")))</f>
        <v>0</v>
      </c>
      <c r="AD52" s="722">
        <f t="shared" si="21"/>
        <v>25</v>
      </c>
      <c r="AE52" s="443" t="str">
        <f t="shared" si="22"/>
        <v>Female 16+ 100m Backstroke</v>
      </c>
      <c r="AF52" s="440" t="s">
        <v>4635</v>
      </c>
      <c r="AG52" s="739">
        <v>14</v>
      </c>
      <c r="AH52" s="740">
        <f t="shared" si="17"/>
        <v>0</v>
      </c>
      <c r="AI52" s="740">
        <f t="shared" si="18"/>
        <v>0</v>
      </c>
      <c r="AJ52" s="740">
        <f t="shared" si="19"/>
        <v>0</v>
      </c>
      <c r="AK52" s="740"/>
      <c r="AL52" s="740"/>
      <c r="AM52" s="740"/>
      <c r="AN52" s="740"/>
      <c r="AO52" s="740"/>
      <c r="AQ52">
        <f t="shared" ca="1" si="20"/>
        <v>0</v>
      </c>
    </row>
    <row r="53" spans="1:43" ht="20.25" customHeight="1" x14ac:dyDescent="0.25">
      <c r="A53" s="727">
        <v>26</v>
      </c>
      <c r="B53" s="742" t="s">
        <v>4698</v>
      </c>
      <c r="C53" s="728" t="s">
        <v>328</v>
      </c>
      <c r="D53" s="729">
        <v>14</v>
      </c>
      <c r="E53" s="730"/>
      <c r="F53" s="731"/>
      <c r="G53" s="731"/>
      <c r="H53" s="732"/>
      <c r="I53" s="733" t="str">
        <f t="shared" si="13"/>
        <v xml:space="preserve"> </v>
      </c>
      <c r="J53" s="734" t="str">
        <f t="shared" si="14"/>
        <v>,</v>
      </c>
      <c r="K53" s="735">
        <f t="shared" ca="1" si="15"/>
        <v>0</v>
      </c>
      <c r="L53" s="736" t="str">
        <f t="shared" si="16"/>
        <v>000100</v>
      </c>
      <c r="M53" s="770">
        <f ca="1">IF(K53=0,0,IF(K53&lt;9,"TOO YOUNG",IF(K53&lt;60,"OK","BIT OLD MAYBE")))</f>
        <v>0</v>
      </c>
      <c r="AD53" s="722">
        <f t="shared" si="21"/>
        <v>26</v>
      </c>
      <c r="AE53" s="443" t="str">
        <f t="shared" si="22"/>
        <v>Open/Male 16+100m Backstroke</v>
      </c>
      <c r="AF53" s="440" t="s">
        <v>328</v>
      </c>
      <c r="AG53" s="739">
        <v>14</v>
      </c>
      <c r="AH53" s="740">
        <f t="shared" si="17"/>
        <v>0</v>
      </c>
      <c r="AI53" s="740">
        <f t="shared" si="18"/>
        <v>0</v>
      </c>
      <c r="AJ53" s="740">
        <f t="shared" si="19"/>
        <v>0</v>
      </c>
      <c r="AK53" s="740"/>
      <c r="AL53" s="740"/>
      <c r="AM53" s="740"/>
      <c r="AN53" s="740"/>
      <c r="AO53" s="740"/>
      <c r="AQ53">
        <f t="shared" ca="1" si="20"/>
        <v>0</v>
      </c>
    </row>
    <row r="54" spans="1:43" ht="20.25" customHeight="1" x14ac:dyDescent="0.25">
      <c r="A54" s="745">
        <v>27</v>
      </c>
      <c r="B54" s="773" t="s">
        <v>4355</v>
      </c>
      <c r="C54" s="774" t="s">
        <v>4635</v>
      </c>
      <c r="D54" s="775">
        <v>7</v>
      </c>
      <c r="E54" s="730"/>
      <c r="F54" s="731"/>
      <c r="G54" s="731"/>
      <c r="H54" s="732"/>
      <c r="I54" s="733" t="str">
        <f t="shared" si="13"/>
        <v xml:space="preserve"> </v>
      </c>
      <c r="J54" s="734" t="str">
        <f t="shared" si="14"/>
        <v>,</v>
      </c>
      <c r="K54" s="735">
        <f t="shared" ca="1" si="15"/>
        <v>0</v>
      </c>
      <c r="L54" s="736" t="str">
        <f t="shared" si="16"/>
        <v>000100</v>
      </c>
      <c r="M54" s="766">
        <f ca="1">IF(K54=0,0,IF(K54&lt;10,"TOO YOUNG",IF(K54&lt;12,"OK","NOT ELIGIBLE")))</f>
        <v>0</v>
      </c>
      <c r="AD54" s="722">
        <f t="shared" si="21"/>
        <v>27</v>
      </c>
      <c r="AE54" s="443" t="str">
        <f t="shared" si="22"/>
        <v>Female 10/11 50m Breaststroke</v>
      </c>
      <c r="AF54" s="440" t="s">
        <v>4635</v>
      </c>
      <c r="AG54" s="739">
        <v>7</v>
      </c>
      <c r="AH54" s="740">
        <f t="shared" si="17"/>
        <v>0</v>
      </c>
      <c r="AI54" s="740">
        <f t="shared" si="18"/>
        <v>0</v>
      </c>
      <c r="AJ54" s="740">
        <f t="shared" si="19"/>
        <v>0</v>
      </c>
      <c r="AK54" s="740"/>
      <c r="AL54" s="740"/>
      <c r="AM54" s="740"/>
      <c r="AN54" s="740"/>
      <c r="AO54" s="740"/>
      <c r="AQ54">
        <f t="shared" ca="1" si="20"/>
        <v>0</v>
      </c>
    </row>
    <row r="55" spans="1:43" ht="20.25" customHeight="1" x14ac:dyDescent="0.25">
      <c r="A55" s="745">
        <v>28</v>
      </c>
      <c r="B55" s="773" t="s">
        <v>4356</v>
      </c>
      <c r="C55" s="774" t="s">
        <v>328</v>
      </c>
      <c r="D55" s="775">
        <v>7</v>
      </c>
      <c r="E55" s="730"/>
      <c r="F55" s="731"/>
      <c r="G55" s="731"/>
      <c r="H55" s="732"/>
      <c r="I55" s="733" t="str">
        <f t="shared" si="13"/>
        <v xml:space="preserve"> </v>
      </c>
      <c r="J55" s="734" t="str">
        <f t="shared" si="14"/>
        <v>,</v>
      </c>
      <c r="K55" s="735">
        <f t="shared" ca="1" si="15"/>
        <v>0</v>
      </c>
      <c r="L55" s="736" t="str">
        <f t="shared" si="16"/>
        <v>000100</v>
      </c>
      <c r="M55" s="766">
        <f ca="1">IF(K55=0,0,IF(K55&lt;10,"TOO YOUNG",IF(K55&lt;12,"OK","NOT ELIGIBLE")))</f>
        <v>0</v>
      </c>
      <c r="AD55" s="722">
        <f t="shared" si="21"/>
        <v>28</v>
      </c>
      <c r="AE55" s="443" t="str">
        <f t="shared" si="22"/>
        <v>Open/Male 10/11 50m Breaststroke</v>
      </c>
      <c r="AF55" s="440" t="s">
        <v>328</v>
      </c>
      <c r="AG55" s="739">
        <v>7</v>
      </c>
      <c r="AH55" s="740">
        <f t="shared" si="17"/>
        <v>0</v>
      </c>
      <c r="AI55" s="740">
        <f t="shared" si="18"/>
        <v>0</v>
      </c>
      <c r="AJ55" s="740">
        <f t="shared" si="19"/>
        <v>0</v>
      </c>
      <c r="AK55" s="740"/>
      <c r="AL55" s="740"/>
      <c r="AM55" s="740"/>
      <c r="AN55" s="740"/>
      <c r="AO55" s="740"/>
      <c r="AQ55">
        <f t="shared" ca="1" si="20"/>
        <v>0</v>
      </c>
    </row>
    <row r="56" spans="1:43" ht="20.25" customHeight="1" x14ac:dyDescent="0.25">
      <c r="A56" s="755">
        <v>29</v>
      </c>
      <c r="B56" s="776" t="s">
        <v>4357</v>
      </c>
      <c r="C56" s="777" t="s">
        <v>4635</v>
      </c>
      <c r="D56" s="778">
        <v>11</v>
      </c>
      <c r="E56" s="730"/>
      <c r="F56" s="731"/>
      <c r="G56" s="731"/>
      <c r="H56" s="732"/>
      <c r="I56" s="733" t="str">
        <f t="shared" si="13"/>
        <v xml:space="preserve"> </v>
      </c>
      <c r="J56" s="734" t="str">
        <f t="shared" si="14"/>
        <v>,</v>
      </c>
      <c r="K56" s="735">
        <f t="shared" ca="1" si="15"/>
        <v>0</v>
      </c>
      <c r="L56" s="736" t="str">
        <f t="shared" si="16"/>
        <v>000100</v>
      </c>
      <c r="M56" s="766">
        <f ca="1">IF(K56=0,0,IF(K56&lt;9,"TOO YOUNG",IF(K56&lt;14,"OK","NOT ELIGIBLE")))</f>
        <v>0</v>
      </c>
      <c r="AD56" s="722">
        <f t="shared" si="21"/>
        <v>29</v>
      </c>
      <c r="AE56" s="443" t="str">
        <f t="shared" si="22"/>
        <v>Female 13/U 100m Butterfly</v>
      </c>
      <c r="AF56" s="440" t="s">
        <v>4635</v>
      </c>
      <c r="AG56" s="739">
        <v>11</v>
      </c>
      <c r="AH56" s="740">
        <f t="shared" si="17"/>
        <v>0</v>
      </c>
      <c r="AI56" s="740">
        <f t="shared" si="18"/>
        <v>0</v>
      </c>
      <c r="AJ56" s="740">
        <f t="shared" si="19"/>
        <v>0</v>
      </c>
      <c r="AK56" s="740"/>
      <c r="AL56" s="740"/>
      <c r="AM56" s="740"/>
      <c r="AN56" s="740"/>
      <c r="AO56" s="740"/>
      <c r="AQ56">
        <f t="shared" ca="1" si="20"/>
        <v>0</v>
      </c>
    </row>
    <row r="57" spans="1:43" ht="20.25" customHeight="1" x14ac:dyDescent="0.25">
      <c r="A57" s="755">
        <v>30</v>
      </c>
      <c r="B57" s="776" t="s">
        <v>4358</v>
      </c>
      <c r="C57" s="777" t="s">
        <v>328</v>
      </c>
      <c r="D57" s="778">
        <v>11</v>
      </c>
      <c r="E57" s="730"/>
      <c r="F57" s="731"/>
      <c r="G57" s="731"/>
      <c r="H57" s="732"/>
      <c r="I57" s="733" t="str">
        <f t="shared" si="13"/>
        <v xml:space="preserve"> </v>
      </c>
      <c r="J57" s="734" t="str">
        <f t="shared" si="14"/>
        <v>,</v>
      </c>
      <c r="K57" s="735">
        <f t="shared" ca="1" si="15"/>
        <v>0</v>
      </c>
      <c r="L57" s="736" t="str">
        <f t="shared" si="16"/>
        <v>000100</v>
      </c>
      <c r="M57" s="766">
        <f ca="1">IF(K57=0,0,IF(K57&lt;9,"TOO YOUNG",IF(K57&lt;14,"OK","NOT ELIGIBLE")))</f>
        <v>0</v>
      </c>
      <c r="AD57" s="722">
        <f t="shared" si="21"/>
        <v>30</v>
      </c>
      <c r="AE57" s="443" t="str">
        <f t="shared" si="22"/>
        <v>Open/Male 13/U 100m Butterfly</v>
      </c>
      <c r="AF57" s="440" t="s">
        <v>328</v>
      </c>
      <c r="AG57" s="739">
        <v>11</v>
      </c>
      <c r="AH57" s="740">
        <f t="shared" si="17"/>
        <v>0</v>
      </c>
      <c r="AI57" s="740">
        <f t="shared" si="18"/>
        <v>0</v>
      </c>
      <c r="AJ57" s="740">
        <f t="shared" si="19"/>
        <v>0</v>
      </c>
      <c r="AK57" s="740"/>
      <c r="AL57" s="740"/>
      <c r="AM57" s="740"/>
      <c r="AN57" s="740"/>
      <c r="AO57" s="740"/>
      <c r="AQ57">
        <f t="shared" ca="1" si="20"/>
        <v>0</v>
      </c>
    </row>
    <row r="58" spans="1:43" ht="20.25" customHeight="1" x14ac:dyDescent="0.25">
      <c r="A58" s="779">
        <v>31</v>
      </c>
      <c r="B58" s="780" t="s">
        <v>4359</v>
      </c>
      <c r="C58" s="781" t="s">
        <v>4635</v>
      </c>
      <c r="D58" s="782">
        <v>2</v>
      </c>
      <c r="E58" s="730"/>
      <c r="F58" s="731"/>
      <c r="G58" s="731"/>
      <c r="H58" s="732"/>
      <c r="I58" s="733" t="str">
        <f t="shared" si="13"/>
        <v xml:space="preserve"> </v>
      </c>
      <c r="J58" s="734" t="str">
        <f t="shared" si="14"/>
        <v>,</v>
      </c>
      <c r="K58" s="735">
        <f t="shared" ca="1" si="15"/>
        <v>0</v>
      </c>
      <c r="L58" s="736" t="str">
        <f t="shared" si="16"/>
        <v>000100</v>
      </c>
      <c r="M58" s="766">
        <f ca="1">IF(K58=0,0,IF(K58&lt;9,"TOO YOUNG",IF(K58&lt;16,"OK","NOT ELIGIBLE")))</f>
        <v>0</v>
      </c>
      <c r="AD58" s="722">
        <f t="shared" si="21"/>
        <v>31</v>
      </c>
      <c r="AE58" s="443" t="str">
        <f t="shared" si="22"/>
        <v>Female 15/U 100m Freestyle</v>
      </c>
      <c r="AF58" s="440" t="s">
        <v>4635</v>
      </c>
      <c r="AG58" s="739">
        <v>2</v>
      </c>
      <c r="AH58" s="740">
        <f t="shared" si="17"/>
        <v>0</v>
      </c>
      <c r="AI58" s="740">
        <f t="shared" si="18"/>
        <v>0</v>
      </c>
      <c r="AJ58" s="740">
        <f t="shared" si="19"/>
        <v>0</v>
      </c>
      <c r="AK58" s="740"/>
      <c r="AL58" s="740"/>
      <c r="AM58" s="740"/>
      <c r="AN58" s="740"/>
      <c r="AO58" s="740"/>
      <c r="AQ58">
        <f t="shared" ca="1" si="20"/>
        <v>0</v>
      </c>
    </row>
    <row r="59" spans="1:43" ht="20.25" customHeight="1" x14ac:dyDescent="0.25">
      <c r="A59" s="779">
        <v>32</v>
      </c>
      <c r="B59" s="780" t="s">
        <v>4360</v>
      </c>
      <c r="C59" s="781" t="s">
        <v>328</v>
      </c>
      <c r="D59" s="782">
        <v>2</v>
      </c>
      <c r="E59" s="730"/>
      <c r="F59" s="731"/>
      <c r="G59" s="731"/>
      <c r="H59" s="732"/>
      <c r="I59" s="733" t="str">
        <f t="shared" si="13"/>
        <v xml:space="preserve"> </v>
      </c>
      <c r="J59" s="734" t="str">
        <f t="shared" si="14"/>
        <v>,</v>
      </c>
      <c r="K59" s="735">
        <f t="shared" ca="1" si="15"/>
        <v>0</v>
      </c>
      <c r="L59" s="736" t="str">
        <f t="shared" si="16"/>
        <v>000100</v>
      </c>
      <c r="M59" s="766">
        <f ca="1">IF(K59=0,0,IF(K59&lt;9,"TOO YOUNG",IF(K59&lt;16,"OK","NOT ELIGIBLE")))</f>
        <v>0</v>
      </c>
      <c r="AD59" s="722">
        <f t="shared" si="21"/>
        <v>32</v>
      </c>
      <c r="AE59" s="443" t="str">
        <f t="shared" si="22"/>
        <v>Open/Male 15/U 100m Freestyle</v>
      </c>
      <c r="AF59" s="440" t="s">
        <v>328</v>
      </c>
      <c r="AG59" s="739">
        <v>2</v>
      </c>
      <c r="AH59" s="740">
        <f t="shared" si="17"/>
        <v>0</v>
      </c>
      <c r="AI59" s="740">
        <f t="shared" si="18"/>
        <v>0</v>
      </c>
      <c r="AJ59" s="740">
        <f t="shared" si="19"/>
        <v>0</v>
      </c>
      <c r="AK59" s="740"/>
      <c r="AL59" s="740"/>
      <c r="AM59" s="740"/>
      <c r="AN59" s="740"/>
      <c r="AO59" s="740"/>
      <c r="AQ59">
        <f t="shared" ca="1" si="20"/>
        <v>0</v>
      </c>
    </row>
    <row r="60" spans="1:43" ht="20.25" customHeight="1" x14ac:dyDescent="0.25">
      <c r="A60" s="727">
        <v>33</v>
      </c>
      <c r="B60" s="742" t="s">
        <v>4361</v>
      </c>
      <c r="C60" s="742" t="s">
        <v>4635</v>
      </c>
      <c r="D60" s="783">
        <v>8</v>
      </c>
      <c r="E60" s="730"/>
      <c r="F60" s="731"/>
      <c r="G60" s="731"/>
      <c r="H60" s="732"/>
      <c r="I60" s="733" t="str">
        <f t="shared" si="13"/>
        <v xml:space="preserve"> </v>
      </c>
      <c r="J60" s="734" t="str">
        <f t="shared" si="14"/>
        <v>,</v>
      </c>
      <c r="K60" s="735">
        <f t="shared" ca="1" si="15"/>
        <v>0</v>
      </c>
      <c r="L60" s="736" t="str">
        <f t="shared" si="16"/>
        <v>000100</v>
      </c>
      <c r="M60" s="770">
        <f ca="1">IF(K60=0,0,IF(K60&lt;9,"TOO YOUNG",IF(K60&lt;60,"OK","BIT OLD MAYBE")))</f>
        <v>0</v>
      </c>
      <c r="AD60" s="722">
        <f t="shared" si="21"/>
        <v>33</v>
      </c>
      <c r="AE60" s="443" t="str">
        <f t="shared" si="22"/>
        <v>Female 16+ 100m Breaststroke</v>
      </c>
      <c r="AF60" s="443" t="s">
        <v>4635</v>
      </c>
      <c r="AG60" s="744">
        <v>9</v>
      </c>
      <c r="AH60" s="740">
        <f t="shared" si="17"/>
        <v>0</v>
      </c>
      <c r="AI60" s="740">
        <f t="shared" si="18"/>
        <v>0</v>
      </c>
      <c r="AJ60" s="740">
        <f t="shared" si="19"/>
        <v>0</v>
      </c>
      <c r="AK60" s="740"/>
      <c r="AL60" s="740"/>
      <c r="AM60" s="740"/>
      <c r="AN60" s="740"/>
      <c r="AO60" s="740"/>
      <c r="AQ60">
        <f t="shared" ca="1" si="20"/>
        <v>0</v>
      </c>
    </row>
    <row r="61" spans="1:43" ht="20.25" customHeight="1" x14ac:dyDescent="0.25">
      <c r="A61" s="727">
        <v>34</v>
      </c>
      <c r="B61" s="742" t="s">
        <v>4362</v>
      </c>
      <c r="C61" s="742" t="s">
        <v>328</v>
      </c>
      <c r="D61" s="783">
        <v>8</v>
      </c>
      <c r="E61" s="730"/>
      <c r="F61" s="731"/>
      <c r="G61" s="731"/>
      <c r="H61" s="732"/>
      <c r="I61" s="733" t="str">
        <f t="shared" si="13"/>
        <v xml:space="preserve"> </v>
      </c>
      <c r="J61" s="734" t="str">
        <f t="shared" si="14"/>
        <v>,</v>
      </c>
      <c r="K61" s="735">
        <f t="shared" ca="1" si="15"/>
        <v>0</v>
      </c>
      <c r="L61" s="736" t="str">
        <f t="shared" si="16"/>
        <v>000100</v>
      </c>
      <c r="M61" s="770">
        <f ca="1">IF(K61=0,0,IF(K61&lt;9,"TOO YOUNG",IF(K61&lt;60,"OK","BIT OLD MAYBE")))</f>
        <v>0</v>
      </c>
      <c r="AD61" s="722">
        <f t="shared" si="21"/>
        <v>34</v>
      </c>
      <c r="AE61" s="443" t="str">
        <f t="shared" si="22"/>
        <v>Open/Male 16+ 100m Breaststroke</v>
      </c>
      <c r="AF61" s="443" t="s">
        <v>328</v>
      </c>
      <c r="AG61" s="744">
        <v>9</v>
      </c>
      <c r="AH61" s="740">
        <f t="shared" si="17"/>
        <v>0</v>
      </c>
      <c r="AI61" s="740">
        <f t="shared" si="18"/>
        <v>0</v>
      </c>
      <c r="AJ61" s="740">
        <f t="shared" si="19"/>
        <v>0</v>
      </c>
      <c r="AK61" s="740"/>
      <c r="AL61" s="740"/>
      <c r="AM61" s="740"/>
      <c r="AN61" s="740"/>
      <c r="AO61" s="740"/>
      <c r="AQ61">
        <f t="shared" ca="1" si="20"/>
        <v>0</v>
      </c>
    </row>
    <row r="62" spans="1:43" ht="20.25" customHeight="1" x14ac:dyDescent="0.25">
      <c r="A62" s="745">
        <v>35</v>
      </c>
      <c r="B62" s="773" t="s">
        <v>4363</v>
      </c>
      <c r="C62" s="774" t="s">
        <v>4635</v>
      </c>
      <c r="D62" s="775">
        <v>1</v>
      </c>
      <c r="E62" s="730"/>
      <c r="F62" s="731"/>
      <c r="G62" s="731"/>
      <c r="H62" s="732"/>
      <c r="I62" s="733" t="str">
        <f t="shared" si="13"/>
        <v xml:space="preserve"> </v>
      </c>
      <c r="J62" s="734" t="str">
        <f t="shared" si="14"/>
        <v>,</v>
      </c>
      <c r="K62" s="735">
        <f t="shared" ca="1" si="15"/>
        <v>0</v>
      </c>
      <c r="L62" s="736" t="str">
        <f t="shared" si="16"/>
        <v>000100</v>
      </c>
      <c r="M62" s="766">
        <f ca="1">IF(K62=0,0,IF(K62&lt;10,"TOO YOUNG",IF(K62&lt;12,"OK","NOT ELIGIBLE")))</f>
        <v>0</v>
      </c>
      <c r="AD62" s="722">
        <f t="shared" si="21"/>
        <v>35</v>
      </c>
      <c r="AE62" s="443" t="str">
        <f t="shared" si="22"/>
        <v>Female 10/11 50m Freestyle</v>
      </c>
      <c r="AF62" s="440" t="s">
        <v>4635</v>
      </c>
      <c r="AG62" s="739">
        <v>1</v>
      </c>
      <c r="AH62" s="740">
        <f t="shared" si="17"/>
        <v>0</v>
      </c>
      <c r="AI62" s="740">
        <f t="shared" si="18"/>
        <v>0</v>
      </c>
      <c r="AJ62" s="740">
        <f t="shared" si="19"/>
        <v>0</v>
      </c>
      <c r="AK62" s="740"/>
      <c r="AL62" s="740"/>
      <c r="AM62" s="740"/>
      <c r="AN62" s="740"/>
      <c r="AO62" s="740"/>
      <c r="AQ62">
        <f t="shared" ca="1" si="20"/>
        <v>0</v>
      </c>
    </row>
    <row r="63" spans="1:43" ht="20.25" customHeight="1" x14ac:dyDescent="0.25">
      <c r="A63" s="745">
        <v>36</v>
      </c>
      <c r="B63" s="773" t="s">
        <v>4699</v>
      </c>
      <c r="C63" s="774" t="s">
        <v>328</v>
      </c>
      <c r="D63" s="775">
        <v>1</v>
      </c>
      <c r="E63" s="730"/>
      <c r="F63" s="731"/>
      <c r="G63" s="731"/>
      <c r="H63" s="732"/>
      <c r="I63" s="733" t="str">
        <f t="shared" si="13"/>
        <v xml:space="preserve"> </v>
      </c>
      <c r="J63" s="734" t="str">
        <f t="shared" si="14"/>
        <v>,</v>
      </c>
      <c r="K63" s="735">
        <f t="shared" ca="1" si="15"/>
        <v>0</v>
      </c>
      <c r="L63" s="736" t="str">
        <f t="shared" si="16"/>
        <v>000100</v>
      </c>
      <c r="M63" s="766">
        <f ca="1">IF(K63=0,0,IF(K63&lt;10,"TOO YOUNG",IF(K63&lt;12,"OK","NOT ELIGIBLE")))</f>
        <v>0</v>
      </c>
      <c r="AD63" s="722">
        <f t="shared" si="21"/>
        <v>36</v>
      </c>
      <c r="AE63" s="443" t="str">
        <f t="shared" si="22"/>
        <v>Open/Male 10/11 50m Freestyle</v>
      </c>
      <c r="AF63" s="440" t="s">
        <v>328</v>
      </c>
      <c r="AG63" s="739">
        <v>1</v>
      </c>
      <c r="AH63" s="740">
        <f t="shared" si="17"/>
        <v>0</v>
      </c>
      <c r="AI63" s="740">
        <f t="shared" si="18"/>
        <v>0</v>
      </c>
      <c r="AJ63" s="740">
        <f t="shared" si="19"/>
        <v>0</v>
      </c>
      <c r="AK63" s="740"/>
      <c r="AL63" s="740"/>
      <c r="AM63" s="740"/>
      <c r="AN63" s="740"/>
      <c r="AO63" s="740"/>
      <c r="AQ63">
        <f t="shared" ca="1" si="20"/>
        <v>0</v>
      </c>
    </row>
    <row r="64" spans="1:43" ht="20.25" customHeight="1" x14ac:dyDescent="0.25">
      <c r="A64" s="755">
        <v>37</v>
      </c>
      <c r="B64" s="776" t="s">
        <v>4365</v>
      </c>
      <c r="C64" s="777" t="s">
        <v>4635</v>
      </c>
      <c r="D64" s="778">
        <v>2</v>
      </c>
      <c r="E64" s="730"/>
      <c r="F64" s="731"/>
      <c r="G64" s="731"/>
      <c r="H64" s="732"/>
      <c r="I64" s="733" t="str">
        <f t="shared" si="13"/>
        <v xml:space="preserve"> </v>
      </c>
      <c r="J64" s="734" t="str">
        <f t="shared" si="14"/>
        <v>,</v>
      </c>
      <c r="K64" s="735">
        <f t="shared" ca="1" si="15"/>
        <v>0</v>
      </c>
      <c r="L64" s="736" t="str">
        <f t="shared" si="16"/>
        <v>000100</v>
      </c>
      <c r="M64" s="766">
        <f ca="1">IF(K64=0,0,IF(K64&lt;9,"TOO YOUNG",IF(K64&lt;14,"OK","NOT ELIGIBLE")))</f>
        <v>0</v>
      </c>
      <c r="AD64" s="722">
        <f t="shared" si="21"/>
        <v>37</v>
      </c>
      <c r="AE64" s="443" t="str">
        <f t="shared" si="22"/>
        <v>Female 13/U 100m Freestyle</v>
      </c>
      <c r="AF64" s="440" t="s">
        <v>4635</v>
      </c>
      <c r="AG64" s="739">
        <v>2</v>
      </c>
      <c r="AH64" s="740">
        <f t="shared" si="17"/>
        <v>0</v>
      </c>
      <c r="AI64" s="740">
        <f t="shared" si="18"/>
        <v>0</v>
      </c>
      <c r="AJ64" s="740">
        <f t="shared" si="19"/>
        <v>0</v>
      </c>
      <c r="AK64" s="740"/>
      <c r="AL64" s="740"/>
      <c r="AM64" s="740"/>
      <c r="AN64" s="740"/>
      <c r="AO64" s="740"/>
      <c r="AQ64">
        <f t="shared" ca="1" si="20"/>
        <v>0</v>
      </c>
    </row>
    <row r="65" spans="1:43" ht="20.25" customHeight="1" x14ac:dyDescent="0.25">
      <c r="A65" s="755">
        <v>38</v>
      </c>
      <c r="B65" s="776" t="s">
        <v>4366</v>
      </c>
      <c r="C65" s="777" t="s">
        <v>328</v>
      </c>
      <c r="D65" s="778">
        <v>2</v>
      </c>
      <c r="E65" s="730"/>
      <c r="F65" s="731"/>
      <c r="G65" s="731"/>
      <c r="H65" s="732"/>
      <c r="I65" s="733" t="str">
        <f t="shared" si="13"/>
        <v xml:space="preserve"> </v>
      </c>
      <c r="J65" s="734" t="str">
        <f t="shared" si="14"/>
        <v>,</v>
      </c>
      <c r="K65" s="735">
        <f t="shared" ca="1" si="15"/>
        <v>0</v>
      </c>
      <c r="L65" s="736" t="str">
        <f t="shared" si="16"/>
        <v>000100</v>
      </c>
      <c r="M65" s="766">
        <f ca="1">IF(K65=0,0,IF(K65&lt;9,"TOO YOUNG",IF(K65&lt;14,"OK","NOT ELIGIBLE")))</f>
        <v>0</v>
      </c>
      <c r="AD65" s="722">
        <f t="shared" si="21"/>
        <v>38</v>
      </c>
      <c r="AE65" s="443" t="str">
        <f t="shared" si="22"/>
        <v>Open/Male 13/U 100m Freestyle</v>
      </c>
      <c r="AF65" s="440" t="s">
        <v>328</v>
      </c>
      <c r="AG65" s="739">
        <v>2</v>
      </c>
      <c r="AH65" s="740">
        <f t="shared" si="17"/>
        <v>0</v>
      </c>
      <c r="AI65" s="740">
        <f t="shared" si="18"/>
        <v>0</v>
      </c>
      <c r="AJ65" s="740">
        <f t="shared" si="19"/>
        <v>0</v>
      </c>
      <c r="AK65" s="740"/>
      <c r="AL65" s="740"/>
      <c r="AM65" s="740"/>
      <c r="AN65" s="740"/>
      <c r="AO65" s="740"/>
      <c r="AQ65">
        <f t="shared" ca="1" si="20"/>
        <v>0</v>
      </c>
    </row>
    <row r="66" spans="1:43" ht="20.25" customHeight="1" x14ac:dyDescent="0.25">
      <c r="A66" s="779">
        <v>39</v>
      </c>
      <c r="B66" s="780" t="s">
        <v>4367</v>
      </c>
      <c r="C66" s="781" t="s">
        <v>4635</v>
      </c>
      <c r="D66" s="782">
        <v>8</v>
      </c>
      <c r="E66" s="730"/>
      <c r="F66" s="731"/>
      <c r="G66" s="731"/>
      <c r="H66" s="732"/>
      <c r="I66" s="733" t="str">
        <f t="shared" si="13"/>
        <v xml:space="preserve"> </v>
      </c>
      <c r="J66" s="734" t="str">
        <f t="shared" si="14"/>
        <v>,</v>
      </c>
      <c r="K66" s="735">
        <f t="shared" ca="1" si="15"/>
        <v>0</v>
      </c>
      <c r="L66" s="736" t="str">
        <f t="shared" si="16"/>
        <v>000100</v>
      </c>
      <c r="M66" s="766">
        <f ca="1">IF(K66=0,0,IF(K66&lt;9,"TOO YOUNG",IF(K66&lt;16,"OK","NOT ELIGIBLE")))</f>
        <v>0</v>
      </c>
      <c r="AD66" s="722">
        <f t="shared" si="21"/>
        <v>39</v>
      </c>
      <c r="AE66" s="443" t="str">
        <f t="shared" si="22"/>
        <v>Female 15/U 100m Breaststroke</v>
      </c>
      <c r="AF66" s="440" t="s">
        <v>4635</v>
      </c>
      <c r="AG66" s="739">
        <v>9</v>
      </c>
      <c r="AH66" s="740">
        <f t="shared" si="17"/>
        <v>0</v>
      </c>
      <c r="AI66" s="740">
        <f t="shared" si="18"/>
        <v>0</v>
      </c>
      <c r="AJ66" s="740">
        <f t="shared" si="19"/>
        <v>0</v>
      </c>
      <c r="AK66" s="740"/>
      <c r="AL66" s="740"/>
      <c r="AM66" s="740"/>
      <c r="AN66" s="740"/>
      <c r="AO66" s="740"/>
      <c r="AQ66">
        <f t="shared" ca="1" si="20"/>
        <v>0</v>
      </c>
    </row>
    <row r="67" spans="1:43" ht="20.25" customHeight="1" x14ac:dyDescent="0.25">
      <c r="A67" s="779">
        <v>40</v>
      </c>
      <c r="B67" s="780" t="s">
        <v>4368</v>
      </c>
      <c r="C67" s="781" t="s">
        <v>328</v>
      </c>
      <c r="D67" s="782">
        <v>8</v>
      </c>
      <c r="E67" s="730"/>
      <c r="F67" s="731"/>
      <c r="G67" s="731"/>
      <c r="H67" s="732"/>
      <c r="I67" s="733" t="str">
        <f t="shared" si="13"/>
        <v xml:space="preserve"> </v>
      </c>
      <c r="J67" s="734" t="str">
        <f t="shared" si="14"/>
        <v>,</v>
      </c>
      <c r="K67" s="735">
        <f t="shared" ca="1" si="15"/>
        <v>0</v>
      </c>
      <c r="L67" s="736" t="str">
        <f t="shared" si="16"/>
        <v>000100</v>
      </c>
      <c r="M67" s="766">
        <f ca="1">IF(K67=0,0,IF(K67&lt;9,"TOO YOUNG",IF(K67&lt;16,"OK","NOT ELIGIBLE")))</f>
        <v>0</v>
      </c>
      <c r="AD67" s="722">
        <f t="shared" si="21"/>
        <v>40</v>
      </c>
      <c r="AE67" s="443" t="str">
        <f t="shared" si="22"/>
        <v>Open/Male 15/U 100m Breaststroke</v>
      </c>
      <c r="AF67" s="440" t="s">
        <v>328</v>
      </c>
      <c r="AG67" s="739">
        <v>9</v>
      </c>
      <c r="AH67" s="740">
        <f t="shared" si="17"/>
        <v>0</v>
      </c>
      <c r="AI67" s="740">
        <f t="shared" si="18"/>
        <v>0</v>
      </c>
      <c r="AJ67" s="740">
        <f t="shared" si="19"/>
        <v>0</v>
      </c>
      <c r="AK67" s="740"/>
      <c r="AL67" s="740"/>
      <c r="AM67" s="740"/>
      <c r="AN67" s="740"/>
      <c r="AO67" s="740"/>
      <c r="AQ67">
        <f t="shared" ca="1" si="20"/>
        <v>0</v>
      </c>
    </row>
    <row r="68" spans="1:43" ht="20.25" customHeight="1" x14ac:dyDescent="0.25">
      <c r="A68" s="727">
        <v>41</v>
      </c>
      <c r="B68" s="742" t="s">
        <v>4369</v>
      </c>
      <c r="C68" s="728" t="s">
        <v>4635</v>
      </c>
      <c r="D68" s="729">
        <v>2</v>
      </c>
      <c r="E68" s="730"/>
      <c r="F68" s="731"/>
      <c r="G68" s="731"/>
      <c r="H68" s="732"/>
      <c r="I68" s="733" t="str">
        <f t="shared" ref="I68:I101" si="23">CONCATENATE(F68," ",G68)</f>
        <v xml:space="preserve"> </v>
      </c>
      <c r="J68" s="734" t="str">
        <f t="shared" ref="J68:J101" si="24">CONCATENATE(G68,",",F68)</f>
        <v>,</v>
      </c>
      <c r="K68" s="735">
        <f t="shared" ref="K68:K99" ca="1" si="25">IF(K$2=0,0,IF(AQ68=0,0,IF(COUNTBLANK(AQ68)=1,"",YEAR(K$2)-YEAR(AQ68)-IF(DATE(YEAR(K$2),MONTH(AQ68),DAY(4638))&gt;K$2,1,0))))</f>
        <v>0</v>
      </c>
      <c r="L68" s="736" t="str">
        <f t="shared" ref="L68:L99" si="26">(TEXT(H68,"DDMMYY"))</f>
        <v>000100</v>
      </c>
      <c r="M68" s="770">
        <f ca="1">IF(K68=0,0,IF(K68&lt;9,"TOO YOUNG",IF(K68&lt;60,"OK","BIT OLD MAYBE")))</f>
        <v>0</v>
      </c>
      <c r="AD68" s="722">
        <f t="shared" si="21"/>
        <v>41</v>
      </c>
      <c r="AE68" s="443" t="str">
        <f t="shared" si="22"/>
        <v>Female 16+ 100m Freestyle</v>
      </c>
      <c r="AF68" s="440" t="s">
        <v>4635</v>
      </c>
      <c r="AG68" s="739">
        <v>2</v>
      </c>
      <c r="AH68" s="740">
        <f t="shared" ref="AH68:AH99" si="27">E68</f>
        <v>0</v>
      </c>
      <c r="AI68" s="740">
        <f t="shared" ref="AI68:AI99" si="28">F68</f>
        <v>0</v>
      </c>
      <c r="AJ68" s="740">
        <f t="shared" ref="AJ68:AJ99" si="29">G68</f>
        <v>0</v>
      </c>
      <c r="AK68" s="740"/>
      <c r="AL68" s="740"/>
      <c r="AM68" s="740"/>
      <c r="AN68" s="740"/>
      <c r="AO68" s="740"/>
      <c r="AQ68">
        <f t="shared" ref="AQ68:AQ99" ca="1" si="30">INDIRECT(ADDRESS(ROW(),AQ$3))</f>
        <v>0</v>
      </c>
    </row>
    <row r="69" spans="1:43" ht="20.25" customHeight="1" x14ac:dyDescent="0.25">
      <c r="A69" s="727">
        <v>42</v>
      </c>
      <c r="B69" s="742" t="s">
        <v>4370</v>
      </c>
      <c r="C69" s="728" t="s">
        <v>328</v>
      </c>
      <c r="D69" s="729">
        <v>2</v>
      </c>
      <c r="E69" s="730"/>
      <c r="F69" s="731"/>
      <c r="G69" s="731"/>
      <c r="H69" s="732"/>
      <c r="I69" s="733" t="str">
        <f t="shared" si="23"/>
        <v xml:space="preserve"> </v>
      </c>
      <c r="J69" s="734" t="str">
        <f t="shared" si="24"/>
        <v>,</v>
      </c>
      <c r="K69" s="735">
        <f t="shared" ca="1" si="25"/>
        <v>0</v>
      </c>
      <c r="L69" s="736" t="str">
        <f t="shared" si="26"/>
        <v>000100</v>
      </c>
      <c r="M69" s="770">
        <f ca="1">IF(K69=0,0,IF(K69&lt;9,"TOO YOUNG",IF(K69&lt;60,"OK","BIT OLD MAYBE")))</f>
        <v>0</v>
      </c>
      <c r="AD69" s="722">
        <f t="shared" si="21"/>
        <v>42</v>
      </c>
      <c r="AE69" s="443" t="str">
        <f t="shared" si="22"/>
        <v>Open/Male 16+ 100m Freestyle</v>
      </c>
      <c r="AF69" s="440" t="s">
        <v>328</v>
      </c>
      <c r="AG69" s="739">
        <v>2</v>
      </c>
      <c r="AH69" s="740">
        <f t="shared" si="27"/>
        <v>0</v>
      </c>
      <c r="AI69" s="740">
        <f t="shared" si="28"/>
        <v>0</v>
      </c>
      <c r="AJ69" s="740">
        <f t="shared" si="29"/>
        <v>0</v>
      </c>
      <c r="AK69" s="740"/>
      <c r="AL69" s="740"/>
      <c r="AM69" s="740"/>
      <c r="AN69" s="740"/>
      <c r="AO69" s="740"/>
      <c r="AQ69">
        <f t="shared" ca="1" si="30"/>
        <v>0</v>
      </c>
    </row>
    <row r="70" spans="1:43" ht="20.25" customHeight="1" x14ac:dyDescent="0.25">
      <c r="A70" s="1254">
        <v>43</v>
      </c>
      <c r="B70" s="1255" t="s">
        <v>4700</v>
      </c>
      <c r="C70" s="746"/>
      <c r="D70" s="747"/>
      <c r="E70" s="730"/>
      <c r="F70" s="731"/>
      <c r="G70" s="731"/>
      <c r="H70" s="732"/>
      <c r="I70" s="733" t="str">
        <f t="shared" si="23"/>
        <v xml:space="preserve"> </v>
      </c>
      <c r="J70" s="734" t="str">
        <f t="shared" si="24"/>
        <v>,</v>
      </c>
      <c r="K70" s="735">
        <f t="shared" ca="1" si="25"/>
        <v>0</v>
      </c>
      <c r="L70" s="736" t="str">
        <f t="shared" si="26"/>
        <v>000100</v>
      </c>
      <c r="M70" s="766">
        <f t="shared" ref="M70:M77" ca="1" si="31">IF(K70=0,0,IF(K70&lt;9,"TOO YOUNG",IF(K70&lt;12,"OK","NOT ELIGIBLE")))</f>
        <v>0</v>
      </c>
      <c r="AD70" s="1244">
        <f t="shared" si="21"/>
        <v>43</v>
      </c>
      <c r="AE70" s="1245" t="str">
        <f t="shared" si="22"/>
        <v>FEMALE 9/11 4 X 50M
MEDLEY RELAY</v>
      </c>
      <c r="AF70" s="749"/>
      <c r="AG70" s="750"/>
      <c r="AH70" s="740">
        <f t="shared" si="27"/>
        <v>0</v>
      </c>
      <c r="AI70" s="740">
        <f t="shared" si="28"/>
        <v>0</v>
      </c>
      <c r="AJ70" s="740">
        <f t="shared" si="29"/>
        <v>0</v>
      </c>
      <c r="AK70" s="740"/>
      <c r="AL70" s="740"/>
      <c r="AM70" s="740"/>
      <c r="AN70" s="740"/>
      <c r="AO70" s="740"/>
      <c r="AQ70">
        <f t="shared" ca="1" si="30"/>
        <v>0</v>
      </c>
    </row>
    <row r="71" spans="1:43" ht="20.25" customHeight="1" x14ac:dyDescent="0.25">
      <c r="A71" s="1254"/>
      <c r="B71" s="1255"/>
      <c r="C71" s="751"/>
      <c r="D71" s="752"/>
      <c r="E71" s="730"/>
      <c r="F71" s="731"/>
      <c r="G71" s="731"/>
      <c r="H71" s="732"/>
      <c r="I71" s="733" t="str">
        <f t="shared" si="23"/>
        <v xml:space="preserve"> </v>
      </c>
      <c r="J71" s="734" t="str">
        <f t="shared" si="24"/>
        <v>,</v>
      </c>
      <c r="K71" s="735">
        <f t="shared" ca="1" si="25"/>
        <v>0</v>
      </c>
      <c r="L71" s="736" t="str">
        <f t="shared" si="26"/>
        <v>000100</v>
      </c>
      <c r="M71" s="766">
        <f t="shared" ca="1" si="31"/>
        <v>0</v>
      </c>
      <c r="AD71" s="1244"/>
      <c r="AE71" s="1245"/>
      <c r="AF71" s="753"/>
      <c r="AG71" s="754"/>
      <c r="AH71" s="740">
        <f t="shared" si="27"/>
        <v>0</v>
      </c>
      <c r="AI71" s="740">
        <f t="shared" si="28"/>
        <v>0</v>
      </c>
      <c r="AJ71" s="740">
        <f t="shared" si="29"/>
        <v>0</v>
      </c>
      <c r="AK71" s="740"/>
      <c r="AL71" s="740"/>
      <c r="AM71" s="740"/>
      <c r="AN71" s="740"/>
      <c r="AO71" s="740"/>
      <c r="AQ71">
        <f t="shared" ca="1" si="30"/>
        <v>0</v>
      </c>
    </row>
    <row r="72" spans="1:43" ht="20.25" customHeight="1" x14ac:dyDescent="0.25">
      <c r="A72" s="1254"/>
      <c r="B72" s="1255"/>
      <c r="C72" s="751"/>
      <c r="D72" s="752"/>
      <c r="E72" s="730"/>
      <c r="F72" s="731"/>
      <c r="G72" s="731"/>
      <c r="H72" s="732"/>
      <c r="I72" s="733" t="str">
        <f t="shared" si="23"/>
        <v xml:space="preserve"> </v>
      </c>
      <c r="J72" s="734" t="str">
        <f t="shared" si="24"/>
        <v>,</v>
      </c>
      <c r="K72" s="735">
        <f t="shared" ca="1" si="25"/>
        <v>0</v>
      </c>
      <c r="L72" s="736" t="str">
        <f t="shared" si="26"/>
        <v>000100</v>
      </c>
      <c r="M72" s="766">
        <f t="shared" ca="1" si="31"/>
        <v>0</v>
      </c>
      <c r="AD72" s="1244"/>
      <c r="AE72" s="1245"/>
      <c r="AF72" s="753"/>
      <c r="AG72" s="754"/>
      <c r="AH72" s="740">
        <f t="shared" si="27"/>
        <v>0</v>
      </c>
      <c r="AI72" s="740">
        <f t="shared" si="28"/>
        <v>0</v>
      </c>
      <c r="AJ72" s="740">
        <f t="shared" si="29"/>
        <v>0</v>
      </c>
      <c r="AK72" s="740"/>
      <c r="AL72" s="740"/>
      <c r="AM72" s="740"/>
      <c r="AN72" s="740"/>
      <c r="AO72" s="740"/>
      <c r="AQ72">
        <f t="shared" ca="1" si="30"/>
        <v>0</v>
      </c>
    </row>
    <row r="73" spans="1:43" ht="20.25" customHeight="1" x14ac:dyDescent="0.25">
      <c r="A73" s="1254"/>
      <c r="B73" s="1255"/>
      <c r="C73" s="751"/>
      <c r="D73" s="752"/>
      <c r="E73" s="730"/>
      <c r="F73" s="731"/>
      <c r="G73" s="731"/>
      <c r="H73" s="732"/>
      <c r="I73" s="733" t="str">
        <f t="shared" si="23"/>
        <v xml:space="preserve"> </v>
      </c>
      <c r="J73" s="734" t="str">
        <f t="shared" si="24"/>
        <v>,</v>
      </c>
      <c r="K73" s="735">
        <f t="shared" ca="1" si="25"/>
        <v>0</v>
      </c>
      <c r="L73" s="736" t="str">
        <f t="shared" si="26"/>
        <v>000100</v>
      </c>
      <c r="M73" s="766">
        <f t="shared" ca="1" si="31"/>
        <v>0</v>
      </c>
      <c r="AD73" s="1244"/>
      <c r="AE73" s="1245"/>
      <c r="AF73" s="753"/>
      <c r="AG73" s="754"/>
      <c r="AH73" s="740">
        <f t="shared" si="27"/>
        <v>0</v>
      </c>
      <c r="AI73" s="740">
        <f t="shared" si="28"/>
        <v>0</v>
      </c>
      <c r="AJ73" s="740">
        <f t="shared" si="29"/>
        <v>0</v>
      </c>
      <c r="AK73" s="740"/>
      <c r="AL73" s="740"/>
      <c r="AM73" s="740"/>
      <c r="AN73" s="740"/>
      <c r="AO73" s="740"/>
      <c r="AQ73">
        <f t="shared" ca="1" si="30"/>
        <v>0</v>
      </c>
    </row>
    <row r="74" spans="1:43" ht="20.25" customHeight="1" x14ac:dyDescent="0.25">
      <c r="A74" s="1254">
        <v>44</v>
      </c>
      <c r="B74" s="1255" t="s">
        <v>4701</v>
      </c>
      <c r="C74" s="746"/>
      <c r="D74" s="747"/>
      <c r="E74" s="730"/>
      <c r="F74" s="731"/>
      <c r="G74" s="731"/>
      <c r="H74" s="732"/>
      <c r="I74" s="733" t="str">
        <f t="shared" si="23"/>
        <v xml:space="preserve"> </v>
      </c>
      <c r="J74" s="734" t="str">
        <f t="shared" si="24"/>
        <v>,</v>
      </c>
      <c r="K74" s="735">
        <f t="shared" ca="1" si="25"/>
        <v>0</v>
      </c>
      <c r="L74" s="736" t="str">
        <f t="shared" si="26"/>
        <v>000100</v>
      </c>
      <c r="M74" s="766">
        <f t="shared" ca="1" si="31"/>
        <v>0</v>
      </c>
      <c r="AD74" s="1244">
        <f>A74</f>
        <v>44</v>
      </c>
      <c r="AE74" s="1245" t="str">
        <f>B74</f>
        <v>OPEN/MALE 9/11 4 X 50M
MEDLEY RELAY</v>
      </c>
      <c r="AF74" s="749"/>
      <c r="AG74" s="750"/>
      <c r="AH74" s="740">
        <f t="shared" si="27"/>
        <v>0</v>
      </c>
      <c r="AI74" s="740">
        <f t="shared" si="28"/>
        <v>0</v>
      </c>
      <c r="AJ74" s="740">
        <f t="shared" si="29"/>
        <v>0</v>
      </c>
      <c r="AK74" s="740"/>
      <c r="AL74" s="740"/>
      <c r="AM74" s="740"/>
      <c r="AN74" s="740"/>
      <c r="AO74" s="740"/>
      <c r="AQ74">
        <f t="shared" ca="1" si="30"/>
        <v>0</v>
      </c>
    </row>
    <row r="75" spans="1:43" ht="20.25" customHeight="1" x14ac:dyDescent="0.25">
      <c r="A75" s="1254"/>
      <c r="B75" s="1255"/>
      <c r="C75" s="751"/>
      <c r="D75" s="752"/>
      <c r="E75" s="730"/>
      <c r="F75" s="731"/>
      <c r="G75" s="731"/>
      <c r="H75" s="732"/>
      <c r="I75" s="733" t="str">
        <f t="shared" si="23"/>
        <v xml:space="preserve"> </v>
      </c>
      <c r="J75" s="734" t="str">
        <f t="shared" si="24"/>
        <v>,</v>
      </c>
      <c r="K75" s="735">
        <f t="shared" ca="1" si="25"/>
        <v>0</v>
      </c>
      <c r="L75" s="736" t="str">
        <f t="shared" si="26"/>
        <v>000100</v>
      </c>
      <c r="M75" s="766">
        <f t="shared" ca="1" si="31"/>
        <v>0</v>
      </c>
      <c r="AD75" s="1244"/>
      <c r="AE75" s="1245"/>
      <c r="AF75" s="753"/>
      <c r="AG75" s="754"/>
      <c r="AH75" s="740">
        <f t="shared" si="27"/>
        <v>0</v>
      </c>
      <c r="AI75" s="740">
        <f t="shared" si="28"/>
        <v>0</v>
      </c>
      <c r="AJ75" s="740">
        <f t="shared" si="29"/>
        <v>0</v>
      </c>
      <c r="AK75" s="740"/>
      <c r="AL75" s="740"/>
      <c r="AM75" s="740"/>
      <c r="AN75" s="740"/>
      <c r="AO75" s="740"/>
      <c r="AQ75">
        <f t="shared" ca="1" si="30"/>
        <v>0</v>
      </c>
    </row>
    <row r="76" spans="1:43" ht="20.25" customHeight="1" x14ac:dyDescent="0.25">
      <c r="A76" s="1254"/>
      <c r="B76" s="1255"/>
      <c r="C76" s="751"/>
      <c r="D76" s="752"/>
      <c r="E76" s="730"/>
      <c r="F76" s="731"/>
      <c r="G76" s="731"/>
      <c r="H76" s="732"/>
      <c r="I76" s="733" t="str">
        <f t="shared" si="23"/>
        <v xml:space="preserve"> </v>
      </c>
      <c r="J76" s="734" t="str">
        <f t="shared" si="24"/>
        <v>,</v>
      </c>
      <c r="K76" s="735">
        <f t="shared" ca="1" si="25"/>
        <v>0</v>
      </c>
      <c r="L76" s="736" t="str">
        <f t="shared" si="26"/>
        <v>000100</v>
      </c>
      <c r="M76" s="766">
        <f t="shared" ca="1" si="31"/>
        <v>0</v>
      </c>
      <c r="AD76" s="1244"/>
      <c r="AE76" s="1245"/>
      <c r="AF76" s="753"/>
      <c r="AG76" s="754"/>
      <c r="AH76" s="740">
        <f t="shared" si="27"/>
        <v>0</v>
      </c>
      <c r="AI76" s="740">
        <f t="shared" si="28"/>
        <v>0</v>
      </c>
      <c r="AJ76" s="740">
        <f t="shared" si="29"/>
        <v>0</v>
      </c>
      <c r="AK76" s="740"/>
      <c r="AL76" s="740"/>
      <c r="AM76" s="740"/>
      <c r="AN76" s="740"/>
      <c r="AO76" s="740"/>
      <c r="AQ76">
        <f t="shared" ca="1" si="30"/>
        <v>0</v>
      </c>
    </row>
    <row r="77" spans="1:43" ht="20.25" customHeight="1" x14ac:dyDescent="0.25">
      <c r="A77" s="1254"/>
      <c r="B77" s="1255"/>
      <c r="C77" s="751"/>
      <c r="D77" s="752"/>
      <c r="E77" s="730"/>
      <c r="F77" s="731"/>
      <c r="G77" s="731"/>
      <c r="H77" s="732"/>
      <c r="I77" s="733" t="str">
        <f t="shared" si="23"/>
        <v xml:space="preserve"> </v>
      </c>
      <c r="J77" s="734" t="str">
        <f t="shared" si="24"/>
        <v>,</v>
      </c>
      <c r="K77" s="735">
        <f t="shared" ca="1" si="25"/>
        <v>0</v>
      </c>
      <c r="L77" s="736" t="str">
        <f t="shared" si="26"/>
        <v>000100</v>
      </c>
      <c r="M77" s="766">
        <f t="shared" ca="1" si="31"/>
        <v>0</v>
      </c>
      <c r="AD77" s="1244"/>
      <c r="AE77" s="1245"/>
      <c r="AF77" s="753"/>
      <c r="AG77" s="754"/>
      <c r="AH77" s="740">
        <f t="shared" si="27"/>
        <v>0</v>
      </c>
      <c r="AI77" s="740">
        <f t="shared" si="28"/>
        <v>0</v>
      </c>
      <c r="AJ77" s="740">
        <f t="shared" si="29"/>
        <v>0</v>
      </c>
      <c r="AK77" s="740"/>
      <c r="AL77" s="740"/>
      <c r="AM77" s="740"/>
      <c r="AN77" s="740"/>
      <c r="AO77" s="740"/>
      <c r="AQ77">
        <f t="shared" ca="1" si="30"/>
        <v>0</v>
      </c>
    </row>
    <row r="78" spans="1:43" ht="20.25" customHeight="1" x14ac:dyDescent="0.25">
      <c r="A78" s="1252">
        <v>45</v>
      </c>
      <c r="B78" s="1253" t="s">
        <v>4702</v>
      </c>
      <c r="C78" s="756"/>
      <c r="D78" s="757"/>
      <c r="E78" s="730"/>
      <c r="F78" s="731"/>
      <c r="G78" s="731"/>
      <c r="H78" s="732"/>
      <c r="I78" s="733" t="str">
        <f t="shared" si="23"/>
        <v xml:space="preserve"> </v>
      </c>
      <c r="J78" s="734" t="str">
        <f t="shared" si="24"/>
        <v>,</v>
      </c>
      <c r="K78" s="735">
        <f t="shared" ca="1" si="25"/>
        <v>0</v>
      </c>
      <c r="L78" s="736" t="str">
        <f t="shared" si="26"/>
        <v>000100</v>
      </c>
      <c r="M78" s="766">
        <f t="shared" ref="M78:M85" ca="1" si="32">IF(K78=0,0,IF(K78&lt;9,"TOO YOUNG",IF(K78&lt;14,"OK","NOT ELIGIBLE")))</f>
        <v>0</v>
      </c>
      <c r="AD78" s="1244">
        <f>A78</f>
        <v>45</v>
      </c>
      <c r="AE78" s="1245" t="str">
        <f>B78</f>
        <v>FEMALE 13/U 4 X 50M
FREESTYLE RELAY</v>
      </c>
      <c r="AF78" s="749"/>
      <c r="AG78" s="750"/>
      <c r="AH78" s="740">
        <f t="shared" si="27"/>
        <v>0</v>
      </c>
      <c r="AI78" s="740">
        <f t="shared" si="28"/>
        <v>0</v>
      </c>
      <c r="AJ78" s="740">
        <f t="shared" si="29"/>
        <v>0</v>
      </c>
      <c r="AK78" s="740"/>
      <c r="AL78" s="740"/>
      <c r="AM78" s="740"/>
      <c r="AN78" s="740"/>
      <c r="AO78" s="740"/>
      <c r="AQ78">
        <f t="shared" ca="1" si="30"/>
        <v>0</v>
      </c>
    </row>
    <row r="79" spans="1:43" ht="20.25" customHeight="1" x14ac:dyDescent="0.25">
      <c r="A79" s="1252"/>
      <c r="B79" s="1253"/>
      <c r="C79" s="758"/>
      <c r="D79" s="759"/>
      <c r="E79" s="730"/>
      <c r="F79" s="731"/>
      <c r="G79" s="731"/>
      <c r="H79" s="732"/>
      <c r="I79" s="733" t="str">
        <f t="shared" si="23"/>
        <v xml:space="preserve"> </v>
      </c>
      <c r="J79" s="734" t="str">
        <f t="shared" si="24"/>
        <v>,</v>
      </c>
      <c r="K79" s="735">
        <f t="shared" ca="1" si="25"/>
        <v>0</v>
      </c>
      <c r="L79" s="736" t="str">
        <f t="shared" si="26"/>
        <v>000100</v>
      </c>
      <c r="M79" s="766">
        <f t="shared" ca="1" si="32"/>
        <v>0</v>
      </c>
      <c r="AD79" s="1244"/>
      <c r="AE79" s="1245"/>
      <c r="AF79" s="753"/>
      <c r="AG79" s="754"/>
      <c r="AH79" s="740">
        <f t="shared" si="27"/>
        <v>0</v>
      </c>
      <c r="AI79" s="740">
        <f t="shared" si="28"/>
        <v>0</v>
      </c>
      <c r="AJ79" s="740">
        <f t="shared" si="29"/>
        <v>0</v>
      </c>
      <c r="AK79" s="740"/>
      <c r="AL79" s="740"/>
      <c r="AM79" s="740"/>
      <c r="AN79" s="740"/>
      <c r="AO79" s="740"/>
      <c r="AQ79">
        <f t="shared" ca="1" si="30"/>
        <v>0</v>
      </c>
    </row>
    <row r="80" spans="1:43" ht="20.25" customHeight="1" x14ac:dyDescent="0.25">
      <c r="A80" s="1252"/>
      <c r="B80" s="1253"/>
      <c r="C80" s="758"/>
      <c r="D80" s="759"/>
      <c r="E80" s="730"/>
      <c r="F80" s="731"/>
      <c r="G80" s="731"/>
      <c r="H80" s="732"/>
      <c r="I80" s="733" t="str">
        <f t="shared" si="23"/>
        <v xml:space="preserve"> </v>
      </c>
      <c r="J80" s="734" t="str">
        <f t="shared" si="24"/>
        <v>,</v>
      </c>
      <c r="K80" s="735">
        <f t="shared" ca="1" si="25"/>
        <v>0</v>
      </c>
      <c r="L80" s="736" t="str">
        <f t="shared" si="26"/>
        <v>000100</v>
      </c>
      <c r="M80" s="766">
        <f t="shared" ca="1" si="32"/>
        <v>0</v>
      </c>
      <c r="AD80" s="1244"/>
      <c r="AE80" s="1245"/>
      <c r="AF80" s="753"/>
      <c r="AG80" s="754"/>
      <c r="AH80" s="740">
        <f t="shared" si="27"/>
        <v>0</v>
      </c>
      <c r="AI80" s="740">
        <f t="shared" si="28"/>
        <v>0</v>
      </c>
      <c r="AJ80" s="740">
        <f t="shared" si="29"/>
        <v>0</v>
      </c>
      <c r="AK80" s="740"/>
      <c r="AL80" s="740"/>
      <c r="AM80" s="740"/>
      <c r="AN80" s="740"/>
      <c r="AO80" s="740"/>
      <c r="AQ80">
        <f t="shared" ca="1" si="30"/>
        <v>0</v>
      </c>
    </row>
    <row r="81" spans="1:43" ht="20.25" customHeight="1" x14ac:dyDescent="0.25">
      <c r="A81" s="1252"/>
      <c r="B81" s="1253"/>
      <c r="C81" s="758"/>
      <c r="D81" s="759"/>
      <c r="E81" s="730"/>
      <c r="F81" s="731"/>
      <c r="G81" s="731"/>
      <c r="H81" s="732"/>
      <c r="I81" s="733" t="str">
        <f t="shared" si="23"/>
        <v xml:space="preserve"> </v>
      </c>
      <c r="J81" s="734" t="str">
        <f t="shared" si="24"/>
        <v>,</v>
      </c>
      <c r="K81" s="735">
        <f t="shared" ca="1" si="25"/>
        <v>0</v>
      </c>
      <c r="L81" s="736" t="str">
        <f t="shared" si="26"/>
        <v>000100</v>
      </c>
      <c r="M81" s="766">
        <f t="shared" ca="1" si="32"/>
        <v>0</v>
      </c>
      <c r="AD81" s="1244"/>
      <c r="AE81" s="1245"/>
      <c r="AF81" s="753"/>
      <c r="AG81" s="754"/>
      <c r="AH81" s="740">
        <f t="shared" si="27"/>
        <v>0</v>
      </c>
      <c r="AI81" s="740">
        <f t="shared" si="28"/>
        <v>0</v>
      </c>
      <c r="AJ81" s="740">
        <f t="shared" si="29"/>
        <v>0</v>
      </c>
      <c r="AK81" s="740"/>
      <c r="AL81" s="740"/>
      <c r="AM81" s="740"/>
      <c r="AN81" s="740"/>
      <c r="AO81" s="740"/>
      <c r="AQ81">
        <f t="shared" ca="1" si="30"/>
        <v>0</v>
      </c>
    </row>
    <row r="82" spans="1:43" ht="20.25" customHeight="1" x14ac:dyDescent="0.25">
      <c r="A82" s="1252">
        <v>46</v>
      </c>
      <c r="B82" s="1253" t="s">
        <v>4703</v>
      </c>
      <c r="C82" s="756"/>
      <c r="D82" s="757"/>
      <c r="E82" s="730"/>
      <c r="F82" s="731"/>
      <c r="G82" s="731"/>
      <c r="H82" s="732"/>
      <c r="I82" s="733" t="str">
        <f t="shared" si="23"/>
        <v xml:space="preserve"> </v>
      </c>
      <c r="J82" s="734" t="str">
        <f t="shared" si="24"/>
        <v>,</v>
      </c>
      <c r="K82" s="735">
        <f t="shared" ca="1" si="25"/>
        <v>0</v>
      </c>
      <c r="L82" s="736" t="str">
        <f t="shared" si="26"/>
        <v>000100</v>
      </c>
      <c r="M82" s="766">
        <f t="shared" ca="1" si="32"/>
        <v>0</v>
      </c>
      <c r="AD82" s="1244">
        <f>A82</f>
        <v>46</v>
      </c>
      <c r="AE82" s="1245" t="str">
        <f>B82</f>
        <v>OPEN/MALE 13/U 4 X 50M
FREESTYLE RELAY</v>
      </c>
      <c r="AF82" s="749"/>
      <c r="AG82" s="750"/>
      <c r="AH82" s="740">
        <f t="shared" si="27"/>
        <v>0</v>
      </c>
      <c r="AI82" s="740">
        <f t="shared" si="28"/>
        <v>0</v>
      </c>
      <c r="AJ82" s="740">
        <f t="shared" si="29"/>
        <v>0</v>
      </c>
      <c r="AK82" s="740"/>
      <c r="AL82" s="740"/>
      <c r="AM82" s="740"/>
      <c r="AN82" s="740"/>
      <c r="AO82" s="740"/>
      <c r="AQ82">
        <f t="shared" ca="1" si="30"/>
        <v>0</v>
      </c>
    </row>
    <row r="83" spans="1:43" ht="20.25" customHeight="1" x14ac:dyDescent="0.25">
      <c r="A83" s="1252"/>
      <c r="B83" s="1253"/>
      <c r="C83" s="758"/>
      <c r="D83" s="759"/>
      <c r="E83" s="730"/>
      <c r="F83" s="731"/>
      <c r="G83" s="731"/>
      <c r="H83" s="732"/>
      <c r="I83" s="733" t="str">
        <f t="shared" si="23"/>
        <v xml:space="preserve"> </v>
      </c>
      <c r="J83" s="734" t="str">
        <f t="shared" si="24"/>
        <v>,</v>
      </c>
      <c r="K83" s="735">
        <f t="shared" ca="1" si="25"/>
        <v>0</v>
      </c>
      <c r="L83" s="736" t="str">
        <f t="shared" si="26"/>
        <v>000100</v>
      </c>
      <c r="M83" s="766">
        <f t="shared" ca="1" si="32"/>
        <v>0</v>
      </c>
      <c r="AD83" s="1244"/>
      <c r="AE83" s="1245"/>
      <c r="AF83" s="753"/>
      <c r="AG83" s="754"/>
      <c r="AH83" s="740">
        <f t="shared" si="27"/>
        <v>0</v>
      </c>
      <c r="AI83" s="740">
        <f t="shared" si="28"/>
        <v>0</v>
      </c>
      <c r="AJ83" s="740">
        <f t="shared" si="29"/>
        <v>0</v>
      </c>
      <c r="AK83" s="740"/>
      <c r="AL83" s="740"/>
      <c r="AM83" s="740"/>
      <c r="AN83" s="740"/>
      <c r="AO83" s="740"/>
      <c r="AQ83">
        <f t="shared" ca="1" si="30"/>
        <v>0</v>
      </c>
    </row>
    <row r="84" spans="1:43" ht="20.25" customHeight="1" x14ac:dyDescent="0.25">
      <c r="A84" s="1252"/>
      <c r="B84" s="1253"/>
      <c r="C84" s="758"/>
      <c r="D84" s="759"/>
      <c r="E84" s="730"/>
      <c r="F84" s="731"/>
      <c r="G84" s="731"/>
      <c r="H84" s="732"/>
      <c r="I84" s="733" t="str">
        <f t="shared" si="23"/>
        <v xml:space="preserve"> </v>
      </c>
      <c r="J84" s="734" t="str">
        <f t="shared" si="24"/>
        <v>,</v>
      </c>
      <c r="K84" s="735">
        <f t="shared" ca="1" si="25"/>
        <v>0</v>
      </c>
      <c r="L84" s="736" t="str">
        <f t="shared" si="26"/>
        <v>000100</v>
      </c>
      <c r="M84" s="766">
        <f t="shared" ca="1" si="32"/>
        <v>0</v>
      </c>
      <c r="AD84" s="1244"/>
      <c r="AE84" s="1245"/>
      <c r="AF84" s="753"/>
      <c r="AG84" s="754"/>
      <c r="AH84" s="740">
        <f t="shared" si="27"/>
        <v>0</v>
      </c>
      <c r="AI84" s="740">
        <f t="shared" si="28"/>
        <v>0</v>
      </c>
      <c r="AJ84" s="740">
        <f t="shared" si="29"/>
        <v>0</v>
      </c>
      <c r="AK84" s="740"/>
      <c r="AL84" s="740"/>
      <c r="AM84" s="740"/>
      <c r="AN84" s="740"/>
      <c r="AO84" s="740"/>
      <c r="AQ84">
        <f t="shared" ca="1" si="30"/>
        <v>0</v>
      </c>
    </row>
    <row r="85" spans="1:43" ht="20.25" customHeight="1" x14ac:dyDescent="0.25">
      <c r="A85" s="1252"/>
      <c r="B85" s="1253"/>
      <c r="C85" s="758"/>
      <c r="D85" s="759"/>
      <c r="E85" s="730"/>
      <c r="F85" s="731"/>
      <c r="G85" s="731"/>
      <c r="H85" s="732"/>
      <c r="I85" s="733" t="str">
        <f t="shared" si="23"/>
        <v xml:space="preserve"> </v>
      </c>
      <c r="J85" s="734" t="str">
        <f t="shared" si="24"/>
        <v>,</v>
      </c>
      <c r="K85" s="735">
        <f t="shared" ca="1" si="25"/>
        <v>0</v>
      </c>
      <c r="L85" s="736" t="str">
        <f t="shared" si="26"/>
        <v>000100</v>
      </c>
      <c r="M85" s="766">
        <f t="shared" ca="1" si="32"/>
        <v>0</v>
      </c>
      <c r="AD85" s="1244"/>
      <c r="AE85" s="1245"/>
      <c r="AF85" s="753"/>
      <c r="AG85" s="754"/>
      <c r="AH85" s="740">
        <f t="shared" si="27"/>
        <v>0</v>
      </c>
      <c r="AI85" s="740">
        <f t="shared" si="28"/>
        <v>0</v>
      </c>
      <c r="AJ85" s="740">
        <f t="shared" si="29"/>
        <v>0</v>
      </c>
      <c r="AK85" s="740"/>
      <c r="AL85" s="740"/>
      <c r="AM85" s="740"/>
      <c r="AN85" s="740"/>
      <c r="AO85" s="740"/>
      <c r="AQ85">
        <f t="shared" ca="1" si="30"/>
        <v>0</v>
      </c>
    </row>
    <row r="86" spans="1:43" ht="20.25" customHeight="1" x14ac:dyDescent="0.25">
      <c r="A86" s="1248">
        <v>47</v>
      </c>
      <c r="B86" s="1249" t="s">
        <v>4704</v>
      </c>
      <c r="C86" s="761"/>
      <c r="D86" s="762"/>
      <c r="E86" s="730"/>
      <c r="F86" s="731"/>
      <c r="G86" s="731"/>
      <c r="H86" s="732"/>
      <c r="I86" s="733" t="str">
        <f t="shared" si="23"/>
        <v xml:space="preserve"> </v>
      </c>
      <c r="J86" s="734" t="str">
        <f t="shared" si="24"/>
        <v>,</v>
      </c>
      <c r="K86" s="735">
        <f t="shared" ca="1" si="25"/>
        <v>0</v>
      </c>
      <c r="L86" s="736" t="str">
        <f t="shared" si="26"/>
        <v>000100</v>
      </c>
      <c r="M86" s="766">
        <f t="shared" ref="M86:M93" ca="1" si="33">IF(K86=0,0,IF(K86&lt;9,"TOO YOUNG",IF(K86&lt;16,"OK","NOT ELIGIBLE")))</f>
        <v>0</v>
      </c>
      <c r="AD86" s="1244">
        <f>A86</f>
        <v>47</v>
      </c>
      <c r="AE86" s="1245" t="str">
        <f>B86</f>
        <v>FEMALE 15/U 4 X 50M
MEDLEY RELAY</v>
      </c>
      <c r="AF86" s="749"/>
      <c r="AG86" s="750"/>
      <c r="AH86" s="740">
        <f t="shared" si="27"/>
        <v>0</v>
      </c>
      <c r="AI86" s="740">
        <f t="shared" si="28"/>
        <v>0</v>
      </c>
      <c r="AJ86" s="740">
        <f t="shared" si="29"/>
        <v>0</v>
      </c>
      <c r="AK86" s="740"/>
      <c r="AL86" s="740"/>
      <c r="AM86" s="740"/>
      <c r="AN86" s="740"/>
      <c r="AO86" s="740"/>
      <c r="AQ86">
        <f t="shared" ca="1" si="30"/>
        <v>0</v>
      </c>
    </row>
    <row r="87" spans="1:43" ht="20.25" customHeight="1" x14ac:dyDescent="0.25">
      <c r="A87" s="1248"/>
      <c r="B87" s="1249"/>
      <c r="C87" s="763"/>
      <c r="D87" s="764"/>
      <c r="E87" s="730"/>
      <c r="F87" s="731"/>
      <c r="G87" s="731"/>
      <c r="H87" s="732"/>
      <c r="I87" s="733" t="str">
        <f t="shared" si="23"/>
        <v xml:space="preserve"> </v>
      </c>
      <c r="J87" s="734" t="str">
        <f t="shared" si="24"/>
        <v>,</v>
      </c>
      <c r="K87" s="735">
        <f t="shared" ca="1" si="25"/>
        <v>0</v>
      </c>
      <c r="L87" s="736" t="str">
        <f t="shared" si="26"/>
        <v>000100</v>
      </c>
      <c r="M87" s="766">
        <f t="shared" ca="1" si="33"/>
        <v>0</v>
      </c>
      <c r="AD87" s="1244"/>
      <c r="AE87" s="1245"/>
      <c r="AF87" s="753"/>
      <c r="AG87" s="754"/>
      <c r="AH87" s="740">
        <f t="shared" si="27"/>
        <v>0</v>
      </c>
      <c r="AI87" s="740">
        <f t="shared" si="28"/>
        <v>0</v>
      </c>
      <c r="AJ87" s="740">
        <f t="shared" si="29"/>
        <v>0</v>
      </c>
      <c r="AK87" s="740"/>
      <c r="AL87" s="740"/>
      <c r="AM87" s="740"/>
      <c r="AN87" s="740"/>
      <c r="AO87" s="740"/>
      <c r="AQ87">
        <f t="shared" ca="1" si="30"/>
        <v>0</v>
      </c>
    </row>
    <row r="88" spans="1:43" ht="20.25" customHeight="1" x14ac:dyDescent="0.25">
      <c r="A88" s="1248"/>
      <c r="B88" s="1249"/>
      <c r="C88" s="763"/>
      <c r="D88" s="764"/>
      <c r="E88" s="730"/>
      <c r="F88" s="731"/>
      <c r="G88" s="731"/>
      <c r="H88" s="732"/>
      <c r="I88" s="733" t="str">
        <f t="shared" si="23"/>
        <v xml:space="preserve"> </v>
      </c>
      <c r="J88" s="734" t="str">
        <f t="shared" si="24"/>
        <v>,</v>
      </c>
      <c r="K88" s="735">
        <f t="shared" ca="1" si="25"/>
        <v>0</v>
      </c>
      <c r="L88" s="736" t="str">
        <f t="shared" si="26"/>
        <v>000100</v>
      </c>
      <c r="M88" s="766">
        <f t="shared" ca="1" si="33"/>
        <v>0</v>
      </c>
      <c r="AD88" s="1244"/>
      <c r="AE88" s="1245"/>
      <c r="AF88" s="753"/>
      <c r="AG88" s="754"/>
      <c r="AH88" s="740">
        <f t="shared" si="27"/>
        <v>0</v>
      </c>
      <c r="AI88" s="740">
        <f t="shared" si="28"/>
        <v>0</v>
      </c>
      <c r="AJ88" s="740">
        <f t="shared" si="29"/>
        <v>0</v>
      </c>
      <c r="AK88" s="740"/>
      <c r="AL88" s="740"/>
      <c r="AM88" s="740"/>
      <c r="AN88" s="740"/>
      <c r="AO88" s="740"/>
      <c r="AQ88">
        <f t="shared" ca="1" si="30"/>
        <v>0</v>
      </c>
    </row>
    <row r="89" spans="1:43" ht="20.25" customHeight="1" x14ac:dyDescent="0.25">
      <c r="A89" s="1248"/>
      <c r="B89" s="1249"/>
      <c r="C89" s="763"/>
      <c r="D89" s="764"/>
      <c r="E89" s="730"/>
      <c r="F89" s="731"/>
      <c r="G89" s="731"/>
      <c r="H89" s="732"/>
      <c r="I89" s="733" t="str">
        <f t="shared" si="23"/>
        <v xml:space="preserve"> </v>
      </c>
      <c r="J89" s="734" t="str">
        <f t="shared" si="24"/>
        <v>,</v>
      </c>
      <c r="K89" s="735">
        <f t="shared" ca="1" si="25"/>
        <v>0</v>
      </c>
      <c r="L89" s="736" t="str">
        <f t="shared" si="26"/>
        <v>000100</v>
      </c>
      <c r="M89" s="766">
        <f t="shared" ca="1" si="33"/>
        <v>0</v>
      </c>
      <c r="AD89" s="1244"/>
      <c r="AE89" s="1245"/>
      <c r="AF89" s="753"/>
      <c r="AG89" s="754"/>
      <c r="AH89" s="740">
        <f t="shared" si="27"/>
        <v>0</v>
      </c>
      <c r="AI89" s="740">
        <f t="shared" si="28"/>
        <v>0</v>
      </c>
      <c r="AJ89" s="740">
        <f t="shared" si="29"/>
        <v>0</v>
      </c>
      <c r="AK89" s="740"/>
      <c r="AL89" s="740"/>
      <c r="AM89" s="740"/>
      <c r="AN89" s="740"/>
      <c r="AO89" s="740"/>
      <c r="AQ89">
        <f t="shared" ca="1" si="30"/>
        <v>0</v>
      </c>
    </row>
    <row r="90" spans="1:43" ht="20.25" customHeight="1" x14ac:dyDescent="0.25">
      <c r="A90" s="1248">
        <v>48</v>
      </c>
      <c r="B90" s="1249" t="s">
        <v>4705</v>
      </c>
      <c r="C90" s="761"/>
      <c r="D90" s="762"/>
      <c r="E90" s="730"/>
      <c r="F90" s="731"/>
      <c r="G90" s="731"/>
      <c r="H90" s="732"/>
      <c r="I90" s="733" t="str">
        <f t="shared" si="23"/>
        <v xml:space="preserve"> </v>
      </c>
      <c r="J90" s="734" t="str">
        <f t="shared" si="24"/>
        <v>,</v>
      </c>
      <c r="K90" s="735">
        <f t="shared" ca="1" si="25"/>
        <v>0</v>
      </c>
      <c r="L90" s="736" t="str">
        <f t="shared" si="26"/>
        <v>000100</v>
      </c>
      <c r="M90" s="766">
        <f t="shared" ca="1" si="33"/>
        <v>0</v>
      </c>
      <c r="AD90" s="1244">
        <f>A90</f>
        <v>48</v>
      </c>
      <c r="AE90" s="1245" t="str">
        <f>B90</f>
        <v>OPEN/MALE 15/U 4 X 50M
MEDLEY RELAY</v>
      </c>
      <c r="AF90" s="749"/>
      <c r="AG90" s="750"/>
      <c r="AH90" s="740">
        <f t="shared" si="27"/>
        <v>0</v>
      </c>
      <c r="AI90" s="740">
        <f t="shared" si="28"/>
        <v>0</v>
      </c>
      <c r="AJ90" s="740">
        <f t="shared" si="29"/>
        <v>0</v>
      </c>
      <c r="AK90" s="740"/>
      <c r="AL90" s="740"/>
      <c r="AM90" s="740"/>
      <c r="AN90" s="740"/>
      <c r="AO90" s="740"/>
      <c r="AQ90">
        <f t="shared" ca="1" si="30"/>
        <v>0</v>
      </c>
    </row>
    <row r="91" spans="1:43" ht="20.25" customHeight="1" x14ac:dyDescent="0.25">
      <c r="A91" s="1248"/>
      <c r="B91" s="1249"/>
      <c r="C91" s="763"/>
      <c r="D91" s="764"/>
      <c r="E91" s="730"/>
      <c r="F91" s="731"/>
      <c r="G91" s="731"/>
      <c r="H91" s="732"/>
      <c r="I91" s="733" t="str">
        <f t="shared" si="23"/>
        <v xml:space="preserve"> </v>
      </c>
      <c r="J91" s="734" t="str">
        <f t="shared" si="24"/>
        <v>,</v>
      </c>
      <c r="K91" s="735">
        <f t="shared" ca="1" si="25"/>
        <v>0</v>
      </c>
      <c r="L91" s="736" t="str">
        <f t="shared" si="26"/>
        <v>000100</v>
      </c>
      <c r="M91" s="766">
        <f t="shared" ca="1" si="33"/>
        <v>0</v>
      </c>
      <c r="AD91" s="1244"/>
      <c r="AE91" s="1245"/>
      <c r="AF91" s="753"/>
      <c r="AG91" s="754"/>
      <c r="AH91" s="740">
        <f t="shared" si="27"/>
        <v>0</v>
      </c>
      <c r="AI91" s="740">
        <f t="shared" si="28"/>
        <v>0</v>
      </c>
      <c r="AJ91" s="740">
        <f t="shared" si="29"/>
        <v>0</v>
      </c>
      <c r="AK91" s="740"/>
      <c r="AL91" s="740"/>
      <c r="AM91" s="740"/>
      <c r="AN91" s="740"/>
      <c r="AO91" s="740"/>
      <c r="AQ91">
        <f t="shared" ca="1" si="30"/>
        <v>0</v>
      </c>
    </row>
    <row r="92" spans="1:43" ht="20.25" customHeight="1" x14ac:dyDescent="0.25">
      <c r="A92" s="1248"/>
      <c r="B92" s="1249"/>
      <c r="C92" s="763"/>
      <c r="D92" s="764"/>
      <c r="E92" s="730"/>
      <c r="F92" s="731"/>
      <c r="G92" s="731"/>
      <c r="H92" s="732"/>
      <c r="I92" s="733" t="str">
        <f t="shared" si="23"/>
        <v xml:space="preserve"> </v>
      </c>
      <c r="J92" s="734" t="str">
        <f t="shared" si="24"/>
        <v>,</v>
      </c>
      <c r="K92" s="735">
        <f t="shared" ca="1" si="25"/>
        <v>0</v>
      </c>
      <c r="L92" s="736" t="str">
        <f t="shared" si="26"/>
        <v>000100</v>
      </c>
      <c r="M92" s="766">
        <f t="shared" ca="1" si="33"/>
        <v>0</v>
      </c>
      <c r="AD92" s="1244"/>
      <c r="AE92" s="1245"/>
      <c r="AF92" s="753"/>
      <c r="AG92" s="754"/>
      <c r="AH92" s="740">
        <f t="shared" si="27"/>
        <v>0</v>
      </c>
      <c r="AI92" s="740">
        <f t="shared" si="28"/>
        <v>0</v>
      </c>
      <c r="AJ92" s="740">
        <f t="shared" si="29"/>
        <v>0</v>
      </c>
      <c r="AK92" s="740"/>
      <c r="AL92" s="740"/>
      <c r="AM92" s="740"/>
      <c r="AN92" s="740"/>
      <c r="AO92" s="740"/>
      <c r="AQ92">
        <f t="shared" ca="1" si="30"/>
        <v>0</v>
      </c>
    </row>
    <row r="93" spans="1:43" ht="20.25" customHeight="1" x14ac:dyDescent="0.25">
      <c r="A93" s="1248"/>
      <c r="B93" s="1249"/>
      <c r="C93" s="763"/>
      <c r="D93" s="764"/>
      <c r="E93" s="730"/>
      <c r="F93" s="731"/>
      <c r="G93" s="731"/>
      <c r="H93" s="732"/>
      <c r="I93" s="733" t="str">
        <f t="shared" si="23"/>
        <v xml:space="preserve"> </v>
      </c>
      <c r="J93" s="734" t="str">
        <f t="shared" si="24"/>
        <v>,</v>
      </c>
      <c r="K93" s="735">
        <f t="shared" ca="1" si="25"/>
        <v>0</v>
      </c>
      <c r="L93" s="736" t="str">
        <f t="shared" si="26"/>
        <v>000100</v>
      </c>
      <c r="M93" s="766">
        <f t="shared" ca="1" si="33"/>
        <v>0</v>
      </c>
      <c r="AD93" s="1244"/>
      <c r="AE93" s="1245"/>
      <c r="AF93" s="753"/>
      <c r="AG93" s="754"/>
      <c r="AH93" s="740">
        <f t="shared" si="27"/>
        <v>0</v>
      </c>
      <c r="AI93" s="740">
        <f t="shared" si="28"/>
        <v>0</v>
      </c>
      <c r="AJ93" s="740">
        <f t="shared" si="29"/>
        <v>0</v>
      </c>
      <c r="AK93" s="740"/>
      <c r="AL93" s="740"/>
      <c r="AM93" s="740"/>
      <c r="AN93" s="740"/>
      <c r="AO93" s="740"/>
      <c r="AQ93">
        <f t="shared" ca="1" si="30"/>
        <v>0</v>
      </c>
    </row>
    <row r="94" spans="1:43" ht="20.25" customHeight="1" x14ac:dyDescent="0.25">
      <c r="A94" s="1250">
        <v>49</v>
      </c>
      <c r="B94" s="1251" t="s">
        <v>4706</v>
      </c>
      <c r="C94" s="768"/>
      <c r="D94" s="769"/>
      <c r="E94" s="731"/>
      <c r="F94" s="731"/>
      <c r="G94" s="731"/>
      <c r="H94" s="732"/>
      <c r="I94" s="733" t="str">
        <f t="shared" si="23"/>
        <v xml:space="preserve"> </v>
      </c>
      <c r="J94" s="734" t="str">
        <f t="shared" si="24"/>
        <v>,</v>
      </c>
      <c r="K94" s="735">
        <f t="shared" ca="1" si="25"/>
        <v>0</v>
      </c>
      <c r="L94" s="736" t="str">
        <f t="shared" si="26"/>
        <v>000100</v>
      </c>
      <c r="M94" s="770">
        <f t="shared" ref="M94:M109" ca="1" si="34">IF(K94=0,0,IF(K94&lt;9,"TOO YOUNG",IF(K94&lt;60,"OK","BIT OLD MAYBE")))</f>
        <v>0</v>
      </c>
      <c r="AD94" s="1244">
        <f>A94</f>
        <v>49</v>
      </c>
      <c r="AE94" s="1245" t="str">
        <f>B94</f>
        <v>FEMALE 16+4 X 50M
FREESTYLE RELAY</v>
      </c>
      <c r="AF94" s="749"/>
      <c r="AG94" s="750"/>
      <c r="AH94" s="740">
        <f t="shared" si="27"/>
        <v>0</v>
      </c>
      <c r="AI94" s="740">
        <f t="shared" si="28"/>
        <v>0</v>
      </c>
      <c r="AJ94" s="740">
        <f t="shared" si="29"/>
        <v>0</v>
      </c>
      <c r="AK94" s="740"/>
      <c r="AL94" s="740"/>
      <c r="AM94" s="740"/>
      <c r="AN94" s="740"/>
      <c r="AO94" s="740"/>
      <c r="AQ94">
        <f t="shared" ca="1" si="30"/>
        <v>0</v>
      </c>
    </row>
    <row r="95" spans="1:43" ht="20.25" customHeight="1" x14ac:dyDescent="0.25">
      <c r="A95" s="1250"/>
      <c r="B95" s="1251"/>
      <c r="C95" s="771"/>
      <c r="D95" s="772"/>
      <c r="E95" s="730"/>
      <c r="F95" s="731"/>
      <c r="G95" s="731"/>
      <c r="H95" s="732"/>
      <c r="I95" s="733" t="str">
        <f t="shared" si="23"/>
        <v xml:space="preserve"> </v>
      </c>
      <c r="J95" s="734" t="str">
        <f t="shared" si="24"/>
        <v>,</v>
      </c>
      <c r="K95" s="735">
        <f t="shared" ca="1" si="25"/>
        <v>0</v>
      </c>
      <c r="L95" s="736" t="str">
        <f t="shared" si="26"/>
        <v>000100</v>
      </c>
      <c r="M95" s="770">
        <f t="shared" ca="1" si="34"/>
        <v>0</v>
      </c>
      <c r="AD95" s="1244"/>
      <c r="AE95" s="1245"/>
      <c r="AF95" s="753"/>
      <c r="AG95" s="754"/>
      <c r="AH95" s="740">
        <f t="shared" si="27"/>
        <v>0</v>
      </c>
      <c r="AI95" s="740">
        <f t="shared" si="28"/>
        <v>0</v>
      </c>
      <c r="AJ95" s="740">
        <f t="shared" si="29"/>
        <v>0</v>
      </c>
      <c r="AK95" s="740"/>
      <c r="AL95" s="740"/>
      <c r="AM95" s="740"/>
      <c r="AN95" s="740"/>
      <c r="AO95" s="740"/>
      <c r="AQ95">
        <f t="shared" ca="1" si="30"/>
        <v>0</v>
      </c>
    </row>
    <row r="96" spans="1:43" ht="20.25" customHeight="1" x14ac:dyDescent="0.25">
      <c r="A96" s="1250"/>
      <c r="B96" s="1251"/>
      <c r="C96" s="771"/>
      <c r="D96" s="772"/>
      <c r="E96" s="730"/>
      <c r="F96" s="731"/>
      <c r="G96" s="731"/>
      <c r="H96" s="732"/>
      <c r="I96" s="733" t="str">
        <f t="shared" si="23"/>
        <v xml:space="preserve"> </v>
      </c>
      <c r="J96" s="734" t="str">
        <f t="shared" si="24"/>
        <v>,</v>
      </c>
      <c r="K96" s="735">
        <f t="shared" ca="1" si="25"/>
        <v>0</v>
      </c>
      <c r="L96" s="736" t="str">
        <f t="shared" si="26"/>
        <v>000100</v>
      </c>
      <c r="M96" s="770">
        <f t="shared" ca="1" si="34"/>
        <v>0</v>
      </c>
      <c r="AD96" s="1244"/>
      <c r="AE96" s="1245"/>
      <c r="AF96" s="753"/>
      <c r="AG96" s="754"/>
      <c r="AH96" s="740">
        <f t="shared" si="27"/>
        <v>0</v>
      </c>
      <c r="AI96" s="740">
        <f t="shared" si="28"/>
        <v>0</v>
      </c>
      <c r="AJ96" s="740">
        <f t="shared" si="29"/>
        <v>0</v>
      </c>
      <c r="AK96" s="740"/>
      <c r="AL96" s="740"/>
      <c r="AM96" s="740"/>
      <c r="AN96" s="740"/>
      <c r="AO96" s="740"/>
      <c r="AQ96">
        <f t="shared" ca="1" si="30"/>
        <v>0</v>
      </c>
    </row>
    <row r="97" spans="1:43" ht="20.25" customHeight="1" x14ac:dyDescent="0.25">
      <c r="A97" s="1250"/>
      <c r="B97" s="1251"/>
      <c r="C97" s="771"/>
      <c r="D97" s="772"/>
      <c r="E97" s="730"/>
      <c r="F97" s="731"/>
      <c r="G97" s="731"/>
      <c r="H97" s="732"/>
      <c r="I97" s="733" t="str">
        <f t="shared" si="23"/>
        <v xml:space="preserve"> </v>
      </c>
      <c r="J97" s="734" t="str">
        <f t="shared" si="24"/>
        <v>,</v>
      </c>
      <c r="K97" s="735">
        <f t="shared" ca="1" si="25"/>
        <v>0</v>
      </c>
      <c r="L97" s="736" t="str">
        <f t="shared" si="26"/>
        <v>000100</v>
      </c>
      <c r="M97" s="770">
        <f t="shared" ca="1" si="34"/>
        <v>0</v>
      </c>
      <c r="AD97" s="1244"/>
      <c r="AE97" s="1245"/>
      <c r="AF97" s="753"/>
      <c r="AG97" s="754"/>
      <c r="AH97" s="740">
        <f t="shared" si="27"/>
        <v>0</v>
      </c>
      <c r="AI97" s="740">
        <f t="shared" si="28"/>
        <v>0</v>
      </c>
      <c r="AJ97" s="740">
        <f t="shared" si="29"/>
        <v>0</v>
      </c>
      <c r="AK97" s="740"/>
      <c r="AL97" s="740"/>
      <c r="AM97" s="740"/>
      <c r="AN97" s="740"/>
      <c r="AO97" s="740"/>
      <c r="AQ97">
        <f t="shared" ca="1" si="30"/>
        <v>0</v>
      </c>
    </row>
    <row r="98" spans="1:43" ht="20.25" customHeight="1" x14ac:dyDescent="0.25">
      <c r="A98" s="1242">
        <v>50</v>
      </c>
      <c r="B98" s="1243" t="s">
        <v>4707</v>
      </c>
      <c r="C98" s="768"/>
      <c r="D98" s="769"/>
      <c r="E98" s="730"/>
      <c r="F98" s="731"/>
      <c r="G98" s="731"/>
      <c r="H98" s="732"/>
      <c r="I98" s="733" t="str">
        <f t="shared" si="23"/>
        <v xml:space="preserve"> </v>
      </c>
      <c r="J98" s="734" t="str">
        <f t="shared" si="24"/>
        <v>,</v>
      </c>
      <c r="K98" s="735">
        <f t="shared" ca="1" si="25"/>
        <v>0</v>
      </c>
      <c r="L98" s="736" t="str">
        <f t="shared" si="26"/>
        <v>000100</v>
      </c>
      <c r="M98" s="770">
        <f t="shared" ca="1" si="34"/>
        <v>0</v>
      </c>
      <c r="AD98" s="1244">
        <f>A98</f>
        <v>50</v>
      </c>
      <c r="AE98" s="1245" t="str">
        <f>B98</f>
        <v>OPEN/MALE 16+4 X 50M
FREESTYLE RELAY</v>
      </c>
      <c r="AF98" s="749"/>
      <c r="AG98" s="750"/>
      <c r="AH98" s="740">
        <f t="shared" si="27"/>
        <v>0</v>
      </c>
      <c r="AI98" s="740">
        <f t="shared" si="28"/>
        <v>0</v>
      </c>
      <c r="AJ98" s="740">
        <f t="shared" si="29"/>
        <v>0</v>
      </c>
      <c r="AK98" s="740"/>
      <c r="AL98" s="740"/>
      <c r="AM98" s="740"/>
      <c r="AN98" s="740"/>
      <c r="AO98" s="740"/>
      <c r="AQ98">
        <f t="shared" ca="1" si="30"/>
        <v>0</v>
      </c>
    </row>
    <row r="99" spans="1:43" ht="20.25" customHeight="1" x14ac:dyDescent="0.25">
      <c r="A99" s="1242"/>
      <c r="B99" s="1243"/>
      <c r="C99" s="771"/>
      <c r="D99" s="772"/>
      <c r="E99" s="730"/>
      <c r="F99" s="731"/>
      <c r="G99" s="731"/>
      <c r="H99" s="732"/>
      <c r="I99" s="733" t="str">
        <f t="shared" si="23"/>
        <v xml:space="preserve"> </v>
      </c>
      <c r="J99" s="734" t="str">
        <f t="shared" si="24"/>
        <v>,</v>
      </c>
      <c r="K99" s="735">
        <f t="shared" ca="1" si="25"/>
        <v>0</v>
      </c>
      <c r="L99" s="736" t="str">
        <f t="shared" si="26"/>
        <v>000100</v>
      </c>
      <c r="M99" s="770">
        <f t="shared" ca="1" si="34"/>
        <v>0</v>
      </c>
      <c r="AD99" s="1244"/>
      <c r="AE99" s="1245"/>
      <c r="AF99" s="753"/>
      <c r="AG99" s="754"/>
      <c r="AH99" s="740">
        <f t="shared" si="27"/>
        <v>0</v>
      </c>
      <c r="AI99" s="740">
        <f t="shared" si="28"/>
        <v>0</v>
      </c>
      <c r="AJ99" s="740">
        <f t="shared" si="29"/>
        <v>0</v>
      </c>
      <c r="AK99" s="740"/>
      <c r="AL99" s="740"/>
      <c r="AM99" s="740"/>
      <c r="AN99" s="740"/>
      <c r="AO99" s="740"/>
      <c r="AQ99">
        <f t="shared" ca="1" si="30"/>
        <v>0</v>
      </c>
    </row>
    <row r="100" spans="1:43" ht="20.25" customHeight="1" x14ac:dyDescent="0.25">
      <c r="A100" s="1242"/>
      <c r="B100" s="1243"/>
      <c r="C100" s="771"/>
      <c r="D100" s="772"/>
      <c r="E100" s="730"/>
      <c r="F100" s="731"/>
      <c r="G100" s="731"/>
      <c r="H100" s="732"/>
      <c r="I100" s="733" t="str">
        <f t="shared" si="23"/>
        <v xml:space="preserve"> </v>
      </c>
      <c r="J100" s="734" t="str">
        <f t="shared" si="24"/>
        <v>,</v>
      </c>
      <c r="K100" s="735">
        <f t="shared" ref="K100:K109" ca="1" si="35">IF(K$2=0,0,IF(AQ100=0,0,IF(COUNTBLANK(AQ100)=1,"",YEAR(K$2)-YEAR(AQ100)-IF(DATE(YEAR(K$2),MONTH(AQ100),DAY(4638))&gt;K$2,1,0))))</f>
        <v>0</v>
      </c>
      <c r="L100" s="736" t="str">
        <f t="shared" ref="L100:L109" si="36">(TEXT(H100,"DDMMYY"))</f>
        <v>000100</v>
      </c>
      <c r="M100" s="770">
        <f t="shared" ca="1" si="34"/>
        <v>0</v>
      </c>
      <c r="AD100" s="1244"/>
      <c r="AE100" s="1245"/>
      <c r="AF100" s="753"/>
      <c r="AG100" s="754"/>
      <c r="AH100" s="740">
        <f t="shared" ref="AH100:AH105" si="37">E100</f>
        <v>0</v>
      </c>
      <c r="AI100" s="740">
        <f t="shared" ref="AI100:AI105" si="38">F100</f>
        <v>0</v>
      </c>
      <c r="AJ100" s="740">
        <f t="shared" ref="AJ100:AJ105" si="39">G100</f>
        <v>0</v>
      </c>
      <c r="AK100" s="740"/>
      <c r="AL100" s="740"/>
      <c r="AM100" s="740"/>
      <c r="AN100" s="740"/>
      <c r="AO100" s="740"/>
      <c r="AQ100">
        <f t="shared" ref="AQ100:AQ109" ca="1" si="40">INDIRECT(ADDRESS(ROW(),AQ$3))</f>
        <v>0</v>
      </c>
    </row>
    <row r="101" spans="1:43" ht="20.25" customHeight="1" x14ac:dyDescent="0.25">
      <c r="A101" s="1242"/>
      <c r="B101" s="1243"/>
      <c r="C101" s="771"/>
      <c r="D101" s="772"/>
      <c r="E101" s="730"/>
      <c r="F101" s="731"/>
      <c r="G101" s="731"/>
      <c r="H101" s="732"/>
      <c r="I101" s="733" t="str">
        <f t="shared" si="23"/>
        <v xml:space="preserve"> </v>
      </c>
      <c r="J101" s="734" t="str">
        <f t="shared" si="24"/>
        <v>,</v>
      </c>
      <c r="K101" s="735">
        <f t="shared" ca="1" si="35"/>
        <v>0</v>
      </c>
      <c r="L101" s="736" t="str">
        <f t="shared" si="36"/>
        <v>000100</v>
      </c>
      <c r="M101" s="770">
        <f t="shared" ca="1" si="34"/>
        <v>0</v>
      </c>
      <c r="AD101" s="1244"/>
      <c r="AE101" s="1245"/>
      <c r="AF101" s="753"/>
      <c r="AG101" s="754"/>
      <c r="AH101" s="740">
        <f t="shared" si="37"/>
        <v>0</v>
      </c>
      <c r="AI101" s="740">
        <f t="shared" si="38"/>
        <v>0</v>
      </c>
      <c r="AJ101" s="740">
        <f t="shared" si="39"/>
        <v>0</v>
      </c>
      <c r="AK101" s="740"/>
      <c r="AL101" s="740"/>
      <c r="AM101" s="740"/>
      <c r="AN101" s="740"/>
      <c r="AO101" s="740"/>
      <c r="AQ101">
        <f t="shared" ca="1" si="40"/>
        <v>0</v>
      </c>
    </row>
    <row r="102" spans="1:43" ht="20.25" customHeight="1" x14ac:dyDescent="0.25">
      <c r="A102" s="1246">
        <v>51</v>
      </c>
      <c r="B102" s="1247" t="s">
        <v>4708</v>
      </c>
      <c r="C102" s="20"/>
      <c r="D102" s="784"/>
      <c r="E102" s="730"/>
      <c r="F102" s="731"/>
      <c r="G102" s="731"/>
      <c r="H102" s="732"/>
      <c r="I102" s="785"/>
      <c r="J102" s="785"/>
      <c r="K102" s="735">
        <f t="shared" ca="1" si="35"/>
        <v>0</v>
      </c>
      <c r="L102" s="736" t="str">
        <f t="shared" si="36"/>
        <v>000100</v>
      </c>
      <c r="M102" s="770">
        <f t="shared" ca="1" si="34"/>
        <v>0</v>
      </c>
      <c r="AD102" s="1244">
        <f>A102</f>
        <v>51</v>
      </c>
      <c r="AE102" s="1245" t="str">
        <f>B102</f>
        <v>SQUADRON RELAY 8 X 50M
1 MALE &amp; 1 FEMALE FROM EACH AGE GROUP
SWIM IN ANY ORDER</v>
      </c>
      <c r="AF102" s="786"/>
      <c r="AG102" s="787"/>
      <c r="AH102" s="740">
        <f t="shared" si="37"/>
        <v>0</v>
      </c>
      <c r="AI102" s="740">
        <f t="shared" si="38"/>
        <v>0</v>
      </c>
      <c r="AJ102" s="740">
        <f t="shared" si="39"/>
        <v>0</v>
      </c>
      <c r="AK102" s="740"/>
      <c r="AL102" s="740"/>
      <c r="AM102" s="740"/>
      <c r="AN102" s="740"/>
      <c r="AO102" s="740"/>
      <c r="AQ102">
        <f t="shared" ca="1" si="40"/>
        <v>0</v>
      </c>
    </row>
    <row r="103" spans="1:43" ht="20.25" customHeight="1" x14ac:dyDescent="0.25">
      <c r="A103" s="1246"/>
      <c r="B103" s="1247"/>
      <c r="C103" s="20"/>
      <c r="D103" s="784"/>
      <c r="E103" s="730"/>
      <c r="F103" s="731"/>
      <c r="G103" s="731"/>
      <c r="H103" s="732"/>
      <c r="I103" s="785"/>
      <c r="J103" s="785"/>
      <c r="K103" s="735">
        <f t="shared" ca="1" si="35"/>
        <v>0</v>
      </c>
      <c r="L103" s="736" t="str">
        <f t="shared" si="36"/>
        <v>000100</v>
      </c>
      <c r="M103" s="770">
        <f t="shared" ca="1" si="34"/>
        <v>0</v>
      </c>
      <c r="AD103" s="1244"/>
      <c r="AE103" s="1245"/>
      <c r="AF103" s="786"/>
      <c r="AG103" s="787"/>
      <c r="AH103" s="740">
        <f t="shared" si="37"/>
        <v>0</v>
      </c>
      <c r="AI103" s="740">
        <f t="shared" si="38"/>
        <v>0</v>
      </c>
      <c r="AJ103" s="740">
        <f t="shared" si="39"/>
        <v>0</v>
      </c>
      <c r="AK103" s="740"/>
      <c r="AL103" s="740"/>
      <c r="AM103" s="740"/>
      <c r="AN103" s="740"/>
      <c r="AO103" s="740"/>
      <c r="AQ103">
        <f t="shared" ca="1" si="40"/>
        <v>0</v>
      </c>
    </row>
    <row r="104" spans="1:43" ht="20.25" customHeight="1" x14ac:dyDescent="0.25">
      <c r="A104" s="1246"/>
      <c r="B104" s="1247"/>
      <c r="C104" s="20"/>
      <c r="D104" s="784"/>
      <c r="E104" s="730"/>
      <c r="F104" s="731"/>
      <c r="G104" s="731"/>
      <c r="H104" s="732"/>
      <c r="I104" s="785"/>
      <c r="J104" s="785"/>
      <c r="K104" s="735">
        <f t="shared" ca="1" si="35"/>
        <v>0</v>
      </c>
      <c r="L104" s="736" t="str">
        <f t="shared" si="36"/>
        <v>000100</v>
      </c>
      <c r="M104" s="770">
        <f t="shared" ca="1" si="34"/>
        <v>0</v>
      </c>
      <c r="AD104" s="1244"/>
      <c r="AE104" s="1245"/>
      <c r="AF104" s="786"/>
      <c r="AG104" s="787"/>
      <c r="AH104" s="740">
        <f t="shared" si="37"/>
        <v>0</v>
      </c>
      <c r="AI104" s="740">
        <f t="shared" si="38"/>
        <v>0</v>
      </c>
      <c r="AJ104" s="740">
        <f t="shared" si="39"/>
        <v>0</v>
      </c>
      <c r="AK104" s="740"/>
      <c r="AL104" s="740"/>
      <c r="AM104" s="740"/>
      <c r="AN104" s="740"/>
      <c r="AO104" s="740"/>
      <c r="AQ104">
        <f t="shared" ca="1" si="40"/>
        <v>0</v>
      </c>
    </row>
    <row r="105" spans="1:43" ht="20.25" customHeight="1" x14ac:dyDescent="0.25">
      <c r="A105" s="1246"/>
      <c r="B105" s="1247"/>
      <c r="C105" s="20"/>
      <c r="D105" s="784"/>
      <c r="E105" s="730"/>
      <c r="F105" s="731"/>
      <c r="G105" s="731"/>
      <c r="H105" s="732"/>
      <c r="I105" s="785"/>
      <c r="J105" s="785"/>
      <c r="K105" s="735">
        <f t="shared" ca="1" si="35"/>
        <v>0</v>
      </c>
      <c r="L105" s="736" t="str">
        <f t="shared" si="36"/>
        <v>000100</v>
      </c>
      <c r="M105" s="770">
        <f t="shared" ca="1" si="34"/>
        <v>0</v>
      </c>
      <c r="AD105" s="1244"/>
      <c r="AE105" s="1245"/>
      <c r="AF105" s="786"/>
      <c r="AG105" s="787"/>
      <c r="AH105" s="740">
        <f t="shared" si="37"/>
        <v>0</v>
      </c>
      <c r="AI105" s="740">
        <f t="shared" si="38"/>
        <v>0</v>
      </c>
      <c r="AJ105" s="740">
        <f t="shared" si="39"/>
        <v>0</v>
      </c>
      <c r="AK105" s="740"/>
      <c r="AL105" s="740"/>
      <c r="AM105" s="740"/>
      <c r="AN105" s="740"/>
      <c r="AO105" s="740"/>
      <c r="AQ105">
        <f t="shared" ca="1" si="40"/>
        <v>0</v>
      </c>
    </row>
    <row r="106" spans="1:43" ht="20.25" customHeight="1" x14ac:dyDescent="0.25">
      <c r="A106" s="1246"/>
      <c r="B106" s="1247"/>
      <c r="E106" s="730"/>
      <c r="F106" s="731"/>
      <c r="G106" s="731"/>
      <c r="H106" s="732"/>
      <c r="I106" s="785"/>
      <c r="J106" s="785"/>
      <c r="K106" s="735">
        <f t="shared" ca="1" si="35"/>
        <v>0</v>
      </c>
      <c r="L106" s="736" t="str">
        <f t="shared" si="36"/>
        <v>000100</v>
      </c>
      <c r="M106" s="770">
        <f t="shared" ca="1" si="34"/>
        <v>0</v>
      </c>
      <c r="AD106" s="1244"/>
      <c r="AE106" s="1245"/>
      <c r="AH106" s="211"/>
      <c r="AI106" s="211"/>
      <c r="AJ106" s="211"/>
      <c r="AK106" s="211"/>
      <c r="AL106" s="211"/>
      <c r="AM106" s="211"/>
      <c r="AN106" s="211"/>
      <c r="AO106" s="211"/>
      <c r="AQ106">
        <f t="shared" ca="1" si="40"/>
        <v>0</v>
      </c>
    </row>
    <row r="107" spans="1:43" ht="20.25" customHeight="1" x14ac:dyDescent="0.25">
      <c r="A107" s="1246"/>
      <c r="B107" s="1247"/>
      <c r="E107" s="730"/>
      <c r="F107" s="731"/>
      <c r="G107" s="731"/>
      <c r="H107" s="732"/>
      <c r="I107" s="785"/>
      <c r="J107" s="785"/>
      <c r="K107" s="735">
        <f t="shared" ca="1" si="35"/>
        <v>0</v>
      </c>
      <c r="L107" s="736" t="str">
        <f t="shared" si="36"/>
        <v>000100</v>
      </c>
      <c r="M107" s="770">
        <f t="shared" ca="1" si="34"/>
        <v>0</v>
      </c>
      <c r="AD107" s="1244"/>
      <c r="AE107" s="1245"/>
      <c r="AH107" s="211"/>
      <c r="AI107" s="211"/>
      <c r="AJ107" s="211"/>
      <c r="AK107" s="211"/>
      <c r="AL107" s="211"/>
      <c r="AM107" s="211"/>
      <c r="AN107" s="211"/>
      <c r="AO107" s="211"/>
      <c r="AQ107">
        <f t="shared" ca="1" si="40"/>
        <v>0</v>
      </c>
    </row>
    <row r="108" spans="1:43" ht="20.25" customHeight="1" x14ac:dyDescent="0.25">
      <c r="A108" s="1246"/>
      <c r="B108" s="1247"/>
      <c r="E108" s="730"/>
      <c r="F108" s="731"/>
      <c r="G108" s="731"/>
      <c r="H108" s="732"/>
      <c r="I108" s="785"/>
      <c r="J108" s="785"/>
      <c r="K108" s="735">
        <f t="shared" ca="1" si="35"/>
        <v>0</v>
      </c>
      <c r="L108" s="736" t="str">
        <f t="shared" si="36"/>
        <v>000100</v>
      </c>
      <c r="M108" s="770">
        <f t="shared" ca="1" si="34"/>
        <v>0</v>
      </c>
      <c r="AD108" s="1244"/>
      <c r="AE108" s="1245"/>
      <c r="AH108" s="211"/>
      <c r="AI108" s="211"/>
      <c r="AJ108" s="211"/>
      <c r="AK108" s="211"/>
      <c r="AL108" s="211"/>
      <c r="AM108" s="211"/>
      <c r="AN108" s="211"/>
      <c r="AO108" s="211"/>
      <c r="AQ108">
        <f t="shared" ca="1" si="40"/>
        <v>0</v>
      </c>
    </row>
    <row r="109" spans="1:43" ht="20.25" customHeight="1" x14ac:dyDescent="0.25">
      <c r="A109" s="1246"/>
      <c r="B109" s="1247"/>
      <c r="E109" s="730"/>
      <c r="F109" s="731"/>
      <c r="G109" s="731"/>
      <c r="H109" s="732"/>
      <c r="I109" s="785"/>
      <c r="J109" s="785"/>
      <c r="K109" s="735">
        <f t="shared" ca="1" si="35"/>
        <v>0</v>
      </c>
      <c r="L109" s="736" t="str">
        <f t="shared" si="36"/>
        <v>000100</v>
      </c>
      <c r="M109" s="770">
        <f t="shared" ca="1" si="34"/>
        <v>0</v>
      </c>
      <c r="AD109" s="1244"/>
      <c r="AE109" s="1245"/>
      <c r="AH109" s="211"/>
      <c r="AI109" s="211"/>
      <c r="AJ109" s="211"/>
      <c r="AK109" s="211"/>
      <c r="AL109" s="211"/>
      <c r="AM109" s="211"/>
      <c r="AN109" s="211"/>
      <c r="AO109" s="211"/>
      <c r="AQ109">
        <f t="shared" ca="1" si="40"/>
        <v>0</v>
      </c>
    </row>
    <row r="110" spans="1:43" s="134" customFormat="1" ht="9" customHeight="1" x14ac:dyDescent="0.25">
      <c r="E110" s="788"/>
      <c r="F110" s="789"/>
      <c r="G110" s="789"/>
      <c r="H110" s="790"/>
      <c r="AD110" s="791"/>
      <c r="AE110" s="792"/>
    </row>
    <row r="111" spans="1:43" s="134" customFormat="1" ht="9" customHeight="1" x14ac:dyDescent="0.25">
      <c r="E111" s="788"/>
      <c r="F111" s="789"/>
      <c r="G111" s="789"/>
      <c r="H111" s="790"/>
      <c r="AD111" s="791"/>
      <c r="AE111" s="792"/>
    </row>
    <row r="112" spans="1:43" s="134" customFormat="1" ht="9" customHeight="1" x14ac:dyDescent="0.25">
      <c r="E112" s="788"/>
      <c r="F112" s="789"/>
      <c r="G112" s="789"/>
      <c r="H112" s="790"/>
      <c r="AD112" s="791"/>
      <c r="AE112" s="792"/>
    </row>
    <row r="113" spans="5:31" s="134" customFormat="1" ht="9" customHeight="1" x14ac:dyDescent="0.25">
      <c r="E113" s="788"/>
      <c r="F113" s="789"/>
      <c r="G113" s="789"/>
      <c r="H113" s="790"/>
      <c r="AD113" s="791"/>
      <c r="AE113" s="792"/>
    </row>
    <row r="114" spans="5:31" s="134" customFormat="1" ht="9" customHeight="1" x14ac:dyDescent="0.25">
      <c r="E114" s="788"/>
      <c r="F114" s="789"/>
      <c r="G114" s="789"/>
      <c r="H114" s="790"/>
      <c r="AD114" s="791"/>
      <c r="AE114" s="792"/>
    </row>
    <row r="115" spans="5:31" s="134" customFormat="1" ht="9" customHeight="1" x14ac:dyDescent="0.25">
      <c r="E115" s="788"/>
      <c r="F115" s="789"/>
      <c r="G115" s="789"/>
      <c r="H115" s="790"/>
      <c r="AD115" s="791"/>
      <c r="AE115" s="792"/>
    </row>
    <row r="116" spans="5:31" s="134" customFormat="1" ht="9" customHeight="1" x14ac:dyDescent="0.25">
      <c r="E116" s="788"/>
      <c r="F116" s="789"/>
      <c r="G116" s="789"/>
      <c r="H116" s="790"/>
      <c r="AD116" s="791"/>
      <c r="AE116" s="792"/>
    </row>
    <row r="117" spans="5:31" s="134" customFormat="1" ht="9" customHeight="1" x14ac:dyDescent="0.25">
      <c r="E117" s="788"/>
      <c r="F117" s="789"/>
      <c r="G117" s="789"/>
      <c r="H117" s="790"/>
      <c r="AD117" s="791"/>
      <c r="AE117" s="792"/>
    </row>
    <row r="118" spans="5:31" s="134" customFormat="1" ht="9" customHeight="1" x14ac:dyDescent="0.25">
      <c r="E118" s="788"/>
      <c r="F118" s="789"/>
      <c r="G118" s="789"/>
      <c r="H118" s="790"/>
      <c r="AD118" s="791"/>
      <c r="AE118" s="792"/>
    </row>
    <row r="119" spans="5:31" s="134" customFormat="1" ht="9" customHeight="1" x14ac:dyDescent="0.25">
      <c r="E119" s="788"/>
      <c r="F119" s="789"/>
      <c r="G119" s="789"/>
      <c r="H119" s="790"/>
      <c r="AD119" s="791"/>
      <c r="AE119" s="792"/>
    </row>
    <row r="120" spans="5:31" s="134" customFormat="1" ht="9" customHeight="1" x14ac:dyDescent="0.25">
      <c r="E120" s="788"/>
      <c r="F120" s="789"/>
      <c r="G120" s="789"/>
      <c r="H120" s="790"/>
      <c r="AD120" s="791"/>
      <c r="AE120" s="792"/>
    </row>
    <row r="121" spans="5:31" s="134" customFormat="1" ht="9" customHeight="1" x14ac:dyDescent="0.25">
      <c r="E121" s="788"/>
      <c r="F121" s="789"/>
      <c r="G121" s="789"/>
      <c r="H121" s="790"/>
      <c r="AD121" s="791"/>
      <c r="AE121" s="792"/>
    </row>
    <row r="122" spans="5:31" s="134" customFormat="1" ht="9" customHeight="1" x14ac:dyDescent="0.25">
      <c r="E122" s="788"/>
      <c r="F122" s="789"/>
      <c r="G122" s="789"/>
      <c r="H122" s="790"/>
      <c r="AD122" s="791"/>
      <c r="AE122" s="792"/>
    </row>
    <row r="123" spans="5:31" s="134" customFormat="1" ht="9" customHeight="1" x14ac:dyDescent="0.25">
      <c r="E123" s="788"/>
      <c r="F123" s="789"/>
      <c r="G123" s="789"/>
      <c r="H123" s="790"/>
      <c r="AD123" s="791"/>
      <c r="AE123" s="792"/>
    </row>
    <row r="124" spans="5:31" s="134" customFormat="1" ht="9" customHeight="1" x14ac:dyDescent="0.25">
      <c r="E124" s="788"/>
      <c r="F124" s="789"/>
      <c r="G124" s="789"/>
      <c r="H124" s="790"/>
      <c r="AD124" s="791"/>
      <c r="AE124" s="792"/>
    </row>
    <row r="125" spans="5:31" s="134" customFormat="1" ht="9" customHeight="1" x14ac:dyDescent="0.25">
      <c r="E125" s="788"/>
      <c r="F125" s="789"/>
      <c r="G125" s="789"/>
      <c r="H125" s="790"/>
      <c r="AD125" s="791"/>
      <c r="AE125" s="792"/>
    </row>
    <row r="126" spans="5:31" s="134" customFormat="1" ht="9" customHeight="1" x14ac:dyDescent="0.25">
      <c r="E126" s="788"/>
      <c r="F126" s="789"/>
      <c r="G126" s="789"/>
      <c r="H126" s="790"/>
      <c r="AD126" s="791"/>
      <c r="AE126" s="792"/>
    </row>
    <row r="127" spans="5:31" s="134" customFormat="1" ht="9" customHeight="1" x14ac:dyDescent="0.25">
      <c r="E127" s="788"/>
      <c r="F127" s="789"/>
      <c r="G127" s="789"/>
      <c r="H127" s="790"/>
      <c r="AD127" s="791"/>
      <c r="AE127" s="792"/>
    </row>
    <row r="128" spans="5:31" s="134" customFormat="1" ht="9" customHeight="1" x14ac:dyDescent="0.25">
      <c r="E128" s="788"/>
      <c r="F128" s="789"/>
      <c r="G128" s="789"/>
      <c r="H128" s="790"/>
      <c r="AD128" s="791"/>
      <c r="AE128" s="792"/>
    </row>
    <row r="129" spans="5:31" s="134" customFormat="1" ht="9" customHeight="1" x14ac:dyDescent="0.25">
      <c r="E129" s="788"/>
      <c r="F129" s="789"/>
      <c r="G129" s="789"/>
      <c r="H129" s="790"/>
      <c r="AD129" s="791"/>
      <c r="AE129" s="792"/>
    </row>
    <row r="130" spans="5:31" s="134" customFormat="1" ht="9" customHeight="1" x14ac:dyDescent="0.25">
      <c r="E130" s="788"/>
      <c r="F130" s="789"/>
      <c r="G130" s="789"/>
      <c r="H130" s="790"/>
      <c r="AD130" s="791"/>
      <c r="AE130" s="792"/>
    </row>
    <row r="131" spans="5:31" s="134" customFormat="1" ht="9" customHeight="1" x14ac:dyDescent="0.25">
      <c r="E131" s="788"/>
      <c r="F131" s="789"/>
      <c r="G131" s="789"/>
      <c r="H131" s="790"/>
      <c r="AD131" s="791"/>
      <c r="AE131" s="792"/>
    </row>
    <row r="132" spans="5:31" s="134" customFormat="1" ht="9" customHeight="1" x14ac:dyDescent="0.25">
      <c r="E132" s="788"/>
      <c r="F132" s="789"/>
      <c r="G132" s="789"/>
      <c r="H132" s="790"/>
      <c r="AD132" s="791"/>
      <c r="AE132" s="792"/>
    </row>
    <row r="133" spans="5:31" s="134" customFormat="1" ht="9" customHeight="1" x14ac:dyDescent="0.25">
      <c r="E133" s="788"/>
      <c r="F133" s="789"/>
      <c r="G133" s="789"/>
      <c r="H133" s="790"/>
      <c r="AD133" s="791"/>
      <c r="AE133" s="792"/>
    </row>
    <row r="134" spans="5:31" s="134" customFormat="1" ht="9" customHeight="1" x14ac:dyDescent="0.25">
      <c r="E134" s="788"/>
      <c r="F134" s="789"/>
      <c r="G134" s="789"/>
      <c r="H134" s="790"/>
      <c r="AD134" s="791"/>
      <c r="AE134" s="792"/>
    </row>
    <row r="135" spans="5:31" s="134" customFormat="1" ht="9" customHeight="1" x14ac:dyDescent="0.25">
      <c r="E135" s="788"/>
      <c r="F135" s="789"/>
      <c r="G135" s="789"/>
      <c r="H135" s="790"/>
      <c r="AD135" s="791"/>
      <c r="AE135" s="792"/>
    </row>
    <row r="136" spans="5:31" s="134" customFormat="1" ht="9" customHeight="1" x14ac:dyDescent="0.25">
      <c r="E136" s="788"/>
      <c r="F136" s="789"/>
      <c r="G136" s="789"/>
      <c r="H136" s="790"/>
      <c r="AD136" s="791"/>
      <c r="AE136" s="792"/>
    </row>
    <row r="137" spans="5:31" s="134" customFormat="1" ht="9" customHeight="1" x14ac:dyDescent="0.25">
      <c r="E137" s="788"/>
      <c r="F137" s="789"/>
      <c r="G137" s="789"/>
      <c r="H137" s="790"/>
      <c r="AD137" s="791"/>
      <c r="AE137" s="792"/>
    </row>
    <row r="138" spans="5:31" s="134" customFormat="1" ht="9" customHeight="1" x14ac:dyDescent="0.25">
      <c r="E138" s="788"/>
      <c r="F138" s="789"/>
      <c r="G138" s="789"/>
      <c r="H138" s="790"/>
      <c r="AD138" s="791"/>
      <c r="AE138" s="792"/>
    </row>
    <row r="139" spans="5:31" s="134" customFormat="1" ht="9" customHeight="1" x14ac:dyDescent="0.25">
      <c r="E139" s="788"/>
      <c r="F139" s="789"/>
      <c r="G139" s="789"/>
      <c r="H139" s="790"/>
      <c r="AD139" s="791"/>
      <c r="AE139" s="792"/>
    </row>
    <row r="140" spans="5:31" s="134" customFormat="1" ht="9" customHeight="1" x14ac:dyDescent="0.25">
      <c r="E140" s="788"/>
      <c r="F140" s="789"/>
      <c r="G140" s="789"/>
      <c r="H140" s="790"/>
      <c r="AD140" s="791"/>
      <c r="AE140" s="792"/>
    </row>
    <row r="141" spans="5:31" s="134" customFormat="1" ht="9" customHeight="1" x14ac:dyDescent="0.25">
      <c r="E141" s="789"/>
      <c r="F141" s="789"/>
      <c r="G141" s="789"/>
      <c r="H141" s="790"/>
      <c r="AD141" s="791"/>
      <c r="AE141" s="792"/>
    </row>
    <row r="142" spans="5:31" s="134" customFormat="1" ht="9" customHeight="1" x14ac:dyDescent="0.25">
      <c r="E142" s="789"/>
      <c r="F142" s="789"/>
      <c r="G142" s="789"/>
      <c r="H142" s="790"/>
      <c r="AD142" s="791"/>
      <c r="AE142" s="792"/>
    </row>
    <row r="143" spans="5:31" s="134" customFormat="1" ht="9" customHeight="1" x14ac:dyDescent="0.25">
      <c r="E143" s="789"/>
      <c r="F143" s="789"/>
      <c r="G143" s="789"/>
      <c r="H143" s="790"/>
      <c r="AD143" s="791"/>
      <c r="AE143" s="792"/>
    </row>
    <row r="144" spans="5:31" s="134" customFormat="1" ht="9" customHeight="1" x14ac:dyDescent="0.25">
      <c r="E144" s="789"/>
      <c r="F144" s="789"/>
      <c r="G144" s="789"/>
      <c r="H144" s="790"/>
      <c r="AD144" s="791"/>
      <c r="AE144" s="792"/>
    </row>
    <row r="145" spans="5:31" s="134" customFormat="1" ht="9" customHeight="1" x14ac:dyDescent="0.25">
      <c r="E145" s="789"/>
      <c r="F145" s="789"/>
      <c r="G145" s="789"/>
      <c r="H145" s="790"/>
      <c r="AD145" s="791"/>
      <c r="AE145" s="792"/>
    </row>
    <row r="146" spans="5:31" s="134" customFormat="1" ht="9" customHeight="1" x14ac:dyDescent="0.25">
      <c r="E146" s="789"/>
      <c r="F146" s="789"/>
      <c r="G146" s="789"/>
      <c r="H146" s="790"/>
      <c r="AD146" s="791"/>
      <c r="AE146" s="792"/>
    </row>
    <row r="147" spans="5:31" s="134" customFormat="1" ht="9" customHeight="1" x14ac:dyDescent="0.25">
      <c r="E147" s="789"/>
      <c r="F147" s="789"/>
      <c r="G147" s="789"/>
      <c r="H147" s="790"/>
      <c r="AD147" s="791"/>
      <c r="AE147" s="792"/>
    </row>
    <row r="148" spans="5:31" s="134" customFormat="1" ht="9" customHeight="1" x14ac:dyDescent="0.25">
      <c r="E148" s="789"/>
      <c r="F148" s="789"/>
      <c r="G148" s="789"/>
      <c r="H148" s="790"/>
      <c r="AD148" s="791"/>
      <c r="AE148" s="792"/>
    </row>
    <row r="149" spans="5:31" s="134" customFormat="1" ht="9" customHeight="1" x14ac:dyDescent="0.25">
      <c r="E149" s="789"/>
      <c r="F149" s="789"/>
      <c r="G149" s="789"/>
      <c r="H149" s="790"/>
      <c r="AD149" s="791"/>
      <c r="AE149" s="792"/>
    </row>
    <row r="150" spans="5:31" s="134" customFormat="1" ht="9" customHeight="1" x14ac:dyDescent="0.25">
      <c r="E150" s="789"/>
      <c r="F150" s="789"/>
      <c r="G150" s="789"/>
      <c r="H150" s="790"/>
      <c r="AD150" s="791"/>
      <c r="AE150" s="792"/>
    </row>
    <row r="151" spans="5:31" s="134" customFormat="1" ht="9" customHeight="1" x14ac:dyDescent="0.25">
      <c r="E151" s="789"/>
      <c r="F151" s="789"/>
      <c r="G151" s="789"/>
      <c r="H151" s="790"/>
      <c r="AD151" s="791"/>
      <c r="AE151" s="792"/>
    </row>
    <row r="152" spans="5:31" s="134" customFormat="1" ht="9" customHeight="1" x14ac:dyDescent="0.25">
      <c r="E152" s="789"/>
      <c r="F152" s="789"/>
      <c r="G152" s="789"/>
      <c r="H152" s="790"/>
      <c r="AD152" s="791"/>
      <c r="AE152" s="792"/>
    </row>
    <row r="153" spans="5:31" s="134" customFormat="1" ht="9" customHeight="1" x14ac:dyDescent="0.25">
      <c r="E153" s="789"/>
      <c r="F153" s="789"/>
      <c r="G153" s="789"/>
      <c r="H153" s="790"/>
      <c r="AD153" s="791"/>
      <c r="AE153" s="792"/>
    </row>
    <row r="154" spans="5:31" s="134" customFormat="1" ht="9" customHeight="1" x14ac:dyDescent="0.25">
      <c r="E154" s="789"/>
      <c r="F154" s="789"/>
      <c r="G154" s="789"/>
      <c r="H154" s="790"/>
      <c r="AD154" s="791"/>
      <c r="AE154" s="792"/>
    </row>
    <row r="155" spans="5:31" s="134" customFormat="1" ht="9" customHeight="1" x14ac:dyDescent="0.25">
      <c r="E155" s="789"/>
      <c r="F155" s="789"/>
      <c r="G155" s="789"/>
      <c r="H155" s="790"/>
      <c r="AD155" s="791"/>
      <c r="AE155" s="792"/>
    </row>
    <row r="156" spans="5:31" s="134" customFormat="1" ht="9" customHeight="1" x14ac:dyDescent="0.25">
      <c r="E156" s="789"/>
      <c r="F156" s="789"/>
      <c r="G156" s="789"/>
      <c r="H156" s="790"/>
      <c r="AD156" s="791"/>
      <c r="AE156" s="792"/>
    </row>
    <row r="157" spans="5:31" s="134" customFormat="1" ht="9" customHeight="1" x14ac:dyDescent="0.25">
      <c r="E157" s="789"/>
      <c r="F157" s="789"/>
      <c r="G157" s="789"/>
      <c r="H157" s="790"/>
      <c r="AD157" s="791"/>
      <c r="AE157" s="792"/>
    </row>
    <row r="158" spans="5:31" s="134" customFormat="1" ht="9" customHeight="1" x14ac:dyDescent="0.25">
      <c r="E158" s="789"/>
      <c r="F158" s="789"/>
      <c r="G158" s="789"/>
      <c r="H158" s="790"/>
      <c r="AD158" s="791"/>
      <c r="AE158" s="792"/>
    </row>
    <row r="159" spans="5:31" s="134" customFormat="1" ht="9" customHeight="1" x14ac:dyDescent="0.25">
      <c r="E159" s="789"/>
      <c r="F159" s="789"/>
      <c r="G159" s="789"/>
      <c r="H159" s="790"/>
      <c r="AD159" s="791"/>
      <c r="AE159" s="792"/>
    </row>
    <row r="160" spans="5:31" s="134" customFormat="1" ht="9" customHeight="1" x14ac:dyDescent="0.25">
      <c r="E160" s="789"/>
      <c r="F160" s="789"/>
      <c r="G160" s="789"/>
      <c r="H160" s="790"/>
      <c r="AD160" s="791"/>
      <c r="AE160" s="792"/>
    </row>
    <row r="161" spans="5:31" s="134" customFormat="1" ht="9" customHeight="1" x14ac:dyDescent="0.25">
      <c r="E161" s="789"/>
      <c r="F161" s="789"/>
      <c r="G161" s="789"/>
      <c r="H161" s="790"/>
      <c r="AD161" s="791"/>
      <c r="AE161" s="792"/>
    </row>
    <row r="162" spans="5:31" s="134" customFormat="1" ht="9" customHeight="1" x14ac:dyDescent="0.25">
      <c r="E162" s="789"/>
      <c r="F162" s="789"/>
      <c r="G162" s="789"/>
      <c r="H162" s="790"/>
      <c r="AD162" s="791"/>
      <c r="AE162" s="792"/>
    </row>
    <row r="163" spans="5:31" s="134" customFormat="1" ht="9" customHeight="1" x14ac:dyDescent="0.25">
      <c r="E163" s="789"/>
      <c r="F163" s="789"/>
      <c r="G163" s="789"/>
      <c r="H163" s="790"/>
      <c r="AD163" s="791"/>
      <c r="AE163" s="792"/>
    </row>
    <row r="164" spans="5:31" s="134" customFormat="1" ht="9" customHeight="1" x14ac:dyDescent="0.25">
      <c r="E164" s="789"/>
      <c r="F164" s="789"/>
      <c r="G164" s="789"/>
      <c r="H164" s="790"/>
      <c r="AD164" s="791"/>
      <c r="AE164" s="792"/>
    </row>
    <row r="165" spans="5:31" s="134" customFormat="1" ht="9" customHeight="1" x14ac:dyDescent="0.25">
      <c r="E165" s="789"/>
      <c r="F165" s="789"/>
      <c r="G165" s="789"/>
      <c r="H165" s="790"/>
      <c r="AD165" s="791"/>
      <c r="AE165" s="792"/>
    </row>
    <row r="166" spans="5:31" s="134" customFormat="1" ht="9" customHeight="1" x14ac:dyDescent="0.25">
      <c r="E166" s="789"/>
      <c r="F166" s="789"/>
      <c r="G166" s="789"/>
      <c r="H166" s="790"/>
      <c r="AD166" s="791"/>
      <c r="AE166" s="792"/>
    </row>
    <row r="167" spans="5:31" s="134" customFormat="1" ht="9" customHeight="1" x14ac:dyDescent="0.25">
      <c r="E167" s="789"/>
      <c r="F167" s="789"/>
      <c r="G167" s="789"/>
      <c r="H167" s="790"/>
      <c r="AD167" s="791"/>
      <c r="AE167" s="792"/>
    </row>
    <row r="168" spans="5:31" s="134" customFormat="1" ht="9" customHeight="1" x14ac:dyDescent="0.25">
      <c r="E168" s="789"/>
      <c r="F168" s="789"/>
      <c r="G168" s="789"/>
      <c r="H168" s="790"/>
      <c r="AD168" s="791"/>
      <c r="AE168" s="792"/>
    </row>
    <row r="169" spans="5:31" s="134" customFormat="1" ht="9" customHeight="1" x14ac:dyDescent="0.25">
      <c r="E169" s="789"/>
      <c r="F169" s="789"/>
      <c r="G169" s="789"/>
      <c r="H169" s="790"/>
      <c r="AD169" s="791"/>
      <c r="AE169" s="792"/>
    </row>
    <row r="170" spans="5:31" s="134" customFormat="1" ht="9" customHeight="1" x14ac:dyDescent="0.25">
      <c r="E170" s="789"/>
      <c r="F170" s="789"/>
      <c r="G170" s="789"/>
      <c r="H170" s="790"/>
      <c r="AD170" s="791"/>
      <c r="AE170" s="792"/>
    </row>
    <row r="171" spans="5:31" s="134" customFormat="1" ht="9" customHeight="1" x14ac:dyDescent="0.25">
      <c r="E171" s="789"/>
      <c r="F171" s="789"/>
      <c r="G171" s="789"/>
      <c r="H171" s="790"/>
      <c r="AD171" s="791"/>
      <c r="AE171" s="792"/>
    </row>
    <row r="172" spans="5:31" s="134" customFormat="1" ht="9" customHeight="1" x14ac:dyDescent="0.25">
      <c r="E172" s="789"/>
      <c r="F172" s="789"/>
      <c r="G172" s="789"/>
      <c r="H172" s="790"/>
      <c r="AD172" s="791"/>
      <c r="AE172" s="792"/>
    </row>
    <row r="173" spans="5:31" s="134" customFormat="1" ht="9" customHeight="1" x14ac:dyDescent="0.25">
      <c r="E173" s="789"/>
      <c r="F173" s="789"/>
      <c r="G173" s="789"/>
      <c r="H173" s="790"/>
      <c r="AD173" s="791"/>
      <c r="AE173" s="792"/>
    </row>
    <row r="174" spans="5:31" s="134" customFormat="1" ht="9" customHeight="1" x14ac:dyDescent="0.25">
      <c r="E174" s="789"/>
      <c r="F174" s="789"/>
      <c r="G174" s="789"/>
      <c r="H174" s="790"/>
      <c r="AD174" s="791"/>
      <c r="AE174" s="792"/>
    </row>
    <row r="175" spans="5:31" s="134" customFormat="1" ht="9" customHeight="1" x14ac:dyDescent="0.25">
      <c r="E175" s="789"/>
      <c r="F175" s="789"/>
      <c r="G175" s="789"/>
      <c r="H175" s="790"/>
      <c r="AD175" s="791"/>
      <c r="AE175" s="792"/>
    </row>
    <row r="176" spans="5:31" s="134" customFormat="1" ht="9" customHeight="1" x14ac:dyDescent="0.25">
      <c r="E176" s="789"/>
      <c r="F176" s="789"/>
      <c r="G176" s="789"/>
      <c r="H176" s="790"/>
      <c r="AD176" s="791"/>
      <c r="AE176" s="792"/>
    </row>
    <row r="177" spans="5:31" s="134" customFormat="1" ht="9" customHeight="1" x14ac:dyDescent="0.25">
      <c r="E177" s="789"/>
      <c r="F177" s="789"/>
      <c r="G177" s="789"/>
      <c r="H177" s="790"/>
      <c r="AD177" s="791"/>
      <c r="AE177" s="792"/>
    </row>
    <row r="178" spans="5:31" s="134" customFormat="1" ht="9" customHeight="1" x14ac:dyDescent="0.25">
      <c r="E178" s="789"/>
      <c r="F178" s="789"/>
      <c r="G178" s="789"/>
      <c r="H178" s="790"/>
      <c r="AD178" s="791"/>
      <c r="AE178" s="792"/>
    </row>
    <row r="179" spans="5:31" s="134" customFormat="1" ht="9" customHeight="1" x14ac:dyDescent="0.25">
      <c r="E179" s="789"/>
      <c r="F179" s="789"/>
      <c r="G179" s="789"/>
      <c r="H179" s="790"/>
      <c r="AD179" s="791"/>
      <c r="AE179" s="792"/>
    </row>
    <row r="180" spans="5:31" s="134" customFormat="1" ht="9" customHeight="1" x14ac:dyDescent="0.25">
      <c r="E180" s="789"/>
      <c r="F180" s="789"/>
      <c r="G180" s="789"/>
      <c r="H180" s="790"/>
      <c r="AD180" s="791"/>
      <c r="AE180" s="792"/>
    </row>
    <row r="181" spans="5:31" s="134" customFormat="1" ht="9" customHeight="1" x14ac:dyDescent="0.25">
      <c r="E181" s="789"/>
      <c r="F181" s="789"/>
      <c r="G181" s="789"/>
      <c r="H181" s="790"/>
      <c r="AD181" s="791"/>
      <c r="AE181" s="792"/>
    </row>
    <row r="182" spans="5:31" s="134" customFormat="1" ht="9" customHeight="1" x14ac:dyDescent="0.25">
      <c r="E182" s="789"/>
      <c r="F182" s="789"/>
      <c r="G182" s="789"/>
      <c r="H182" s="790"/>
      <c r="AD182" s="791"/>
      <c r="AE182" s="792"/>
    </row>
    <row r="183" spans="5:31" s="134" customFormat="1" ht="9" customHeight="1" x14ac:dyDescent="0.25">
      <c r="E183" s="789"/>
      <c r="F183" s="789"/>
      <c r="G183" s="789"/>
      <c r="H183" s="790"/>
      <c r="AD183" s="791"/>
      <c r="AE183" s="792"/>
    </row>
    <row r="184" spans="5:31" s="134" customFormat="1" ht="9" customHeight="1" x14ac:dyDescent="0.25">
      <c r="E184" s="789"/>
      <c r="F184" s="789"/>
      <c r="G184" s="789"/>
      <c r="H184" s="790"/>
      <c r="AD184" s="791"/>
      <c r="AE184" s="792"/>
    </row>
    <row r="185" spans="5:31" s="134" customFormat="1" ht="9" customHeight="1" x14ac:dyDescent="0.25">
      <c r="E185" s="789"/>
      <c r="F185" s="789"/>
      <c r="G185" s="789"/>
      <c r="H185" s="790"/>
      <c r="AD185" s="791"/>
      <c r="AE185" s="792"/>
    </row>
    <row r="186" spans="5:31" s="134" customFormat="1" ht="9" customHeight="1" x14ac:dyDescent="0.25">
      <c r="E186" s="789"/>
      <c r="F186" s="789"/>
      <c r="G186" s="789"/>
      <c r="H186" s="790"/>
      <c r="AD186" s="791"/>
      <c r="AE186" s="792"/>
    </row>
    <row r="187" spans="5:31" s="134" customFormat="1" ht="9" customHeight="1" x14ac:dyDescent="0.25">
      <c r="E187" s="789"/>
      <c r="F187" s="789"/>
      <c r="G187" s="789"/>
      <c r="H187" s="790"/>
      <c r="AD187" s="791"/>
      <c r="AE187" s="792"/>
    </row>
    <row r="188" spans="5:31" s="134" customFormat="1" ht="9" customHeight="1" x14ac:dyDescent="0.25">
      <c r="E188" s="789"/>
      <c r="F188" s="789"/>
      <c r="G188" s="789"/>
      <c r="H188" s="790"/>
      <c r="AD188" s="791"/>
      <c r="AE188" s="792"/>
    </row>
    <row r="189" spans="5:31" s="134" customFormat="1" ht="9" customHeight="1" x14ac:dyDescent="0.25">
      <c r="E189" s="789"/>
      <c r="F189" s="789"/>
      <c r="G189" s="789"/>
      <c r="H189" s="790"/>
      <c r="AD189" s="791"/>
      <c r="AE189" s="792"/>
    </row>
    <row r="190" spans="5:31" s="134" customFormat="1" ht="9" customHeight="1" x14ac:dyDescent="0.25">
      <c r="E190" s="789"/>
      <c r="F190" s="789"/>
      <c r="G190" s="789"/>
      <c r="H190" s="790"/>
      <c r="AD190" s="791"/>
      <c r="AE190" s="792"/>
    </row>
    <row r="191" spans="5:31" s="134" customFormat="1" ht="9" customHeight="1" x14ac:dyDescent="0.25">
      <c r="E191" s="789"/>
      <c r="F191" s="789"/>
      <c r="G191" s="789"/>
      <c r="H191" s="790"/>
      <c r="AD191" s="791"/>
      <c r="AE191" s="792"/>
    </row>
    <row r="192" spans="5:31" s="134" customFormat="1" ht="9" customHeight="1" x14ac:dyDescent="0.25">
      <c r="E192" s="789"/>
      <c r="F192" s="789"/>
      <c r="G192" s="789"/>
      <c r="H192" s="790"/>
      <c r="AD192" s="791"/>
      <c r="AE192" s="792"/>
    </row>
    <row r="193" spans="5:31" s="134" customFormat="1" ht="9" customHeight="1" x14ac:dyDescent="0.25">
      <c r="E193" s="789"/>
      <c r="F193" s="789"/>
      <c r="G193" s="789"/>
      <c r="H193" s="790"/>
      <c r="AD193" s="791"/>
      <c r="AE193" s="792"/>
    </row>
    <row r="194" spans="5:31" s="134" customFormat="1" ht="9" customHeight="1" x14ac:dyDescent="0.25">
      <c r="E194" s="789"/>
      <c r="F194" s="789"/>
      <c r="G194" s="789"/>
      <c r="H194" s="790"/>
      <c r="AD194" s="791"/>
      <c r="AE194" s="792"/>
    </row>
    <row r="195" spans="5:31" s="134" customFormat="1" ht="9" customHeight="1" x14ac:dyDescent="0.25">
      <c r="E195" s="789"/>
      <c r="F195" s="789"/>
      <c r="G195" s="789"/>
      <c r="H195" s="790"/>
      <c r="AD195" s="791"/>
      <c r="AE195" s="792"/>
    </row>
    <row r="196" spans="5:31" s="134" customFormat="1" ht="9" customHeight="1" x14ac:dyDescent="0.25">
      <c r="E196" s="789"/>
      <c r="F196" s="789"/>
      <c r="G196" s="789"/>
      <c r="H196" s="790"/>
      <c r="AD196" s="791"/>
      <c r="AE196" s="792"/>
    </row>
    <row r="197" spans="5:31" s="134" customFormat="1" ht="9" customHeight="1" x14ac:dyDescent="0.25">
      <c r="E197" s="789"/>
      <c r="F197" s="789"/>
      <c r="G197" s="789"/>
      <c r="H197" s="790"/>
      <c r="AD197" s="791"/>
      <c r="AE197" s="792"/>
    </row>
    <row r="198" spans="5:31" s="134" customFormat="1" ht="9" customHeight="1" x14ac:dyDescent="0.25">
      <c r="E198" s="789"/>
      <c r="F198" s="789"/>
      <c r="G198" s="789"/>
      <c r="H198" s="790"/>
      <c r="AD198" s="791"/>
      <c r="AE198" s="792"/>
    </row>
    <row r="199" spans="5:31" s="134" customFormat="1" ht="9" customHeight="1" x14ac:dyDescent="0.25">
      <c r="E199" s="789"/>
      <c r="F199" s="789"/>
      <c r="G199" s="789"/>
      <c r="H199" s="790"/>
      <c r="AD199" s="791"/>
      <c r="AE199" s="792"/>
    </row>
    <row r="200" spans="5:31" s="134" customFormat="1" ht="3" customHeight="1" x14ac:dyDescent="0.25">
      <c r="E200" s="789"/>
      <c r="F200" s="789"/>
      <c r="G200" s="789"/>
      <c r="H200" s="790"/>
      <c r="AD200" s="791"/>
      <c r="AE200" s="792"/>
    </row>
    <row r="201" spans="5:31" s="134" customFormat="1" ht="3" customHeight="1" x14ac:dyDescent="0.25">
      <c r="E201" s="789"/>
      <c r="F201" s="789"/>
      <c r="G201" s="789"/>
      <c r="H201" s="790"/>
      <c r="AD201" s="791"/>
      <c r="AE201" s="792"/>
    </row>
    <row r="202" spans="5:31" s="134" customFormat="1" ht="3" customHeight="1" x14ac:dyDescent="0.25">
      <c r="E202" s="789"/>
      <c r="F202" s="789"/>
      <c r="G202" s="789"/>
      <c r="H202" s="790"/>
      <c r="AD202" s="791"/>
      <c r="AE202" s="792"/>
    </row>
    <row r="203" spans="5:31" s="134" customFormat="1" ht="3" customHeight="1" x14ac:dyDescent="0.25">
      <c r="E203" s="789"/>
      <c r="F203" s="789"/>
      <c r="G203" s="789"/>
      <c r="H203" s="790"/>
      <c r="AD203" s="791"/>
      <c r="AE203" s="792"/>
    </row>
    <row r="204" spans="5:31" s="134" customFormat="1" ht="3" customHeight="1" x14ac:dyDescent="0.25">
      <c r="E204" s="789"/>
      <c r="F204" s="789"/>
      <c r="G204" s="789"/>
      <c r="H204" s="790"/>
      <c r="AD204" s="791"/>
      <c r="AE204" s="792"/>
    </row>
    <row r="205" spans="5:31" s="134" customFormat="1" ht="3" customHeight="1" x14ac:dyDescent="0.25">
      <c r="E205" s="789"/>
      <c r="F205" s="789"/>
      <c r="G205" s="789"/>
      <c r="H205" s="790"/>
      <c r="AD205" s="791"/>
      <c r="AE205" s="792"/>
    </row>
    <row r="206" spans="5:31" s="134" customFormat="1" ht="3" customHeight="1" x14ac:dyDescent="0.25">
      <c r="E206" s="789"/>
      <c r="F206" s="789"/>
      <c r="G206" s="789"/>
      <c r="H206" s="790"/>
      <c r="AD206" s="791"/>
      <c r="AE206" s="792"/>
    </row>
    <row r="207" spans="5:31" s="134" customFormat="1" ht="3" customHeight="1" x14ac:dyDescent="0.25">
      <c r="E207" s="789"/>
      <c r="F207" s="789"/>
      <c r="G207" s="789"/>
      <c r="H207" s="790"/>
      <c r="AD207" s="791"/>
      <c r="AE207" s="792"/>
    </row>
    <row r="208" spans="5:31" s="134" customFormat="1" ht="3" customHeight="1" x14ac:dyDescent="0.25">
      <c r="E208" s="789"/>
      <c r="F208" s="789"/>
      <c r="G208" s="789"/>
      <c r="H208" s="790"/>
      <c r="AD208" s="791"/>
      <c r="AE208" s="792"/>
    </row>
    <row r="209" spans="5:31" s="134" customFormat="1" ht="3" customHeight="1" x14ac:dyDescent="0.25">
      <c r="E209" s="789"/>
      <c r="F209" s="789"/>
      <c r="G209" s="789"/>
      <c r="H209" s="790"/>
      <c r="AD209" s="791"/>
      <c r="AE209" s="792"/>
    </row>
    <row r="210" spans="5:31" s="134" customFormat="1" ht="3" customHeight="1" x14ac:dyDescent="0.25">
      <c r="E210" s="789"/>
      <c r="F210" s="789"/>
      <c r="G210" s="789"/>
      <c r="H210" s="790"/>
      <c r="AD210" s="791"/>
      <c r="AE210" s="792"/>
    </row>
    <row r="211" spans="5:31" s="134" customFormat="1" ht="3" customHeight="1" x14ac:dyDescent="0.25">
      <c r="E211" s="789"/>
      <c r="F211" s="789"/>
      <c r="G211" s="789"/>
      <c r="H211" s="790"/>
      <c r="AD211" s="791"/>
      <c r="AE211" s="792"/>
    </row>
    <row r="212" spans="5:31" s="134" customFormat="1" ht="3" customHeight="1" x14ac:dyDescent="0.25">
      <c r="E212" s="789"/>
      <c r="F212" s="789"/>
      <c r="G212" s="789"/>
      <c r="H212" s="790"/>
      <c r="AD212" s="791"/>
      <c r="AE212" s="792"/>
    </row>
    <row r="213" spans="5:31" s="134" customFormat="1" ht="3" customHeight="1" x14ac:dyDescent="0.25">
      <c r="E213" s="789"/>
      <c r="F213" s="789"/>
      <c r="G213" s="789"/>
      <c r="H213" s="790"/>
      <c r="AD213" s="791"/>
      <c r="AE213" s="792"/>
    </row>
    <row r="214" spans="5:31" s="134" customFormat="1" ht="3" customHeight="1" x14ac:dyDescent="0.25">
      <c r="E214" s="789"/>
      <c r="F214" s="789"/>
      <c r="G214" s="789"/>
      <c r="H214" s="790"/>
      <c r="AD214" s="791"/>
      <c r="AE214" s="792"/>
    </row>
    <row r="215" spans="5:31" s="134" customFormat="1" ht="3" customHeight="1" x14ac:dyDescent="0.25">
      <c r="E215" s="789"/>
      <c r="F215" s="789"/>
      <c r="G215" s="789"/>
      <c r="H215" s="790"/>
      <c r="AD215" s="791"/>
      <c r="AE215" s="792"/>
    </row>
    <row r="216" spans="5:31" s="134" customFormat="1" ht="3" customHeight="1" x14ac:dyDescent="0.25">
      <c r="E216" s="789"/>
      <c r="F216" s="789"/>
      <c r="G216" s="789"/>
      <c r="H216" s="790"/>
      <c r="AD216" s="791"/>
      <c r="AE216" s="792"/>
    </row>
    <row r="217" spans="5:31" s="134" customFormat="1" ht="3" customHeight="1" x14ac:dyDescent="0.25">
      <c r="E217" s="789"/>
      <c r="F217" s="789"/>
      <c r="G217" s="789"/>
      <c r="H217" s="790"/>
      <c r="AD217" s="791"/>
      <c r="AE217" s="792"/>
    </row>
    <row r="218" spans="5:31" s="134" customFormat="1" ht="3" customHeight="1" x14ac:dyDescent="0.25">
      <c r="E218" s="789"/>
      <c r="F218" s="789"/>
      <c r="G218" s="789"/>
      <c r="H218" s="790"/>
      <c r="AD218" s="791"/>
      <c r="AE218" s="792"/>
    </row>
    <row r="219" spans="5:31" s="134" customFormat="1" ht="3" customHeight="1" x14ac:dyDescent="0.25">
      <c r="E219" s="789"/>
      <c r="F219" s="789"/>
      <c r="G219" s="789"/>
      <c r="H219" s="790"/>
      <c r="AD219" s="791"/>
      <c r="AE219" s="792"/>
    </row>
    <row r="220" spans="5:31" s="134" customFormat="1" ht="3" customHeight="1" x14ac:dyDescent="0.25">
      <c r="E220" s="789"/>
      <c r="F220" s="789"/>
      <c r="G220" s="789"/>
      <c r="H220" s="790"/>
      <c r="AD220" s="791"/>
      <c r="AE220" s="792"/>
    </row>
    <row r="221" spans="5:31" s="134" customFormat="1" ht="3" customHeight="1" x14ac:dyDescent="0.25">
      <c r="E221" s="789"/>
      <c r="F221" s="789"/>
      <c r="G221" s="789"/>
      <c r="H221" s="790"/>
      <c r="AD221" s="791"/>
      <c r="AE221" s="792"/>
    </row>
    <row r="222" spans="5:31" s="134" customFormat="1" ht="3" customHeight="1" x14ac:dyDescent="0.25">
      <c r="E222" s="789"/>
      <c r="F222" s="789"/>
      <c r="G222" s="789"/>
      <c r="H222" s="790"/>
      <c r="AD222" s="791"/>
      <c r="AE222" s="792"/>
    </row>
    <row r="223" spans="5:31" s="134" customFormat="1" ht="3" customHeight="1" x14ac:dyDescent="0.25">
      <c r="E223" s="789"/>
      <c r="F223" s="789"/>
      <c r="G223" s="789"/>
      <c r="H223" s="790"/>
      <c r="AD223" s="791"/>
      <c r="AE223" s="792"/>
    </row>
    <row r="224" spans="5:31" s="134" customFormat="1" ht="3" customHeight="1" x14ac:dyDescent="0.25">
      <c r="E224" s="789"/>
      <c r="F224" s="789"/>
      <c r="G224" s="789"/>
      <c r="H224" s="790"/>
      <c r="AD224" s="791"/>
      <c r="AE224" s="792"/>
    </row>
    <row r="225" spans="5:31" s="134" customFormat="1" ht="3" customHeight="1" x14ac:dyDescent="0.25">
      <c r="E225" s="789"/>
      <c r="F225" s="789"/>
      <c r="G225" s="789"/>
      <c r="H225" s="790"/>
      <c r="AD225" s="791"/>
      <c r="AE225" s="792"/>
    </row>
    <row r="226" spans="5:31" s="134" customFormat="1" ht="3" customHeight="1" x14ac:dyDescent="0.25">
      <c r="E226" s="789"/>
      <c r="F226" s="789"/>
      <c r="G226" s="789"/>
      <c r="H226" s="790"/>
      <c r="AD226" s="791"/>
      <c r="AE226" s="792"/>
    </row>
    <row r="227" spans="5:31" s="134" customFormat="1" ht="3" customHeight="1" x14ac:dyDescent="0.25">
      <c r="E227" s="789"/>
      <c r="F227" s="789"/>
      <c r="G227" s="789"/>
      <c r="H227" s="790"/>
      <c r="AD227" s="791"/>
      <c r="AE227" s="792"/>
    </row>
    <row r="228" spans="5:31" s="134" customFormat="1" ht="3" customHeight="1" x14ac:dyDescent="0.25">
      <c r="E228" s="789"/>
      <c r="F228" s="789"/>
      <c r="G228" s="789"/>
      <c r="H228" s="790"/>
      <c r="AD228" s="791"/>
      <c r="AE228" s="792"/>
    </row>
    <row r="229" spans="5:31" s="134" customFormat="1" ht="3" customHeight="1" x14ac:dyDescent="0.25">
      <c r="E229" s="789"/>
      <c r="F229" s="789"/>
      <c r="G229" s="789"/>
      <c r="H229" s="790"/>
      <c r="AD229" s="791"/>
      <c r="AE229" s="792"/>
    </row>
    <row r="230" spans="5:31" s="134" customFormat="1" ht="3" customHeight="1" x14ac:dyDescent="0.25">
      <c r="E230" s="789"/>
      <c r="F230" s="789"/>
      <c r="G230" s="789"/>
      <c r="H230" s="790"/>
      <c r="AD230" s="791"/>
      <c r="AE230" s="792"/>
    </row>
    <row r="231" spans="5:31" s="134" customFormat="1" ht="3" customHeight="1" x14ac:dyDescent="0.25">
      <c r="E231" s="789"/>
      <c r="F231" s="789"/>
      <c r="G231" s="789"/>
      <c r="H231" s="790"/>
      <c r="AD231" s="791"/>
      <c r="AE231" s="792"/>
    </row>
    <row r="232" spans="5:31" s="134" customFormat="1" ht="3" customHeight="1" x14ac:dyDescent="0.25">
      <c r="E232" s="789"/>
      <c r="F232" s="789"/>
      <c r="G232" s="789"/>
      <c r="H232" s="790"/>
      <c r="AD232" s="791"/>
      <c r="AE232" s="792"/>
    </row>
    <row r="233" spans="5:31" s="134" customFormat="1" ht="3" customHeight="1" x14ac:dyDescent="0.25">
      <c r="E233" s="789"/>
      <c r="F233" s="789"/>
      <c r="G233" s="789"/>
      <c r="H233" s="790"/>
      <c r="AD233" s="791"/>
      <c r="AE233" s="792"/>
    </row>
    <row r="234" spans="5:31" s="134" customFormat="1" ht="3" customHeight="1" x14ac:dyDescent="0.25">
      <c r="E234" s="789"/>
      <c r="F234" s="789"/>
      <c r="G234" s="789"/>
      <c r="H234" s="790"/>
      <c r="AD234" s="791"/>
      <c r="AE234" s="792"/>
    </row>
    <row r="235" spans="5:31" s="134" customFormat="1" ht="3" customHeight="1" x14ac:dyDescent="0.25">
      <c r="E235" s="789"/>
      <c r="F235" s="789"/>
      <c r="G235" s="789"/>
      <c r="H235" s="790"/>
      <c r="AD235" s="791"/>
      <c r="AE235" s="792"/>
    </row>
    <row r="236" spans="5:31" s="134" customFormat="1" ht="3" customHeight="1" x14ac:dyDescent="0.25">
      <c r="E236" s="789"/>
      <c r="F236" s="789"/>
      <c r="G236" s="789"/>
      <c r="H236" s="790"/>
      <c r="AD236" s="791"/>
      <c r="AE236" s="792"/>
    </row>
    <row r="237" spans="5:31" s="134" customFormat="1" ht="3" customHeight="1" x14ac:dyDescent="0.25">
      <c r="E237" s="789"/>
      <c r="F237" s="789"/>
      <c r="G237" s="789"/>
      <c r="H237" s="790"/>
      <c r="AD237" s="791"/>
      <c r="AE237" s="792"/>
    </row>
    <row r="238" spans="5:31" s="134" customFormat="1" ht="3" customHeight="1" x14ac:dyDescent="0.25">
      <c r="E238" s="789"/>
      <c r="F238" s="789"/>
      <c r="G238" s="789"/>
      <c r="H238" s="790"/>
      <c r="AD238" s="791"/>
      <c r="AE238" s="792"/>
    </row>
    <row r="239" spans="5:31" s="134" customFormat="1" ht="3" customHeight="1" x14ac:dyDescent="0.25">
      <c r="E239" s="789"/>
      <c r="F239" s="789"/>
      <c r="G239" s="789"/>
      <c r="H239" s="790"/>
      <c r="AD239" s="791"/>
      <c r="AE239" s="792"/>
    </row>
    <row r="240" spans="5:31" s="134" customFormat="1" ht="3" customHeight="1" x14ac:dyDescent="0.25">
      <c r="E240" s="789"/>
      <c r="F240" s="789"/>
      <c r="G240" s="789"/>
      <c r="H240" s="790"/>
      <c r="AD240" s="791"/>
      <c r="AE240" s="792"/>
    </row>
    <row r="241" spans="5:31" s="134" customFormat="1" ht="3" customHeight="1" x14ac:dyDescent="0.25">
      <c r="E241" s="789"/>
      <c r="F241" s="789"/>
      <c r="G241" s="789"/>
      <c r="H241" s="790"/>
      <c r="AD241" s="791"/>
      <c r="AE241" s="792"/>
    </row>
    <row r="242" spans="5:31" s="134" customFormat="1" ht="3" customHeight="1" x14ac:dyDescent="0.25">
      <c r="E242" s="789"/>
      <c r="F242" s="789"/>
      <c r="G242" s="789"/>
      <c r="H242" s="790"/>
      <c r="AD242" s="791"/>
      <c r="AE242" s="792"/>
    </row>
    <row r="243" spans="5:31" s="134" customFormat="1" ht="3" customHeight="1" x14ac:dyDescent="0.25">
      <c r="E243" s="789"/>
      <c r="F243" s="789"/>
      <c r="G243" s="789"/>
      <c r="H243" s="790"/>
      <c r="AD243" s="791"/>
      <c r="AE243" s="792"/>
    </row>
    <row r="244" spans="5:31" s="134" customFormat="1" ht="3" customHeight="1" x14ac:dyDescent="0.25">
      <c r="E244" s="789"/>
      <c r="F244" s="789"/>
      <c r="G244" s="789"/>
      <c r="H244" s="790"/>
      <c r="AD244" s="791"/>
      <c r="AE244" s="792"/>
    </row>
    <row r="245" spans="5:31" s="134" customFormat="1" ht="3" customHeight="1" x14ac:dyDescent="0.25">
      <c r="E245" s="789"/>
      <c r="F245" s="789"/>
      <c r="G245" s="789"/>
      <c r="H245" s="790"/>
      <c r="AD245" s="791"/>
      <c r="AE245" s="792"/>
    </row>
    <row r="246" spans="5:31" s="134" customFormat="1" ht="3" customHeight="1" x14ac:dyDescent="0.25">
      <c r="E246" s="789"/>
      <c r="F246" s="789"/>
      <c r="G246" s="789"/>
      <c r="H246" s="790"/>
      <c r="AD246" s="791"/>
      <c r="AE246" s="792"/>
    </row>
    <row r="247" spans="5:31" s="134" customFormat="1" ht="3" customHeight="1" x14ac:dyDescent="0.25">
      <c r="E247" s="789"/>
      <c r="F247" s="789"/>
      <c r="G247" s="789"/>
      <c r="H247" s="790"/>
      <c r="AD247" s="791"/>
      <c r="AE247" s="792"/>
    </row>
    <row r="248" spans="5:31" s="134" customFormat="1" ht="3" customHeight="1" x14ac:dyDescent="0.25">
      <c r="E248" s="789"/>
      <c r="F248" s="789"/>
      <c r="G248" s="789"/>
      <c r="H248" s="790"/>
      <c r="AD248" s="791"/>
      <c r="AE248" s="792"/>
    </row>
    <row r="249" spans="5:31" s="134" customFormat="1" ht="3" customHeight="1" x14ac:dyDescent="0.25">
      <c r="E249" s="789"/>
      <c r="F249" s="789"/>
      <c r="G249" s="789"/>
      <c r="H249" s="790"/>
      <c r="AD249" s="791"/>
      <c r="AE249" s="792"/>
    </row>
    <row r="250" spans="5:31" s="134" customFormat="1" ht="3" customHeight="1" x14ac:dyDescent="0.25">
      <c r="E250" s="789"/>
      <c r="F250" s="789"/>
      <c r="G250" s="789"/>
      <c r="H250" s="790"/>
      <c r="AD250" s="791"/>
      <c r="AE250" s="792"/>
    </row>
    <row r="251" spans="5:31" s="134" customFormat="1" ht="3" customHeight="1" x14ac:dyDescent="0.25">
      <c r="E251" s="789"/>
      <c r="F251" s="789"/>
      <c r="G251" s="789"/>
      <c r="H251" s="790"/>
      <c r="AD251" s="791"/>
      <c r="AE251" s="792"/>
    </row>
    <row r="252" spans="5:31" s="134" customFormat="1" ht="3" customHeight="1" x14ac:dyDescent="0.25">
      <c r="E252" s="789"/>
      <c r="F252" s="789"/>
      <c r="G252" s="789"/>
      <c r="H252" s="790"/>
      <c r="AD252" s="791"/>
      <c r="AE252" s="792"/>
    </row>
    <row r="253" spans="5:31" s="134" customFormat="1" ht="3" customHeight="1" x14ac:dyDescent="0.25">
      <c r="E253" s="789"/>
      <c r="F253" s="789"/>
      <c r="G253" s="789"/>
      <c r="H253" s="790"/>
      <c r="AD253" s="791"/>
      <c r="AE253" s="792"/>
    </row>
    <row r="254" spans="5:31" s="134" customFormat="1" ht="3" customHeight="1" x14ac:dyDescent="0.25">
      <c r="E254" s="789"/>
      <c r="F254" s="789"/>
      <c r="G254" s="789"/>
      <c r="H254" s="790"/>
      <c r="AD254" s="791"/>
      <c r="AE254" s="792"/>
    </row>
    <row r="255" spans="5:31" s="134" customFormat="1" ht="3" customHeight="1" x14ac:dyDescent="0.25">
      <c r="E255" s="789"/>
      <c r="F255" s="789"/>
      <c r="G255" s="789"/>
      <c r="H255" s="790"/>
      <c r="AD255" s="791"/>
      <c r="AE255" s="792"/>
    </row>
    <row r="256" spans="5:31" s="134" customFormat="1" ht="3" customHeight="1" x14ac:dyDescent="0.25">
      <c r="E256" s="789"/>
      <c r="F256" s="789"/>
      <c r="G256" s="789"/>
      <c r="H256" s="790"/>
      <c r="AD256" s="791"/>
      <c r="AE256" s="792"/>
    </row>
    <row r="257" spans="5:31" s="134" customFormat="1" ht="3" customHeight="1" x14ac:dyDescent="0.25">
      <c r="E257" s="789"/>
      <c r="F257" s="789"/>
      <c r="G257" s="789"/>
      <c r="H257" s="790"/>
      <c r="AD257" s="791"/>
      <c r="AE257" s="792"/>
    </row>
    <row r="258" spans="5:31" s="134" customFormat="1" ht="3" customHeight="1" x14ac:dyDescent="0.25">
      <c r="E258" s="789"/>
      <c r="F258" s="789"/>
      <c r="G258" s="789"/>
      <c r="H258" s="790"/>
      <c r="AD258" s="791"/>
      <c r="AE258" s="792"/>
    </row>
    <row r="259" spans="5:31" s="134" customFormat="1" ht="3" customHeight="1" x14ac:dyDescent="0.25">
      <c r="E259" s="789"/>
      <c r="F259" s="789"/>
      <c r="G259" s="789"/>
      <c r="H259" s="790"/>
      <c r="AD259" s="791"/>
      <c r="AE259" s="792"/>
    </row>
    <row r="260" spans="5:31" s="134" customFormat="1" ht="3" customHeight="1" x14ac:dyDescent="0.25">
      <c r="E260" s="789"/>
      <c r="F260" s="789"/>
      <c r="G260" s="789"/>
      <c r="H260" s="790"/>
      <c r="AD260" s="791"/>
      <c r="AE260" s="792"/>
    </row>
    <row r="261" spans="5:31" s="134" customFormat="1" ht="3" customHeight="1" x14ac:dyDescent="0.25">
      <c r="E261" s="789"/>
      <c r="F261" s="789"/>
      <c r="G261" s="789"/>
      <c r="H261" s="790"/>
      <c r="AD261" s="791"/>
      <c r="AE261" s="792"/>
    </row>
    <row r="262" spans="5:31" s="134" customFormat="1" ht="3" customHeight="1" x14ac:dyDescent="0.25">
      <c r="E262" s="789"/>
      <c r="F262" s="789"/>
      <c r="G262" s="789"/>
      <c r="H262" s="790"/>
      <c r="AD262" s="791"/>
      <c r="AE262" s="792"/>
    </row>
    <row r="263" spans="5:31" s="134" customFormat="1" ht="3" customHeight="1" x14ac:dyDescent="0.25">
      <c r="E263" s="789"/>
      <c r="F263" s="789"/>
      <c r="G263" s="789"/>
      <c r="H263" s="790"/>
      <c r="AD263" s="791"/>
      <c r="AE263" s="792"/>
    </row>
    <row r="264" spans="5:31" s="134" customFormat="1" ht="3" customHeight="1" x14ac:dyDescent="0.25">
      <c r="E264" s="789"/>
      <c r="F264" s="789"/>
      <c r="G264" s="789"/>
      <c r="H264" s="790"/>
      <c r="AD264" s="791"/>
      <c r="AE264" s="792"/>
    </row>
    <row r="265" spans="5:31" s="134" customFormat="1" ht="3" customHeight="1" x14ac:dyDescent="0.25">
      <c r="E265" s="789"/>
      <c r="F265" s="789"/>
      <c r="G265" s="789"/>
      <c r="H265" s="790"/>
      <c r="AD265" s="791"/>
      <c r="AE265" s="792"/>
    </row>
    <row r="266" spans="5:31" s="134" customFormat="1" ht="3" customHeight="1" x14ac:dyDescent="0.25">
      <c r="E266" s="789"/>
      <c r="F266" s="789"/>
      <c r="G266" s="789"/>
      <c r="H266" s="790"/>
      <c r="AD266" s="791"/>
      <c r="AE266" s="792"/>
    </row>
    <row r="267" spans="5:31" s="134" customFormat="1" ht="3" customHeight="1" x14ac:dyDescent="0.25">
      <c r="E267" s="789"/>
      <c r="F267" s="789"/>
      <c r="G267" s="789"/>
      <c r="H267" s="790"/>
      <c r="AD267" s="791"/>
      <c r="AE267" s="792"/>
    </row>
    <row r="268" spans="5:31" s="134" customFormat="1" ht="3" customHeight="1" x14ac:dyDescent="0.25">
      <c r="E268" s="789"/>
      <c r="F268" s="789"/>
      <c r="G268" s="789"/>
      <c r="H268" s="790"/>
      <c r="AD268" s="791"/>
      <c r="AE268" s="792"/>
    </row>
    <row r="269" spans="5:31" s="134" customFormat="1" ht="3" customHeight="1" x14ac:dyDescent="0.25">
      <c r="E269" s="789"/>
      <c r="F269" s="789"/>
      <c r="G269" s="789"/>
      <c r="H269" s="790"/>
      <c r="AD269" s="791"/>
      <c r="AE269" s="792"/>
    </row>
    <row r="270" spans="5:31" s="134" customFormat="1" ht="3" customHeight="1" x14ac:dyDescent="0.25">
      <c r="E270" s="789"/>
      <c r="F270" s="789"/>
      <c r="G270" s="789"/>
      <c r="H270" s="790"/>
      <c r="AD270" s="791"/>
      <c r="AE270" s="792"/>
    </row>
    <row r="271" spans="5:31" s="134" customFormat="1" ht="3" customHeight="1" x14ac:dyDescent="0.25">
      <c r="E271" s="789"/>
      <c r="F271" s="789"/>
      <c r="G271" s="789"/>
      <c r="H271" s="790"/>
      <c r="AD271" s="791"/>
      <c r="AE271" s="792"/>
    </row>
    <row r="272" spans="5:31" s="134" customFormat="1" ht="3" customHeight="1" x14ac:dyDescent="0.25">
      <c r="E272" s="789"/>
      <c r="F272" s="789"/>
      <c r="G272" s="789"/>
      <c r="H272" s="790"/>
      <c r="AD272" s="791"/>
      <c r="AE272" s="792"/>
    </row>
    <row r="273" spans="5:31" s="134" customFormat="1" ht="3" customHeight="1" x14ac:dyDescent="0.25">
      <c r="E273" s="789"/>
      <c r="F273" s="789"/>
      <c r="G273" s="789"/>
      <c r="H273" s="790"/>
      <c r="AD273" s="791"/>
      <c r="AE273" s="792"/>
    </row>
    <row r="274" spans="5:31" s="134" customFormat="1" ht="3" customHeight="1" x14ac:dyDescent="0.25">
      <c r="E274" s="789"/>
      <c r="F274" s="789"/>
      <c r="G274" s="789"/>
      <c r="H274" s="790"/>
      <c r="AD274" s="791"/>
      <c r="AE274" s="792"/>
    </row>
    <row r="275" spans="5:31" s="134" customFormat="1" ht="3" customHeight="1" x14ac:dyDescent="0.25">
      <c r="E275" s="789"/>
      <c r="F275" s="789"/>
      <c r="G275" s="789"/>
      <c r="H275" s="790"/>
      <c r="AD275" s="791"/>
      <c r="AE275" s="792"/>
    </row>
    <row r="276" spans="5:31" s="134" customFormat="1" ht="3" customHeight="1" x14ac:dyDescent="0.25">
      <c r="E276" s="789"/>
      <c r="F276" s="789"/>
      <c r="G276" s="789"/>
      <c r="H276" s="790"/>
      <c r="AD276" s="791"/>
      <c r="AE276" s="792"/>
    </row>
    <row r="277" spans="5:31" s="134" customFormat="1" ht="3" customHeight="1" x14ac:dyDescent="0.25">
      <c r="E277" s="789"/>
      <c r="F277" s="789"/>
      <c r="G277" s="789"/>
      <c r="H277" s="790"/>
      <c r="AD277" s="791"/>
      <c r="AE277" s="792"/>
    </row>
    <row r="278" spans="5:31" s="134" customFormat="1" ht="3" customHeight="1" x14ac:dyDescent="0.25">
      <c r="E278" s="789"/>
      <c r="F278" s="789"/>
      <c r="G278" s="789"/>
      <c r="H278" s="790"/>
      <c r="AD278" s="791"/>
      <c r="AE278" s="792"/>
    </row>
    <row r="279" spans="5:31" s="134" customFormat="1" ht="3" customHeight="1" x14ac:dyDescent="0.25">
      <c r="E279" s="789"/>
      <c r="F279" s="789"/>
      <c r="G279" s="789"/>
      <c r="H279" s="790"/>
      <c r="AD279" s="791"/>
      <c r="AE279" s="792"/>
    </row>
    <row r="280" spans="5:31" s="134" customFormat="1" ht="3" customHeight="1" x14ac:dyDescent="0.25">
      <c r="E280" s="789"/>
      <c r="F280" s="789"/>
      <c r="G280" s="789"/>
      <c r="H280" s="790"/>
      <c r="AD280" s="791"/>
      <c r="AE280" s="792"/>
    </row>
    <row r="281" spans="5:31" s="134" customFormat="1" ht="3" customHeight="1" x14ac:dyDescent="0.25">
      <c r="E281" s="789"/>
      <c r="F281" s="789"/>
      <c r="G281" s="789"/>
      <c r="H281" s="790"/>
      <c r="AD281" s="791"/>
      <c r="AE281" s="792"/>
    </row>
    <row r="282" spans="5:31" s="134" customFormat="1" ht="3" customHeight="1" x14ac:dyDescent="0.25">
      <c r="E282" s="789"/>
      <c r="F282" s="789"/>
      <c r="G282" s="789"/>
      <c r="H282" s="790"/>
      <c r="AD282" s="791"/>
      <c r="AE282" s="792"/>
    </row>
    <row r="283" spans="5:31" s="134" customFormat="1" ht="3" customHeight="1" x14ac:dyDescent="0.25">
      <c r="E283" s="789"/>
      <c r="F283" s="789"/>
      <c r="G283" s="789"/>
      <c r="H283" s="790"/>
      <c r="AD283" s="791"/>
      <c r="AE283" s="792"/>
    </row>
    <row r="284" spans="5:31" s="134" customFormat="1" ht="3" customHeight="1" x14ac:dyDescent="0.25">
      <c r="E284" s="789"/>
      <c r="F284" s="789"/>
      <c r="G284" s="789"/>
      <c r="H284" s="790"/>
      <c r="AD284" s="791"/>
      <c r="AE284" s="792"/>
    </row>
    <row r="285" spans="5:31" s="134" customFormat="1" ht="3" customHeight="1" x14ac:dyDescent="0.25">
      <c r="E285" s="789"/>
      <c r="F285" s="789"/>
      <c r="G285" s="789"/>
      <c r="H285" s="790"/>
      <c r="AD285" s="791"/>
      <c r="AE285" s="792"/>
    </row>
    <row r="286" spans="5:31" s="134" customFormat="1" ht="3" customHeight="1" x14ac:dyDescent="0.25">
      <c r="E286" s="789"/>
      <c r="F286" s="789"/>
      <c r="G286" s="789"/>
      <c r="H286" s="790"/>
      <c r="AD286" s="791"/>
      <c r="AE286" s="792"/>
    </row>
    <row r="287" spans="5:31" s="134" customFormat="1" ht="3" customHeight="1" x14ac:dyDescent="0.25">
      <c r="E287" s="789"/>
      <c r="F287" s="789"/>
      <c r="G287" s="789"/>
      <c r="H287" s="790"/>
      <c r="AD287" s="791"/>
      <c r="AE287" s="792"/>
    </row>
    <row r="288" spans="5:31" s="134" customFormat="1" ht="3" customHeight="1" x14ac:dyDescent="0.25">
      <c r="E288" s="789"/>
      <c r="F288" s="789"/>
      <c r="G288" s="789"/>
      <c r="H288" s="790"/>
      <c r="AD288" s="791"/>
      <c r="AE288" s="792"/>
    </row>
    <row r="289" spans="5:31" s="134" customFormat="1" ht="3" customHeight="1" x14ac:dyDescent="0.25">
      <c r="E289" s="789"/>
      <c r="F289" s="789"/>
      <c r="G289" s="789"/>
      <c r="H289" s="790"/>
      <c r="AD289" s="791"/>
      <c r="AE289" s="792"/>
    </row>
    <row r="290" spans="5:31" s="134" customFormat="1" ht="3" customHeight="1" x14ac:dyDescent="0.25">
      <c r="E290" s="789"/>
      <c r="F290" s="789"/>
      <c r="G290" s="789"/>
      <c r="H290" s="790"/>
      <c r="AD290" s="791"/>
      <c r="AE290" s="792"/>
    </row>
    <row r="291" spans="5:31" s="134" customFormat="1" ht="3" customHeight="1" x14ac:dyDescent="0.25">
      <c r="E291" s="789"/>
      <c r="F291" s="789"/>
      <c r="G291" s="789"/>
      <c r="H291" s="790"/>
      <c r="AD291" s="791"/>
      <c r="AE291" s="792"/>
    </row>
    <row r="292" spans="5:31" s="134" customFormat="1" ht="3" customHeight="1" x14ac:dyDescent="0.25">
      <c r="E292" s="789"/>
      <c r="F292" s="789"/>
      <c r="G292" s="789"/>
      <c r="H292" s="790"/>
      <c r="AD292" s="791"/>
      <c r="AE292" s="792"/>
    </row>
    <row r="293" spans="5:31" s="134" customFormat="1" ht="3" customHeight="1" x14ac:dyDescent="0.25">
      <c r="E293" s="789"/>
      <c r="F293" s="789"/>
      <c r="G293" s="789"/>
      <c r="H293" s="790"/>
      <c r="AD293" s="791"/>
      <c r="AE293" s="792"/>
    </row>
    <row r="294" spans="5:31" s="134" customFormat="1" ht="3" customHeight="1" x14ac:dyDescent="0.25">
      <c r="E294" s="789"/>
      <c r="F294" s="789"/>
      <c r="G294" s="789"/>
      <c r="H294" s="790"/>
      <c r="AD294" s="791"/>
      <c r="AE294" s="792"/>
    </row>
    <row r="295" spans="5:31" s="134" customFormat="1" ht="3" customHeight="1" x14ac:dyDescent="0.25">
      <c r="E295" s="789"/>
      <c r="F295" s="789"/>
      <c r="G295" s="789"/>
      <c r="H295" s="790"/>
      <c r="AD295" s="791"/>
      <c r="AE295" s="792"/>
    </row>
    <row r="296" spans="5:31" s="134" customFormat="1" ht="3" customHeight="1" x14ac:dyDescent="0.25">
      <c r="E296" s="789"/>
      <c r="F296" s="789"/>
      <c r="G296" s="789"/>
      <c r="H296" s="790"/>
      <c r="AD296" s="791"/>
      <c r="AE296" s="792"/>
    </row>
    <row r="297" spans="5:31" s="134" customFormat="1" ht="3" customHeight="1" x14ac:dyDescent="0.25">
      <c r="E297" s="789"/>
      <c r="F297" s="789"/>
      <c r="G297" s="789"/>
      <c r="H297" s="790"/>
      <c r="AD297" s="791"/>
      <c r="AE297" s="792"/>
    </row>
    <row r="298" spans="5:31" s="134" customFormat="1" ht="3" customHeight="1" x14ac:dyDescent="0.25">
      <c r="E298" s="789"/>
      <c r="F298" s="789"/>
      <c r="G298" s="789"/>
      <c r="H298" s="790"/>
      <c r="AD298" s="791"/>
      <c r="AE298" s="792"/>
    </row>
    <row r="299" spans="5:31" s="134" customFormat="1" ht="3" customHeight="1" x14ac:dyDescent="0.25">
      <c r="E299" s="789"/>
      <c r="F299" s="789"/>
      <c r="G299" s="789"/>
      <c r="H299" s="790"/>
      <c r="AD299" s="791"/>
      <c r="AE299" s="792"/>
    </row>
    <row r="300" spans="5:31" s="134" customFormat="1" ht="3" customHeight="1" x14ac:dyDescent="0.25">
      <c r="E300" s="789"/>
      <c r="F300" s="789"/>
      <c r="G300" s="789"/>
      <c r="H300" s="790"/>
      <c r="AD300" s="791"/>
      <c r="AE300" s="792"/>
    </row>
    <row r="301" spans="5:31" s="134" customFormat="1" ht="3" customHeight="1" x14ac:dyDescent="0.25">
      <c r="E301" s="789"/>
      <c r="F301" s="789"/>
      <c r="G301" s="789"/>
      <c r="H301" s="790"/>
      <c r="AD301" s="791"/>
      <c r="AE301" s="792"/>
    </row>
    <row r="302" spans="5:31" s="134" customFormat="1" ht="3" customHeight="1" x14ac:dyDescent="0.25">
      <c r="E302" s="789"/>
      <c r="F302" s="789"/>
      <c r="G302" s="789"/>
      <c r="H302" s="790"/>
      <c r="AD302" s="791"/>
      <c r="AE302" s="792"/>
    </row>
    <row r="303" spans="5:31" s="134" customFormat="1" ht="3" customHeight="1" x14ac:dyDescent="0.25">
      <c r="E303" s="789"/>
      <c r="F303" s="789"/>
      <c r="G303" s="789"/>
      <c r="H303" s="790"/>
      <c r="AD303" s="791"/>
      <c r="AE303" s="792"/>
    </row>
    <row r="304" spans="5:31" s="134" customFormat="1" ht="3" customHeight="1" x14ac:dyDescent="0.25">
      <c r="E304" s="789"/>
      <c r="F304" s="789"/>
      <c r="G304" s="789"/>
      <c r="H304" s="790"/>
      <c r="AD304" s="791"/>
      <c r="AE304" s="792"/>
    </row>
    <row r="305" spans="5:31" s="134" customFormat="1" ht="3" customHeight="1" x14ac:dyDescent="0.25">
      <c r="E305" s="789"/>
      <c r="F305" s="789"/>
      <c r="G305" s="789"/>
      <c r="H305" s="790"/>
      <c r="AD305" s="791"/>
      <c r="AE305" s="792"/>
    </row>
    <row r="306" spans="5:31" s="134" customFormat="1" ht="3" customHeight="1" x14ac:dyDescent="0.25">
      <c r="E306" s="789"/>
      <c r="F306" s="789"/>
      <c r="G306" s="789"/>
      <c r="H306" s="790"/>
      <c r="AD306" s="791"/>
      <c r="AE306" s="792"/>
    </row>
    <row r="307" spans="5:31" s="134" customFormat="1" ht="3" customHeight="1" x14ac:dyDescent="0.25">
      <c r="E307" s="789"/>
      <c r="F307" s="789"/>
      <c r="G307" s="789"/>
      <c r="H307" s="790"/>
      <c r="AD307" s="791"/>
      <c r="AE307" s="792"/>
    </row>
    <row r="308" spans="5:31" s="134" customFormat="1" ht="3" customHeight="1" x14ac:dyDescent="0.25">
      <c r="E308" s="789"/>
      <c r="F308" s="789"/>
      <c r="G308" s="789"/>
      <c r="H308" s="790"/>
      <c r="AD308" s="791"/>
      <c r="AE308" s="792"/>
    </row>
    <row r="309" spans="5:31" s="134" customFormat="1" ht="12.75" customHeight="1" x14ac:dyDescent="0.25">
      <c r="E309" s="789"/>
      <c r="F309" s="789"/>
      <c r="G309" s="789"/>
      <c r="H309" s="790"/>
      <c r="AD309" s="791"/>
      <c r="AE309" s="792"/>
    </row>
    <row r="310" spans="5:31" s="134" customFormat="1" ht="12.75" customHeight="1" x14ac:dyDescent="0.25">
      <c r="E310" s="789"/>
      <c r="F310" s="789"/>
      <c r="G310" s="789"/>
      <c r="H310" s="790"/>
      <c r="AD310" s="791"/>
      <c r="AE310" s="792"/>
    </row>
    <row r="311" spans="5:31" s="134" customFormat="1" ht="12.75" customHeight="1" x14ac:dyDescent="0.25">
      <c r="E311" s="789"/>
      <c r="F311" s="789"/>
      <c r="G311" s="789"/>
      <c r="H311" s="790"/>
      <c r="AD311" s="791"/>
      <c r="AE311" s="792"/>
    </row>
    <row r="312" spans="5:31" s="134" customFormat="1" ht="12.75" customHeight="1" x14ac:dyDescent="0.25">
      <c r="E312" s="789"/>
      <c r="F312" s="789"/>
      <c r="G312" s="789"/>
      <c r="H312" s="790"/>
      <c r="AD312" s="791"/>
      <c r="AE312" s="792"/>
    </row>
    <row r="313" spans="5:31" s="134" customFormat="1" ht="12.75" customHeight="1" x14ac:dyDescent="0.25">
      <c r="E313" s="789"/>
      <c r="F313" s="789"/>
      <c r="G313" s="789"/>
      <c r="H313" s="790"/>
      <c r="AD313" s="791"/>
      <c r="AE313" s="792"/>
    </row>
    <row r="314" spans="5:31" s="134" customFormat="1" ht="12.75" customHeight="1" x14ac:dyDescent="0.25">
      <c r="E314" s="789"/>
      <c r="F314" s="789"/>
      <c r="G314" s="789"/>
      <c r="H314" s="790"/>
      <c r="AD314" s="791"/>
      <c r="AE314" s="792"/>
    </row>
    <row r="315" spans="5:31" s="134" customFormat="1" ht="12.75" customHeight="1" x14ac:dyDescent="0.25">
      <c r="E315" s="789"/>
      <c r="F315" s="789"/>
      <c r="G315" s="789"/>
      <c r="H315" s="790"/>
      <c r="AD315" s="791"/>
      <c r="AE315" s="792"/>
    </row>
    <row r="316" spans="5:31" s="134" customFormat="1" ht="12.75" customHeight="1" x14ac:dyDescent="0.25">
      <c r="E316" s="789"/>
      <c r="F316" s="789"/>
      <c r="G316" s="789"/>
      <c r="H316" s="790"/>
      <c r="AD316" s="791"/>
      <c r="AE316" s="792"/>
    </row>
    <row r="317" spans="5:31" s="134" customFormat="1" ht="12.75" customHeight="1" x14ac:dyDescent="0.25">
      <c r="E317" s="789"/>
      <c r="F317" s="789"/>
      <c r="G317" s="789"/>
      <c r="H317" s="790"/>
      <c r="AD317" s="791"/>
      <c r="AE317" s="792"/>
    </row>
    <row r="318" spans="5:31" s="134" customFormat="1" ht="12.75" customHeight="1" x14ac:dyDescent="0.25">
      <c r="E318" s="789"/>
      <c r="F318" s="789"/>
      <c r="G318" s="789"/>
      <c r="H318" s="790"/>
      <c r="AD318" s="791"/>
      <c r="AE318" s="792"/>
    </row>
    <row r="319" spans="5:31" s="134" customFormat="1" ht="12.75" customHeight="1" x14ac:dyDescent="0.25">
      <c r="E319" s="789"/>
      <c r="F319" s="789"/>
      <c r="G319" s="789"/>
      <c r="H319" s="790"/>
      <c r="AD319" s="791"/>
      <c r="AE319" s="792"/>
    </row>
    <row r="320" spans="5:31" s="134" customFormat="1" ht="12.75" customHeight="1" x14ac:dyDescent="0.25">
      <c r="E320" s="789"/>
      <c r="F320" s="789"/>
      <c r="G320" s="789"/>
      <c r="H320" s="790"/>
      <c r="AD320" s="791"/>
      <c r="AE320" s="792"/>
    </row>
    <row r="321" spans="5:31" s="134" customFormat="1" ht="12.75" customHeight="1" x14ac:dyDescent="0.25">
      <c r="E321" s="789"/>
      <c r="F321" s="789"/>
      <c r="G321" s="789"/>
      <c r="H321" s="790"/>
      <c r="AD321" s="791"/>
      <c r="AE321" s="792"/>
    </row>
    <row r="322" spans="5:31" s="134" customFormat="1" ht="12.75" customHeight="1" x14ac:dyDescent="0.25">
      <c r="E322" s="789"/>
      <c r="F322" s="789"/>
      <c r="G322" s="789"/>
      <c r="H322" s="790"/>
      <c r="AD322" s="791"/>
      <c r="AE322" s="792"/>
    </row>
    <row r="323" spans="5:31" s="134" customFormat="1" ht="12.75" customHeight="1" x14ac:dyDescent="0.25">
      <c r="E323" s="789"/>
      <c r="F323" s="789"/>
      <c r="G323" s="789"/>
      <c r="H323" s="790"/>
      <c r="AD323" s="791"/>
      <c r="AE323" s="792"/>
    </row>
    <row r="324" spans="5:31" s="134" customFormat="1" ht="12.75" customHeight="1" x14ac:dyDescent="0.25">
      <c r="E324" s="789"/>
      <c r="F324" s="789"/>
      <c r="G324" s="789"/>
      <c r="H324" s="790"/>
      <c r="AD324" s="791"/>
      <c r="AE324" s="792"/>
    </row>
    <row r="325" spans="5:31" s="134" customFormat="1" ht="12.75" customHeight="1" x14ac:dyDescent="0.25">
      <c r="E325" s="789"/>
      <c r="F325" s="789"/>
      <c r="G325" s="789"/>
      <c r="H325" s="790"/>
      <c r="AD325" s="791"/>
      <c r="AE325" s="792"/>
    </row>
    <row r="326" spans="5:31" s="134" customFormat="1" ht="12.75" customHeight="1" x14ac:dyDescent="0.25">
      <c r="E326" s="789"/>
      <c r="F326" s="789"/>
      <c r="G326" s="789"/>
      <c r="H326" s="790"/>
      <c r="AD326" s="791"/>
      <c r="AE326" s="792"/>
    </row>
    <row r="327" spans="5:31" s="134" customFormat="1" ht="12.75" customHeight="1" x14ac:dyDescent="0.25">
      <c r="E327" s="789"/>
      <c r="F327" s="789"/>
      <c r="G327" s="789"/>
      <c r="H327" s="790"/>
      <c r="AD327" s="791"/>
      <c r="AE327" s="792"/>
    </row>
    <row r="328" spans="5:31" s="134" customFormat="1" ht="12.75" customHeight="1" x14ac:dyDescent="0.25">
      <c r="E328" s="789"/>
      <c r="F328" s="789"/>
      <c r="G328" s="789"/>
      <c r="H328" s="790"/>
      <c r="AD328" s="791"/>
      <c r="AE328" s="792"/>
    </row>
    <row r="329" spans="5:31" s="134" customFormat="1" ht="12.75" customHeight="1" x14ac:dyDescent="0.25">
      <c r="E329" s="789"/>
      <c r="F329" s="789"/>
      <c r="G329" s="789"/>
      <c r="H329" s="790"/>
      <c r="AD329" s="791"/>
      <c r="AE329" s="792"/>
    </row>
    <row r="330" spans="5:31" s="134" customFormat="1" ht="12.75" customHeight="1" x14ac:dyDescent="0.25">
      <c r="E330" s="789"/>
      <c r="F330" s="789"/>
      <c r="G330" s="789"/>
      <c r="H330" s="790"/>
      <c r="AD330" s="791"/>
      <c r="AE330" s="792"/>
    </row>
    <row r="331" spans="5:31" s="134" customFormat="1" ht="12.75" customHeight="1" x14ac:dyDescent="0.25">
      <c r="E331" s="789"/>
      <c r="F331" s="789"/>
      <c r="G331" s="789"/>
      <c r="H331" s="790"/>
      <c r="AD331" s="791"/>
      <c r="AE331" s="792"/>
    </row>
    <row r="332" spans="5:31" s="134" customFormat="1" ht="12.75" customHeight="1" x14ac:dyDescent="0.25">
      <c r="E332" s="789"/>
      <c r="F332" s="789"/>
      <c r="G332" s="789"/>
      <c r="H332" s="790"/>
      <c r="AD332" s="791"/>
      <c r="AE332" s="792"/>
    </row>
    <row r="333" spans="5:31" s="134" customFormat="1" ht="12.75" customHeight="1" x14ac:dyDescent="0.25">
      <c r="E333" s="789"/>
      <c r="F333" s="789"/>
      <c r="G333" s="789"/>
      <c r="H333" s="790"/>
      <c r="AD333" s="791"/>
      <c r="AE333" s="792"/>
    </row>
    <row r="334" spans="5:31" s="134" customFormat="1" ht="12.75" customHeight="1" x14ac:dyDescent="0.25">
      <c r="E334" s="789"/>
      <c r="F334" s="789"/>
      <c r="G334" s="789"/>
      <c r="H334" s="790"/>
      <c r="AD334" s="791"/>
      <c r="AE334" s="792"/>
    </row>
    <row r="335" spans="5:31" s="134" customFormat="1" ht="12.75" customHeight="1" x14ac:dyDescent="0.25">
      <c r="E335" s="789"/>
      <c r="F335" s="789"/>
      <c r="G335" s="789"/>
      <c r="H335" s="790"/>
      <c r="AD335" s="791"/>
      <c r="AE335" s="792"/>
    </row>
    <row r="336" spans="5:31" s="134" customFormat="1" ht="12.75" customHeight="1" x14ac:dyDescent="0.25">
      <c r="E336" s="789"/>
      <c r="F336" s="789"/>
      <c r="G336" s="789"/>
      <c r="H336" s="790"/>
      <c r="AD336" s="791"/>
      <c r="AE336" s="792"/>
    </row>
    <row r="337" spans="5:31" s="134" customFormat="1" ht="12.75" customHeight="1" x14ac:dyDescent="0.25">
      <c r="E337" s="789"/>
      <c r="F337" s="789"/>
      <c r="G337" s="789"/>
      <c r="H337" s="790"/>
      <c r="AD337" s="791"/>
      <c r="AE337" s="792"/>
    </row>
    <row r="338" spans="5:31" s="134" customFormat="1" ht="12.75" customHeight="1" x14ac:dyDescent="0.25">
      <c r="E338" s="789"/>
      <c r="F338" s="789"/>
      <c r="G338" s="789"/>
      <c r="H338" s="790"/>
      <c r="AD338" s="791"/>
      <c r="AE338" s="792"/>
    </row>
    <row r="339" spans="5:31" s="134" customFormat="1" ht="12.75" customHeight="1" x14ac:dyDescent="0.25">
      <c r="E339" s="789"/>
      <c r="F339" s="789"/>
      <c r="G339" s="789"/>
      <c r="H339" s="790"/>
      <c r="AD339" s="791"/>
      <c r="AE339" s="792"/>
    </row>
    <row r="340" spans="5:31" s="134" customFormat="1" ht="12.75" customHeight="1" x14ac:dyDescent="0.25">
      <c r="E340" s="789"/>
      <c r="F340" s="789"/>
      <c r="G340" s="789"/>
      <c r="H340" s="790"/>
      <c r="AD340" s="791"/>
      <c r="AE340" s="792"/>
    </row>
    <row r="341" spans="5:31" s="134" customFormat="1" ht="12.75" customHeight="1" x14ac:dyDescent="0.25">
      <c r="E341" s="789"/>
      <c r="F341" s="789"/>
      <c r="G341" s="789"/>
      <c r="H341" s="790"/>
      <c r="AD341" s="791"/>
      <c r="AE341" s="792"/>
    </row>
    <row r="342" spans="5:31" s="134" customFormat="1" ht="12.75" customHeight="1" x14ac:dyDescent="0.25">
      <c r="E342" s="789"/>
      <c r="F342" s="789"/>
      <c r="G342" s="789"/>
      <c r="H342" s="790"/>
      <c r="AD342" s="791"/>
      <c r="AE342" s="792"/>
    </row>
    <row r="343" spans="5:31" s="134" customFormat="1" ht="12.75" customHeight="1" x14ac:dyDescent="0.25">
      <c r="E343" s="789"/>
      <c r="F343" s="789"/>
      <c r="G343" s="789"/>
      <c r="H343" s="790"/>
      <c r="AD343" s="791"/>
      <c r="AE343" s="792"/>
    </row>
    <row r="344" spans="5:31" s="134" customFormat="1" ht="12.75" customHeight="1" x14ac:dyDescent="0.25">
      <c r="E344" s="789"/>
      <c r="F344" s="789"/>
      <c r="G344" s="789"/>
      <c r="H344" s="790"/>
      <c r="AD344" s="791"/>
      <c r="AE344" s="792"/>
    </row>
    <row r="345" spans="5:31" s="134" customFormat="1" ht="12.75" customHeight="1" x14ac:dyDescent="0.25">
      <c r="E345" s="789"/>
      <c r="F345" s="789"/>
      <c r="G345" s="789"/>
      <c r="H345" s="790"/>
      <c r="AD345" s="791"/>
      <c r="AE345" s="792"/>
    </row>
    <row r="346" spans="5:31" s="134" customFormat="1" ht="12.75" customHeight="1" x14ac:dyDescent="0.25">
      <c r="E346" s="789"/>
      <c r="F346" s="789"/>
      <c r="G346" s="789"/>
      <c r="H346" s="790"/>
      <c r="AD346" s="791"/>
      <c r="AE346" s="792"/>
    </row>
    <row r="347" spans="5:31" s="134" customFormat="1" ht="12.75" customHeight="1" x14ac:dyDescent="0.25">
      <c r="E347" s="789"/>
      <c r="F347" s="789"/>
      <c r="G347" s="789"/>
      <c r="H347" s="790"/>
      <c r="AD347" s="791"/>
      <c r="AE347" s="792"/>
    </row>
    <row r="348" spans="5:31" s="134" customFormat="1" ht="12.75" customHeight="1" x14ac:dyDescent="0.25">
      <c r="E348" s="789"/>
      <c r="F348" s="789"/>
      <c r="G348" s="789"/>
      <c r="H348" s="790"/>
      <c r="AD348" s="791"/>
      <c r="AE348" s="792"/>
    </row>
    <row r="349" spans="5:31" s="134" customFormat="1" ht="12.75" customHeight="1" x14ac:dyDescent="0.25">
      <c r="E349" s="789"/>
      <c r="F349" s="789"/>
      <c r="G349" s="789"/>
      <c r="H349" s="790"/>
      <c r="AD349" s="791"/>
      <c r="AE349" s="792"/>
    </row>
    <row r="350" spans="5:31" s="134" customFormat="1" ht="12.75" customHeight="1" x14ac:dyDescent="0.25">
      <c r="E350" s="789"/>
      <c r="F350" s="789"/>
      <c r="G350" s="789"/>
      <c r="H350" s="790"/>
      <c r="AD350" s="791"/>
      <c r="AE350" s="792"/>
    </row>
    <row r="351" spans="5:31" s="134" customFormat="1" ht="12.75" customHeight="1" x14ac:dyDescent="0.25">
      <c r="E351" s="789"/>
      <c r="F351" s="789"/>
      <c r="G351" s="789"/>
      <c r="H351" s="790"/>
      <c r="AD351" s="791"/>
      <c r="AE351" s="792"/>
    </row>
    <row r="352" spans="5:31" s="134" customFormat="1" ht="12.75" customHeight="1" x14ac:dyDescent="0.25">
      <c r="E352" s="789"/>
      <c r="F352" s="789"/>
      <c r="G352" s="789"/>
      <c r="H352" s="790"/>
      <c r="AD352" s="791"/>
      <c r="AE352" s="792"/>
    </row>
    <row r="353" spans="5:31" s="134" customFormat="1" ht="12.75" customHeight="1" x14ac:dyDescent="0.25">
      <c r="E353" s="789"/>
      <c r="F353" s="789"/>
      <c r="G353" s="789"/>
      <c r="H353" s="790"/>
      <c r="AD353" s="791"/>
      <c r="AE353" s="792"/>
    </row>
    <row r="354" spans="5:31" s="134" customFormat="1" ht="12.75" customHeight="1" x14ac:dyDescent="0.25">
      <c r="E354" s="789"/>
      <c r="F354" s="789"/>
      <c r="G354" s="789"/>
      <c r="H354" s="790"/>
      <c r="AD354" s="791"/>
      <c r="AE354" s="792"/>
    </row>
    <row r="355" spans="5:31" s="134" customFormat="1" ht="12.75" customHeight="1" x14ac:dyDescent="0.25">
      <c r="E355" s="789"/>
      <c r="F355" s="789"/>
      <c r="G355" s="789"/>
      <c r="H355" s="790"/>
      <c r="AD355" s="791"/>
      <c r="AE355" s="792"/>
    </row>
    <row r="356" spans="5:31" s="134" customFormat="1" ht="12.75" customHeight="1" x14ac:dyDescent="0.25">
      <c r="E356" s="789"/>
      <c r="F356" s="789"/>
      <c r="G356" s="789"/>
      <c r="H356" s="790"/>
      <c r="AD356" s="791"/>
      <c r="AE356" s="792"/>
    </row>
    <row r="357" spans="5:31" s="134" customFormat="1" ht="12.75" customHeight="1" x14ac:dyDescent="0.25">
      <c r="E357" s="789"/>
      <c r="F357" s="789"/>
      <c r="G357" s="789"/>
      <c r="H357" s="790"/>
      <c r="AD357" s="791"/>
      <c r="AE357" s="792"/>
    </row>
    <row r="358" spans="5:31" s="134" customFormat="1" ht="12.75" customHeight="1" x14ac:dyDescent="0.25">
      <c r="E358" s="789"/>
      <c r="F358" s="789"/>
      <c r="G358" s="789"/>
      <c r="H358" s="790"/>
      <c r="AD358" s="791"/>
      <c r="AE358" s="792"/>
    </row>
    <row r="359" spans="5:31" s="134" customFormat="1" ht="12.75" customHeight="1" x14ac:dyDescent="0.25">
      <c r="E359" s="789"/>
      <c r="F359" s="789"/>
      <c r="G359" s="789"/>
      <c r="H359" s="790"/>
      <c r="AD359" s="791"/>
      <c r="AE359" s="792"/>
    </row>
    <row r="360" spans="5:31" s="134" customFormat="1" ht="12.75" customHeight="1" x14ac:dyDescent="0.25">
      <c r="E360" s="789"/>
      <c r="F360" s="789"/>
      <c r="G360" s="789"/>
      <c r="H360" s="790"/>
      <c r="AD360" s="791"/>
      <c r="AE360" s="792"/>
    </row>
    <row r="361" spans="5:31" s="134" customFormat="1" ht="12.75" customHeight="1" x14ac:dyDescent="0.25">
      <c r="E361" s="789"/>
      <c r="F361" s="789"/>
      <c r="G361" s="789"/>
      <c r="H361" s="790"/>
      <c r="AD361" s="791"/>
      <c r="AE361" s="792"/>
    </row>
    <row r="362" spans="5:31" s="134" customFormat="1" ht="12.75" customHeight="1" x14ac:dyDescent="0.25">
      <c r="E362" s="789"/>
      <c r="F362" s="789"/>
      <c r="G362" s="789"/>
      <c r="H362" s="790"/>
      <c r="AD362" s="791"/>
      <c r="AE362" s="792"/>
    </row>
    <row r="363" spans="5:31" s="134" customFormat="1" ht="12.75" customHeight="1" x14ac:dyDescent="0.25">
      <c r="E363" s="789"/>
      <c r="F363" s="789"/>
      <c r="G363" s="789"/>
      <c r="H363" s="790"/>
      <c r="AD363" s="791"/>
      <c r="AE363" s="792"/>
    </row>
    <row r="364" spans="5:31" s="134" customFormat="1" ht="12.75" customHeight="1" x14ac:dyDescent="0.25">
      <c r="E364" s="789"/>
      <c r="F364" s="789"/>
      <c r="G364" s="789"/>
      <c r="H364" s="790"/>
      <c r="AD364" s="791"/>
      <c r="AE364" s="792"/>
    </row>
    <row r="365" spans="5:31" ht="12.75" customHeight="1" x14ac:dyDescent="0.25">
      <c r="E365" s="793"/>
      <c r="F365" s="793"/>
      <c r="G365" s="793"/>
      <c r="H365" s="794"/>
    </row>
    <row r="366" spans="5:31" ht="12.75" customHeight="1" x14ac:dyDescent="0.25">
      <c r="E366" s="793"/>
      <c r="F366" s="793"/>
      <c r="G366" s="793"/>
      <c r="H366" s="794"/>
    </row>
    <row r="367" spans="5:31" ht="12.75" customHeight="1" x14ac:dyDescent="0.25">
      <c r="E367" s="793"/>
      <c r="F367" s="793"/>
      <c r="G367" s="793"/>
      <c r="H367" s="794"/>
    </row>
    <row r="368" spans="5:31" ht="12.75" customHeight="1" x14ac:dyDescent="0.25">
      <c r="E368" s="793"/>
      <c r="F368" s="793"/>
      <c r="G368" s="793"/>
      <c r="H368" s="794"/>
    </row>
    <row r="369" spans="5:8" ht="12.75" customHeight="1" x14ac:dyDescent="0.25">
      <c r="E369" s="793"/>
      <c r="F369" s="793"/>
      <c r="G369" s="793"/>
      <c r="H369" s="794"/>
    </row>
    <row r="370" spans="5:8" ht="12.75" customHeight="1" x14ac:dyDescent="0.25">
      <c r="E370" s="793"/>
      <c r="F370" s="793"/>
      <c r="G370" s="793"/>
      <c r="H370" s="794"/>
    </row>
    <row r="371" spans="5:8" ht="12.75" customHeight="1" x14ac:dyDescent="0.25">
      <c r="E371" s="793"/>
      <c r="F371" s="793"/>
      <c r="G371" s="793"/>
      <c r="H371" s="794"/>
    </row>
    <row r="372" spans="5:8" ht="12.75" customHeight="1" x14ac:dyDescent="0.25">
      <c r="E372" s="793"/>
      <c r="F372" s="793"/>
      <c r="G372" s="793"/>
      <c r="H372" s="794"/>
    </row>
    <row r="373" spans="5:8" ht="12.75" customHeight="1" x14ac:dyDescent="0.25">
      <c r="E373" s="793"/>
      <c r="F373" s="793"/>
      <c r="G373" s="793"/>
      <c r="H373" s="794"/>
    </row>
    <row r="374" spans="5:8" ht="12.75" customHeight="1" x14ac:dyDescent="0.25">
      <c r="E374" s="793"/>
      <c r="F374" s="793"/>
      <c r="G374" s="793"/>
      <c r="H374" s="794"/>
    </row>
    <row r="375" spans="5:8" ht="12.75" customHeight="1" x14ac:dyDescent="0.25">
      <c r="E375" s="793"/>
      <c r="F375" s="793"/>
      <c r="G375" s="793"/>
      <c r="H375" s="794"/>
    </row>
    <row r="376" spans="5:8" ht="12.75" customHeight="1" x14ac:dyDescent="0.25">
      <c r="E376" s="793"/>
      <c r="F376" s="793"/>
      <c r="G376" s="793"/>
      <c r="H376" s="794"/>
    </row>
    <row r="377" spans="5:8" ht="12.75" customHeight="1" x14ac:dyDescent="0.25">
      <c r="E377" s="793"/>
      <c r="F377" s="793"/>
      <c r="G377" s="793"/>
      <c r="H377" s="794"/>
    </row>
    <row r="378" spans="5:8" ht="12.75" customHeight="1" x14ac:dyDescent="0.25">
      <c r="E378" s="793"/>
      <c r="F378" s="793"/>
      <c r="G378" s="793"/>
      <c r="H378" s="794"/>
    </row>
    <row r="379" spans="5:8" ht="12.75" customHeight="1" x14ac:dyDescent="0.25">
      <c r="E379" s="793"/>
      <c r="F379" s="793"/>
      <c r="G379" s="793"/>
      <c r="H379" s="794"/>
    </row>
    <row r="380" spans="5:8" ht="12.75" customHeight="1" x14ac:dyDescent="0.25">
      <c r="E380" s="793"/>
      <c r="F380" s="793"/>
      <c r="G380" s="793"/>
      <c r="H380" s="794"/>
    </row>
    <row r="381" spans="5:8" ht="12.75" customHeight="1" x14ac:dyDescent="0.25">
      <c r="E381" s="793"/>
      <c r="F381" s="793"/>
      <c r="G381" s="793"/>
      <c r="H381" s="794"/>
    </row>
    <row r="382" spans="5:8" ht="12.75" customHeight="1" x14ac:dyDescent="0.25">
      <c r="E382" s="793"/>
      <c r="F382" s="793"/>
      <c r="G382" s="793"/>
      <c r="H382" s="794"/>
    </row>
    <row r="383" spans="5:8" ht="12.75" customHeight="1" x14ac:dyDescent="0.25">
      <c r="E383" s="793"/>
      <c r="F383" s="793"/>
      <c r="G383" s="793"/>
      <c r="H383" s="794"/>
    </row>
    <row r="384" spans="5:8" ht="12.75" customHeight="1" x14ac:dyDescent="0.25">
      <c r="E384" s="793"/>
      <c r="F384" s="793"/>
      <c r="G384" s="793"/>
      <c r="H384" s="794"/>
    </row>
    <row r="385" spans="5:8" ht="12.75" customHeight="1" x14ac:dyDescent="0.25">
      <c r="E385" s="793"/>
      <c r="F385" s="793"/>
      <c r="G385" s="793"/>
      <c r="H385" s="794"/>
    </row>
    <row r="386" spans="5:8" ht="12.75" customHeight="1" x14ac:dyDescent="0.25">
      <c r="E386" s="793"/>
      <c r="F386" s="793"/>
      <c r="G386" s="793"/>
      <c r="H386" s="794"/>
    </row>
    <row r="387" spans="5:8" ht="12.75" customHeight="1" x14ac:dyDescent="0.25">
      <c r="E387" s="793"/>
      <c r="F387" s="793"/>
      <c r="G387" s="793"/>
      <c r="H387" s="794"/>
    </row>
    <row r="388" spans="5:8" ht="12.75" customHeight="1" x14ac:dyDescent="0.25">
      <c r="E388" s="793"/>
      <c r="F388" s="793"/>
      <c r="G388" s="793"/>
      <c r="H388" s="794"/>
    </row>
    <row r="389" spans="5:8" ht="12.75" customHeight="1" x14ac:dyDescent="0.25">
      <c r="E389" s="793"/>
      <c r="F389" s="793"/>
      <c r="G389" s="793"/>
      <c r="H389" s="794"/>
    </row>
    <row r="390" spans="5:8" ht="12.75" customHeight="1" x14ac:dyDescent="0.25">
      <c r="E390" s="793"/>
      <c r="F390" s="793"/>
      <c r="G390" s="793"/>
      <c r="H390" s="794"/>
    </row>
    <row r="391" spans="5:8" ht="12.75" customHeight="1" x14ac:dyDescent="0.25">
      <c r="E391" s="793"/>
      <c r="F391" s="793"/>
      <c r="G391" s="793"/>
      <c r="H391" s="794"/>
    </row>
    <row r="392" spans="5:8" ht="12.75" customHeight="1" x14ac:dyDescent="0.25">
      <c r="E392" s="793"/>
      <c r="F392" s="793"/>
      <c r="G392" s="793"/>
      <c r="H392" s="794"/>
    </row>
    <row r="393" spans="5:8" ht="12.75" customHeight="1" x14ac:dyDescent="0.25">
      <c r="E393" s="793"/>
      <c r="F393" s="793"/>
      <c r="G393" s="793"/>
      <c r="H393" s="794"/>
    </row>
    <row r="394" spans="5:8" ht="12.75" customHeight="1" x14ac:dyDescent="0.25">
      <c r="E394" s="793"/>
      <c r="F394" s="793"/>
      <c r="G394" s="793"/>
      <c r="H394" s="794"/>
    </row>
    <row r="395" spans="5:8" ht="12.75" customHeight="1" x14ac:dyDescent="0.25">
      <c r="E395" s="793"/>
      <c r="F395" s="793"/>
      <c r="G395" s="793"/>
      <c r="H395" s="794"/>
    </row>
    <row r="396" spans="5:8" ht="12.75" customHeight="1" x14ac:dyDescent="0.25">
      <c r="E396" s="793"/>
      <c r="F396" s="793"/>
      <c r="G396" s="793"/>
      <c r="H396" s="794"/>
    </row>
    <row r="397" spans="5:8" ht="12.75" customHeight="1" x14ac:dyDescent="0.25">
      <c r="E397" s="793"/>
      <c r="F397" s="793"/>
      <c r="G397" s="793"/>
      <c r="H397" s="794"/>
    </row>
    <row r="398" spans="5:8" ht="12.75" customHeight="1" x14ac:dyDescent="0.25">
      <c r="E398" s="793"/>
      <c r="F398" s="793"/>
      <c r="G398" s="793"/>
      <c r="H398" s="794"/>
    </row>
    <row r="399" spans="5:8" ht="12.75" customHeight="1" x14ac:dyDescent="0.25">
      <c r="E399" s="793"/>
      <c r="F399" s="793"/>
      <c r="G399" s="793"/>
      <c r="H399" s="794"/>
    </row>
    <row r="400" spans="5:8" ht="12.75" customHeight="1" x14ac:dyDescent="0.25">
      <c r="E400" s="793"/>
      <c r="F400" s="793"/>
      <c r="G400" s="793"/>
      <c r="H400" s="794"/>
    </row>
    <row r="401" spans="5:8" ht="12.75" customHeight="1" x14ac:dyDescent="0.25">
      <c r="E401" s="793"/>
      <c r="F401" s="793"/>
      <c r="G401" s="793"/>
      <c r="H401" s="794"/>
    </row>
    <row r="402" spans="5:8" ht="12.75" customHeight="1" x14ac:dyDescent="0.25">
      <c r="E402" s="793"/>
      <c r="F402" s="793"/>
      <c r="G402" s="793"/>
      <c r="H402" s="794"/>
    </row>
    <row r="403" spans="5:8" ht="12.75" customHeight="1" x14ac:dyDescent="0.25">
      <c r="E403" s="793"/>
      <c r="F403" s="793"/>
      <c r="G403" s="793"/>
      <c r="H403" s="794"/>
    </row>
    <row r="404" spans="5:8" ht="12.75" customHeight="1" x14ac:dyDescent="0.25">
      <c r="E404" s="793"/>
      <c r="F404" s="793"/>
      <c r="G404" s="793"/>
      <c r="H404" s="794"/>
    </row>
    <row r="405" spans="5:8" ht="12.75" customHeight="1" x14ac:dyDescent="0.25">
      <c r="E405" s="793"/>
      <c r="F405" s="793"/>
      <c r="G405" s="793"/>
      <c r="H405" s="794"/>
    </row>
    <row r="406" spans="5:8" ht="12.75" customHeight="1" x14ac:dyDescent="0.25">
      <c r="E406" s="793"/>
      <c r="F406" s="793"/>
      <c r="G406" s="793"/>
      <c r="H406" s="794"/>
    </row>
    <row r="407" spans="5:8" ht="12.75" customHeight="1" x14ac:dyDescent="0.25">
      <c r="E407" s="793"/>
      <c r="F407" s="793"/>
      <c r="G407" s="793"/>
      <c r="H407" s="794"/>
    </row>
    <row r="408" spans="5:8" ht="12.75" customHeight="1" x14ac:dyDescent="0.25">
      <c r="E408" s="793"/>
      <c r="F408" s="793"/>
      <c r="G408" s="793"/>
      <c r="H408" s="794"/>
    </row>
    <row r="409" spans="5:8" ht="12.75" customHeight="1" x14ac:dyDescent="0.25">
      <c r="E409" s="793"/>
      <c r="F409" s="793"/>
      <c r="G409" s="793"/>
      <c r="H409" s="794"/>
    </row>
    <row r="410" spans="5:8" ht="12.75" customHeight="1" x14ac:dyDescent="0.25">
      <c r="E410" s="793"/>
      <c r="F410" s="793"/>
      <c r="G410" s="793"/>
      <c r="H410" s="794"/>
    </row>
    <row r="411" spans="5:8" ht="12.75" customHeight="1" x14ac:dyDescent="0.25">
      <c r="E411" s="793"/>
      <c r="F411" s="793"/>
      <c r="G411" s="793"/>
      <c r="H411" s="794"/>
    </row>
    <row r="412" spans="5:8" ht="12.75" customHeight="1" x14ac:dyDescent="0.25">
      <c r="E412" s="793"/>
      <c r="F412" s="793"/>
      <c r="G412" s="793"/>
      <c r="H412" s="794"/>
    </row>
    <row r="413" spans="5:8" ht="12.75" customHeight="1" x14ac:dyDescent="0.25">
      <c r="E413" s="793"/>
      <c r="F413" s="793"/>
      <c r="G413" s="793"/>
      <c r="H413" s="794"/>
    </row>
    <row r="414" spans="5:8" ht="12.75" customHeight="1" x14ac:dyDescent="0.25">
      <c r="E414" s="793"/>
      <c r="F414" s="793"/>
      <c r="G414" s="793"/>
      <c r="H414" s="794"/>
    </row>
    <row r="415" spans="5:8" ht="12.75" customHeight="1" x14ac:dyDescent="0.25">
      <c r="E415" s="793"/>
      <c r="F415" s="793"/>
      <c r="G415" s="793"/>
      <c r="H415" s="794"/>
    </row>
    <row r="416" spans="5:8" ht="12.75" customHeight="1" x14ac:dyDescent="0.25">
      <c r="E416" s="793"/>
      <c r="F416" s="793"/>
      <c r="G416" s="793"/>
      <c r="H416" s="794"/>
    </row>
    <row r="417" spans="5:8" ht="12.75" customHeight="1" x14ac:dyDescent="0.25">
      <c r="E417" s="793"/>
      <c r="F417" s="793"/>
      <c r="G417" s="793"/>
      <c r="H417" s="794"/>
    </row>
    <row r="418" spans="5:8" ht="12.75" customHeight="1" x14ac:dyDescent="0.25">
      <c r="E418" s="793"/>
      <c r="F418" s="793"/>
      <c r="G418" s="793"/>
      <c r="H418" s="794"/>
    </row>
    <row r="419" spans="5:8" ht="12.75" customHeight="1" x14ac:dyDescent="0.25">
      <c r="E419" s="793"/>
      <c r="F419" s="793"/>
      <c r="G419" s="793"/>
      <c r="H419" s="794"/>
    </row>
    <row r="420" spans="5:8" ht="12.75" customHeight="1" x14ac:dyDescent="0.25">
      <c r="E420" s="793"/>
      <c r="F420" s="793"/>
      <c r="G420" s="793"/>
      <c r="H420" s="794"/>
    </row>
    <row r="421" spans="5:8" ht="12.75" customHeight="1" x14ac:dyDescent="0.25">
      <c r="E421" s="793"/>
      <c r="F421" s="793"/>
      <c r="G421" s="793"/>
      <c r="H421" s="794"/>
    </row>
    <row r="422" spans="5:8" ht="12.75" customHeight="1" x14ac:dyDescent="0.25">
      <c r="E422" s="793"/>
      <c r="F422" s="793"/>
      <c r="G422" s="793"/>
      <c r="H422" s="794"/>
    </row>
    <row r="423" spans="5:8" ht="12.75" customHeight="1" x14ac:dyDescent="0.25">
      <c r="E423" s="793"/>
      <c r="F423" s="793"/>
      <c r="G423" s="793"/>
      <c r="H423" s="794"/>
    </row>
    <row r="424" spans="5:8" ht="12.75" customHeight="1" x14ac:dyDescent="0.25">
      <c r="E424" s="793"/>
      <c r="F424" s="793"/>
      <c r="G424" s="793"/>
      <c r="H424" s="794"/>
    </row>
    <row r="425" spans="5:8" ht="12.75" customHeight="1" x14ac:dyDescent="0.25">
      <c r="E425" s="793"/>
      <c r="F425" s="793"/>
      <c r="G425" s="793"/>
      <c r="H425" s="794"/>
    </row>
    <row r="426" spans="5:8" ht="12.75" customHeight="1" x14ac:dyDescent="0.25">
      <c r="E426" s="793"/>
      <c r="F426" s="793"/>
      <c r="G426" s="793"/>
      <c r="H426" s="794"/>
    </row>
    <row r="427" spans="5:8" ht="12.75" customHeight="1" x14ac:dyDescent="0.25">
      <c r="E427" s="793"/>
      <c r="F427" s="793"/>
      <c r="G427" s="793"/>
      <c r="H427" s="794"/>
    </row>
    <row r="428" spans="5:8" ht="12.75" customHeight="1" x14ac:dyDescent="0.25">
      <c r="E428" s="793"/>
      <c r="F428" s="793"/>
      <c r="G428" s="793"/>
      <c r="H428" s="794"/>
    </row>
    <row r="429" spans="5:8" ht="12.75" customHeight="1" x14ac:dyDescent="0.25">
      <c r="E429" s="793"/>
      <c r="F429" s="793"/>
      <c r="G429" s="793"/>
      <c r="H429" s="794"/>
    </row>
    <row r="430" spans="5:8" ht="12.75" customHeight="1" x14ac:dyDescent="0.25">
      <c r="E430" s="793"/>
      <c r="F430" s="793"/>
      <c r="G430" s="793"/>
      <c r="H430" s="794"/>
    </row>
    <row r="431" spans="5:8" ht="12.75" customHeight="1" x14ac:dyDescent="0.25">
      <c r="E431" s="793"/>
      <c r="F431" s="793"/>
      <c r="G431" s="793"/>
      <c r="H431" s="794"/>
    </row>
    <row r="432" spans="5:8" ht="12.75" customHeight="1" x14ac:dyDescent="0.25">
      <c r="E432" s="793"/>
      <c r="F432" s="793"/>
      <c r="G432" s="793"/>
      <c r="H432" s="794"/>
    </row>
    <row r="433" spans="5:8" ht="12.75" customHeight="1" x14ac:dyDescent="0.25">
      <c r="E433" s="793"/>
      <c r="F433" s="793"/>
      <c r="G433" s="793"/>
      <c r="H433" s="794"/>
    </row>
    <row r="434" spans="5:8" ht="12.75" customHeight="1" x14ac:dyDescent="0.25">
      <c r="E434" s="793"/>
      <c r="F434" s="793"/>
      <c r="G434" s="793"/>
      <c r="H434" s="794"/>
    </row>
    <row r="435" spans="5:8" ht="12.75" customHeight="1" x14ac:dyDescent="0.25">
      <c r="E435" s="793"/>
      <c r="F435" s="793"/>
      <c r="G435" s="793"/>
      <c r="H435" s="794"/>
    </row>
    <row r="436" spans="5:8" ht="12.75" customHeight="1" x14ac:dyDescent="0.25">
      <c r="E436" s="793"/>
      <c r="F436" s="793"/>
      <c r="G436" s="793"/>
      <c r="H436" s="794"/>
    </row>
    <row r="437" spans="5:8" ht="12.75" customHeight="1" x14ac:dyDescent="0.25">
      <c r="E437" s="793"/>
      <c r="F437" s="793"/>
      <c r="G437" s="793"/>
      <c r="H437" s="794"/>
    </row>
    <row r="438" spans="5:8" ht="12.75" customHeight="1" x14ac:dyDescent="0.25">
      <c r="E438" s="793"/>
      <c r="F438" s="793"/>
      <c r="G438" s="793"/>
      <c r="H438" s="794"/>
    </row>
    <row r="439" spans="5:8" ht="12.75" customHeight="1" x14ac:dyDescent="0.25">
      <c r="E439" s="793"/>
      <c r="F439" s="793"/>
      <c r="G439" s="793"/>
      <c r="H439" s="794"/>
    </row>
    <row r="440" spans="5:8" ht="12.75" customHeight="1" x14ac:dyDescent="0.25">
      <c r="E440" s="793"/>
      <c r="F440" s="793"/>
      <c r="G440" s="793"/>
      <c r="H440" s="794"/>
    </row>
    <row r="441" spans="5:8" ht="12.75" customHeight="1" x14ac:dyDescent="0.25">
      <c r="E441" s="793"/>
      <c r="F441" s="793"/>
      <c r="G441" s="793"/>
      <c r="H441" s="794"/>
    </row>
    <row r="442" spans="5:8" ht="12.75" customHeight="1" x14ac:dyDescent="0.25">
      <c r="E442" s="793"/>
      <c r="F442" s="793"/>
      <c r="G442" s="793"/>
      <c r="H442" s="794"/>
    </row>
    <row r="443" spans="5:8" ht="12.75" customHeight="1" x14ac:dyDescent="0.25">
      <c r="E443" s="793"/>
      <c r="F443" s="793"/>
      <c r="G443" s="793"/>
      <c r="H443" s="794"/>
    </row>
    <row r="444" spans="5:8" ht="12.75" customHeight="1" x14ac:dyDescent="0.25">
      <c r="E444" s="793"/>
      <c r="F444" s="793"/>
      <c r="G444" s="793"/>
      <c r="H444" s="794"/>
    </row>
    <row r="445" spans="5:8" ht="12.75" customHeight="1" x14ac:dyDescent="0.25">
      <c r="E445" s="793"/>
      <c r="F445" s="793"/>
      <c r="G445" s="793"/>
      <c r="H445" s="794"/>
    </row>
    <row r="446" spans="5:8" ht="12.75" customHeight="1" x14ac:dyDescent="0.25">
      <c r="E446" s="793"/>
      <c r="F446" s="793"/>
      <c r="G446" s="793"/>
      <c r="H446" s="794"/>
    </row>
    <row r="447" spans="5:8" ht="12.75" customHeight="1" x14ac:dyDescent="0.25">
      <c r="E447" s="793"/>
      <c r="F447" s="793"/>
      <c r="G447" s="793"/>
      <c r="H447" s="794"/>
    </row>
    <row r="448" spans="5:8" ht="12.75" customHeight="1" x14ac:dyDescent="0.25">
      <c r="E448" s="793"/>
      <c r="F448" s="793"/>
      <c r="G448" s="793"/>
      <c r="H448" s="794"/>
    </row>
    <row r="449" spans="5:8" ht="12.75" customHeight="1" x14ac:dyDescent="0.25">
      <c r="E449" s="793"/>
      <c r="F449" s="793"/>
      <c r="G449" s="793"/>
      <c r="H449" s="794"/>
    </row>
    <row r="450" spans="5:8" ht="12.75" customHeight="1" x14ac:dyDescent="0.25">
      <c r="E450" s="793"/>
      <c r="F450" s="793"/>
      <c r="G450" s="793"/>
      <c r="H450" s="794"/>
    </row>
    <row r="451" spans="5:8" ht="12.75" customHeight="1" x14ac:dyDescent="0.25">
      <c r="E451" s="793"/>
      <c r="F451" s="793"/>
      <c r="G451" s="793"/>
      <c r="H451" s="794"/>
    </row>
    <row r="452" spans="5:8" ht="12.75" customHeight="1" x14ac:dyDescent="0.25">
      <c r="E452" s="793"/>
      <c r="F452" s="793"/>
      <c r="G452" s="793"/>
      <c r="H452" s="794"/>
    </row>
    <row r="453" spans="5:8" ht="12.75" customHeight="1" x14ac:dyDescent="0.25">
      <c r="E453" s="793"/>
      <c r="F453" s="793"/>
      <c r="G453" s="793"/>
      <c r="H453" s="794"/>
    </row>
    <row r="454" spans="5:8" ht="12.75" customHeight="1" x14ac:dyDescent="0.25">
      <c r="E454" s="793"/>
      <c r="F454" s="793"/>
      <c r="G454" s="793"/>
      <c r="H454" s="794"/>
    </row>
    <row r="455" spans="5:8" ht="12.75" customHeight="1" x14ac:dyDescent="0.25">
      <c r="E455" s="793"/>
      <c r="F455" s="793"/>
      <c r="G455" s="793"/>
      <c r="H455" s="794"/>
    </row>
    <row r="456" spans="5:8" ht="12.75" customHeight="1" x14ac:dyDescent="0.25">
      <c r="E456" s="793"/>
      <c r="F456" s="793"/>
      <c r="G456" s="793"/>
      <c r="H456" s="794"/>
    </row>
    <row r="457" spans="5:8" ht="12.75" customHeight="1" x14ac:dyDescent="0.25">
      <c r="E457" s="793"/>
      <c r="F457" s="793"/>
      <c r="G457" s="793"/>
      <c r="H457" s="794"/>
    </row>
    <row r="458" spans="5:8" ht="12.75" customHeight="1" x14ac:dyDescent="0.25">
      <c r="E458" s="793"/>
      <c r="F458" s="793"/>
      <c r="G458" s="793"/>
      <c r="H458" s="794"/>
    </row>
    <row r="459" spans="5:8" ht="12.75" customHeight="1" x14ac:dyDescent="0.25">
      <c r="E459" s="793"/>
      <c r="F459" s="793"/>
      <c r="G459" s="793"/>
      <c r="H459" s="794"/>
    </row>
    <row r="460" spans="5:8" ht="12.75" customHeight="1" x14ac:dyDescent="0.25">
      <c r="E460" s="793"/>
      <c r="F460" s="793"/>
      <c r="G460" s="793"/>
      <c r="H460" s="794"/>
    </row>
    <row r="461" spans="5:8" ht="12.75" customHeight="1" x14ac:dyDescent="0.25">
      <c r="E461" s="793"/>
      <c r="F461" s="793"/>
      <c r="G461" s="793"/>
      <c r="H461" s="794"/>
    </row>
    <row r="462" spans="5:8" ht="12.75" customHeight="1" x14ac:dyDescent="0.25">
      <c r="E462" s="793"/>
      <c r="F462" s="793"/>
      <c r="G462" s="793"/>
      <c r="H462" s="794"/>
    </row>
    <row r="463" spans="5:8" ht="12.75" customHeight="1" x14ac:dyDescent="0.25">
      <c r="E463" s="793"/>
      <c r="F463" s="793"/>
      <c r="G463" s="793"/>
      <c r="H463" s="794"/>
    </row>
    <row r="464" spans="5:8" ht="12.75" customHeight="1" x14ac:dyDescent="0.25">
      <c r="E464" s="793"/>
      <c r="F464" s="793"/>
      <c r="G464" s="793"/>
      <c r="H464" s="794"/>
    </row>
    <row r="465" spans="5:8" ht="12.75" customHeight="1" x14ac:dyDescent="0.25">
      <c r="E465" s="793"/>
      <c r="F465" s="793"/>
      <c r="G465" s="793"/>
      <c r="H465" s="794"/>
    </row>
    <row r="466" spans="5:8" ht="12.75" customHeight="1" x14ac:dyDescent="0.25">
      <c r="E466" s="793"/>
      <c r="F466" s="793"/>
      <c r="G466" s="793"/>
      <c r="H466" s="794"/>
    </row>
    <row r="467" spans="5:8" ht="12.75" customHeight="1" x14ac:dyDescent="0.25">
      <c r="E467" s="793"/>
      <c r="F467" s="793"/>
      <c r="G467" s="793"/>
      <c r="H467" s="794"/>
    </row>
    <row r="468" spans="5:8" ht="12.75" customHeight="1" x14ac:dyDescent="0.25">
      <c r="E468" s="793"/>
      <c r="F468" s="793"/>
      <c r="G468" s="793"/>
      <c r="H468" s="794"/>
    </row>
    <row r="469" spans="5:8" ht="12.75" customHeight="1" x14ac:dyDescent="0.25">
      <c r="E469" s="793"/>
      <c r="F469" s="793"/>
      <c r="G469" s="793"/>
      <c r="H469" s="794"/>
    </row>
    <row r="470" spans="5:8" ht="12.75" customHeight="1" x14ac:dyDescent="0.25">
      <c r="E470" s="793"/>
      <c r="F470" s="793"/>
      <c r="G470" s="793"/>
      <c r="H470" s="794"/>
    </row>
    <row r="471" spans="5:8" ht="12.75" customHeight="1" x14ac:dyDescent="0.25">
      <c r="E471" s="793"/>
      <c r="F471" s="793"/>
      <c r="G471" s="793"/>
      <c r="H471" s="794"/>
    </row>
    <row r="472" spans="5:8" ht="12.75" customHeight="1" x14ac:dyDescent="0.25">
      <c r="E472" s="793"/>
      <c r="F472" s="793"/>
      <c r="G472" s="793"/>
      <c r="H472" s="794"/>
    </row>
    <row r="473" spans="5:8" ht="12.75" customHeight="1" x14ac:dyDescent="0.25">
      <c r="E473" s="793"/>
      <c r="F473" s="793"/>
      <c r="G473" s="793"/>
      <c r="H473" s="794"/>
    </row>
    <row r="474" spans="5:8" ht="12.75" customHeight="1" x14ac:dyDescent="0.25">
      <c r="E474" s="793"/>
      <c r="F474" s="793"/>
      <c r="G474" s="793"/>
      <c r="H474" s="794"/>
    </row>
    <row r="475" spans="5:8" ht="12.75" customHeight="1" x14ac:dyDescent="0.25">
      <c r="E475" s="793"/>
      <c r="F475" s="793"/>
      <c r="G475" s="793"/>
      <c r="H475" s="794"/>
    </row>
    <row r="476" spans="5:8" ht="12.75" customHeight="1" x14ac:dyDescent="0.25">
      <c r="E476" s="793"/>
      <c r="F476" s="793"/>
      <c r="G476" s="793"/>
      <c r="H476" s="794"/>
    </row>
    <row r="477" spans="5:8" ht="12.75" customHeight="1" x14ac:dyDescent="0.25">
      <c r="E477" s="793"/>
      <c r="F477" s="793"/>
      <c r="G477" s="793"/>
      <c r="H477" s="794"/>
    </row>
    <row r="478" spans="5:8" ht="12.75" customHeight="1" x14ac:dyDescent="0.25">
      <c r="E478" s="793"/>
      <c r="F478" s="793"/>
      <c r="G478" s="793"/>
      <c r="H478" s="794"/>
    </row>
    <row r="479" spans="5:8" ht="12.75" customHeight="1" x14ac:dyDescent="0.25">
      <c r="E479" s="793"/>
      <c r="F479" s="793"/>
      <c r="G479" s="793"/>
      <c r="H479" s="794"/>
    </row>
    <row r="480" spans="5:8" ht="12.75" customHeight="1" x14ac:dyDescent="0.25">
      <c r="E480" s="793"/>
      <c r="F480" s="793"/>
      <c r="G480" s="793"/>
      <c r="H480" s="794"/>
    </row>
    <row r="481" spans="5:8" ht="12.75" customHeight="1" x14ac:dyDescent="0.25">
      <c r="E481" s="793"/>
      <c r="F481" s="793"/>
      <c r="G481" s="793"/>
      <c r="H481" s="794"/>
    </row>
    <row r="482" spans="5:8" ht="12.75" customHeight="1" x14ac:dyDescent="0.25">
      <c r="E482" s="793"/>
      <c r="F482" s="793"/>
      <c r="G482" s="793"/>
      <c r="H482" s="794"/>
    </row>
    <row r="483" spans="5:8" ht="12.75" customHeight="1" x14ac:dyDescent="0.25">
      <c r="E483" s="793"/>
      <c r="F483" s="793"/>
      <c r="G483" s="793"/>
      <c r="H483" s="794"/>
    </row>
    <row r="484" spans="5:8" ht="12.75" customHeight="1" x14ac:dyDescent="0.25">
      <c r="E484" s="793"/>
      <c r="F484" s="793"/>
      <c r="G484" s="793"/>
      <c r="H484" s="794"/>
    </row>
    <row r="485" spans="5:8" ht="12.75" customHeight="1" x14ac:dyDescent="0.25">
      <c r="E485" s="793"/>
      <c r="F485" s="793"/>
      <c r="G485" s="793"/>
      <c r="H485" s="794"/>
    </row>
    <row r="486" spans="5:8" ht="12.75" customHeight="1" x14ac:dyDescent="0.25">
      <c r="E486" s="793"/>
      <c r="F486" s="793"/>
      <c r="G486" s="793"/>
      <c r="H486" s="794"/>
    </row>
    <row r="487" spans="5:8" ht="12.75" customHeight="1" x14ac:dyDescent="0.25">
      <c r="E487" s="793"/>
      <c r="F487" s="793"/>
      <c r="G487" s="793"/>
      <c r="H487" s="794"/>
    </row>
    <row r="488" spans="5:8" ht="12.75" customHeight="1" x14ac:dyDescent="0.25">
      <c r="E488" s="793"/>
      <c r="F488" s="793"/>
      <c r="G488" s="793"/>
      <c r="H488" s="794"/>
    </row>
    <row r="489" spans="5:8" ht="12.75" customHeight="1" x14ac:dyDescent="0.25">
      <c r="E489" s="793"/>
      <c r="F489" s="793"/>
      <c r="G489" s="793"/>
      <c r="H489" s="794"/>
    </row>
    <row r="490" spans="5:8" ht="12.75" customHeight="1" x14ac:dyDescent="0.25">
      <c r="E490" s="793"/>
      <c r="F490" s="793"/>
      <c r="G490" s="793"/>
      <c r="H490" s="794"/>
    </row>
    <row r="491" spans="5:8" ht="12.75" customHeight="1" x14ac:dyDescent="0.25">
      <c r="E491" s="793"/>
      <c r="F491" s="793"/>
      <c r="G491" s="793"/>
      <c r="H491" s="794"/>
    </row>
    <row r="492" spans="5:8" ht="12.75" customHeight="1" x14ac:dyDescent="0.25">
      <c r="E492" s="793"/>
      <c r="F492" s="793"/>
      <c r="G492" s="793"/>
      <c r="H492" s="794"/>
    </row>
    <row r="493" spans="5:8" ht="12.75" customHeight="1" x14ac:dyDescent="0.25">
      <c r="E493" s="793"/>
      <c r="F493" s="793"/>
      <c r="G493" s="793"/>
      <c r="H493" s="794"/>
    </row>
    <row r="494" spans="5:8" ht="12.75" customHeight="1" x14ac:dyDescent="0.25">
      <c r="E494" s="793"/>
      <c r="F494" s="793"/>
      <c r="G494" s="793"/>
      <c r="H494" s="794"/>
    </row>
    <row r="495" spans="5:8" ht="12.75" customHeight="1" x14ac:dyDescent="0.25">
      <c r="E495" s="793"/>
      <c r="F495" s="793"/>
      <c r="G495" s="793"/>
      <c r="H495" s="794"/>
    </row>
    <row r="496" spans="5:8" ht="12.75" customHeight="1" x14ac:dyDescent="0.25">
      <c r="E496" s="793"/>
      <c r="F496" s="793"/>
      <c r="G496" s="793"/>
      <c r="H496" s="794"/>
    </row>
    <row r="497" spans="5:8" ht="12.75" customHeight="1" x14ac:dyDescent="0.25">
      <c r="E497" s="793"/>
      <c r="F497" s="793"/>
      <c r="G497" s="793"/>
      <c r="H497" s="794"/>
    </row>
    <row r="498" spans="5:8" ht="12.75" customHeight="1" x14ac:dyDescent="0.25">
      <c r="E498" s="793"/>
      <c r="F498" s="793"/>
      <c r="G498" s="793"/>
      <c r="H498" s="794"/>
    </row>
    <row r="499" spans="5:8" ht="12.75" customHeight="1" x14ac:dyDescent="0.25">
      <c r="E499" s="793"/>
      <c r="F499" s="793"/>
      <c r="G499" s="793"/>
      <c r="H499" s="794"/>
    </row>
    <row r="500" spans="5:8" ht="12.75" customHeight="1" x14ac:dyDescent="0.25">
      <c r="E500" s="793"/>
      <c r="F500" s="793"/>
      <c r="G500" s="793"/>
      <c r="H500" s="794"/>
    </row>
    <row r="501" spans="5:8" ht="12.75" customHeight="1" x14ac:dyDescent="0.25">
      <c r="E501" s="793"/>
      <c r="F501" s="793"/>
      <c r="G501" s="793"/>
      <c r="H501" s="794"/>
    </row>
    <row r="502" spans="5:8" ht="12.75" customHeight="1" x14ac:dyDescent="0.25">
      <c r="E502" s="793"/>
      <c r="F502" s="793"/>
      <c r="G502" s="793"/>
      <c r="H502" s="794"/>
    </row>
    <row r="503" spans="5:8" ht="12.75" customHeight="1" x14ac:dyDescent="0.25">
      <c r="E503" s="793"/>
      <c r="F503" s="793"/>
      <c r="G503" s="793"/>
      <c r="H503" s="794"/>
    </row>
    <row r="504" spans="5:8" ht="12.75" customHeight="1" x14ac:dyDescent="0.25">
      <c r="E504" s="793"/>
      <c r="F504" s="793"/>
      <c r="G504" s="793"/>
      <c r="H504" s="794"/>
    </row>
    <row r="505" spans="5:8" ht="12.75" customHeight="1" x14ac:dyDescent="0.25">
      <c r="E505" s="793"/>
      <c r="F505" s="793"/>
      <c r="G505" s="793"/>
      <c r="H505" s="794"/>
    </row>
    <row r="506" spans="5:8" ht="12.75" customHeight="1" x14ac:dyDescent="0.25">
      <c r="E506" s="793"/>
      <c r="F506" s="793"/>
      <c r="G506" s="793"/>
      <c r="H506" s="794"/>
    </row>
    <row r="507" spans="5:8" ht="12.75" customHeight="1" x14ac:dyDescent="0.25">
      <c r="E507" s="793"/>
      <c r="F507" s="793"/>
      <c r="G507" s="793"/>
      <c r="H507" s="794"/>
    </row>
    <row r="508" spans="5:8" ht="12.75" customHeight="1" x14ac:dyDescent="0.25">
      <c r="E508" s="793"/>
      <c r="F508" s="793"/>
      <c r="G508" s="793"/>
      <c r="H508" s="794"/>
    </row>
    <row r="509" spans="5:8" ht="12.75" customHeight="1" x14ac:dyDescent="0.25">
      <c r="E509" s="793"/>
      <c r="F509" s="793"/>
      <c r="G509" s="793"/>
      <c r="H509" s="794"/>
    </row>
    <row r="510" spans="5:8" ht="12.75" customHeight="1" x14ac:dyDescent="0.25">
      <c r="E510" s="793"/>
      <c r="F510" s="793"/>
      <c r="G510" s="793"/>
      <c r="H510" s="794"/>
    </row>
    <row r="511" spans="5:8" ht="12.75" customHeight="1" x14ac:dyDescent="0.25">
      <c r="E511" s="793"/>
      <c r="F511" s="793"/>
      <c r="G511" s="793"/>
      <c r="H511" s="794"/>
    </row>
    <row r="512" spans="5:8" ht="12.75" customHeight="1" x14ac:dyDescent="0.25">
      <c r="E512" s="793"/>
      <c r="F512" s="793"/>
      <c r="G512" s="793"/>
      <c r="H512" s="794"/>
    </row>
    <row r="513" spans="5:8" ht="12.75" customHeight="1" x14ac:dyDescent="0.25">
      <c r="E513" s="793"/>
      <c r="F513" s="793"/>
      <c r="G513" s="793"/>
      <c r="H513" s="794"/>
    </row>
    <row r="514" spans="5:8" ht="12.75" customHeight="1" x14ac:dyDescent="0.25">
      <c r="E514" s="793"/>
      <c r="F514" s="793"/>
      <c r="G514" s="793"/>
      <c r="H514" s="794"/>
    </row>
    <row r="515" spans="5:8" ht="12.75" customHeight="1" x14ac:dyDescent="0.25">
      <c r="E515" s="793"/>
      <c r="F515" s="793"/>
      <c r="G515" s="793"/>
      <c r="H515" s="794"/>
    </row>
    <row r="516" spans="5:8" ht="12.75" customHeight="1" x14ac:dyDescent="0.25">
      <c r="E516" s="793"/>
      <c r="F516" s="793"/>
      <c r="G516" s="793"/>
      <c r="H516" s="794"/>
    </row>
    <row r="517" spans="5:8" ht="12.75" customHeight="1" x14ac:dyDescent="0.25">
      <c r="E517" s="793"/>
      <c r="F517" s="793"/>
      <c r="G517" s="793"/>
      <c r="H517" s="794"/>
    </row>
    <row r="518" spans="5:8" ht="12.75" customHeight="1" x14ac:dyDescent="0.25">
      <c r="E518" s="793"/>
      <c r="F518" s="793"/>
      <c r="G518" s="793"/>
      <c r="H518" s="794"/>
    </row>
    <row r="519" spans="5:8" ht="12.75" customHeight="1" x14ac:dyDescent="0.25">
      <c r="E519" s="793"/>
      <c r="F519" s="793"/>
      <c r="G519" s="793"/>
      <c r="H519" s="794"/>
    </row>
    <row r="520" spans="5:8" ht="12.75" customHeight="1" x14ac:dyDescent="0.25">
      <c r="E520" s="793"/>
      <c r="F520" s="793"/>
      <c r="G520" s="793"/>
      <c r="H520" s="794"/>
    </row>
    <row r="521" spans="5:8" ht="12.75" customHeight="1" x14ac:dyDescent="0.25">
      <c r="E521" s="793"/>
      <c r="F521" s="793"/>
      <c r="G521" s="793"/>
      <c r="H521" s="794"/>
    </row>
    <row r="522" spans="5:8" ht="12.75" customHeight="1" x14ac:dyDescent="0.25">
      <c r="E522" s="793"/>
      <c r="F522" s="793"/>
      <c r="G522" s="793"/>
      <c r="H522" s="794"/>
    </row>
    <row r="523" spans="5:8" ht="12.75" customHeight="1" x14ac:dyDescent="0.25">
      <c r="E523" s="793"/>
      <c r="F523" s="793"/>
      <c r="G523" s="793"/>
      <c r="H523" s="794"/>
    </row>
    <row r="524" spans="5:8" ht="12.75" customHeight="1" x14ac:dyDescent="0.25">
      <c r="E524" s="793"/>
      <c r="F524" s="793"/>
      <c r="G524" s="793"/>
      <c r="H524" s="794"/>
    </row>
    <row r="525" spans="5:8" ht="12.75" customHeight="1" x14ac:dyDescent="0.25">
      <c r="E525" s="793"/>
      <c r="F525" s="793"/>
      <c r="G525" s="793"/>
      <c r="H525" s="794"/>
    </row>
    <row r="526" spans="5:8" ht="12.75" customHeight="1" x14ac:dyDescent="0.25">
      <c r="E526" s="793"/>
      <c r="F526" s="793"/>
      <c r="G526" s="793"/>
      <c r="H526" s="794"/>
    </row>
    <row r="527" spans="5:8" ht="12.75" customHeight="1" x14ac:dyDescent="0.25">
      <c r="E527" s="793"/>
      <c r="F527" s="793"/>
      <c r="G527" s="793"/>
      <c r="H527" s="794"/>
    </row>
    <row r="528" spans="5:8" ht="12.75" customHeight="1" x14ac:dyDescent="0.25">
      <c r="E528" s="793"/>
      <c r="F528" s="793"/>
      <c r="G528" s="793"/>
      <c r="H528" s="794"/>
    </row>
    <row r="529" spans="5:8" ht="12.75" customHeight="1" x14ac:dyDescent="0.25">
      <c r="E529" s="793"/>
      <c r="F529" s="793"/>
      <c r="G529" s="793"/>
      <c r="H529" s="794"/>
    </row>
    <row r="530" spans="5:8" ht="12.75" customHeight="1" x14ac:dyDescent="0.25">
      <c r="E530" s="793"/>
      <c r="F530" s="793"/>
      <c r="G530" s="793"/>
      <c r="H530" s="794"/>
    </row>
    <row r="531" spans="5:8" ht="12.75" customHeight="1" x14ac:dyDescent="0.25">
      <c r="E531" s="793"/>
      <c r="F531" s="793"/>
      <c r="G531" s="793"/>
      <c r="H531" s="794"/>
    </row>
    <row r="532" spans="5:8" ht="12.75" customHeight="1" x14ac:dyDescent="0.25">
      <c r="E532" s="793"/>
      <c r="F532" s="793"/>
      <c r="G532" s="793"/>
      <c r="H532" s="794"/>
    </row>
    <row r="533" spans="5:8" ht="12.75" customHeight="1" x14ac:dyDescent="0.25">
      <c r="E533" s="793"/>
      <c r="F533" s="793"/>
      <c r="G533" s="793"/>
      <c r="H533" s="794"/>
    </row>
    <row r="534" spans="5:8" ht="12.75" customHeight="1" x14ac:dyDescent="0.25">
      <c r="E534" s="793"/>
      <c r="F534" s="793"/>
      <c r="G534" s="793"/>
      <c r="H534" s="794"/>
    </row>
    <row r="535" spans="5:8" ht="12.75" customHeight="1" x14ac:dyDescent="0.25">
      <c r="E535" s="793"/>
      <c r="F535" s="793"/>
      <c r="G535" s="793"/>
      <c r="H535" s="794"/>
    </row>
    <row r="536" spans="5:8" ht="12.75" customHeight="1" x14ac:dyDescent="0.25">
      <c r="E536" s="793"/>
      <c r="F536" s="793"/>
      <c r="G536" s="793"/>
      <c r="H536" s="794"/>
    </row>
    <row r="537" spans="5:8" ht="12.75" customHeight="1" x14ac:dyDescent="0.25">
      <c r="E537" s="793"/>
      <c r="F537" s="793"/>
      <c r="G537" s="793"/>
      <c r="H537" s="794"/>
    </row>
    <row r="538" spans="5:8" ht="12.75" customHeight="1" x14ac:dyDescent="0.25">
      <c r="E538" s="793"/>
      <c r="F538" s="793"/>
      <c r="G538" s="793"/>
      <c r="H538" s="794"/>
    </row>
    <row r="539" spans="5:8" ht="12.75" customHeight="1" x14ac:dyDescent="0.25">
      <c r="E539" s="793"/>
      <c r="F539" s="793"/>
      <c r="G539" s="793"/>
      <c r="H539" s="794"/>
    </row>
    <row r="540" spans="5:8" ht="12.75" customHeight="1" x14ac:dyDescent="0.25">
      <c r="E540" s="793"/>
      <c r="F540" s="793"/>
      <c r="G540" s="793"/>
      <c r="H540" s="794"/>
    </row>
    <row r="541" spans="5:8" ht="12.75" customHeight="1" x14ac:dyDescent="0.25">
      <c r="E541" s="793"/>
      <c r="F541" s="793"/>
      <c r="G541" s="793"/>
      <c r="H541" s="794"/>
    </row>
    <row r="542" spans="5:8" ht="12.75" customHeight="1" x14ac:dyDescent="0.25">
      <c r="E542" s="793"/>
      <c r="F542" s="793"/>
      <c r="G542" s="793"/>
      <c r="H542" s="794"/>
    </row>
    <row r="543" spans="5:8" ht="12.75" customHeight="1" x14ac:dyDescent="0.25">
      <c r="E543" s="793"/>
      <c r="F543" s="793"/>
      <c r="G543" s="793"/>
      <c r="H543" s="794"/>
    </row>
    <row r="544" spans="5:8" ht="12.75" customHeight="1" x14ac:dyDescent="0.25">
      <c r="E544" s="793"/>
      <c r="F544" s="793"/>
      <c r="G544" s="793"/>
      <c r="H544" s="794"/>
    </row>
    <row r="545" spans="5:8" ht="12.75" customHeight="1" x14ac:dyDescent="0.25">
      <c r="E545" s="793"/>
      <c r="F545" s="793"/>
      <c r="G545" s="793"/>
      <c r="H545" s="794"/>
    </row>
    <row r="546" spans="5:8" ht="12.75" customHeight="1" x14ac:dyDescent="0.25">
      <c r="E546" s="793"/>
      <c r="F546" s="793"/>
      <c r="G546" s="793"/>
      <c r="H546" s="794"/>
    </row>
    <row r="547" spans="5:8" ht="12.75" customHeight="1" x14ac:dyDescent="0.25">
      <c r="E547" s="793"/>
      <c r="F547" s="793"/>
      <c r="G547" s="793"/>
      <c r="H547" s="794"/>
    </row>
    <row r="548" spans="5:8" ht="12.75" customHeight="1" x14ac:dyDescent="0.25">
      <c r="E548" s="793"/>
      <c r="F548" s="793"/>
      <c r="G548" s="793"/>
      <c r="H548" s="794"/>
    </row>
    <row r="549" spans="5:8" ht="12.75" customHeight="1" x14ac:dyDescent="0.25">
      <c r="E549" s="793"/>
      <c r="F549" s="793"/>
      <c r="G549" s="793"/>
      <c r="H549" s="794"/>
    </row>
    <row r="550" spans="5:8" ht="12.75" customHeight="1" x14ac:dyDescent="0.25">
      <c r="E550" s="793"/>
      <c r="F550" s="793"/>
      <c r="G550" s="793"/>
      <c r="H550" s="794"/>
    </row>
    <row r="551" spans="5:8" ht="12.75" customHeight="1" x14ac:dyDescent="0.25">
      <c r="E551" s="793"/>
      <c r="F551" s="793"/>
      <c r="G551" s="793"/>
      <c r="H551" s="794"/>
    </row>
    <row r="552" spans="5:8" ht="12.75" customHeight="1" x14ac:dyDescent="0.25">
      <c r="E552" s="793"/>
      <c r="F552" s="793"/>
      <c r="G552" s="793"/>
      <c r="H552" s="794"/>
    </row>
    <row r="553" spans="5:8" ht="12.75" customHeight="1" x14ac:dyDescent="0.25">
      <c r="E553" s="793"/>
      <c r="F553" s="793"/>
      <c r="G553" s="793"/>
      <c r="H553" s="794"/>
    </row>
    <row r="554" spans="5:8" ht="12.75" customHeight="1" x14ac:dyDescent="0.25">
      <c r="E554" s="793"/>
      <c r="F554" s="793"/>
      <c r="G554" s="793"/>
      <c r="H554" s="794"/>
    </row>
    <row r="555" spans="5:8" ht="12.75" customHeight="1" x14ac:dyDescent="0.25">
      <c r="E555" s="793"/>
      <c r="F555" s="793"/>
      <c r="G555" s="793"/>
      <c r="H555" s="794"/>
    </row>
    <row r="556" spans="5:8" ht="12.75" customHeight="1" x14ac:dyDescent="0.25">
      <c r="E556" s="793"/>
      <c r="F556" s="793"/>
      <c r="G556" s="793"/>
      <c r="H556" s="794"/>
    </row>
    <row r="557" spans="5:8" ht="12.75" customHeight="1" x14ac:dyDescent="0.25">
      <c r="E557" s="793"/>
      <c r="F557" s="793"/>
      <c r="G557" s="793"/>
      <c r="H557" s="794"/>
    </row>
    <row r="558" spans="5:8" ht="12.75" customHeight="1" x14ac:dyDescent="0.25">
      <c r="E558" s="793"/>
      <c r="F558" s="793"/>
      <c r="G558" s="793"/>
      <c r="H558" s="794"/>
    </row>
    <row r="559" spans="5:8" ht="12.75" customHeight="1" x14ac:dyDescent="0.25">
      <c r="E559" s="793"/>
      <c r="F559" s="793"/>
      <c r="G559" s="793"/>
      <c r="H559" s="794"/>
    </row>
    <row r="560" spans="5:8" ht="12.75" customHeight="1" x14ac:dyDescent="0.25">
      <c r="E560" s="793"/>
      <c r="F560" s="793"/>
      <c r="G560" s="793"/>
      <c r="H560" s="794"/>
    </row>
    <row r="561" spans="5:8" ht="12.75" customHeight="1" x14ac:dyDescent="0.25">
      <c r="E561" s="793"/>
      <c r="F561" s="793"/>
      <c r="G561" s="793"/>
      <c r="H561" s="794"/>
    </row>
    <row r="562" spans="5:8" ht="12.75" customHeight="1" x14ac:dyDescent="0.25">
      <c r="E562" s="793"/>
      <c r="F562" s="793"/>
      <c r="G562" s="793"/>
      <c r="H562" s="794"/>
    </row>
    <row r="563" spans="5:8" ht="12.75" customHeight="1" x14ac:dyDescent="0.25">
      <c r="E563" s="793"/>
      <c r="F563" s="793"/>
      <c r="G563" s="793"/>
      <c r="H563" s="794"/>
    </row>
    <row r="564" spans="5:8" ht="12.75" customHeight="1" x14ac:dyDescent="0.25">
      <c r="E564" s="793"/>
      <c r="F564" s="793"/>
      <c r="G564" s="793"/>
      <c r="H564" s="794"/>
    </row>
    <row r="565" spans="5:8" ht="12.75" customHeight="1" x14ac:dyDescent="0.25">
      <c r="E565" s="793"/>
      <c r="F565" s="793"/>
      <c r="G565" s="793"/>
      <c r="H565" s="794"/>
    </row>
    <row r="566" spans="5:8" ht="12.75" customHeight="1" x14ac:dyDescent="0.25">
      <c r="E566" s="793"/>
      <c r="F566" s="793"/>
      <c r="G566" s="793"/>
      <c r="H566" s="794"/>
    </row>
    <row r="567" spans="5:8" ht="12.75" customHeight="1" x14ac:dyDescent="0.25">
      <c r="E567" s="793"/>
      <c r="F567" s="793"/>
      <c r="G567" s="793"/>
      <c r="H567" s="794"/>
    </row>
    <row r="568" spans="5:8" ht="12.75" customHeight="1" x14ac:dyDescent="0.25">
      <c r="E568" s="793"/>
      <c r="F568" s="793"/>
      <c r="G568" s="793"/>
      <c r="H568" s="794"/>
    </row>
    <row r="569" spans="5:8" ht="12.75" customHeight="1" x14ac:dyDescent="0.25">
      <c r="E569" s="793"/>
      <c r="F569" s="793"/>
      <c r="G569" s="793"/>
      <c r="H569" s="794"/>
    </row>
    <row r="570" spans="5:8" ht="12.75" customHeight="1" x14ac:dyDescent="0.25">
      <c r="E570" s="793"/>
      <c r="F570" s="793"/>
      <c r="G570" s="793"/>
      <c r="H570" s="794"/>
    </row>
    <row r="571" spans="5:8" ht="12.75" customHeight="1" x14ac:dyDescent="0.25">
      <c r="E571" s="793"/>
      <c r="F571" s="793"/>
      <c r="G571" s="793"/>
      <c r="H571" s="794"/>
    </row>
    <row r="572" spans="5:8" ht="12.75" customHeight="1" x14ac:dyDescent="0.25">
      <c r="E572" s="793"/>
      <c r="F572" s="793"/>
      <c r="G572" s="793"/>
      <c r="H572" s="794"/>
    </row>
    <row r="573" spans="5:8" ht="12.75" customHeight="1" x14ac:dyDescent="0.25">
      <c r="E573" s="793"/>
      <c r="F573" s="793"/>
      <c r="G573" s="793"/>
      <c r="H573" s="794"/>
    </row>
    <row r="574" spans="5:8" ht="12.75" customHeight="1" x14ac:dyDescent="0.25">
      <c r="E574" s="793"/>
      <c r="F574" s="793"/>
      <c r="G574" s="793"/>
      <c r="H574" s="794"/>
    </row>
    <row r="575" spans="5:8" ht="12.75" customHeight="1" x14ac:dyDescent="0.25">
      <c r="E575" s="793"/>
      <c r="F575" s="793"/>
      <c r="G575" s="793"/>
      <c r="H575" s="794"/>
    </row>
    <row r="576" spans="5:8" ht="12.75" customHeight="1" x14ac:dyDescent="0.25">
      <c r="E576" s="793"/>
      <c r="F576" s="793"/>
      <c r="G576" s="793"/>
      <c r="H576" s="794"/>
    </row>
    <row r="577" spans="5:8" ht="12.75" customHeight="1" x14ac:dyDescent="0.25">
      <c r="E577" s="793"/>
      <c r="F577" s="793"/>
      <c r="G577" s="793"/>
      <c r="H577" s="794"/>
    </row>
    <row r="578" spans="5:8" ht="12.75" customHeight="1" x14ac:dyDescent="0.25">
      <c r="E578" s="793"/>
      <c r="F578" s="793"/>
      <c r="G578" s="793"/>
      <c r="H578" s="794"/>
    </row>
    <row r="579" spans="5:8" ht="12.75" customHeight="1" x14ac:dyDescent="0.25">
      <c r="E579" s="793"/>
      <c r="F579" s="793"/>
      <c r="G579" s="793"/>
      <c r="H579" s="794"/>
    </row>
    <row r="580" spans="5:8" ht="12.75" customHeight="1" x14ac:dyDescent="0.25">
      <c r="E580" s="793"/>
      <c r="F580" s="793"/>
      <c r="G580" s="793"/>
      <c r="H580" s="794"/>
    </row>
    <row r="581" spans="5:8" ht="12.75" customHeight="1" x14ac:dyDescent="0.25">
      <c r="E581" s="793"/>
      <c r="F581" s="793"/>
      <c r="G581" s="793"/>
      <c r="H581" s="794"/>
    </row>
    <row r="582" spans="5:8" ht="12.75" customHeight="1" x14ac:dyDescent="0.25">
      <c r="E582" s="793"/>
      <c r="F582" s="793"/>
      <c r="G582" s="793"/>
      <c r="H582" s="794"/>
    </row>
    <row r="583" spans="5:8" ht="12.75" customHeight="1" x14ac:dyDescent="0.25">
      <c r="E583" s="793"/>
      <c r="F583" s="793"/>
      <c r="G583" s="793"/>
      <c r="H583" s="794"/>
    </row>
    <row r="584" spans="5:8" ht="12.75" customHeight="1" x14ac:dyDescent="0.25">
      <c r="E584" s="793"/>
      <c r="F584" s="793"/>
      <c r="G584" s="793"/>
      <c r="H584" s="794"/>
    </row>
    <row r="585" spans="5:8" ht="12.75" customHeight="1" x14ac:dyDescent="0.25">
      <c r="E585" s="793"/>
      <c r="F585" s="793"/>
      <c r="G585" s="793"/>
      <c r="H585" s="794"/>
    </row>
    <row r="586" spans="5:8" ht="12.75" customHeight="1" x14ac:dyDescent="0.25">
      <c r="E586" s="793"/>
      <c r="F586" s="793"/>
      <c r="G586" s="793"/>
      <c r="H586" s="794"/>
    </row>
    <row r="587" spans="5:8" ht="12.75" customHeight="1" x14ac:dyDescent="0.25">
      <c r="E587" s="793"/>
      <c r="F587" s="793"/>
      <c r="G587" s="793"/>
      <c r="H587" s="794"/>
    </row>
    <row r="588" spans="5:8" ht="12.75" customHeight="1" x14ac:dyDescent="0.25">
      <c r="E588" s="793"/>
      <c r="F588" s="793"/>
      <c r="G588" s="793"/>
      <c r="H588" s="794"/>
    </row>
    <row r="589" spans="5:8" ht="12.75" customHeight="1" x14ac:dyDescent="0.25">
      <c r="E589" s="793"/>
      <c r="F589" s="793"/>
      <c r="G589" s="793"/>
      <c r="H589" s="794"/>
    </row>
    <row r="590" spans="5:8" ht="12.75" customHeight="1" x14ac:dyDescent="0.25">
      <c r="E590" s="793"/>
      <c r="F590" s="793"/>
      <c r="G590" s="793"/>
      <c r="H590" s="794"/>
    </row>
    <row r="591" spans="5:8" ht="12.75" customHeight="1" x14ac:dyDescent="0.25">
      <c r="E591" s="793"/>
      <c r="F591" s="793"/>
      <c r="G591" s="793"/>
      <c r="H591" s="794"/>
    </row>
    <row r="592" spans="5:8" ht="12.75" customHeight="1" x14ac:dyDescent="0.25">
      <c r="E592" s="793"/>
      <c r="F592" s="793"/>
      <c r="G592" s="793"/>
      <c r="H592" s="794"/>
    </row>
    <row r="593" spans="5:8" ht="12.75" customHeight="1" x14ac:dyDescent="0.25">
      <c r="E593" s="793"/>
      <c r="F593" s="793"/>
      <c r="G593" s="793"/>
      <c r="H593" s="794"/>
    </row>
    <row r="594" spans="5:8" ht="12.75" customHeight="1" x14ac:dyDescent="0.25">
      <c r="E594" s="793"/>
      <c r="F594" s="793"/>
      <c r="G594" s="793"/>
      <c r="H594" s="794"/>
    </row>
    <row r="595" spans="5:8" ht="12.75" customHeight="1" x14ac:dyDescent="0.25">
      <c r="E595" s="793"/>
      <c r="F595" s="793"/>
      <c r="G595" s="793"/>
      <c r="H595" s="794"/>
    </row>
    <row r="596" spans="5:8" ht="12.75" customHeight="1" x14ac:dyDescent="0.25">
      <c r="E596" s="793"/>
      <c r="F596" s="793"/>
      <c r="G596" s="793"/>
      <c r="H596" s="794"/>
    </row>
    <row r="597" spans="5:8" ht="12.75" customHeight="1" x14ac:dyDescent="0.25">
      <c r="E597" s="793"/>
      <c r="F597" s="793"/>
      <c r="G597" s="793"/>
      <c r="H597" s="794"/>
    </row>
    <row r="598" spans="5:8" ht="12.75" customHeight="1" x14ac:dyDescent="0.25">
      <c r="E598" s="793"/>
      <c r="F598" s="793"/>
      <c r="G598" s="793"/>
      <c r="H598" s="794"/>
    </row>
    <row r="599" spans="5:8" ht="12.75" customHeight="1" x14ac:dyDescent="0.25">
      <c r="E599" s="793"/>
      <c r="F599" s="793"/>
      <c r="G599" s="793"/>
      <c r="H599" s="794"/>
    </row>
    <row r="600" spans="5:8" ht="12.75" customHeight="1" x14ac:dyDescent="0.25">
      <c r="E600" s="793"/>
      <c r="F600" s="793"/>
      <c r="G600" s="793"/>
      <c r="H600" s="794"/>
    </row>
    <row r="601" spans="5:8" ht="12.75" customHeight="1" x14ac:dyDescent="0.25">
      <c r="E601" s="793"/>
      <c r="F601" s="793"/>
      <c r="G601" s="793"/>
      <c r="H601" s="794"/>
    </row>
    <row r="602" spans="5:8" ht="12.75" customHeight="1" x14ac:dyDescent="0.25">
      <c r="E602" s="793"/>
      <c r="F602" s="793"/>
      <c r="G602" s="793"/>
      <c r="H602" s="794"/>
    </row>
    <row r="603" spans="5:8" ht="12.75" customHeight="1" x14ac:dyDescent="0.25">
      <c r="E603" s="793"/>
      <c r="F603" s="793"/>
      <c r="G603" s="793"/>
      <c r="H603" s="794"/>
    </row>
    <row r="604" spans="5:8" ht="12.75" customHeight="1" x14ac:dyDescent="0.25">
      <c r="E604" s="793"/>
      <c r="F604" s="793"/>
      <c r="G604" s="793"/>
      <c r="H604" s="794"/>
    </row>
    <row r="605" spans="5:8" ht="12.75" customHeight="1" x14ac:dyDescent="0.25">
      <c r="E605" s="793"/>
      <c r="F605" s="793"/>
      <c r="G605" s="793"/>
      <c r="H605" s="794"/>
    </row>
    <row r="606" spans="5:8" ht="12.75" customHeight="1" x14ac:dyDescent="0.25">
      <c r="E606" s="793"/>
      <c r="F606" s="793"/>
      <c r="G606" s="793"/>
      <c r="H606" s="794"/>
    </row>
    <row r="607" spans="5:8" ht="12.75" customHeight="1" x14ac:dyDescent="0.25">
      <c r="E607" s="793"/>
      <c r="F607" s="793"/>
      <c r="G607" s="793"/>
      <c r="H607" s="794"/>
    </row>
    <row r="608" spans="5:8" ht="12.75" customHeight="1" x14ac:dyDescent="0.25">
      <c r="E608" s="793"/>
      <c r="F608" s="793"/>
      <c r="G608" s="793"/>
      <c r="H608" s="794"/>
    </row>
    <row r="609" spans="5:8" ht="12.75" customHeight="1" x14ac:dyDescent="0.25">
      <c r="E609" s="793"/>
      <c r="F609" s="793"/>
      <c r="G609" s="793"/>
      <c r="H609" s="794"/>
    </row>
    <row r="610" spans="5:8" ht="12.75" customHeight="1" x14ac:dyDescent="0.25">
      <c r="E610" s="793"/>
      <c r="F610" s="793"/>
      <c r="G610" s="793"/>
      <c r="H610" s="794"/>
    </row>
    <row r="611" spans="5:8" ht="12.75" customHeight="1" x14ac:dyDescent="0.25">
      <c r="E611" s="793"/>
      <c r="F611" s="793"/>
      <c r="G611" s="793"/>
      <c r="H611" s="794"/>
    </row>
    <row r="612" spans="5:8" ht="12.75" customHeight="1" x14ac:dyDescent="0.25">
      <c r="E612" s="793"/>
      <c r="F612" s="793"/>
      <c r="G612" s="793"/>
      <c r="H612" s="794"/>
    </row>
    <row r="613" spans="5:8" ht="12.75" customHeight="1" x14ac:dyDescent="0.25">
      <c r="E613" s="793"/>
      <c r="F613" s="793"/>
      <c r="G613" s="793"/>
      <c r="H613" s="794"/>
    </row>
    <row r="614" spans="5:8" ht="12.75" customHeight="1" x14ac:dyDescent="0.25">
      <c r="E614" s="793"/>
      <c r="F614" s="793"/>
      <c r="G614" s="793"/>
      <c r="H614" s="794"/>
    </row>
    <row r="615" spans="5:8" ht="12.75" customHeight="1" x14ac:dyDescent="0.25">
      <c r="E615" s="793"/>
      <c r="F615" s="793"/>
      <c r="G615" s="793"/>
      <c r="H615" s="794"/>
    </row>
    <row r="616" spans="5:8" ht="12.75" customHeight="1" x14ac:dyDescent="0.25">
      <c r="E616" s="793"/>
      <c r="F616" s="793"/>
      <c r="G616" s="793"/>
      <c r="H616" s="794"/>
    </row>
    <row r="617" spans="5:8" ht="12.75" customHeight="1" x14ac:dyDescent="0.25">
      <c r="E617" s="793"/>
      <c r="F617" s="793"/>
      <c r="G617" s="793"/>
      <c r="H617" s="794"/>
    </row>
    <row r="618" spans="5:8" ht="12.75" customHeight="1" x14ac:dyDescent="0.25">
      <c r="E618" s="793"/>
      <c r="F618" s="793"/>
      <c r="G618" s="793"/>
      <c r="H618" s="794"/>
    </row>
    <row r="619" spans="5:8" ht="12.75" customHeight="1" x14ac:dyDescent="0.25">
      <c r="E619" s="793"/>
      <c r="F619" s="793"/>
      <c r="G619" s="793"/>
      <c r="H619" s="794"/>
    </row>
    <row r="620" spans="5:8" ht="12.75" customHeight="1" x14ac:dyDescent="0.25">
      <c r="E620" s="793"/>
      <c r="F620" s="793"/>
      <c r="G620" s="793"/>
      <c r="H620" s="794"/>
    </row>
    <row r="621" spans="5:8" ht="12.75" customHeight="1" x14ac:dyDescent="0.25">
      <c r="E621" s="793"/>
      <c r="F621" s="793"/>
      <c r="G621" s="793"/>
      <c r="H621" s="794"/>
    </row>
    <row r="622" spans="5:8" ht="12.75" customHeight="1" x14ac:dyDescent="0.25">
      <c r="E622" s="793"/>
      <c r="F622" s="793"/>
      <c r="G622" s="793"/>
      <c r="H622" s="794"/>
    </row>
    <row r="623" spans="5:8" ht="12.75" customHeight="1" x14ac:dyDescent="0.25">
      <c r="E623" s="793"/>
      <c r="F623" s="793"/>
      <c r="G623" s="793"/>
      <c r="H623" s="794"/>
    </row>
    <row r="624" spans="5:8" ht="12.75" customHeight="1" x14ac:dyDescent="0.25">
      <c r="E624" s="793"/>
      <c r="F624" s="793"/>
      <c r="G624" s="793"/>
      <c r="H624" s="794"/>
    </row>
    <row r="625" spans="5:8" ht="12.75" customHeight="1" x14ac:dyDescent="0.25">
      <c r="E625" s="793"/>
      <c r="F625" s="793"/>
      <c r="G625" s="793"/>
      <c r="H625" s="794"/>
    </row>
    <row r="626" spans="5:8" ht="12.75" customHeight="1" x14ac:dyDescent="0.25">
      <c r="E626" s="793"/>
      <c r="F626" s="793"/>
      <c r="G626" s="793"/>
      <c r="H626" s="794"/>
    </row>
    <row r="627" spans="5:8" ht="12.75" customHeight="1" x14ac:dyDescent="0.25">
      <c r="E627" s="793"/>
      <c r="F627" s="793"/>
      <c r="G627" s="793"/>
      <c r="H627" s="794"/>
    </row>
    <row r="628" spans="5:8" ht="12.75" customHeight="1" x14ac:dyDescent="0.25">
      <c r="E628" s="793"/>
      <c r="F628" s="793"/>
      <c r="G628" s="793"/>
      <c r="H628" s="794"/>
    </row>
    <row r="629" spans="5:8" ht="12.75" customHeight="1" x14ac:dyDescent="0.25">
      <c r="E629" s="793"/>
      <c r="F629" s="793"/>
      <c r="G629" s="793"/>
      <c r="H629" s="794"/>
    </row>
    <row r="630" spans="5:8" ht="12.75" customHeight="1" x14ac:dyDescent="0.25">
      <c r="E630" s="793"/>
      <c r="F630" s="793"/>
      <c r="G630" s="793"/>
      <c r="H630" s="794"/>
    </row>
    <row r="631" spans="5:8" ht="12.75" customHeight="1" x14ac:dyDescent="0.25">
      <c r="E631" s="793"/>
      <c r="F631" s="793"/>
      <c r="G631" s="793"/>
      <c r="H631" s="794"/>
    </row>
    <row r="632" spans="5:8" ht="12.75" customHeight="1" x14ac:dyDescent="0.25">
      <c r="E632" s="793"/>
      <c r="F632" s="793"/>
      <c r="G632" s="793"/>
      <c r="H632" s="794"/>
    </row>
    <row r="633" spans="5:8" ht="12.75" customHeight="1" x14ac:dyDescent="0.25">
      <c r="E633" s="793"/>
      <c r="F633" s="793"/>
      <c r="G633" s="793"/>
      <c r="H633" s="794"/>
    </row>
    <row r="634" spans="5:8" ht="12.75" customHeight="1" x14ac:dyDescent="0.25">
      <c r="E634" s="793"/>
      <c r="F634" s="793"/>
      <c r="G634" s="793"/>
      <c r="H634" s="794"/>
    </row>
    <row r="635" spans="5:8" ht="12.75" customHeight="1" x14ac:dyDescent="0.25"/>
    <row r="636" spans="5:8" ht="12.75" customHeight="1" x14ac:dyDescent="0.25"/>
    <row r="637" spans="5:8" ht="12.75" customHeight="1" x14ac:dyDescent="0.25"/>
    <row r="638" spans="5:8" ht="12.75" customHeight="1" x14ac:dyDescent="0.25"/>
    <row r="639" spans="5:8" ht="12.75" customHeight="1" x14ac:dyDescent="0.25"/>
    <row r="640" spans="5:8"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row r="1068" ht="12.75" customHeight="1" x14ac:dyDescent="0.25"/>
    <row r="1069" ht="12.75" customHeight="1" x14ac:dyDescent="0.25"/>
    <row r="1070" ht="12.75" customHeight="1" x14ac:dyDescent="0.25"/>
    <row r="1071" ht="12.75" customHeight="1" x14ac:dyDescent="0.25"/>
    <row r="1072" ht="12.75" customHeight="1" x14ac:dyDescent="0.25"/>
    <row r="1073" ht="12.75" customHeight="1" x14ac:dyDescent="0.25"/>
    <row r="1074" ht="12.75" customHeight="1" x14ac:dyDescent="0.25"/>
    <row r="1075" ht="12.75" customHeight="1" x14ac:dyDescent="0.25"/>
    <row r="1076" ht="12.75" customHeight="1" x14ac:dyDescent="0.25"/>
    <row r="1077" ht="12.75" customHeight="1" x14ac:dyDescent="0.25"/>
    <row r="1078" ht="12.75" customHeight="1" x14ac:dyDescent="0.25"/>
    <row r="1079" ht="12.75" customHeight="1" x14ac:dyDescent="0.25"/>
    <row r="1080" ht="12.75" customHeight="1" x14ac:dyDescent="0.25"/>
    <row r="1081" ht="12.75" customHeight="1" x14ac:dyDescent="0.25"/>
    <row r="1082" ht="12.75" customHeight="1" x14ac:dyDescent="0.25"/>
    <row r="1083" ht="12.75" customHeight="1" x14ac:dyDescent="0.25"/>
    <row r="1084" ht="12.75" customHeight="1" x14ac:dyDescent="0.25"/>
    <row r="1085" ht="12.75" customHeight="1" x14ac:dyDescent="0.25"/>
    <row r="1086" ht="12.75" customHeight="1" x14ac:dyDescent="0.25"/>
    <row r="1087" ht="12.75" customHeight="1" x14ac:dyDescent="0.25"/>
    <row r="1088" ht="12.75" customHeight="1" x14ac:dyDescent="0.25"/>
    <row r="1089" ht="12.75" customHeight="1" x14ac:dyDescent="0.25"/>
    <row r="1090" ht="12.75" customHeight="1" x14ac:dyDescent="0.25"/>
    <row r="1091" ht="12.75" customHeight="1" x14ac:dyDescent="0.25"/>
    <row r="1092" ht="12.75" customHeight="1" x14ac:dyDescent="0.25"/>
    <row r="1093" ht="12.75" customHeight="1" x14ac:dyDescent="0.25"/>
    <row r="1094" ht="12.75" customHeight="1" x14ac:dyDescent="0.25"/>
    <row r="1095" ht="12.75" customHeight="1" x14ac:dyDescent="0.25"/>
    <row r="1096" ht="12.75" customHeight="1" x14ac:dyDescent="0.25"/>
    <row r="1097" ht="12.75" customHeight="1" x14ac:dyDescent="0.25"/>
    <row r="1098" ht="12.75" customHeight="1" x14ac:dyDescent="0.25"/>
    <row r="1099" ht="12.75" customHeight="1" x14ac:dyDescent="0.25"/>
    <row r="1100" ht="12.75" customHeight="1" x14ac:dyDescent="0.25"/>
    <row r="1101" ht="12.75" customHeight="1" x14ac:dyDescent="0.25"/>
    <row r="1102" ht="12.75" customHeight="1" x14ac:dyDescent="0.25"/>
    <row r="1103" ht="12.75" customHeight="1" x14ac:dyDescent="0.25"/>
    <row r="1104" ht="12.75" customHeight="1" x14ac:dyDescent="0.25"/>
    <row r="1105" ht="12.75" customHeight="1" x14ac:dyDescent="0.25"/>
    <row r="1106" ht="12.75" customHeight="1" x14ac:dyDescent="0.25"/>
    <row r="1107" ht="12.75" customHeight="1" x14ac:dyDescent="0.25"/>
    <row r="1108" ht="12.75" customHeight="1" x14ac:dyDescent="0.25"/>
    <row r="1109" ht="12.75" customHeight="1" x14ac:dyDescent="0.25"/>
  </sheetData>
  <sheetProtection algorithmName="SHA-512" hashValue="p+MFiKKlJDASlYO5J2CFs8tv21K+6IFqbRhaKKOTRcGVPcAekSU/N/p3HX4u9jWKe3IFaOt/OTGApjaXMiZt6g==" saltValue="pUSjbzDec1ctSA6SeCENxw==" spinCount="100000" sheet="1" autoFilter="0"/>
  <mergeCells count="85">
    <mergeCell ref="A1:B2"/>
    <mergeCell ref="E1:H2"/>
    <mergeCell ref="K1:M1"/>
    <mergeCell ref="N1:P1"/>
    <mergeCell ref="AD1:AE2"/>
    <mergeCell ref="AH1:AJ2"/>
    <mergeCell ref="AK1:AN3"/>
    <mergeCell ref="K2:M2"/>
    <mergeCell ref="N2:O17"/>
    <mergeCell ref="P2:P17"/>
    <mergeCell ref="A3:B3"/>
    <mergeCell ref="K3:M3"/>
    <mergeCell ref="AD3:AE3"/>
    <mergeCell ref="A6:A9"/>
    <mergeCell ref="B6:B9"/>
    <mergeCell ref="AD6:AD9"/>
    <mergeCell ref="AE6:AE9"/>
    <mergeCell ref="A10:A13"/>
    <mergeCell ref="B10:B13"/>
    <mergeCell ref="AD10:AD13"/>
    <mergeCell ref="AE10:AE13"/>
    <mergeCell ref="A14:A17"/>
    <mergeCell ref="B14:B17"/>
    <mergeCell ref="AD14:AD17"/>
    <mergeCell ref="AE14:AE17"/>
    <mergeCell ref="AD18:AD21"/>
    <mergeCell ref="AE18:AE21"/>
    <mergeCell ref="A22:A25"/>
    <mergeCell ref="B22:B25"/>
    <mergeCell ref="N22:P23"/>
    <mergeCell ref="AD22:AD25"/>
    <mergeCell ref="AE22:AE25"/>
    <mergeCell ref="A18:A21"/>
    <mergeCell ref="B18:B21"/>
    <mergeCell ref="N18:N21"/>
    <mergeCell ref="O18:O21"/>
    <mergeCell ref="P18:P21"/>
    <mergeCell ref="A26:A29"/>
    <mergeCell ref="B26:B29"/>
    <mergeCell ref="AD26:AD29"/>
    <mergeCell ref="AE26:AE29"/>
    <mergeCell ref="A30:A33"/>
    <mergeCell ref="B30:B33"/>
    <mergeCell ref="AD30:AD33"/>
    <mergeCell ref="AE30:AE33"/>
    <mergeCell ref="A34:A37"/>
    <mergeCell ref="B34:B37"/>
    <mergeCell ref="AD34:AD37"/>
    <mergeCell ref="AE34:AE37"/>
    <mergeCell ref="A70:A73"/>
    <mergeCell ref="B70:B73"/>
    <mergeCell ref="AD70:AD73"/>
    <mergeCell ref="AE70:AE73"/>
    <mergeCell ref="A74:A77"/>
    <mergeCell ref="B74:B77"/>
    <mergeCell ref="AD74:AD77"/>
    <mergeCell ref="AE74:AE77"/>
    <mergeCell ref="A78:A81"/>
    <mergeCell ref="B78:B81"/>
    <mergeCell ref="AD78:AD81"/>
    <mergeCell ref="AE78:AE81"/>
    <mergeCell ref="A82:A85"/>
    <mergeCell ref="B82:B85"/>
    <mergeCell ref="AD82:AD85"/>
    <mergeCell ref="AE82:AE85"/>
    <mergeCell ref="A86:A89"/>
    <mergeCell ref="B86:B89"/>
    <mergeCell ref="AD86:AD89"/>
    <mergeCell ref="AE86:AE89"/>
    <mergeCell ref="A90:A93"/>
    <mergeCell ref="B90:B93"/>
    <mergeCell ref="AD90:AD93"/>
    <mergeCell ref="AE90:AE93"/>
    <mergeCell ref="A94:A97"/>
    <mergeCell ref="B94:B97"/>
    <mergeCell ref="AD94:AD97"/>
    <mergeCell ref="AE94:AE97"/>
    <mergeCell ref="A98:A101"/>
    <mergeCell ref="B98:B101"/>
    <mergeCell ref="AD98:AD101"/>
    <mergeCell ref="AE98:AE101"/>
    <mergeCell ref="A102:A109"/>
    <mergeCell ref="B102:B109"/>
    <mergeCell ref="AD102:AD109"/>
    <mergeCell ref="AE102:AE109"/>
  </mergeCells>
  <conditionalFormatting sqref="E3:G65536">
    <cfRule type="cellIs" dxfId="35" priority="2" operator="equal">
      <formula>0</formula>
    </cfRule>
  </conditionalFormatting>
  <conditionalFormatting sqref="K4:K109">
    <cfRule type="cellIs" dxfId="34" priority="12" operator="between">
      <formula>8</formula>
      <formula>1</formula>
    </cfRule>
  </conditionalFormatting>
  <conditionalFormatting sqref="M4:M5 M30:M37 M44:M45 M52:M53 M60:M61 M68:M69 M94:M109">
    <cfRule type="cellIs" dxfId="33" priority="10" operator="equal">
      <formula>"BIT OLD MAYBE"</formula>
    </cfRule>
    <cfRule type="cellIs" dxfId="32" priority="11" operator="equal">
      <formula>"TOO YOUNG"</formula>
    </cfRule>
  </conditionalFormatting>
  <conditionalFormatting sqref="M4:M109">
    <cfRule type="cellIs" dxfId="31" priority="9" operator="equal">
      <formula>"OK"</formula>
    </cfRule>
  </conditionalFormatting>
  <conditionalFormatting sqref="M6:M29 M38:M43 M46:M51 M54:M59 M62:M67 M70:M93">
    <cfRule type="cellIs" dxfId="30" priority="13" operator="equal">
      <formula>"NOT ELIGIBLE"</formula>
    </cfRule>
    <cfRule type="cellIs" dxfId="29" priority="14" operator="equal">
      <formula>"TOO YOUNG"</formula>
    </cfRule>
  </conditionalFormatting>
  <conditionalFormatting sqref="N2">
    <cfRule type="cellIs" dxfId="28" priority="3" operator="greaterThan">
      <formula>0</formula>
    </cfRule>
  </conditionalFormatting>
  <conditionalFormatting sqref="N18:O21">
    <cfRule type="cellIs" dxfId="27" priority="6" operator="greaterThan">
      <formula>0</formula>
    </cfRule>
  </conditionalFormatting>
  <conditionalFormatting sqref="P2">
    <cfRule type="cellIs" dxfId="26" priority="7" operator="greaterThan">
      <formula>0</formula>
    </cfRule>
  </conditionalFormatting>
  <conditionalFormatting sqref="P18">
    <cfRule type="cellIs" dxfId="25" priority="5" operator="greaterThan">
      <formula>0</formula>
    </cfRule>
  </conditionalFormatting>
  <conditionalFormatting sqref="Q1:Q17 P2 Q22:Q23">
    <cfRule type="cellIs" dxfId="24" priority="4" operator="greaterThan">
      <formula>"A"</formula>
    </cfRule>
  </conditionalFormatting>
  <conditionalFormatting sqref="AH1:AJ1 AH3:AJ3 AH4:AO105">
    <cfRule type="cellIs" dxfId="23" priority="8" operator="equal">
      <formula>0</formula>
    </cfRule>
  </conditionalFormatting>
  <dataValidations count="9">
    <dataValidation allowBlank="1" showInputMessage="1" showErrorMessage="1" promptTitle="DRAG &amp; DROP IS NOT PERMITTED" sqref="J4:J101" xr:uid="{00000000-0002-0000-0F00-000000000000}">
      <formula1>0</formula1>
      <formula2>0</formula2>
    </dataValidation>
    <dataValidation allowBlank="1" showInputMessage="1" showErrorMessage="1" promptTitle="IF EMPTY" prompt="Please add the row title GIVEN NAME in this box (See Left)" sqref="F3" xr:uid="{00000000-0002-0000-0F00-000001000000}">
      <formula1>0</formula1>
      <formula2>0</formula2>
    </dataValidation>
    <dataValidation allowBlank="1" showInputMessage="1" showErrorMessage="1" promptTitle="IF EMPTY" prompt="Please add the row title FAMILY NAME in this box (See Left)" sqref="G3" xr:uid="{00000000-0002-0000-0F00-000002000000}">
      <formula1>0</formula1>
      <formula2>0</formula2>
    </dataValidation>
    <dataValidation allowBlank="1" showInputMessage="1" showErrorMessage="1" promptTitle="IF EMPTY" prompt="Please add the row title ASA NO in this box (See Left)" sqref="E3" xr:uid="{00000000-0002-0000-0F00-000003000000}">
      <formula1>0</formula1>
      <formula2>0</formula2>
    </dataValidation>
    <dataValidation allowBlank="1" showInputMessage="1" showErrorMessage="1" promptTitle="IF EMPTY" prompt="Please add the row title D.O.B. in this box (See Left)" sqref="H3" xr:uid="{00000000-0002-0000-0F00-000004000000}">
      <formula1>0</formula1>
      <formula2>0</formula2>
    </dataValidation>
    <dataValidation allowBlank="1" showInputMessage="1" showErrorMessage="1" prompt="Enter the swimmers Family Name as registered with the ASA" sqref="G4 G30 G82" xr:uid="{00000000-0002-0000-0F00-000005000000}">
      <formula1>0</formula1>
      <formula2>0</formula2>
    </dataValidation>
    <dataValidation allowBlank="1" showInputMessage="1" showErrorMessage="1" prompt="Enter the Swimmers Given name (1st Name) as registered with the ASA_x000a_" sqref="F4 F30 F82" xr:uid="{00000000-0002-0000-0F00-000006000000}">
      <formula1>0</formula1>
      <formula2>0</formula2>
    </dataValidation>
    <dataValidation allowBlank="1" showInputMessage="1" showErrorMessage="1" prompt="Enter the Swimmers Date of birth.  Day, Month, Year  _x000a_ie 21/11/2011" sqref="H4 H52" xr:uid="{00000000-0002-0000-0F00-000007000000}">
      <formula1>0</formula1>
      <formula2>0</formula2>
    </dataValidation>
    <dataValidation allowBlank="1" showInputMessage="1" showErrorMessage="1" error="You must now &quot;undo&quot; drag and drop" sqref="F5:H5 F31:G31 H53 F83:G83" xr:uid="{00000000-0002-0000-0F00-000008000000}">
      <formula1>0</formula1>
      <formula2>0</formula2>
    </dataValidation>
  </dataValidations>
  <hyperlinks>
    <hyperlink ref="N18" location="'Gala Setup'!G2" display="Gala Setup" xr:uid="{00000000-0004-0000-0F00-000000000000}"/>
    <hyperlink ref="O18" location="Recording!C26" display="Gala Recording" xr:uid="{00000000-0004-0000-0F00-000001000000}"/>
    <hyperlink ref="P18" location="'Lane Timer sheets'!D1" display="Lane Timer Sheets" xr:uid="{00000000-0004-0000-0F00-000002000000}"/>
  </hyperlinks>
  <pageMargins left="0.75" right="0.75" top="1" bottom="1" header="0.511811023622047" footer="0.511811023622047"/>
  <pageSetup paperSize="9" scale="64"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Q1109"/>
  <sheetViews>
    <sheetView showRowColHeaders="0" zoomScale="80" zoomScaleNormal="80" workbookViewId="0">
      <selection activeCell="E3" sqref="E3"/>
    </sheetView>
  </sheetViews>
  <sheetFormatPr defaultColWidth="8.6640625" defaultRowHeight="13.2" x14ac:dyDescent="0.25"/>
  <cols>
    <col min="1" max="1" width="4.5546875" customWidth="1"/>
    <col min="2" max="2" width="31.88671875" customWidth="1"/>
    <col min="3" max="3" width="4.5546875" hidden="1" customWidth="1"/>
    <col min="4" max="4" width="9.6640625" hidden="1" customWidth="1"/>
    <col min="5" max="5" width="9.88671875" style="130" customWidth="1"/>
    <col min="6" max="6" width="23.6640625" style="130" customWidth="1"/>
    <col min="7" max="7" width="33.88671875" style="130" customWidth="1"/>
    <col min="8" max="8" width="12.109375" style="698" customWidth="1"/>
    <col min="9" max="10" width="12.109375" hidden="1" customWidth="1"/>
    <col min="11" max="11" width="10.6640625" customWidth="1"/>
    <col min="12" max="12" width="4.5546875" hidden="1" customWidth="1"/>
    <col min="13" max="13" width="17.6640625" customWidth="1"/>
    <col min="14" max="15" width="14.6640625" style="134" customWidth="1"/>
    <col min="16" max="16" width="29.6640625" style="134" customWidth="1"/>
    <col min="17" max="17" width="8.33203125" style="134" customWidth="1"/>
    <col min="18" max="29" width="8.88671875" style="134" customWidth="1"/>
    <col min="30" max="30" width="4.5546875" style="699" customWidth="1"/>
    <col min="31" max="31" width="26" style="700" customWidth="1"/>
    <col min="32" max="32" width="2.33203125" hidden="1" customWidth="1"/>
    <col min="33" max="33" width="3.6640625" hidden="1" customWidth="1"/>
    <col min="34" max="34" width="9.88671875" customWidth="1"/>
    <col min="35" max="35" width="23.6640625" customWidth="1"/>
    <col min="36" max="36" width="34.33203125" customWidth="1"/>
    <col min="41" max="41" width="9.109375" customWidth="1"/>
    <col min="42" max="42" width="23.6640625" customWidth="1"/>
    <col min="43" max="43" width="11.5546875" hidden="1" customWidth="1"/>
  </cols>
  <sheetData>
    <row r="1" spans="1:43" ht="42.75" customHeight="1" x14ac:dyDescent="0.25">
      <c r="A1" s="1267" t="s">
        <v>4621</v>
      </c>
      <c r="B1" s="1267"/>
      <c r="C1" s="701"/>
      <c r="D1" s="702"/>
      <c r="E1" s="1268"/>
      <c r="F1" s="1268"/>
      <c r="G1" s="1268"/>
      <c r="H1" s="1268"/>
      <c r="I1" s="703"/>
      <c r="J1" s="704"/>
      <c r="K1" s="1269" t="s">
        <v>4623</v>
      </c>
      <c r="L1" s="1269"/>
      <c r="M1" s="1269"/>
      <c r="N1" s="1270" t="s">
        <v>4624</v>
      </c>
      <c r="O1" s="1270"/>
      <c r="P1" s="1270"/>
      <c r="Q1" s="705"/>
      <c r="AD1" s="1271" t="str">
        <f>'Team 1'!AD1</f>
        <v>TEAM NAME</v>
      </c>
      <c r="AE1" s="1271"/>
      <c r="AF1" s="706"/>
      <c r="AG1" s="707"/>
      <c r="AH1" s="1262">
        <f>E1</f>
        <v>0</v>
      </c>
      <c r="AI1" s="1262"/>
      <c r="AJ1" s="1262"/>
      <c r="AK1" s="1263"/>
      <c r="AL1" s="1263"/>
      <c r="AM1" s="1263"/>
      <c r="AN1" s="1263"/>
      <c r="AO1" s="708"/>
    </row>
    <row r="2" spans="1:43" ht="42.75" customHeight="1" x14ac:dyDescent="0.25">
      <c r="A2" s="1267"/>
      <c r="B2" s="1267"/>
      <c r="C2" s="709"/>
      <c r="D2" s="710"/>
      <c r="E2" s="1268"/>
      <c r="F2" s="1268"/>
      <c r="G2" s="1268"/>
      <c r="H2" s="1268"/>
      <c r="I2" s="711"/>
      <c r="J2" s="712"/>
      <c r="K2" s="1264">
        <f ca="1">DATE(YEAR(NOW()),12,31)</f>
        <v>45291</v>
      </c>
      <c r="L2" s="1264"/>
      <c r="M2" s="1264"/>
      <c r="N2" s="1265" t="s">
        <v>5056</v>
      </c>
      <c r="O2" s="1265"/>
      <c r="P2" s="1266" t="s">
        <v>4627</v>
      </c>
      <c r="Q2" s="705"/>
      <c r="AD2" s="1271"/>
      <c r="AE2" s="1271"/>
      <c r="AF2" s="713"/>
      <c r="AG2" s="714"/>
      <c r="AH2" s="1262"/>
      <c r="AI2" s="1262"/>
      <c r="AJ2" s="1262"/>
      <c r="AK2" s="1263"/>
      <c r="AL2" s="1263"/>
      <c r="AM2" s="1263"/>
      <c r="AN2" s="1263"/>
      <c r="AO2" s="708"/>
      <c r="AP2" s="708"/>
    </row>
    <row r="3" spans="1:43" ht="46.5" customHeight="1" x14ac:dyDescent="0.25">
      <c r="A3" s="1260" t="s">
        <v>69</v>
      </c>
      <c r="B3" s="1260"/>
      <c r="C3" s="715"/>
      <c r="D3" s="716"/>
      <c r="E3" s="717" t="s">
        <v>4628</v>
      </c>
      <c r="F3" s="718" t="s">
        <v>4629</v>
      </c>
      <c r="G3" s="718" t="s">
        <v>4630</v>
      </c>
      <c r="H3" s="795" t="s">
        <v>4631</v>
      </c>
      <c r="I3" s="720"/>
      <c r="J3" s="721"/>
      <c r="K3" s="1261" t="s">
        <v>4632</v>
      </c>
      <c r="L3" s="1261"/>
      <c r="M3" s="1261"/>
      <c r="N3" s="1265"/>
      <c r="O3" s="1265"/>
      <c r="P3" s="1266"/>
      <c r="Q3" s="705"/>
      <c r="AD3" s="1244"/>
      <c r="AE3" s="1244"/>
      <c r="AF3" s="723"/>
      <c r="AG3" s="724"/>
      <c r="AH3" s="725" t="str">
        <f>'Team 1'!AH3</f>
        <v>SE No</v>
      </c>
      <c r="AI3" s="726" t="s">
        <v>4629</v>
      </c>
      <c r="AJ3" s="726" t="s">
        <v>4630</v>
      </c>
      <c r="AK3" s="1263"/>
      <c r="AL3" s="1263"/>
      <c r="AM3" s="1263"/>
      <c r="AN3" s="1263"/>
      <c r="AO3" s="726"/>
      <c r="AQ3">
        <v>8</v>
      </c>
    </row>
    <row r="4" spans="1:43" ht="20.25" customHeight="1" x14ac:dyDescent="0.25">
      <c r="A4" s="727">
        <v>1</v>
      </c>
      <c r="B4" s="728" t="s">
        <v>4634</v>
      </c>
      <c r="C4" s="728" t="s">
        <v>4635</v>
      </c>
      <c r="D4" s="729">
        <f>IF('Gala Setup'!J$9="100M",29,IF('Gala Setup'!J$9="200M",16))</f>
        <v>16</v>
      </c>
      <c r="E4" s="730"/>
      <c r="F4" s="731"/>
      <c r="G4" s="731"/>
      <c r="H4" s="732"/>
      <c r="I4" s="733" t="str">
        <f t="shared" ref="I4:I35" si="0">CONCATENATE(F4," ",G4)</f>
        <v xml:space="preserve"> </v>
      </c>
      <c r="J4" s="734" t="str">
        <f t="shared" ref="J4:J35" si="1">CONCATENATE(G4,",",F4)</f>
        <v>,</v>
      </c>
      <c r="K4" s="735">
        <f t="shared" ref="K4:K35" ca="1" si="2">IF(K$2=0,0,IF(AQ4=0,0,IF(COUNTBLANK(AQ4)=1,"",YEAR(K$2)-YEAR(AQ4)-IF(DATE(YEAR(K$2),MONTH(AQ4),DAY(4638))&gt;K$2,1,0))))</f>
        <v>0</v>
      </c>
      <c r="L4" s="736" t="str">
        <f t="shared" ref="L4:L35" si="3">(TEXT(H4,"DDMMYY"))</f>
        <v>000100</v>
      </c>
      <c r="M4" s="737">
        <f ca="1">IF(K4=0,0,IF(K4&lt;9,"TOO YOUNG",IF(K4&lt;60,"OK","BIT OLD MAYBE")))</f>
        <v>0</v>
      </c>
      <c r="N4" s="1265"/>
      <c r="O4" s="1265"/>
      <c r="P4" s="1266"/>
      <c r="Q4" s="705"/>
      <c r="AD4" s="722">
        <f t="shared" ref="AD4:AE6" si="4">A4</f>
        <v>1</v>
      </c>
      <c r="AE4" s="738" t="str">
        <f t="shared" si="4"/>
        <v>FEMALE 16+  200M  IM</v>
      </c>
      <c r="AF4" s="440" t="s">
        <v>4635</v>
      </c>
      <c r="AG4" s="739">
        <v>16</v>
      </c>
      <c r="AH4" s="740">
        <f t="shared" ref="AH4:AH35" si="5">E4</f>
        <v>0</v>
      </c>
      <c r="AI4" s="740">
        <f t="shared" ref="AI4:AI35" si="6">F4</f>
        <v>0</v>
      </c>
      <c r="AJ4" s="740">
        <f t="shared" ref="AJ4:AJ35" si="7">G4</f>
        <v>0</v>
      </c>
      <c r="AK4" s="740"/>
      <c r="AL4" s="740"/>
      <c r="AM4" s="740"/>
      <c r="AN4" s="740"/>
      <c r="AO4" s="740"/>
      <c r="AQ4" s="741">
        <f t="shared" ref="AQ4:AQ35" ca="1" si="8">INDIRECT(ADDRESS(ROW(),AQ$3))</f>
        <v>0</v>
      </c>
    </row>
    <row r="5" spans="1:43" ht="20.25" customHeight="1" x14ac:dyDescent="0.25">
      <c r="A5" s="727">
        <v>2</v>
      </c>
      <c r="B5" s="742" t="s">
        <v>4638</v>
      </c>
      <c r="C5" s="742" t="s">
        <v>328</v>
      </c>
      <c r="D5" s="729">
        <f>IF('Gala Setup'!J$9="100M",29,IF('Gala Setup'!J$9="200M",16))</f>
        <v>16</v>
      </c>
      <c r="E5" s="730"/>
      <c r="F5" s="731"/>
      <c r="G5" s="731"/>
      <c r="H5" s="732"/>
      <c r="I5" s="733" t="str">
        <f t="shared" si="0"/>
        <v xml:space="preserve"> </v>
      </c>
      <c r="J5" s="734" t="str">
        <f t="shared" si="1"/>
        <v>,</v>
      </c>
      <c r="K5" s="735">
        <f t="shared" ca="1" si="2"/>
        <v>0</v>
      </c>
      <c r="L5" s="736" t="str">
        <f t="shared" si="3"/>
        <v>000100</v>
      </c>
      <c r="M5" s="743">
        <f ca="1">IF(K5=0,0,IF(K5&lt;9,"TOO YOUNG",IF(K5&lt;60,"OK","BIT OLD MAYBE")))</f>
        <v>0</v>
      </c>
      <c r="N5" s="1265"/>
      <c r="O5" s="1265"/>
      <c r="P5" s="1266"/>
      <c r="Q5" s="705"/>
      <c r="AD5" s="722">
        <f t="shared" si="4"/>
        <v>2</v>
      </c>
      <c r="AE5" s="738" t="str">
        <f t="shared" si="4"/>
        <v>OPEN/MALE 16+ 200M  IM</v>
      </c>
      <c r="AF5" s="443" t="s">
        <v>328</v>
      </c>
      <c r="AG5" s="744">
        <v>16</v>
      </c>
      <c r="AH5" s="740">
        <f t="shared" si="5"/>
        <v>0</v>
      </c>
      <c r="AI5" s="740">
        <f t="shared" si="6"/>
        <v>0</v>
      </c>
      <c r="AJ5" s="740">
        <f t="shared" si="7"/>
        <v>0</v>
      </c>
      <c r="AK5" s="740"/>
      <c r="AL5" s="740"/>
      <c r="AM5" s="740"/>
      <c r="AN5" s="740"/>
      <c r="AO5" s="740"/>
      <c r="AQ5" s="741">
        <f t="shared" ca="1" si="8"/>
        <v>0</v>
      </c>
    </row>
    <row r="6" spans="1:43" ht="20.25" customHeight="1" x14ac:dyDescent="0.25">
      <c r="A6" s="1254">
        <v>3</v>
      </c>
      <c r="B6" s="1255" t="s">
        <v>4641</v>
      </c>
      <c r="C6" s="746"/>
      <c r="D6" s="747"/>
      <c r="E6" s="730"/>
      <c r="F6" s="731"/>
      <c r="G6" s="731"/>
      <c r="H6" s="732"/>
      <c r="I6" s="733" t="str">
        <f t="shared" si="0"/>
        <v xml:space="preserve"> </v>
      </c>
      <c r="J6" s="734" t="str">
        <f t="shared" si="1"/>
        <v>,</v>
      </c>
      <c r="K6" s="735">
        <f t="shared" ca="1" si="2"/>
        <v>0</v>
      </c>
      <c r="L6" s="736" t="str">
        <f t="shared" si="3"/>
        <v>000100</v>
      </c>
      <c r="M6" s="748">
        <f t="shared" ref="M6:M13" ca="1" si="9">IF(K6=0,0,IF(K6&lt;9,"TOO YOUNG",IF(K6&lt;12,"OK","NOT ELIGIBLE")))</f>
        <v>0</v>
      </c>
      <c r="N6" s="1265"/>
      <c r="O6" s="1265"/>
      <c r="P6" s="1266"/>
      <c r="Q6" s="705"/>
      <c r="AD6" s="1244">
        <f t="shared" si="4"/>
        <v>3</v>
      </c>
      <c r="AE6" s="1245" t="str">
        <f t="shared" si="4"/>
        <v>FEMALE 9/11 4 X 50M
FREESTYLE RELAY</v>
      </c>
      <c r="AF6" s="749"/>
      <c r="AG6" s="750"/>
      <c r="AH6" s="740">
        <f t="shared" si="5"/>
        <v>0</v>
      </c>
      <c r="AI6" s="740">
        <f t="shared" si="6"/>
        <v>0</v>
      </c>
      <c r="AJ6" s="740">
        <f t="shared" si="7"/>
        <v>0</v>
      </c>
      <c r="AK6" s="740"/>
      <c r="AL6" s="740"/>
      <c r="AM6" s="740"/>
      <c r="AN6" s="740"/>
      <c r="AO6" s="740"/>
      <c r="AQ6" s="741">
        <f t="shared" ca="1" si="8"/>
        <v>0</v>
      </c>
    </row>
    <row r="7" spans="1:43" ht="20.25" customHeight="1" x14ac:dyDescent="0.25">
      <c r="A7" s="1254"/>
      <c r="B7" s="1255"/>
      <c r="C7" s="751"/>
      <c r="D7" s="752"/>
      <c r="E7" s="730"/>
      <c r="F7" s="731"/>
      <c r="G7" s="731"/>
      <c r="H7" s="732"/>
      <c r="I7" s="733" t="str">
        <f t="shared" si="0"/>
        <v xml:space="preserve"> </v>
      </c>
      <c r="J7" s="734" t="str">
        <f t="shared" si="1"/>
        <v>,</v>
      </c>
      <c r="K7" s="735">
        <f t="shared" ca="1" si="2"/>
        <v>0</v>
      </c>
      <c r="L7" s="736" t="str">
        <f t="shared" si="3"/>
        <v>000100</v>
      </c>
      <c r="M7" s="748">
        <f t="shared" ca="1" si="9"/>
        <v>0</v>
      </c>
      <c r="N7" s="1265"/>
      <c r="O7" s="1265"/>
      <c r="P7" s="1266"/>
      <c r="Q7" s="705"/>
      <c r="AD7" s="1244"/>
      <c r="AE7" s="1245"/>
      <c r="AF7" s="753"/>
      <c r="AG7" s="754"/>
      <c r="AH7" s="740">
        <f t="shared" si="5"/>
        <v>0</v>
      </c>
      <c r="AI7" s="740">
        <f t="shared" si="6"/>
        <v>0</v>
      </c>
      <c r="AJ7" s="740">
        <f t="shared" si="7"/>
        <v>0</v>
      </c>
      <c r="AK7" s="740"/>
      <c r="AL7" s="740"/>
      <c r="AM7" s="740"/>
      <c r="AN7" s="740"/>
      <c r="AO7" s="740"/>
      <c r="AQ7" s="741">
        <f t="shared" ca="1" si="8"/>
        <v>0</v>
      </c>
    </row>
    <row r="8" spans="1:43" ht="20.25" customHeight="1" x14ac:dyDescent="0.25">
      <c r="A8" s="1254"/>
      <c r="B8" s="1255"/>
      <c r="C8" s="751"/>
      <c r="D8" s="752"/>
      <c r="E8" s="730"/>
      <c r="F8" s="731"/>
      <c r="G8" s="731"/>
      <c r="H8" s="732"/>
      <c r="I8" s="733" t="str">
        <f t="shared" si="0"/>
        <v xml:space="preserve"> </v>
      </c>
      <c r="J8" s="734" t="str">
        <f t="shared" si="1"/>
        <v>,</v>
      </c>
      <c r="K8" s="735">
        <f t="shared" ca="1" si="2"/>
        <v>0</v>
      </c>
      <c r="L8" s="736" t="str">
        <f t="shared" si="3"/>
        <v>000100</v>
      </c>
      <c r="M8" s="748">
        <f t="shared" ca="1" si="9"/>
        <v>0</v>
      </c>
      <c r="N8" s="1265"/>
      <c r="O8" s="1265"/>
      <c r="P8" s="1266"/>
      <c r="Q8" s="705"/>
      <c r="AD8" s="1244"/>
      <c r="AE8" s="1245"/>
      <c r="AF8" s="753"/>
      <c r="AG8" s="754"/>
      <c r="AH8" s="740">
        <f t="shared" si="5"/>
        <v>0</v>
      </c>
      <c r="AI8" s="740">
        <f t="shared" si="6"/>
        <v>0</v>
      </c>
      <c r="AJ8" s="740">
        <f t="shared" si="7"/>
        <v>0</v>
      </c>
      <c r="AK8" s="740"/>
      <c r="AL8" s="740"/>
      <c r="AM8" s="740"/>
      <c r="AN8" s="740"/>
      <c r="AO8" s="740"/>
      <c r="AQ8" s="741">
        <f t="shared" ca="1" si="8"/>
        <v>0</v>
      </c>
    </row>
    <row r="9" spans="1:43" ht="20.25" customHeight="1" x14ac:dyDescent="0.25">
      <c r="A9" s="1254"/>
      <c r="B9" s="1255"/>
      <c r="C9" s="751"/>
      <c r="D9" s="752"/>
      <c r="E9" s="730"/>
      <c r="F9" s="731"/>
      <c r="G9" s="731"/>
      <c r="H9" s="732"/>
      <c r="I9" s="733" t="str">
        <f t="shared" si="0"/>
        <v xml:space="preserve"> </v>
      </c>
      <c r="J9" s="734" t="str">
        <f t="shared" si="1"/>
        <v>,</v>
      </c>
      <c r="K9" s="735">
        <f t="shared" ca="1" si="2"/>
        <v>0</v>
      </c>
      <c r="L9" s="736" t="str">
        <f t="shared" si="3"/>
        <v>000100</v>
      </c>
      <c r="M9" s="748">
        <f t="shared" ca="1" si="9"/>
        <v>0</v>
      </c>
      <c r="N9" s="1265"/>
      <c r="O9" s="1265"/>
      <c r="P9" s="1266"/>
      <c r="Q9" s="705"/>
      <c r="AD9" s="1244"/>
      <c r="AE9" s="1245"/>
      <c r="AF9" s="753"/>
      <c r="AG9" s="754"/>
      <c r="AH9" s="740">
        <f t="shared" si="5"/>
        <v>0</v>
      </c>
      <c r="AI9" s="740">
        <f t="shared" si="6"/>
        <v>0</v>
      </c>
      <c r="AJ9" s="740">
        <f t="shared" si="7"/>
        <v>0</v>
      </c>
      <c r="AK9" s="740"/>
      <c r="AL9" s="740"/>
      <c r="AM9" s="740"/>
      <c r="AN9" s="740"/>
      <c r="AO9" s="740"/>
      <c r="AQ9" s="741">
        <f t="shared" ca="1" si="8"/>
        <v>0</v>
      </c>
    </row>
    <row r="10" spans="1:43" ht="20.25" customHeight="1" x14ac:dyDescent="0.25">
      <c r="A10" s="1254">
        <v>4</v>
      </c>
      <c r="B10" s="1255" t="s">
        <v>4650</v>
      </c>
      <c r="C10" s="746"/>
      <c r="D10" s="747"/>
      <c r="E10" s="730"/>
      <c r="F10" s="731"/>
      <c r="G10" s="731"/>
      <c r="H10" s="732"/>
      <c r="I10" s="733" t="str">
        <f t="shared" si="0"/>
        <v xml:space="preserve"> </v>
      </c>
      <c r="J10" s="734" t="str">
        <f t="shared" si="1"/>
        <v>,</v>
      </c>
      <c r="K10" s="735">
        <f t="shared" ca="1" si="2"/>
        <v>0</v>
      </c>
      <c r="L10" s="736" t="str">
        <f t="shared" si="3"/>
        <v>000100</v>
      </c>
      <c r="M10" s="748">
        <f t="shared" ca="1" si="9"/>
        <v>0</v>
      </c>
      <c r="N10" s="1265"/>
      <c r="O10" s="1265"/>
      <c r="P10" s="1266"/>
      <c r="Q10" s="705"/>
      <c r="AD10" s="1244">
        <f>A10</f>
        <v>4</v>
      </c>
      <c r="AE10" s="1245" t="str">
        <f>B10</f>
        <v>OPEN/MALE 9/11 4 X50M
FREESTYLE RELAY</v>
      </c>
      <c r="AF10" s="749"/>
      <c r="AG10" s="750"/>
      <c r="AH10" s="740">
        <f t="shared" si="5"/>
        <v>0</v>
      </c>
      <c r="AI10" s="740">
        <f t="shared" si="6"/>
        <v>0</v>
      </c>
      <c r="AJ10" s="740">
        <f t="shared" si="7"/>
        <v>0</v>
      </c>
      <c r="AK10" s="740"/>
      <c r="AL10" s="740"/>
      <c r="AM10" s="740"/>
      <c r="AN10" s="740"/>
      <c r="AO10" s="740"/>
      <c r="AQ10" s="741">
        <f t="shared" ca="1" si="8"/>
        <v>0</v>
      </c>
    </row>
    <row r="11" spans="1:43" ht="20.25" customHeight="1" x14ac:dyDescent="0.25">
      <c r="A11" s="1254"/>
      <c r="B11" s="1255"/>
      <c r="C11" s="751"/>
      <c r="D11" s="752"/>
      <c r="E11" s="730"/>
      <c r="F11" s="731"/>
      <c r="G11" s="731"/>
      <c r="H11" s="732"/>
      <c r="I11" s="733" t="str">
        <f t="shared" si="0"/>
        <v xml:space="preserve"> </v>
      </c>
      <c r="J11" s="734" t="str">
        <f t="shared" si="1"/>
        <v>,</v>
      </c>
      <c r="K11" s="735">
        <f t="shared" ca="1" si="2"/>
        <v>0</v>
      </c>
      <c r="L11" s="736" t="str">
        <f t="shared" si="3"/>
        <v>000100</v>
      </c>
      <c r="M11" s="748">
        <f t="shared" ca="1" si="9"/>
        <v>0</v>
      </c>
      <c r="N11" s="1265"/>
      <c r="O11" s="1265"/>
      <c r="P11" s="1266"/>
      <c r="Q11" s="705"/>
      <c r="AD11" s="1244"/>
      <c r="AE11" s="1245"/>
      <c r="AF11" s="753"/>
      <c r="AG11" s="754"/>
      <c r="AH11" s="740">
        <f t="shared" si="5"/>
        <v>0</v>
      </c>
      <c r="AI11" s="740">
        <f t="shared" si="6"/>
        <v>0</v>
      </c>
      <c r="AJ11" s="740">
        <f t="shared" si="7"/>
        <v>0</v>
      </c>
      <c r="AK11" s="740"/>
      <c r="AL11" s="740"/>
      <c r="AM11" s="740"/>
      <c r="AN11" s="740"/>
      <c r="AO11" s="740"/>
      <c r="AQ11" s="741">
        <f t="shared" ca="1" si="8"/>
        <v>0</v>
      </c>
    </row>
    <row r="12" spans="1:43" ht="20.25" customHeight="1" x14ac:dyDescent="0.25">
      <c r="A12" s="1254"/>
      <c r="B12" s="1255"/>
      <c r="C12" s="751"/>
      <c r="D12" s="752"/>
      <c r="E12" s="730"/>
      <c r="F12" s="731"/>
      <c r="G12" s="731"/>
      <c r="H12" s="732"/>
      <c r="I12" s="733" t="str">
        <f t="shared" si="0"/>
        <v xml:space="preserve"> </v>
      </c>
      <c r="J12" s="734" t="str">
        <f t="shared" si="1"/>
        <v>,</v>
      </c>
      <c r="K12" s="735">
        <f t="shared" ca="1" si="2"/>
        <v>0</v>
      </c>
      <c r="L12" s="736" t="str">
        <f t="shared" si="3"/>
        <v>000100</v>
      </c>
      <c r="M12" s="748">
        <f t="shared" ca="1" si="9"/>
        <v>0</v>
      </c>
      <c r="N12" s="1265"/>
      <c r="O12" s="1265"/>
      <c r="P12" s="1266"/>
      <c r="Q12" s="705"/>
      <c r="AD12" s="1244"/>
      <c r="AE12" s="1245"/>
      <c r="AF12" s="753"/>
      <c r="AG12" s="754"/>
      <c r="AH12" s="740">
        <f t="shared" si="5"/>
        <v>0</v>
      </c>
      <c r="AI12" s="740">
        <f t="shared" si="6"/>
        <v>0</v>
      </c>
      <c r="AJ12" s="740">
        <f t="shared" si="7"/>
        <v>0</v>
      </c>
      <c r="AK12" s="740"/>
      <c r="AL12" s="740"/>
      <c r="AM12" s="740"/>
      <c r="AN12" s="740"/>
      <c r="AO12" s="740"/>
      <c r="AQ12" s="741">
        <f t="shared" ca="1" si="8"/>
        <v>0</v>
      </c>
    </row>
    <row r="13" spans="1:43" ht="20.25" customHeight="1" x14ac:dyDescent="0.25">
      <c r="A13" s="1254"/>
      <c r="B13" s="1255"/>
      <c r="C13" s="751"/>
      <c r="D13" s="752"/>
      <c r="E13" s="730"/>
      <c r="F13" s="731"/>
      <c r="G13" s="731"/>
      <c r="H13" s="732"/>
      <c r="I13" s="733" t="str">
        <f t="shared" si="0"/>
        <v xml:space="preserve"> </v>
      </c>
      <c r="J13" s="734" t="str">
        <f t="shared" si="1"/>
        <v>,</v>
      </c>
      <c r="K13" s="735">
        <f t="shared" ca="1" si="2"/>
        <v>0</v>
      </c>
      <c r="L13" s="736" t="str">
        <f t="shared" si="3"/>
        <v>000100</v>
      </c>
      <c r="M13" s="748">
        <f t="shared" ca="1" si="9"/>
        <v>0</v>
      </c>
      <c r="N13" s="1265"/>
      <c r="O13" s="1265"/>
      <c r="P13" s="1266"/>
      <c r="Q13" s="705"/>
      <c r="AD13" s="1244"/>
      <c r="AE13" s="1245"/>
      <c r="AF13" s="753"/>
      <c r="AG13" s="754"/>
      <c r="AH13" s="740">
        <f t="shared" si="5"/>
        <v>0</v>
      </c>
      <c r="AI13" s="740">
        <f t="shared" si="6"/>
        <v>0</v>
      </c>
      <c r="AJ13" s="740">
        <f t="shared" si="7"/>
        <v>0</v>
      </c>
      <c r="AK13" s="740"/>
      <c r="AL13" s="740"/>
      <c r="AM13" s="740"/>
      <c r="AN13" s="740"/>
      <c r="AO13" s="740"/>
      <c r="AQ13" s="741">
        <f t="shared" ca="1" si="8"/>
        <v>0</v>
      </c>
    </row>
    <row r="14" spans="1:43" ht="20.25" customHeight="1" x14ac:dyDescent="0.25">
      <c r="A14" s="1252">
        <v>5</v>
      </c>
      <c r="B14" s="1253" t="s">
        <v>4651</v>
      </c>
      <c r="C14" s="756"/>
      <c r="D14" s="757"/>
      <c r="E14" s="730"/>
      <c r="F14" s="731"/>
      <c r="G14" s="731"/>
      <c r="H14" s="732"/>
      <c r="I14" s="733" t="str">
        <f t="shared" si="0"/>
        <v xml:space="preserve"> </v>
      </c>
      <c r="J14" s="734" t="str">
        <f t="shared" si="1"/>
        <v>,</v>
      </c>
      <c r="K14" s="735">
        <f t="shared" ca="1" si="2"/>
        <v>0</v>
      </c>
      <c r="L14" s="736" t="str">
        <f t="shared" si="3"/>
        <v>000100</v>
      </c>
      <c r="M14" s="748">
        <f t="shared" ref="M14:M21" ca="1" si="10">IF(K14=0,0,IF(K14&lt;9,"TOO YOUNG",IF(K14&lt;14,"OK","NOT ELIGIBLE")))</f>
        <v>0</v>
      </c>
      <c r="N14" s="1265"/>
      <c r="O14" s="1265"/>
      <c r="P14" s="1266"/>
      <c r="Q14" s="705"/>
      <c r="AD14" s="1244">
        <f>A14</f>
        <v>5</v>
      </c>
      <c r="AE14" s="1245" t="str">
        <f>B14</f>
        <v>FEMALE 13/U 4 X 50M
MEDLEY RELAY</v>
      </c>
      <c r="AF14" s="749"/>
      <c r="AG14" s="750"/>
      <c r="AH14" s="740">
        <f t="shared" si="5"/>
        <v>0</v>
      </c>
      <c r="AI14" s="740">
        <f t="shared" si="6"/>
        <v>0</v>
      </c>
      <c r="AJ14" s="740">
        <f t="shared" si="7"/>
        <v>0</v>
      </c>
      <c r="AK14" s="740"/>
      <c r="AL14" s="740"/>
      <c r="AM14" s="740"/>
      <c r="AN14" s="740"/>
      <c r="AO14" s="740"/>
      <c r="AQ14" s="741">
        <f t="shared" ca="1" si="8"/>
        <v>0</v>
      </c>
    </row>
    <row r="15" spans="1:43" ht="20.25" customHeight="1" x14ac:dyDescent="0.25">
      <c r="A15" s="1252"/>
      <c r="B15" s="1253"/>
      <c r="C15" s="758"/>
      <c r="D15" s="759"/>
      <c r="E15" s="730"/>
      <c r="F15" s="731"/>
      <c r="G15" s="731"/>
      <c r="H15" s="732"/>
      <c r="I15" s="733" t="str">
        <f t="shared" si="0"/>
        <v xml:space="preserve"> </v>
      </c>
      <c r="J15" s="734" t="str">
        <f t="shared" si="1"/>
        <v>,</v>
      </c>
      <c r="K15" s="735">
        <f t="shared" ca="1" si="2"/>
        <v>0</v>
      </c>
      <c r="L15" s="736" t="str">
        <f t="shared" si="3"/>
        <v>000100</v>
      </c>
      <c r="M15" s="748">
        <f t="shared" ca="1" si="10"/>
        <v>0</v>
      </c>
      <c r="N15" s="1265"/>
      <c r="O15" s="1265"/>
      <c r="P15" s="1266"/>
      <c r="Q15" s="705"/>
      <c r="AD15" s="1244"/>
      <c r="AE15" s="1245"/>
      <c r="AF15" s="753"/>
      <c r="AG15" s="754"/>
      <c r="AH15" s="740">
        <f t="shared" si="5"/>
        <v>0</v>
      </c>
      <c r="AI15" s="740">
        <f t="shared" si="6"/>
        <v>0</v>
      </c>
      <c r="AJ15" s="740">
        <f t="shared" si="7"/>
        <v>0</v>
      </c>
      <c r="AK15" s="740"/>
      <c r="AL15" s="740"/>
      <c r="AM15" s="740"/>
      <c r="AN15" s="740"/>
      <c r="AO15" s="740"/>
      <c r="AQ15" s="741">
        <f t="shared" ca="1" si="8"/>
        <v>0</v>
      </c>
    </row>
    <row r="16" spans="1:43" ht="20.25" customHeight="1" x14ac:dyDescent="0.25">
      <c r="A16" s="1252"/>
      <c r="B16" s="1253"/>
      <c r="C16" s="758"/>
      <c r="D16" s="759"/>
      <c r="E16" s="730"/>
      <c r="F16" s="731"/>
      <c r="G16" s="731"/>
      <c r="H16" s="732"/>
      <c r="I16" s="733" t="str">
        <f t="shared" si="0"/>
        <v xml:space="preserve"> </v>
      </c>
      <c r="J16" s="734" t="str">
        <f t="shared" si="1"/>
        <v>,</v>
      </c>
      <c r="K16" s="735">
        <f t="shared" ca="1" si="2"/>
        <v>0</v>
      </c>
      <c r="L16" s="736" t="str">
        <f t="shared" si="3"/>
        <v>000100</v>
      </c>
      <c r="M16" s="748">
        <f t="shared" ca="1" si="10"/>
        <v>0</v>
      </c>
      <c r="N16" s="1265"/>
      <c r="O16" s="1265"/>
      <c r="P16" s="1266"/>
      <c r="Q16" s="705"/>
      <c r="AD16" s="1244"/>
      <c r="AE16" s="1245"/>
      <c r="AF16" s="753"/>
      <c r="AG16" s="754"/>
      <c r="AH16" s="740">
        <f t="shared" si="5"/>
        <v>0</v>
      </c>
      <c r="AI16" s="740">
        <f t="shared" si="6"/>
        <v>0</v>
      </c>
      <c r="AJ16" s="740">
        <f t="shared" si="7"/>
        <v>0</v>
      </c>
      <c r="AK16" s="740"/>
      <c r="AL16" s="740"/>
      <c r="AM16" s="740"/>
      <c r="AN16" s="740"/>
      <c r="AO16" s="740"/>
      <c r="AQ16" s="741">
        <f t="shared" ca="1" si="8"/>
        <v>0</v>
      </c>
    </row>
    <row r="17" spans="1:43" ht="20.25" customHeight="1" x14ac:dyDescent="0.25">
      <c r="A17" s="1252"/>
      <c r="B17" s="1253"/>
      <c r="C17" s="758"/>
      <c r="D17" s="759"/>
      <c r="E17" s="730"/>
      <c r="F17" s="731"/>
      <c r="G17" s="731"/>
      <c r="H17" s="732"/>
      <c r="I17" s="733" t="str">
        <f t="shared" si="0"/>
        <v xml:space="preserve"> </v>
      </c>
      <c r="J17" s="734" t="str">
        <f t="shared" si="1"/>
        <v>,</v>
      </c>
      <c r="K17" s="735">
        <f t="shared" ca="1" si="2"/>
        <v>0</v>
      </c>
      <c r="L17" s="736" t="str">
        <f t="shared" si="3"/>
        <v>000100</v>
      </c>
      <c r="M17" s="748">
        <f t="shared" ca="1" si="10"/>
        <v>0</v>
      </c>
      <c r="N17" s="1265"/>
      <c r="O17" s="1265"/>
      <c r="P17" s="1266"/>
      <c r="Q17" s="705"/>
      <c r="AD17" s="1244"/>
      <c r="AE17" s="1245"/>
      <c r="AF17" s="753"/>
      <c r="AG17" s="754"/>
      <c r="AH17" s="740">
        <f t="shared" si="5"/>
        <v>0</v>
      </c>
      <c r="AI17" s="740">
        <f t="shared" si="6"/>
        <v>0</v>
      </c>
      <c r="AJ17" s="740">
        <f t="shared" si="7"/>
        <v>0</v>
      </c>
      <c r="AK17" s="740"/>
      <c r="AL17" s="740"/>
      <c r="AM17" s="740"/>
      <c r="AN17" s="740"/>
      <c r="AO17" s="740"/>
      <c r="AQ17" s="741">
        <f t="shared" ca="1" si="8"/>
        <v>0</v>
      </c>
    </row>
    <row r="18" spans="1:43" ht="20.25" customHeight="1" x14ac:dyDescent="0.25">
      <c r="A18" s="1252">
        <v>6</v>
      </c>
      <c r="B18" s="1253" t="s">
        <v>4660</v>
      </c>
      <c r="C18" s="756"/>
      <c r="D18" s="757"/>
      <c r="E18" s="730"/>
      <c r="F18" s="731"/>
      <c r="G18" s="731"/>
      <c r="H18" s="732"/>
      <c r="I18" s="733" t="str">
        <f t="shared" si="0"/>
        <v xml:space="preserve"> </v>
      </c>
      <c r="J18" s="734" t="str">
        <f t="shared" si="1"/>
        <v>,</v>
      </c>
      <c r="K18" s="735">
        <f t="shared" ca="1" si="2"/>
        <v>0</v>
      </c>
      <c r="L18" s="736" t="str">
        <f t="shared" si="3"/>
        <v>000100</v>
      </c>
      <c r="M18" s="748">
        <f t="shared" ca="1" si="10"/>
        <v>0</v>
      </c>
      <c r="N18" s="1258" t="s">
        <v>4319</v>
      </c>
      <c r="O18" s="1258" t="s">
        <v>4320</v>
      </c>
      <c r="P18" s="1259" t="s">
        <v>4663</v>
      </c>
      <c r="R18" s="760"/>
      <c r="S18" s="760"/>
      <c r="AD18" s="1244">
        <f>A18</f>
        <v>6</v>
      </c>
      <c r="AE18" s="1245" t="str">
        <f>B18</f>
        <v>OPEN/MALE 13/U 4 X 50M
MEDLEY RELAY</v>
      </c>
      <c r="AF18" s="749"/>
      <c r="AG18" s="750"/>
      <c r="AH18" s="740">
        <f t="shared" si="5"/>
        <v>0</v>
      </c>
      <c r="AI18" s="740">
        <f t="shared" si="6"/>
        <v>0</v>
      </c>
      <c r="AJ18" s="740">
        <f t="shared" si="7"/>
        <v>0</v>
      </c>
      <c r="AK18" s="740"/>
      <c r="AL18" s="740"/>
      <c r="AM18" s="740"/>
      <c r="AN18" s="740"/>
      <c r="AO18" s="740"/>
      <c r="AQ18" s="741">
        <f t="shared" ca="1" si="8"/>
        <v>0</v>
      </c>
    </row>
    <row r="19" spans="1:43" ht="20.25" customHeight="1" x14ac:dyDescent="0.25">
      <c r="A19" s="1252"/>
      <c r="B19" s="1253"/>
      <c r="C19" s="758"/>
      <c r="D19" s="759"/>
      <c r="E19" s="730"/>
      <c r="F19" s="731"/>
      <c r="G19" s="731"/>
      <c r="H19" s="732"/>
      <c r="I19" s="733" t="str">
        <f t="shared" si="0"/>
        <v xml:space="preserve"> </v>
      </c>
      <c r="J19" s="734" t="str">
        <f t="shared" si="1"/>
        <v>,</v>
      </c>
      <c r="K19" s="735">
        <f t="shared" ca="1" si="2"/>
        <v>0</v>
      </c>
      <c r="L19" s="736" t="str">
        <f t="shared" si="3"/>
        <v>000100</v>
      </c>
      <c r="M19" s="748">
        <f t="shared" ca="1" si="10"/>
        <v>0</v>
      </c>
      <c r="N19" s="1258"/>
      <c r="O19" s="1258"/>
      <c r="P19" s="1259"/>
      <c r="R19" s="760"/>
      <c r="S19" s="760"/>
      <c r="AD19" s="1244"/>
      <c r="AE19" s="1245"/>
      <c r="AF19" s="753"/>
      <c r="AG19" s="754"/>
      <c r="AH19" s="740">
        <f t="shared" si="5"/>
        <v>0</v>
      </c>
      <c r="AI19" s="740">
        <f t="shared" si="6"/>
        <v>0</v>
      </c>
      <c r="AJ19" s="740">
        <f t="shared" si="7"/>
        <v>0</v>
      </c>
      <c r="AK19" s="740"/>
      <c r="AL19" s="740"/>
      <c r="AM19" s="740"/>
      <c r="AN19" s="740"/>
      <c r="AO19" s="740"/>
      <c r="AQ19" s="741">
        <f t="shared" ca="1" si="8"/>
        <v>0</v>
      </c>
    </row>
    <row r="20" spans="1:43" ht="20.25" customHeight="1" x14ac:dyDescent="0.25">
      <c r="A20" s="1252"/>
      <c r="B20" s="1253"/>
      <c r="C20" s="758"/>
      <c r="D20" s="759"/>
      <c r="E20" s="730"/>
      <c r="F20" s="731"/>
      <c r="G20" s="731"/>
      <c r="H20" s="732"/>
      <c r="I20" s="733" t="str">
        <f t="shared" si="0"/>
        <v xml:space="preserve"> </v>
      </c>
      <c r="J20" s="734" t="str">
        <f t="shared" si="1"/>
        <v>,</v>
      </c>
      <c r="K20" s="735">
        <f t="shared" ca="1" si="2"/>
        <v>0</v>
      </c>
      <c r="L20" s="736" t="str">
        <f t="shared" si="3"/>
        <v>000100</v>
      </c>
      <c r="M20" s="748">
        <f t="shared" ca="1" si="10"/>
        <v>0</v>
      </c>
      <c r="N20" s="1258"/>
      <c r="O20" s="1258"/>
      <c r="P20" s="1259"/>
      <c r="R20" s="760"/>
      <c r="S20" s="760"/>
      <c r="AD20" s="1244"/>
      <c r="AE20" s="1245"/>
      <c r="AF20" s="753"/>
      <c r="AG20" s="754"/>
      <c r="AH20" s="740">
        <f t="shared" si="5"/>
        <v>0</v>
      </c>
      <c r="AI20" s="740">
        <f t="shared" si="6"/>
        <v>0</v>
      </c>
      <c r="AJ20" s="740">
        <f t="shared" si="7"/>
        <v>0</v>
      </c>
      <c r="AK20" s="740"/>
      <c r="AL20" s="740"/>
      <c r="AM20" s="740"/>
      <c r="AN20" s="740"/>
      <c r="AO20" s="740"/>
      <c r="AQ20" s="741">
        <f t="shared" ca="1" si="8"/>
        <v>0</v>
      </c>
    </row>
    <row r="21" spans="1:43" ht="20.25" customHeight="1" x14ac:dyDescent="0.25">
      <c r="A21" s="1252"/>
      <c r="B21" s="1253"/>
      <c r="C21" s="758"/>
      <c r="D21" s="759"/>
      <c r="E21" s="730"/>
      <c r="F21" s="731"/>
      <c r="G21" s="731"/>
      <c r="H21" s="732"/>
      <c r="I21" s="733" t="str">
        <f t="shared" si="0"/>
        <v xml:space="preserve"> </v>
      </c>
      <c r="J21" s="734" t="str">
        <f t="shared" si="1"/>
        <v>,</v>
      </c>
      <c r="K21" s="735">
        <f t="shared" ca="1" si="2"/>
        <v>0</v>
      </c>
      <c r="L21" s="736" t="str">
        <f t="shared" si="3"/>
        <v>000100</v>
      </c>
      <c r="M21" s="748">
        <f t="shared" ca="1" si="10"/>
        <v>0</v>
      </c>
      <c r="N21" s="1258"/>
      <c r="O21" s="1258"/>
      <c r="P21" s="1259"/>
      <c r="R21" s="760"/>
      <c r="S21" s="760"/>
      <c r="AD21" s="1244"/>
      <c r="AE21" s="1245"/>
      <c r="AF21" s="753"/>
      <c r="AG21" s="754"/>
      <c r="AH21" s="740">
        <f t="shared" si="5"/>
        <v>0</v>
      </c>
      <c r="AI21" s="740">
        <f t="shared" si="6"/>
        <v>0</v>
      </c>
      <c r="AJ21" s="740">
        <f t="shared" si="7"/>
        <v>0</v>
      </c>
      <c r="AK21" s="740"/>
      <c r="AL21" s="740"/>
      <c r="AM21" s="740"/>
      <c r="AN21" s="740"/>
      <c r="AO21" s="740"/>
      <c r="AQ21">
        <f t="shared" ca="1" si="8"/>
        <v>0</v>
      </c>
    </row>
    <row r="22" spans="1:43" ht="20.25" customHeight="1" x14ac:dyDescent="0.25">
      <c r="A22" s="1256">
        <v>7</v>
      </c>
      <c r="B22" s="1249" t="s">
        <v>4667</v>
      </c>
      <c r="C22" s="761"/>
      <c r="D22" s="762"/>
      <c r="E22" s="730"/>
      <c r="F22" s="731"/>
      <c r="G22" s="731"/>
      <c r="H22" s="732"/>
      <c r="I22" s="733" t="str">
        <f t="shared" si="0"/>
        <v xml:space="preserve"> </v>
      </c>
      <c r="J22" s="734" t="str">
        <f t="shared" si="1"/>
        <v>,</v>
      </c>
      <c r="K22" s="735">
        <f t="shared" ca="1" si="2"/>
        <v>0</v>
      </c>
      <c r="L22" s="736" t="str">
        <f t="shared" si="3"/>
        <v>000100</v>
      </c>
      <c r="M22" s="748">
        <f t="shared" ref="M22:M29" ca="1" si="11">IF(K22=0,0,IF(K22&lt;9,"TOO YOUNG",IF(K22&lt;16,"OK","NOT ELIGIBLE")))</f>
        <v>0</v>
      </c>
      <c r="N22" s="1257" t="str">
        <f>'Gala Setup'!S4</f>
        <v>NASL.2023 V6</v>
      </c>
      <c r="O22" s="1257"/>
      <c r="P22" s="1257"/>
      <c r="Q22" s="705"/>
      <c r="AD22" s="1244">
        <f>A22</f>
        <v>7</v>
      </c>
      <c r="AE22" s="1245" t="str">
        <f>B22</f>
        <v>FEMALE 15/U 4 X 50M
FREESTYLE RELAY</v>
      </c>
      <c r="AF22" s="749"/>
      <c r="AG22" s="750"/>
      <c r="AH22" s="740">
        <f t="shared" si="5"/>
        <v>0</v>
      </c>
      <c r="AI22" s="740">
        <f t="shared" si="6"/>
        <v>0</v>
      </c>
      <c r="AJ22" s="740">
        <f t="shared" si="7"/>
        <v>0</v>
      </c>
      <c r="AK22" s="740"/>
      <c r="AL22" s="740"/>
      <c r="AM22" s="740"/>
      <c r="AN22" s="740"/>
      <c r="AO22" s="740"/>
      <c r="AQ22">
        <f t="shared" ca="1" si="8"/>
        <v>0</v>
      </c>
    </row>
    <row r="23" spans="1:43" ht="20.25" customHeight="1" x14ac:dyDescent="0.25">
      <c r="A23" s="1256"/>
      <c r="B23" s="1249"/>
      <c r="C23" s="763"/>
      <c r="D23" s="764"/>
      <c r="E23" s="730"/>
      <c r="F23" s="731"/>
      <c r="G23" s="731"/>
      <c r="H23" s="732"/>
      <c r="I23" s="733" t="str">
        <f t="shared" si="0"/>
        <v xml:space="preserve"> </v>
      </c>
      <c r="J23" s="734" t="str">
        <f t="shared" si="1"/>
        <v>,</v>
      </c>
      <c r="K23" s="735">
        <f t="shared" ca="1" si="2"/>
        <v>0</v>
      </c>
      <c r="L23" s="736" t="str">
        <f t="shared" si="3"/>
        <v>000100</v>
      </c>
      <c r="M23" s="748">
        <f t="shared" ca="1" si="11"/>
        <v>0</v>
      </c>
      <c r="N23" s="1257"/>
      <c r="O23" s="1257"/>
      <c r="P23" s="1257"/>
      <c r="Q23" s="705"/>
      <c r="AD23" s="1244"/>
      <c r="AE23" s="1245"/>
      <c r="AF23" s="753"/>
      <c r="AG23" s="754"/>
      <c r="AH23" s="740">
        <f t="shared" si="5"/>
        <v>0</v>
      </c>
      <c r="AI23" s="740">
        <f t="shared" si="6"/>
        <v>0</v>
      </c>
      <c r="AJ23" s="740">
        <f t="shared" si="7"/>
        <v>0</v>
      </c>
      <c r="AK23" s="740"/>
      <c r="AL23" s="740"/>
      <c r="AM23" s="740"/>
      <c r="AN23" s="740"/>
      <c r="AO23" s="740"/>
      <c r="AQ23">
        <f t="shared" ca="1" si="8"/>
        <v>0</v>
      </c>
    </row>
    <row r="24" spans="1:43" ht="20.25" customHeight="1" x14ac:dyDescent="0.25">
      <c r="A24" s="1256"/>
      <c r="B24" s="1249"/>
      <c r="C24" s="763"/>
      <c r="D24" s="764"/>
      <c r="E24" s="730"/>
      <c r="F24" s="731"/>
      <c r="G24" s="731"/>
      <c r="H24" s="732"/>
      <c r="I24" s="733" t="str">
        <f t="shared" si="0"/>
        <v xml:space="preserve"> </v>
      </c>
      <c r="J24" s="734" t="str">
        <f t="shared" si="1"/>
        <v>,</v>
      </c>
      <c r="K24" s="735">
        <f t="shared" ca="1" si="2"/>
        <v>0</v>
      </c>
      <c r="L24" s="736" t="str">
        <f t="shared" si="3"/>
        <v>000100</v>
      </c>
      <c r="M24" s="748">
        <f t="shared" ca="1" si="11"/>
        <v>0</v>
      </c>
      <c r="N24" s="765"/>
      <c r="Q24" s="765"/>
      <c r="AD24" s="1244"/>
      <c r="AE24" s="1245"/>
      <c r="AF24" s="753"/>
      <c r="AG24" s="754"/>
      <c r="AH24" s="740">
        <f t="shared" si="5"/>
        <v>0</v>
      </c>
      <c r="AI24" s="740">
        <f t="shared" si="6"/>
        <v>0</v>
      </c>
      <c r="AJ24" s="740">
        <f t="shared" si="7"/>
        <v>0</v>
      </c>
      <c r="AK24" s="740"/>
      <c r="AL24" s="740"/>
      <c r="AM24" s="740"/>
      <c r="AN24" s="740"/>
      <c r="AO24" s="740"/>
      <c r="AQ24">
        <f t="shared" ca="1" si="8"/>
        <v>0</v>
      </c>
    </row>
    <row r="25" spans="1:43" ht="20.25" customHeight="1" x14ac:dyDescent="0.25">
      <c r="A25" s="1256"/>
      <c r="B25" s="1249"/>
      <c r="C25" s="763"/>
      <c r="D25" s="764"/>
      <c r="E25" s="730"/>
      <c r="F25" s="731"/>
      <c r="G25" s="731"/>
      <c r="H25" s="732"/>
      <c r="I25" s="733" t="str">
        <f t="shared" si="0"/>
        <v xml:space="preserve"> </v>
      </c>
      <c r="J25" s="734" t="str">
        <f t="shared" si="1"/>
        <v>,</v>
      </c>
      <c r="K25" s="735">
        <f t="shared" ca="1" si="2"/>
        <v>0</v>
      </c>
      <c r="L25" s="736" t="str">
        <f t="shared" si="3"/>
        <v>000100</v>
      </c>
      <c r="M25" s="748">
        <f t="shared" ca="1" si="11"/>
        <v>0</v>
      </c>
      <c r="N25" s="765"/>
      <c r="Q25" s="765"/>
      <c r="AD25" s="1244"/>
      <c r="AE25" s="1245"/>
      <c r="AF25" s="753"/>
      <c r="AG25" s="754"/>
      <c r="AH25" s="740">
        <f t="shared" si="5"/>
        <v>0</v>
      </c>
      <c r="AI25" s="740">
        <f t="shared" si="6"/>
        <v>0</v>
      </c>
      <c r="AJ25" s="740">
        <f t="shared" si="7"/>
        <v>0</v>
      </c>
      <c r="AK25" s="740"/>
      <c r="AL25" s="740"/>
      <c r="AM25" s="740"/>
      <c r="AN25" s="740"/>
      <c r="AO25" s="740"/>
      <c r="AQ25">
        <f t="shared" ca="1" si="8"/>
        <v>0</v>
      </c>
    </row>
    <row r="26" spans="1:43" ht="20.25" customHeight="1" x14ac:dyDescent="0.25">
      <c r="A26" s="1256">
        <v>8</v>
      </c>
      <c r="B26" s="1249" t="s">
        <v>4676</v>
      </c>
      <c r="C26" s="761"/>
      <c r="D26" s="762"/>
      <c r="E26" s="730"/>
      <c r="F26" s="731"/>
      <c r="G26" s="731"/>
      <c r="H26" s="732"/>
      <c r="I26" s="733" t="str">
        <f t="shared" si="0"/>
        <v xml:space="preserve"> </v>
      </c>
      <c r="J26" s="734" t="str">
        <f t="shared" si="1"/>
        <v>,</v>
      </c>
      <c r="K26" s="735">
        <f t="shared" ca="1" si="2"/>
        <v>0</v>
      </c>
      <c r="L26" s="736" t="str">
        <f t="shared" si="3"/>
        <v>000100</v>
      </c>
      <c r="M26" s="766">
        <f t="shared" ca="1" si="11"/>
        <v>0</v>
      </c>
      <c r="N26" s="767"/>
      <c r="AD26" s="1244">
        <f>A26</f>
        <v>8</v>
      </c>
      <c r="AE26" s="1245" t="str">
        <f>B26</f>
        <v>OPEN/MALE 15/U 4 X 50M
FREESTYLE RELAY</v>
      </c>
      <c r="AF26" s="749"/>
      <c r="AG26" s="750"/>
      <c r="AH26" s="740">
        <f t="shared" si="5"/>
        <v>0</v>
      </c>
      <c r="AI26" s="740">
        <f t="shared" si="6"/>
        <v>0</v>
      </c>
      <c r="AJ26" s="740">
        <f t="shared" si="7"/>
        <v>0</v>
      </c>
      <c r="AK26" s="740"/>
      <c r="AL26" s="740"/>
      <c r="AM26" s="740"/>
      <c r="AN26" s="740"/>
      <c r="AO26" s="740"/>
      <c r="AQ26">
        <f t="shared" ca="1" si="8"/>
        <v>0</v>
      </c>
    </row>
    <row r="27" spans="1:43" ht="20.25" customHeight="1" x14ac:dyDescent="0.25">
      <c r="A27" s="1256"/>
      <c r="B27" s="1249"/>
      <c r="C27" s="763"/>
      <c r="D27" s="764"/>
      <c r="E27" s="730"/>
      <c r="F27" s="731"/>
      <c r="G27" s="731"/>
      <c r="H27" s="732"/>
      <c r="I27" s="733" t="str">
        <f t="shared" si="0"/>
        <v xml:space="preserve"> </v>
      </c>
      <c r="J27" s="734" t="str">
        <f t="shared" si="1"/>
        <v>,</v>
      </c>
      <c r="K27" s="735">
        <f t="shared" ca="1" si="2"/>
        <v>0</v>
      </c>
      <c r="L27" s="736" t="str">
        <f t="shared" si="3"/>
        <v>000100</v>
      </c>
      <c r="M27" s="766">
        <f t="shared" ca="1" si="11"/>
        <v>0</v>
      </c>
      <c r="N27" s="767"/>
      <c r="AD27" s="1244"/>
      <c r="AE27" s="1245"/>
      <c r="AF27" s="753"/>
      <c r="AG27" s="754"/>
      <c r="AH27" s="740">
        <f t="shared" si="5"/>
        <v>0</v>
      </c>
      <c r="AI27" s="740">
        <f t="shared" si="6"/>
        <v>0</v>
      </c>
      <c r="AJ27" s="740">
        <f t="shared" si="7"/>
        <v>0</v>
      </c>
      <c r="AK27" s="740"/>
      <c r="AL27" s="740"/>
      <c r="AM27" s="740"/>
      <c r="AN27" s="740"/>
      <c r="AO27" s="740"/>
      <c r="AQ27">
        <f t="shared" ca="1" si="8"/>
        <v>0</v>
      </c>
    </row>
    <row r="28" spans="1:43" ht="20.25" customHeight="1" x14ac:dyDescent="0.25">
      <c r="A28" s="1256"/>
      <c r="B28" s="1249"/>
      <c r="C28" s="763"/>
      <c r="D28" s="764"/>
      <c r="E28" s="730"/>
      <c r="F28" s="731"/>
      <c r="G28" s="731"/>
      <c r="H28" s="732"/>
      <c r="I28" s="733" t="str">
        <f t="shared" si="0"/>
        <v xml:space="preserve"> </v>
      </c>
      <c r="J28" s="734" t="str">
        <f t="shared" si="1"/>
        <v>,</v>
      </c>
      <c r="K28" s="735">
        <f t="shared" ca="1" si="2"/>
        <v>0</v>
      </c>
      <c r="L28" s="736" t="str">
        <f t="shared" si="3"/>
        <v>000100</v>
      </c>
      <c r="M28" s="766">
        <f t="shared" ca="1" si="11"/>
        <v>0</v>
      </c>
      <c r="N28" s="767"/>
      <c r="AD28" s="1244"/>
      <c r="AE28" s="1245"/>
      <c r="AF28" s="753"/>
      <c r="AG28" s="754"/>
      <c r="AH28" s="740">
        <f t="shared" si="5"/>
        <v>0</v>
      </c>
      <c r="AI28" s="740">
        <f t="shared" si="6"/>
        <v>0</v>
      </c>
      <c r="AJ28" s="740">
        <f t="shared" si="7"/>
        <v>0</v>
      </c>
      <c r="AK28" s="740"/>
      <c r="AL28" s="740"/>
      <c r="AM28" s="740"/>
      <c r="AN28" s="740"/>
      <c r="AO28" s="740"/>
      <c r="AQ28">
        <f t="shared" ca="1" si="8"/>
        <v>0</v>
      </c>
    </row>
    <row r="29" spans="1:43" ht="20.25" customHeight="1" x14ac:dyDescent="0.25">
      <c r="A29" s="1256"/>
      <c r="B29" s="1249"/>
      <c r="C29" s="763"/>
      <c r="D29" s="764"/>
      <c r="E29" s="730"/>
      <c r="F29" s="731"/>
      <c r="G29" s="731"/>
      <c r="H29" s="732"/>
      <c r="I29" s="733" t="str">
        <f t="shared" si="0"/>
        <v xml:space="preserve"> </v>
      </c>
      <c r="J29" s="734" t="str">
        <f t="shared" si="1"/>
        <v>,</v>
      </c>
      <c r="K29" s="735">
        <f t="shared" ca="1" si="2"/>
        <v>0</v>
      </c>
      <c r="L29" s="736" t="str">
        <f t="shared" si="3"/>
        <v>000100</v>
      </c>
      <c r="M29" s="766">
        <f t="shared" ca="1" si="11"/>
        <v>0</v>
      </c>
      <c r="N29" s="767"/>
      <c r="AD29" s="1244"/>
      <c r="AE29" s="1245"/>
      <c r="AF29" s="753"/>
      <c r="AG29" s="754"/>
      <c r="AH29" s="740">
        <f t="shared" si="5"/>
        <v>0</v>
      </c>
      <c r="AI29" s="740">
        <f t="shared" si="6"/>
        <v>0</v>
      </c>
      <c r="AJ29" s="740">
        <f t="shared" si="7"/>
        <v>0</v>
      </c>
      <c r="AK29" s="740"/>
      <c r="AL29" s="740"/>
      <c r="AM29" s="740"/>
      <c r="AN29" s="740"/>
      <c r="AO29" s="740"/>
      <c r="AQ29">
        <f t="shared" ca="1" si="8"/>
        <v>0</v>
      </c>
    </row>
    <row r="30" spans="1:43" ht="20.25" customHeight="1" x14ac:dyDescent="0.25">
      <c r="A30" s="1250">
        <v>9</v>
      </c>
      <c r="B30" s="1251" t="s">
        <v>4681</v>
      </c>
      <c r="C30" s="768"/>
      <c r="D30" s="769"/>
      <c r="E30" s="730"/>
      <c r="F30" s="731"/>
      <c r="G30" s="731"/>
      <c r="H30" s="732"/>
      <c r="I30" s="733" t="str">
        <f t="shared" si="0"/>
        <v xml:space="preserve"> </v>
      </c>
      <c r="J30" s="734" t="str">
        <f t="shared" si="1"/>
        <v>,</v>
      </c>
      <c r="K30" s="735">
        <f t="shared" ca="1" si="2"/>
        <v>0</v>
      </c>
      <c r="L30" s="736" t="str">
        <f t="shared" si="3"/>
        <v>000100</v>
      </c>
      <c r="M30" s="770">
        <f t="shared" ref="M30:M37" ca="1" si="12">IF(K30=0,0,IF(K30&lt;9,"TOO YOUNG",IF(K30&lt;60,"OK","BIT OLD MAYBE")))</f>
        <v>0</v>
      </c>
      <c r="N30" s="767"/>
      <c r="AD30" s="1244">
        <f>A30</f>
        <v>9</v>
      </c>
      <c r="AE30" s="1245" t="str">
        <f>B30</f>
        <v>FEMALE 16+ 4 X 50M
MEDLEY RELAY</v>
      </c>
      <c r="AF30" s="749"/>
      <c r="AG30" s="750"/>
      <c r="AH30" s="740">
        <f t="shared" si="5"/>
        <v>0</v>
      </c>
      <c r="AI30" s="740">
        <f t="shared" si="6"/>
        <v>0</v>
      </c>
      <c r="AJ30" s="740">
        <f t="shared" si="7"/>
        <v>0</v>
      </c>
      <c r="AK30" s="740"/>
      <c r="AL30" s="740"/>
      <c r="AM30" s="740"/>
      <c r="AN30" s="740"/>
      <c r="AO30" s="740"/>
      <c r="AQ30">
        <f t="shared" ca="1" si="8"/>
        <v>0</v>
      </c>
    </row>
    <row r="31" spans="1:43" ht="20.25" customHeight="1" x14ac:dyDescent="0.25">
      <c r="A31" s="1250"/>
      <c r="B31" s="1251"/>
      <c r="C31" s="771"/>
      <c r="D31" s="772"/>
      <c r="E31" s="730"/>
      <c r="F31" s="731"/>
      <c r="G31" s="731"/>
      <c r="H31" s="732"/>
      <c r="I31" s="733" t="str">
        <f t="shared" si="0"/>
        <v xml:space="preserve"> </v>
      </c>
      <c r="J31" s="734" t="str">
        <f t="shared" si="1"/>
        <v>,</v>
      </c>
      <c r="K31" s="735">
        <f t="shared" ca="1" si="2"/>
        <v>0</v>
      </c>
      <c r="L31" s="736" t="str">
        <f t="shared" si="3"/>
        <v>000100</v>
      </c>
      <c r="M31" s="770">
        <f t="shared" ca="1" si="12"/>
        <v>0</v>
      </c>
      <c r="N31" s="767"/>
      <c r="AD31" s="1244"/>
      <c r="AE31" s="1245"/>
      <c r="AF31" s="753"/>
      <c r="AG31" s="754"/>
      <c r="AH31" s="740">
        <f t="shared" si="5"/>
        <v>0</v>
      </c>
      <c r="AI31" s="740">
        <f t="shared" si="6"/>
        <v>0</v>
      </c>
      <c r="AJ31" s="740">
        <f t="shared" si="7"/>
        <v>0</v>
      </c>
      <c r="AK31" s="740"/>
      <c r="AL31" s="740"/>
      <c r="AM31" s="740"/>
      <c r="AN31" s="740"/>
      <c r="AO31" s="740"/>
      <c r="AQ31">
        <f t="shared" ca="1" si="8"/>
        <v>0</v>
      </c>
    </row>
    <row r="32" spans="1:43" ht="20.25" customHeight="1" x14ac:dyDescent="0.25">
      <c r="A32" s="1250"/>
      <c r="B32" s="1251"/>
      <c r="C32" s="771"/>
      <c r="D32" s="772"/>
      <c r="E32" s="730"/>
      <c r="F32" s="731"/>
      <c r="G32" s="731"/>
      <c r="H32" s="732"/>
      <c r="I32" s="733" t="str">
        <f t="shared" si="0"/>
        <v xml:space="preserve"> </v>
      </c>
      <c r="J32" s="734" t="str">
        <f t="shared" si="1"/>
        <v>,</v>
      </c>
      <c r="K32" s="735">
        <f t="shared" ca="1" si="2"/>
        <v>0</v>
      </c>
      <c r="L32" s="736" t="str">
        <f t="shared" si="3"/>
        <v>000100</v>
      </c>
      <c r="M32" s="770">
        <f t="shared" ca="1" si="12"/>
        <v>0</v>
      </c>
      <c r="N32" s="767"/>
      <c r="AD32" s="1244"/>
      <c r="AE32" s="1245"/>
      <c r="AF32" s="753"/>
      <c r="AG32" s="754"/>
      <c r="AH32" s="740">
        <f t="shared" si="5"/>
        <v>0</v>
      </c>
      <c r="AI32" s="740">
        <f t="shared" si="6"/>
        <v>0</v>
      </c>
      <c r="AJ32" s="740">
        <f t="shared" si="7"/>
        <v>0</v>
      </c>
      <c r="AK32" s="740"/>
      <c r="AL32" s="740"/>
      <c r="AM32" s="740"/>
      <c r="AN32" s="740"/>
      <c r="AO32" s="740"/>
      <c r="AQ32">
        <f t="shared" ca="1" si="8"/>
        <v>0</v>
      </c>
    </row>
    <row r="33" spans="1:43" ht="20.25" customHeight="1" x14ac:dyDescent="0.25">
      <c r="A33" s="1250"/>
      <c r="B33" s="1251"/>
      <c r="C33" s="771"/>
      <c r="D33" s="772"/>
      <c r="E33" s="730"/>
      <c r="F33" s="731"/>
      <c r="G33" s="731"/>
      <c r="H33" s="732"/>
      <c r="I33" s="733" t="str">
        <f t="shared" si="0"/>
        <v xml:space="preserve"> </v>
      </c>
      <c r="J33" s="734" t="str">
        <f t="shared" si="1"/>
        <v>,</v>
      </c>
      <c r="K33" s="735">
        <f t="shared" ca="1" si="2"/>
        <v>0</v>
      </c>
      <c r="L33" s="736" t="str">
        <f t="shared" si="3"/>
        <v>000100</v>
      </c>
      <c r="M33" s="770">
        <f t="shared" ca="1" si="12"/>
        <v>0</v>
      </c>
      <c r="N33" s="767"/>
      <c r="AD33" s="1244"/>
      <c r="AE33" s="1245"/>
      <c r="AF33" s="753"/>
      <c r="AG33" s="754"/>
      <c r="AH33" s="740">
        <f t="shared" si="5"/>
        <v>0</v>
      </c>
      <c r="AI33" s="740">
        <f t="shared" si="6"/>
        <v>0</v>
      </c>
      <c r="AJ33" s="740">
        <f t="shared" si="7"/>
        <v>0</v>
      </c>
      <c r="AK33" s="740"/>
      <c r="AL33" s="740"/>
      <c r="AM33" s="740"/>
      <c r="AN33" s="740"/>
      <c r="AO33" s="740"/>
      <c r="AQ33">
        <f t="shared" ca="1" si="8"/>
        <v>0</v>
      </c>
    </row>
    <row r="34" spans="1:43" ht="20.25" customHeight="1" x14ac:dyDescent="0.25">
      <c r="A34" s="1250">
        <v>10</v>
      </c>
      <c r="B34" s="1251" t="s">
        <v>4687</v>
      </c>
      <c r="C34" s="768"/>
      <c r="D34" s="769"/>
      <c r="E34" s="730"/>
      <c r="F34" s="731"/>
      <c r="G34" s="731"/>
      <c r="H34" s="732"/>
      <c r="I34" s="733" t="str">
        <f t="shared" si="0"/>
        <v xml:space="preserve"> </v>
      </c>
      <c r="J34" s="734" t="str">
        <f t="shared" si="1"/>
        <v>,</v>
      </c>
      <c r="K34" s="735">
        <f t="shared" ca="1" si="2"/>
        <v>0</v>
      </c>
      <c r="L34" s="736" t="str">
        <f t="shared" si="3"/>
        <v>000100</v>
      </c>
      <c r="M34" s="770">
        <f t="shared" ca="1" si="12"/>
        <v>0</v>
      </c>
      <c r="N34" s="767"/>
      <c r="AD34" s="1244">
        <f>A34</f>
        <v>10</v>
      </c>
      <c r="AE34" s="1245" t="str">
        <f>B34</f>
        <v>OPEN/MALE 16+ 4 X 50M
MEDLEY RELAY</v>
      </c>
      <c r="AF34" s="749"/>
      <c r="AG34" s="750"/>
      <c r="AH34" s="740">
        <f t="shared" si="5"/>
        <v>0</v>
      </c>
      <c r="AI34" s="740">
        <f t="shared" si="6"/>
        <v>0</v>
      </c>
      <c r="AJ34" s="740">
        <f t="shared" si="7"/>
        <v>0</v>
      </c>
      <c r="AK34" s="740"/>
      <c r="AL34" s="740"/>
      <c r="AM34" s="740"/>
      <c r="AN34" s="740"/>
      <c r="AO34" s="740"/>
      <c r="AQ34">
        <f t="shared" ca="1" si="8"/>
        <v>0</v>
      </c>
    </row>
    <row r="35" spans="1:43" ht="20.25" customHeight="1" x14ac:dyDescent="0.25">
      <c r="A35" s="1250"/>
      <c r="B35" s="1251"/>
      <c r="C35" s="771"/>
      <c r="D35" s="772"/>
      <c r="E35" s="730"/>
      <c r="F35" s="731"/>
      <c r="G35" s="731"/>
      <c r="H35" s="732"/>
      <c r="I35" s="733" t="str">
        <f t="shared" si="0"/>
        <v xml:space="preserve"> </v>
      </c>
      <c r="J35" s="734" t="str">
        <f t="shared" si="1"/>
        <v>,</v>
      </c>
      <c r="K35" s="735">
        <f t="shared" ca="1" si="2"/>
        <v>0</v>
      </c>
      <c r="L35" s="736" t="str">
        <f t="shared" si="3"/>
        <v>000100</v>
      </c>
      <c r="M35" s="770">
        <f t="shared" ca="1" si="12"/>
        <v>0</v>
      </c>
      <c r="AD35" s="1244"/>
      <c r="AE35" s="1245"/>
      <c r="AF35" s="753"/>
      <c r="AG35" s="754"/>
      <c r="AH35" s="740">
        <f t="shared" si="5"/>
        <v>0</v>
      </c>
      <c r="AI35" s="740">
        <f t="shared" si="6"/>
        <v>0</v>
      </c>
      <c r="AJ35" s="740">
        <f t="shared" si="7"/>
        <v>0</v>
      </c>
      <c r="AK35" s="740"/>
      <c r="AL35" s="740"/>
      <c r="AM35" s="740"/>
      <c r="AN35" s="740"/>
      <c r="AO35" s="740"/>
      <c r="AQ35">
        <f t="shared" ca="1" si="8"/>
        <v>0</v>
      </c>
    </row>
    <row r="36" spans="1:43" ht="20.25" customHeight="1" x14ac:dyDescent="0.25">
      <c r="A36" s="1250"/>
      <c r="B36" s="1251"/>
      <c r="C36" s="771"/>
      <c r="D36" s="772"/>
      <c r="E36" s="730"/>
      <c r="F36" s="731"/>
      <c r="G36" s="731"/>
      <c r="H36" s="732"/>
      <c r="I36" s="733" t="str">
        <f t="shared" ref="I36:I67" si="13">CONCATENATE(F36," ",G36)</f>
        <v xml:space="preserve"> </v>
      </c>
      <c r="J36" s="734" t="str">
        <f t="shared" ref="J36:J67" si="14">CONCATENATE(G36,",",F36)</f>
        <v>,</v>
      </c>
      <c r="K36" s="735">
        <f t="shared" ref="K36:K67" ca="1" si="15">IF(K$2=0,0,IF(AQ36=0,0,IF(COUNTBLANK(AQ36)=1,"",YEAR(K$2)-YEAR(AQ36)-IF(DATE(YEAR(K$2),MONTH(AQ36),DAY(4638))&gt;K$2,1,0))))</f>
        <v>0</v>
      </c>
      <c r="L36" s="736" t="str">
        <f t="shared" ref="L36:L67" si="16">(TEXT(H36,"DDMMYY"))</f>
        <v>000100</v>
      </c>
      <c r="M36" s="770">
        <f t="shared" ca="1" si="12"/>
        <v>0</v>
      </c>
      <c r="AD36" s="1244"/>
      <c r="AE36" s="1245"/>
      <c r="AF36" s="753"/>
      <c r="AG36" s="754"/>
      <c r="AH36" s="740">
        <f t="shared" ref="AH36:AH67" si="17">E36</f>
        <v>0</v>
      </c>
      <c r="AI36" s="740">
        <f t="shared" ref="AI36:AI67" si="18">F36</f>
        <v>0</v>
      </c>
      <c r="AJ36" s="740">
        <f t="shared" ref="AJ36:AJ67" si="19">G36</f>
        <v>0</v>
      </c>
      <c r="AK36" s="740"/>
      <c r="AL36" s="740"/>
      <c r="AM36" s="740"/>
      <c r="AN36" s="740"/>
      <c r="AO36" s="740"/>
      <c r="AQ36">
        <f t="shared" ref="AQ36:AQ67" ca="1" si="20">INDIRECT(ADDRESS(ROW(),AQ$3))</f>
        <v>0</v>
      </c>
    </row>
    <row r="37" spans="1:43" ht="20.25" customHeight="1" x14ac:dyDescent="0.25">
      <c r="A37" s="1250"/>
      <c r="B37" s="1251"/>
      <c r="C37" s="771"/>
      <c r="D37" s="772"/>
      <c r="E37" s="730"/>
      <c r="F37" s="731"/>
      <c r="G37" s="731"/>
      <c r="H37" s="732"/>
      <c r="I37" s="733" t="str">
        <f t="shared" si="13"/>
        <v xml:space="preserve"> </v>
      </c>
      <c r="J37" s="734" t="str">
        <f t="shared" si="14"/>
        <v>,</v>
      </c>
      <c r="K37" s="735">
        <f t="shared" ca="1" si="15"/>
        <v>0</v>
      </c>
      <c r="L37" s="736" t="str">
        <f t="shared" si="16"/>
        <v>000100</v>
      </c>
      <c r="M37" s="770">
        <f t="shared" ca="1" si="12"/>
        <v>0</v>
      </c>
      <c r="AD37" s="1244"/>
      <c r="AE37" s="1245"/>
      <c r="AF37" s="753"/>
      <c r="AG37" s="754"/>
      <c r="AH37" s="740">
        <f t="shared" si="17"/>
        <v>0</v>
      </c>
      <c r="AI37" s="740">
        <f t="shared" si="18"/>
        <v>0</v>
      </c>
      <c r="AJ37" s="740">
        <f t="shared" si="19"/>
        <v>0</v>
      </c>
      <c r="AK37" s="740"/>
      <c r="AL37" s="740"/>
      <c r="AM37" s="740"/>
      <c r="AN37" s="740"/>
      <c r="AO37" s="740"/>
      <c r="AQ37">
        <f t="shared" ca="1" si="20"/>
        <v>0</v>
      </c>
    </row>
    <row r="38" spans="1:43" ht="20.25" customHeight="1" x14ac:dyDescent="0.25">
      <c r="A38" s="745">
        <v>11</v>
      </c>
      <c r="B38" s="773" t="s">
        <v>4339</v>
      </c>
      <c r="C38" s="774" t="s">
        <v>4635</v>
      </c>
      <c r="D38" s="775">
        <v>13</v>
      </c>
      <c r="E38" s="730"/>
      <c r="F38" s="731"/>
      <c r="G38" s="731"/>
      <c r="H38" s="732"/>
      <c r="I38" s="733" t="str">
        <f t="shared" si="13"/>
        <v xml:space="preserve"> </v>
      </c>
      <c r="J38" s="734" t="str">
        <f t="shared" si="14"/>
        <v>,</v>
      </c>
      <c r="K38" s="735">
        <f t="shared" ca="1" si="15"/>
        <v>0</v>
      </c>
      <c r="L38" s="736" t="str">
        <f t="shared" si="16"/>
        <v>000100</v>
      </c>
      <c r="M38" s="766">
        <f ca="1">IF(K38=0,0,IF(K38&lt;10,"TOO YOUNG",IF(K38&lt;12,"OK","NOT ELIGIBLE")))</f>
        <v>0</v>
      </c>
      <c r="AD38" s="722">
        <f t="shared" ref="AD38:AD70" si="21">A38</f>
        <v>11</v>
      </c>
      <c r="AE38" s="443" t="str">
        <f t="shared" ref="AE38:AE70" si="22">B38</f>
        <v>Female 10/11 50m Backstroke</v>
      </c>
      <c r="AF38" s="440" t="s">
        <v>4635</v>
      </c>
      <c r="AG38" s="739">
        <v>13</v>
      </c>
      <c r="AH38" s="740">
        <f t="shared" si="17"/>
        <v>0</v>
      </c>
      <c r="AI38" s="740">
        <f t="shared" si="18"/>
        <v>0</v>
      </c>
      <c r="AJ38" s="740">
        <f t="shared" si="19"/>
        <v>0</v>
      </c>
      <c r="AK38" s="740"/>
      <c r="AL38" s="740"/>
      <c r="AM38" s="740"/>
      <c r="AN38" s="740"/>
      <c r="AO38" s="740"/>
      <c r="AQ38">
        <f t="shared" ca="1" si="20"/>
        <v>0</v>
      </c>
    </row>
    <row r="39" spans="1:43" ht="20.25" customHeight="1" x14ac:dyDescent="0.25">
      <c r="A39" s="745">
        <v>12</v>
      </c>
      <c r="B39" s="773" t="s">
        <v>4340</v>
      </c>
      <c r="C39" s="774" t="s">
        <v>328</v>
      </c>
      <c r="D39" s="775">
        <v>13</v>
      </c>
      <c r="E39" s="730"/>
      <c r="F39" s="731"/>
      <c r="G39" s="731"/>
      <c r="H39" s="732"/>
      <c r="I39" s="733" t="str">
        <f t="shared" si="13"/>
        <v xml:space="preserve"> </v>
      </c>
      <c r="J39" s="734" t="str">
        <f t="shared" si="14"/>
        <v>,</v>
      </c>
      <c r="K39" s="735">
        <f t="shared" ca="1" si="15"/>
        <v>0</v>
      </c>
      <c r="L39" s="736" t="str">
        <f t="shared" si="16"/>
        <v>000100</v>
      </c>
      <c r="M39" s="766">
        <f ca="1">IF(K39=0,0,IF(K39&lt;10,"TOO YOUNG",IF(K39&lt;12,"OK","NOT ELIGIBLE")))</f>
        <v>0</v>
      </c>
      <c r="AD39" s="722">
        <f t="shared" si="21"/>
        <v>12</v>
      </c>
      <c r="AE39" s="443" t="str">
        <f t="shared" si="22"/>
        <v>Open/Male 10/11 50m Backstroke</v>
      </c>
      <c r="AF39" s="440" t="s">
        <v>328</v>
      </c>
      <c r="AG39" s="739">
        <v>13</v>
      </c>
      <c r="AH39" s="740">
        <f t="shared" si="17"/>
        <v>0</v>
      </c>
      <c r="AI39" s="740">
        <f t="shared" si="18"/>
        <v>0</v>
      </c>
      <c r="AJ39" s="740">
        <f t="shared" si="19"/>
        <v>0</v>
      </c>
      <c r="AK39" s="740"/>
      <c r="AL39" s="740"/>
      <c r="AM39" s="740"/>
      <c r="AN39" s="740"/>
      <c r="AO39" s="740"/>
      <c r="AQ39">
        <f t="shared" ca="1" si="20"/>
        <v>0</v>
      </c>
    </row>
    <row r="40" spans="1:43" ht="20.25" customHeight="1" x14ac:dyDescent="0.25">
      <c r="A40" s="755">
        <v>13</v>
      </c>
      <c r="B40" s="776" t="s">
        <v>4341</v>
      </c>
      <c r="C40" s="777" t="s">
        <v>4635</v>
      </c>
      <c r="D40" s="778">
        <v>8</v>
      </c>
      <c r="E40" s="730"/>
      <c r="F40" s="731"/>
      <c r="G40" s="731"/>
      <c r="H40" s="732"/>
      <c r="I40" s="733" t="str">
        <f t="shared" si="13"/>
        <v xml:space="preserve"> </v>
      </c>
      <c r="J40" s="734" t="str">
        <f t="shared" si="14"/>
        <v>,</v>
      </c>
      <c r="K40" s="735">
        <f t="shared" ca="1" si="15"/>
        <v>0</v>
      </c>
      <c r="L40" s="736" t="str">
        <f t="shared" si="16"/>
        <v>000100</v>
      </c>
      <c r="M40" s="766">
        <f ca="1">IF(K40=0,0,IF(K40&lt;9,"TOO YOUNG",IF(K40&lt;14,"OK","NOT ELIGIBLE")))</f>
        <v>0</v>
      </c>
      <c r="AD40" s="722">
        <f t="shared" si="21"/>
        <v>13</v>
      </c>
      <c r="AE40" s="443" t="str">
        <f t="shared" si="22"/>
        <v>Female 13/U 100m Breaststroke</v>
      </c>
      <c r="AF40" s="440" t="s">
        <v>4635</v>
      </c>
      <c r="AG40" s="739">
        <v>8</v>
      </c>
      <c r="AH40" s="740">
        <f t="shared" si="17"/>
        <v>0</v>
      </c>
      <c r="AI40" s="740">
        <f t="shared" si="18"/>
        <v>0</v>
      </c>
      <c r="AJ40" s="740">
        <f t="shared" si="19"/>
        <v>0</v>
      </c>
      <c r="AK40" s="740"/>
      <c r="AL40" s="740"/>
      <c r="AM40" s="740"/>
      <c r="AN40" s="740"/>
      <c r="AO40" s="740"/>
      <c r="AQ40">
        <f t="shared" ca="1" si="20"/>
        <v>0</v>
      </c>
    </row>
    <row r="41" spans="1:43" ht="20.25" customHeight="1" x14ac:dyDescent="0.25">
      <c r="A41" s="755">
        <v>14</v>
      </c>
      <c r="B41" s="776" t="s">
        <v>4342</v>
      </c>
      <c r="C41" s="777" t="s">
        <v>328</v>
      </c>
      <c r="D41" s="778">
        <v>8</v>
      </c>
      <c r="E41" s="730"/>
      <c r="F41" s="731"/>
      <c r="G41" s="731"/>
      <c r="H41" s="732"/>
      <c r="I41" s="733" t="str">
        <f t="shared" si="13"/>
        <v xml:space="preserve"> </v>
      </c>
      <c r="J41" s="734" t="str">
        <f t="shared" si="14"/>
        <v>,</v>
      </c>
      <c r="K41" s="735">
        <f t="shared" ca="1" si="15"/>
        <v>0</v>
      </c>
      <c r="L41" s="736" t="str">
        <f t="shared" si="16"/>
        <v>000100</v>
      </c>
      <c r="M41" s="766">
        <f ca="1">IF(K41=0,0,IF(K41&lt;9,"TOO YOUNG",IF(K41&lt;14,"OK","NOT ELIGIBLE")))</f>
        <v>0</v>
      </c>
      <c r="AD41" s="722">
        <f t="shared" si="21"/>
        <v>14</v>
      </c>
      <c r="AE41" s="443" t="str">
        <f t="shared" si="22"/>
        <v>Open/Male 13/U 100m Breaststroke</v>
      </c>
      <c r="AF41" s="440" t="s">
        <v>328</v>
      </c>
      <c r="AG41" s="739">
        <v>8</v>
      </c>
      <c r="AH41" s="740">
        <f t="shared" si="17"/>
        <v>0</v>
      </c>
      <c r="AI41" s="740">
        <f t="shared" si="18"/>
        <v>0</v>
      </c>
      <c r="AJ41" s="740">
        <f t="shared" si="19"/>
        <v>0</v>
      </c>
      <c r="AK41" s="740"/>
      <c r="AL41" s="740"/>
      <c r="AM41" s="740"/>
      <c r="AN41" s="740"/>
      <c r="AO41" s="740"/>
      <c r="AQ41">
        <f t="shared" ca="1" si="20"/>
        <v>0</v>
      </c>
    </row>
    <row r="42" spans="1:43" ht="20.25" customHeight="1" x14ac:dyDescent="0.25">
      <c r="A42" s="779">
        <v>15</v>
      </c>
      <c r="B42" s="780" t="s">
        <v>4343</v>
      </c>
      <c r="C42" s="781" t="s">
        <v>4635</v>
      </c>
      <c r="D42" s="782">
        <v>14</v>
      </c>
      <c r="E42" s="730"/>
      <c r="F42" s="731"/>
      <c r="G42" s="731"/>
      <c r="H42" s="732"/>
      <c r="I42" s="733" t="str">
        <f t="shared" si="13"/>
        <v xml:space="preserve"> </v>
      </c>
      <c r="J42" s="734" t="str">
        <f t="shared" si="14"/>
        <v>,</v>
      </c>
      <c r="K42" s="735">
        <f t="shared" ca="1" si="15"/>
        <v>0</v>
      </c>
      <c r="L42" s="736" t="str">
        <f t="shared" si="16"/>
        <v>000100</v>
      </c>
      <c r="M42" s="766">
        <f ca="1">IF(K42=0,0,IF(K42&lt;9,"TOO YOUNG",IF(K42&lt;16,"OK","NOT ELIGIBLE")))</f>
        <v>0</v>
      </c>
      <c r="AD42" s="722">
        <f t="shared" si="21"/>
        <v>15</v>
      </c>
      <c r="AE42" s="443" t="str">
        <f t="shared" si="22"/>
        <v>Female 15/U 100m Backstroke</v>
      </c>
      <c r="AF42" s="440" t="s">
        <v>4635</v>
      </c>
      <c r="AG42" s="739">
        <v>14</v>
      </c>
      <c r="AH42" s="740">
        <f t="shared" si="17"/>
        <v>0</v>
      </c>
      <c r="AI42" s="740">
        <f t="shared" si="18"/>
        <v>0</v>
      </c>
      <c r="AJ42" s="740">
        <f t="shared" si="19"/>
        <v>0</v>
      </c>
      <c r="AK42" s="740"/>
      <c r="AL42" s="740"/>
      <c r="AM42" s="740"/>
      <c r="AN42" s="740"/>
      <c r="AO42" s="740"/>
      <c r="AQ42">
        <f t="shared" ca="1" si="20"/>
        <v>0</v>
      </c>
    </row>
    <row r="43" spans="1:43" ht="20.25" customHeight="1" x14ac:dyDescent="0.25">
      <c r="A43" s="779">
        <v>16</v>
      </c>
      <c r="B43" s="780" t="s">
        <v>4694</v>
      </c>
      <c r="C43" s="781" t="s">
        <v>328</v>
      </c>
      <c r="D43" s="782">
        <v>14</v>
      </c>
      <c r="E43" s="730"/>
      <c r="F43" s="731"/>
      <c r="G43" s="731"/>
      <c r="H43" s="732"/>
      <c r="I43" s="733" t="str">
        <f t="shared" si="13"/>
        <v xml:space="preserve"> </v>
      </c>
      <c r="J43" s="734" t="str">
        <f t="shared" si="14"/>
        <v>,</v>
      </c>
      <c r="K43" s="735">
        <f t="shared" ca="1" si="15"/>
        <v>0</v>
      </c>
      <c r="L43" s="736" t="str">
        <f t="shared" si="16"/>
        <v>000100</v>
      </c>
      <c r="M43" s="766">
        <f ca="1">IF(K43=0,0,IF(K43&lt;9,"TOO YOUNG",IF(K43&lt;16,"OK","NOT ELIGIBLE")))</f>
        <v>0</v>
      </c>
      <c r="AD43" s="722">
        <f t="shared" si="21"/>
        <v>16</v>
      </c>
      <c r="AE43" s="443" t="str">
        <f t="shared" si="22"/>
        <v>Open/Male 15/U 100m Backstroke</v>
      </c>
      <c r="AF43" s="440" t="s">
        <v>328</v>
      </c>
      <c r="AG43" s="739">
        <v>14</v>
      </c>
      <c r="AH43" s="740">
        <f t="shared" si="17"/>
        <v>0</v>
      </c>
      <c r="AI43" s="740">
        <f t="shared" si="18"/>
        <v>0</v>
      </c>
      <c r="AJ43" s="740">
        <f t="shared" si="19"/>
        <v>0</v>
      </c>
      <c r="AK43" s="740"/>
      <c r="AL43" s="740"/>
      <c r="AM43" s="740"/>
      <c r="AN43" s="740"/>
      <c r="AO43" s="740"/>
      <c r="AQ43">
        <f t="shared" ca="1" si="20"/>
        <v>0</v>
      </c>
    </row>
    <row r="44" spans="1:43" ht="20.25" customHeight="1" x14ac:dyDescent="0.25">
      <c r="A44" s="727">
        <v>17</v>
      </c>
      <c r="B44" s="742" t="s">
        <v>4345</v>
      </c>
      <c r="C44" s="728" t="s">
        <v>4635</v>
      </c>
      <c r="D44" s="729">
        <v>11</v>
      </c>
      <c r="E44" s="730"/>
      <c r="F44" s="731"/>
      <c r="G44" s="731"/>
      <c r="H44" s="732"/>
      <c r="I44" s="733" t="str">
        <f t="shared" si="13"/>
        <v xml:space="preserve"> </v>
      </c>
      <c r="J44" s="734" t="str">
        <f t="shared" si="14"/>
        <v>,</v>
      </c>
      <c r="K44" s="735">
        <f t="shared" ca="1" si="15"/>
        <v>0</v>
      </c>
      <c r="L44" s="736" t="str">
        <f t="shared" si="16"/>
        <v>000100</v>
      </c>
      <c r="M44" s="770">
        <f ca="1">IF(K44=0,0,IF(K44&lt;9,"TOO YOUNG",IF(K44&lt;60,"OK","BIT OLD MAYBE")))</f>
        <v>0</v>
      </c>
      <c r="AD44" s="722">
        <f t="shared" si="21"/>
        <v>17</v>
      </c>
      <c r="AE44" s="443" t="str">
        <f t="shared" si="22"/>
        <v>Female 16+ 100m Butterfly</v>
      </c>
      <c r="AF44" s="440" t="s">
        <v>4635</v>
      </c>
      <c r="AG44" s="739">
        <v>11</v>
      </c>
      <c r="AH44" s="740">
        <f t="shared" si="17"/>
        <v>0</v>
      </c>
      <c r="AI44" s="740">
        <f t="shared" si="18"/>
        <v>0</v>
      </c>
      <c r="AJ44" s="740">
        <f t="shared" si="19"/>
        <v>0</v>
      </c>
      <c r="AK44" s="740"/>
      <c r="AL44" s="740"/>
      <c r="AM44" s="740"/>
      <c r="AN44" s="740"/>
      <c r="AO44" s="740"/>
      <c r="AQ44">
        <f t="shared" ca="1" si="20"/>
        <v>0</v>
      </c>
    </row>
    <row r="45" spans="1:43" ht="20.25" customHeight="1" x14ac:dyDescent="0.25">
      <c r="A45" s="727">
        <v>18</v>
      </c>
      <c r="B45" s="742" t="s">
        <v>4346</v>
      </c>
      <c r="C45" s="728" t="s">
        <v>328</v>
      </c>
      <c r="D45" s="729">
        <v>11</v>
      </c>
      <c r="E45" s="730"/>
      <c r="F45" s="731"/>
      <c r="G45" s="731"/>
      <c r="H45" s="732"/>
      <c r="I45" s="733" t="str">
        <f t="shared" si="13"/>
        <v xml:space="preserve"> </v>
      </c>
      <c r="J45" s="734" t="str">
        <f t="shared" si="14"/>
        <v>,</v>
      </c>
      <c r="K45" s="735">
        <f t="shared" ca="1" si="15"/>
        <v>0</v>
      </c>
      <c r="L45" s="736" t="str">
        <f t="shared" si="16"/>
        <v>000100</v>
      </c>
      <c r="M45" s="770">
        <f ca="1">IF(K45=0,0,IF(K45&lt;9,"TOO YOUNG",IF(K45&lt;60,"OK","BIT OLD MAYBE")))</f>
        <v>0</v>
      </c>
      <c r="AD45" s="722">
        <f t="shared" si="21"/>
        <v>18</v>
      </c>
      <c r="AE45" s="443" t="str">
        <f t="shared" si="22"/>
        <v>Open/Male 16+ 100m Butterfly</v>
      </c>
      <c r="AF45" s="440" t="s">
        <v>328</v>
      </c>
      <c r="AG45" s="739">
        <v>11</v>
      </c>
      <c r="AH45" s="740">
        <f t="shared" si="17"/>
        <v>0</v>
      </c>
      <c r="AI45" s="740">
        <f t="shared" si="18"/>
        <v>0</v>
      </c>
      <c r="AJ45" s="740">
        <f t="shared" si="19"/>
        <v>0</v>
      </c>
      <c r="AK45" s="740"/>
      <c r="AL45" s="740"/>
      <c r="AM45" s="740"/>
      <c r="AN45" s="740"/>
      <c r="AO45" s="740"/>
      <c r="AQ45">
        <f t="shared" ca="1" si="20"/>
        <v>0</v>
      </c>
    </row>
    <row r="46" spans="1:43" ht="20.25" customHeight="1" x14ac:dyDescent="0.25">
      <c r="A46" s="745">
        <v>19</v>
      </c>
      <c r="B46" s="773" t="s">
        <v>4347</v>
      </c>
      <c r="C46" s="774" t="s">
        <v>4635</v>
      </c>
      <c r="D46" s="775">
        <v>10</v>
      </c>
      <c r="E46" s="730"/>
      <c r="F46" s="731"/>
      <c r="G46" s="731"/>
      <c r="H46" s="732"/>
      <c r="I46" s="733" t="str">
        <f t="shared" si="13"/>
        <v xml:space="preserve"> </v>
      </c>
      <c r="J46" s="734" t="str">
        <f t="shared" si="14"/>
        <v>,</v>
      </c>
      <c r="K46" s="735">
        <f t="shared" ca="1" si="15"/>
        <v>0</v>
      </c>
      <c r="L46" s="736" t="str">
        <f t="shared" si="16"/>
        <v>000100</v>
      </c>
      <c r="M46" s="766">
        <f ca="1">IF(K46=0,0,IF(K46&lt;10,"TOO YOUNG",IF(K46&lt;12,"OK","NOT ELIGIBLE")))</f>
        <v>0</v>
      </c>
      <c r="AD46" s="722">
        <f t="shared" si="21"/>
        <v>19</v>
      </c>
      <c r="AE46" s="443" t="str">
        <f t="shared" si="22"/>
        <v>Female 10/11 50m Butterfly</v>
      </c>
      <c r="AF46" s="440" t="s">
        <v>4635</v>
      </c>
      <c r="AG46" s="739">
        <v>10</v>
      </c>
      <c r="AH46" s="740">
        <f t="shared" si="17"/>
        <v>0</v>
      </c>
      <c r="AI46" s="740">
        <f t="shared" si="18"/>
        <v>0</v>
      </c>
      <c r="AJ46" s="740">
        <f t="shared" si="19"/>
        <v>0</v>
      </c>
      <c r="AK46" s="740"/>
      <c r="AL46" s="740"/>
      <c r="AM46" s="740"/>
      <c r="AN46" s="740"/>
      <c r="AO46" s="740"/>
      <c r="AQ46">
        <f t="shared" ca="1" si="20"/>
        <v>0</v>
      </c>
    </row>
    <row r="47" spans="1:43" ht="20.25" customHeight="1" x14ac:dyDescent="0.25">
      <c r="A47" s="745">
        <v>20</v>
      </c>
      <c r="B47" s="773" t="s">
        <v>4348</v>
      </c>
      <c r="C47" s="774" t="s">
        <v>328</v>
      </c>
      <c r="D47" s="775">
        <v>10</v>
      </c>
      <c r="E47" s="730"/>
      <c r="F47" s="731"/>
      <c r="G47" s="731"/>
      <c r="H47" s="732"/>
      <c r="I47" s="733" t="str">
        <f t="shared" si="13"/>
        <v xml:space="preserve"> </v>
      </c>
      <c r="J47" s="734" t="str">
        <f t="shared" si="14"/>
        <v>,</v>
      </c>
      <c r="K47" s="735">
        <f t="shared" ca="1" si="15"/>
        <v>0</v>
      </c>
      <c r="L47" s="736" t="str">
        <f t="shared" si="16"/>
        <v>000100</v>
      </c>
      <c r="M47" s="766">
        <f ca="1">IF(K47=0,0,IF(K47&lt;10,"TOO YOUNG",IF(K47&lt;12,"OK","NOT ELIGIBLE")))</f>
        <v>0</v>
      </c>
      <c r="AD47" s="722">
        <f t="shared" si="21"/>
        <v>20</v>
      </c>
      <c r="AE47" s="443" t="str">
        <f t="shared" si="22"/>
        <v>Open/Male 10/11 50m Butterfly</v>
      </c>
      <c r="AF47" s="440" t="s">
        <v>328</v>
      </c>
      <c r="AG47" s="739">
        <v>10</v>
      </c>
      <c r="AH47" s="740">
        <f t="shared" si="17"/>
        <v>0</v>
      </c>
      <c r="AI47" s="740">
        <f t="shared" si="18"/>
        <v>0</v>
      </c>
      <c r="AJ47" s="740">
        <f t="shared" si="19"/>
        <v>0</v>
      </c>
      <c r="AK47" s="740"/>
      <c r="AL47" s="740"/>
      <c r="AM47" s="740"/>
      <c r="AN47" s="740"/>
      <c r="AO47" s="740"/>
      <c r="AQ47">
        <f t="shared" ca="1" si="20"/>
        <v>0</v>
      </c>
    </row>
    <row r="48" spans="1:43" ht="20.25" customHeight="1" x14ac:dyDescent="0.25">
      <c r="A48" s="755">
        <v>21</v>
      </c>
      <c r="B48" s="776" t="s">
        <v>4349</v>
      </c>
      <c r="C48" s="777" t="s">
        <v>4635</v>
      </c>
      <c r="D48" s="778">
        <v>14</v>
      </c>
      <c r="E48" s="730"/>
      <c r="F48" s="731"/>
      <c r="G48" s="731"/>
      <c r="H48" s="732"/>
      <c r="I48" s="733" t="str">
        <f t="shared" si="13"/>
        <v xml:space="preserve"> </v>
      </c>
      <c r="J48" s="734" t="str">
        <f t="shared" si="14"/>
        <v>,</v>
      </c>
      <c r="K48" s="735">
        <f t="shared" ca="1" si="15"/>
        <v>0</v>
      </c>
      <c r="L48" s="736" t="str">
        <f t="shared" si="16"/>
        <v>000100</v>
      </c>
      <c r="M48" s="766">
        <f ca="1">IF(K48=0,0,IF(K48&lt;9,"TOO YOUNG",IF(K48&lt;14,"OK","NOT ELIGIBLE")))</f>
        <v>0</v>
      </c>
      <c r="AD48" s="722">
        <f t="shared" si="21"/>
        <v>21</v>
      </c>
      <c r="AE48" s="443" t="str">
        <f t="shared" si="22"/>
        <v>Female 13/U 100m Backstroke</v>
      </c>
      <c r="AF48" s="440" t="s">
        <v>4635</v>
      </c>
      <c r="AG48" s="739">
        <v>14</v>
      </c>
      <c r="AH48" s="740">
        <f t="shared" si="17"/>
        <v>0</v>
      </c>
      <c r="AI48" s="740">
        <f t="shared" si="18"/>
        <v>0</v>
      </c>
      <c r="AJ48" s="740">
        <f t="shared" si="19"/>
        <v>0</v>
      </c>
      <c r="AK48" s="740"/>
      <c r="AL48" s="740"/>
      <c r="AM48" s="740"/>
      <c r="AN48" s="740"/>
      <c r="AO48" s="740"/>
      <c r="AQ48">
        <f t="shared" ca="1" si="20"/>
        <v>0</v>
      </c>
    </row>
    <row r="49" spans="1:43" ht="20.25" customHeight="1" x14ac:dyDescent="0.25">
      <c r="A49" s="755">
        <v>22</v>
      </c>
      <c r="B49" s="776" t="s">
        <v>4350</v>
      </c>
      <c r="C49" s="777" t="s">
        <v>328</v>
      </c>
      <c r="D49" s="778">
        <v>14</v>
      </c>
      <c r="E49" s="730"/>
      <c r="F49" s="731"/>
      <c r="G49" s="731"/>
      <c r="H49" s="732"/>
      <c r="I49" s="733" t="str">
        <f t="shared" si="13"/>
        <v xml:space="preserve"> </v>
      </c>
      <c r="J49" s="734" t="str">
        <f t="shared" si="14"/>
        <v>,</v>
      </c>
      <c r="K49" s="735">
        <f t="shared" ca="1" si="15"/>
        <v>0</v>
      </c>
      <c r="L49" s="736" t="str">
        <f t="shared" si="16"/>
        <v>000100</v>
      </c>
      <c r="M49" s="766">
        <f ca="1">IF(K49=0,0,IF(K49&lt;9,"TOO YOUNG",IF(K49&lt;14,"OK","NOT ELIGIBLE")))</f>
        <v>0</v>
      </c>
      <c r="AD49" s="722">
        <f t="shared" si="21"/>
        <v>22</v>
      </c>
      <c r="AE49" s="443" t="str">
        <f t="shared" si="22"/>
        <v>Open/Male 13/U 100m Backstroke</v>
      </c>
      <c r="AF49" s="440" t="s">
        <v>328</v>
      </c>
      <c r="AG49" s="739">
        <v>14</v>
      </c>
      <c r="AH49" s="740">
        <f t="shared" si="17"/>
        <v>0</v>
      </c>
      <c r="AI49" s="740">
        <f t="shared" si="18"/>
        <v>0</v>
      </c>
      <c r="AJ49" s="740">
        <f t="shared" si="19"/>
        <v>0</v>
      </c>
      <c r="AK49" s="740"/>
      <c r="AL49" s="740"/>
      <c r="AM49" s="740"/>
      <c r="AN49" s="740"/>
      <c r="AO49" s="740"/>
      <c r="AQ49">
        <f t="shared" ca="1" si="20"/>
        <v>0</v>
      </c>
    </row>
    <row r="50" spans="1:43" ht="20.25" customHeight="1" x14ac:dyDescent="0.25">
      <c r="A50" s="779">
        <v>23</v>
      </c>
      <c r="B50" s="780" t="s">
        <v>4351</v>
      </c>
      <c r="C50" s="781" t="s">
        <v>4635</v>
      </c>
      <c r="D50" s="782">
        <v>11</v>
      </c>
      <c r="E50" s="730"/>
      <c r="F50" s="731"/>
      <c r="G50" s="731"/>
      <c r="H50" s="732"/>
      <c r="I50" s="733" t="str">
        <f t="shared" si="13"/>
        <v xml:space="preserve"> </v>
      </c>
      <c r="J50" s="734" t="str">
        <f t="shared" si="14"/>
        <v>,</v>
      </c>
      <c r="K50" s="735">
        <f t="shared" ca="1" si="15"/>
        <v>0</v>
      </c>
      <c r="L50" s="736" t="str">
        <f t="shared" si="16"/>
        <v>000100</v>
      </c>
      <c r="M50" s="766">
        <f ca="1">IF(K50=0,0,IF(K50&lt;9,"TOO YOUNG",IF(K50&lt;16,"OK","NOT ELIGIBLE")))</f>
        <v>0</v>
      </c>
      <c r="AD50" s="722">
        <f t="shared" si="21"/>
        <v>23</v>
      </c>
      <c r="AE50" s="443" t="str">
        <f t="shared" si="22"/>
        <v>Female 15/U 100m Butterfly</v>
      </c>
      <c r="AF50" s="440" t="s">
        <v>4635</v>
      </c>
      <c r="AG50" s="739">
        <v>11</v>
      </c>
      <c r="AH50" s="740">
        <f t="shared" si="17"/>
        <v>0</v>
      </c>
      <c r="AI50" s="740">
        <f t="shared" si="18"/>
        <v>0</v>
      </c>
      <c r="AJ50" s="740">
        <f t="shared" si="19"/>
        <v>0</v>
      </c>
      <c r="AK50" s="740"/>
      <c r="AL50" s="740"/>
      <c r="AM50" s="740"/>
      <c r="AN50" s="740"/>
      <c r="AO50" s="740"/>
      <c r="AQ50">
        <f t="shared" ca="1" si="20"/>
        <v>0</v>
      </c>
    </row>
    <row r="51" spans="1:43" ht="20.25" customHeight="1" x14ac:dyDescent="0.25">
      <c r="A51" s="779">
        <v>24</v>
      </c>
      <c r="B51" s="780" t="s">
        <v>4697</v>
      </c>
      <c r="C51" s="781" t="s">
        <v>328</v>
      </c>
      <c r="D51" s="782">
        <v>11</v>
      </c>
      <c r="E51" s="730"/>
      <c r="F51" s="731"/>
      <c r="G51" s="731"/>
      <c r="H51" s="732"/>
      <c r="I51" s="733" t="str">
        <f t="shared" si="13"/>
        <v xml:space="preserve"> </v>
      </c>
      <c r="J51" s="734" t="str">
        <f t="shared" si="14"/>
        <v>,</v>
      </c>
      <c r="K51" s="735">
        <f t="shared" ca="1" si="15"/>
        <v>0</v>
      </c>
      <c r="L51" s="736" t="str">
        <f t="shared" si="16"/>
        <v>000100</v>
      </c>
      <c r="M51" s="766">
        <f ca="1">IF(K51=0,0,IF(K51&lt;9,"TOO YOUNG",IF(K51&lt;16,"OK","NOT ELIGIBLE")))</f>
        <v>0</v>
      </c>
      <c r="AD51" s="722">
        <f t="shared" si="21"/>
        <v>24</v>
      </c>
      <c r="AE51" s="443" t="str">
        <f t="shared" si="22"/>
        <v>Open/Male 15/U 100m Butterfly</v>
      </c>
      <c r="AF51" s="440" t="s">
        <v>328</v>
      </c>
      <c r="AG51" s="739">
        <v>11</v>
      </c>
      <c r="AH51" s="740">
        <f t="shared" si="17"/>
        <v>0</v>
      </c>
      <c r="AI51" s="740">
        <f t="shared" si="18"/>
        <v>0</v>
      </c>
      <c r="AJ51" s="740">
        <f t="shared" si="19"/>
        <v>0</v>
      </c>
      <c r="AK51" s="740"/>
      <c r="AL51" s="740"/>
      <c r="AM51" s="740"/>
      <c r="AN51" s="740"/>
      <c r="AO51" s="740"/>
      <c r="AQ51">
        <f t="shared" ca="1" si="20"/>
        <v>0</v>
      </c>
    </row>
    <row r="52" spans="1:43" ht="20.25" customHeight="1" x14ac:dyDescent="0.25">
      <c r="A52" s="727">
        <v>25</v>
      </c>
      <c r="B52" s="742" t="s">
        <v>4353</v>
      </c>
      <c r="C52" s="728" t="s">
        <v>4635</v>
      </c>
      <c r="D52" s="729">
        <v>14</v>
      </c>
      <c r="E52" s="730"/>
      <c r="F52" s="731"/>
      <c r="G52" s="731"/>
      <c r="H52" s="732"/>
      <c r="I52" s="733" t="str">
        <f t="shared" si="13"/>
        <v xml:space="preserve"> </v>
      </c>
      <c r="J52" s="734" t="str">
        <f t="shared" si="14"/>
        <v>,</v>
      </c>
      <c r="K52" s="735">
        <f t="shared" ca="1" si="15"/>
        <v>0</v>
      </c>
      <c r="L52" s="736" t="str">
        <f t="shared" si="16"/>
        <v>000100</v>
      </c>
      <c r="M52" s="770">
        <f ca="1">IF(K52=0,0,IF(K52&lt;9,"TOO YOUNG",IF(K52&lt;60,"OK","BIT OLD MAYBE")))</f>
        <v>0</v>
      </c>
      <c r="AD52" s="722">
        <f t="shared" si="21"/>
        <v>25</v>
      </c>
      <c r="AE52" s="443" t="str">
        <f t="shared" si="22"/>
        <v>Female 16+ 100m Backstroke</v>
      </c>
      <c r="AF52" s="440" t="s">
        <v>4635</v>
      </c>
      <c r="AG52" s="739">
        <v>14</v>
      </c>
      <c r="AH52" s="740">
        <f t="shared" si="17"/>
        <v>0</v>
      </c>
      <c r="AI52" s="740">
        <f t="shared" si="18"/>
        <v>0</v>
      </c>
      <c r="AJ52" s="740">
        <f t="shared" si="19"/>
        <v>0</v>
      </c>
      <c r="AK52" s="740"/>
      <c r="AL52" s="740"/>
      <c r="AM52" s="740"/>
      <c r="AN52" s="740"/>
      <c r="AO52" s="740"/>
      <c r="AQ52">
        <f t="shared" ca="1" si="20"/>
        <v>0</v>
      </c>
    </row>
    <row r="53" spans="1:43" ht="20.25" customHeight="1" x14ac:dyDescent="0.25">
      <c r="A53" s="727">
        <v>26</v>
      </c>
      <c r="B53" s="742" t="s">
        <v>4698</v>
      </c>
      <c r="C53" s="728" t="s">
        <v>328</v>
      </c>
      <c r="D53" s="729">
        <v>14</v>
      </c>
      <c r="E53" s="730"/>
      <c r="F53" s="731"/>
      <c r="G53" s="731"/>
      <c r="H53" s="732"/>
      <c r="I53" s="733" t="str">
        <f t="shared" si="13"/>
        <v xml:space="preserve"> </v>
      </c>
      <c r="J53" s="734" t="str">
        <f t="shared" si="14"/>
        <v>,</v>
      </c>
      <c r="K53" s="735">
        <f t="shared" ca="1" si="15"/>
        <v>0</v>
      </c>
      <c r="L53" s="736" t="str">
        <f t="shared" si="16"/>
        <v>000100</v>
      </c>
      <c r="M53" s="770">
        <f ca="1">IF(K53=0,0,IF(K53&lt;9,"TOO YOUNG",IF(K53&lt;60,"OK","BIT OLD MAYBE")))</f>
        <v>0</v>
      </c>
      <c r="AD53" s="722">
        <f t="shared" si="21"/>
        <v>26</v>
      </c>
      <c r="AE53" s="443" t="str">
        <f t="shared" si="22"/>
        <v>Open/Male 16+100m Backstroke</v>
      </c>
      <c r="AF53" s="440" t="s">
        <v>328</v>
      </c>
      <c r="AG53" s="739">
        <v>14</v>
      </c>
      <c r="AH53" s="740">
        <f t="shared" si="17"/>
        <v>0</v>
      </c>
      <c r="AI53" s="740">
        <f t="shared" si="18"/>
        <v>0</v>
      </c>
      <c r="AJ53" s="740">
        <f t="shared" si="19"/>
        <v>0</v>
      </c>
      <c r="AK53" s="740"/>
      <c r="AL53" s="740"/>
      <c r="AM53" s="740"/>
      <c r="AN53" s="740"/>
      <c r="AO53" s="740"/>
      <c r="AQ53">
        <f t="shared" ca="1" si="20"/>
        <v>0</v>
      </c>
    </row>
    <row r="54" spans="1:43" ht="20.25" customHeight="1" x14ac:dyDescent="0.25">
      <c r="A54" s="745">
        <v>27</v>
      </c>
      <c r="B54" s="773" t="s">
        <v>4355</v>
      </c>
      <c r="C54" s="774" t="s">
        <v>4635</v>
      </c>
      <c r="D54" s="775">
        <v>7</v>
      </c>
      <c r="E54" s="730"/>
      <c r="F54" s="731"/>
      <c r="G54" s="731"/>
      <c r="H54" s="732"/>
      <c r="I54" s="733" t="str">
        <f t="shared" si="13"/>
        <v xml:space="preserve"> </v>
      </c>
      <c r="J54" s="734" t="str">
        <f t="shared" si="14"/>
        <v>,</v>
      </c>
      <c r="K54" s="735">
        <f t="shared" ca="1" si="15"/>
        <v>0</v>
      </c>
      <c r="L54" s="736" t="str">
        <f t="shared" si="16"/>
        <v>000100</v>
      </c>
      <c r="M54" s="766">
        <f ca="1">IF(K54=0,0,IF(K54&lt;10,"TOO YOUNG",IF(K54&lt;12,"OK","NOT ELIGIBLE")))</f>
        <v>0</v>
      </c>
      <c r="AD54" s="722">
        <f t="shared" si="21"/>
        <v>27</v>
      </c>
      <c r="AE54" s="443" t="str">
        <f t="shared" si="22"/>
        <v>Female 10/11 50m Breaststroke</v>
      </c>
      <c r="AF54" s="440" t="s">
        <v>4635</v>
      </c>
      <c r="AG54" s="739">
        <v>7</v>
      </c>
      <c r="AH54" s="740">
        <f t="shared" si="17"/>
        <v>0</v>
      </c>
      <c r="AI54" s="740">
        <f t="shared" si="18"/>
        <v>0</v>
      </c>
      <c r="AJ54" s="740">
        <f t="shared" si="19"/>
        <v>0</v>
      </c>
      <c r="AK54" s="740"/>
      <c r="AL54" s="740"/>
      <c r="AM54" s="740"/>
      <c r="AN54" s="740"/>
      <c r="AO54" s="740"/>
      <c r="AQ54">
        <f t="shared" ca="1" si="20"/>
        <v>0</v>
      </c>
    </row>
    <row r="55" spans="1:43" ht="20.25" customHeight="1" x14ac:dyDescent="0.25">
      <c r="A55" s="745">
        <v>28</v>
      </c>
      <c r="B55" s="773" t="s">
        <v>4356</v>
      </c>
      <c r="C55" s="774" t="s">
        <v>328</v>
      </c>
      <c r="D55" s="775">
        <v>7</v>
      </c>
      <c r="E55" s="730"/>
      <c r="F55" s="731"/>
      <c r="G55" s="731"/>
      <c r="H55" s="732"/>
      <c r="I55" s="733" t="str">
        <f t="shared" si="13"/>
        <v xml:space="preserve"> </v>
      </c>
      <c r="J55" s="734" t="str">
        <f t="shared" si="14"/>
        <v>,</v>
      </c>
      <c r="K55" s="735">
        <f t="shared" ca="1" si="15"/>
        <v>0</v>
      </c>
      <c r="L55" s="736" t="str">
        <f t="shared" si="16"/>
        <v>000100</v>
      </c>
      <c r="M55" s="766">
        <f ca="1">IF(K55=0,0,IF(K55&lt;10,"TOO YOUNG",IF(K55&lt;12,"OK","NOT ELIGIBLE")))</f>
        <v>0</v>
      </c>
      <c r="AD55" s="722">
        <f t="shared" si="21"/>
        <v>28</v>
      </c>
      <c r="AE55" s="443" t="str">
        <f t="shared" si="22"/>
        <v>Open/Male 10/11 50m Breaststroke</v>
      </c>
      <c r="AF55" s="440" t="s">
        <v>328</v>
      </c>
      <c r="AG55" s="739">
        <v>7</v>
      </c>
      <c r="AH55" s="740">
        <f t="shared" si="17"/>
        <v>0</v>
      </c>
      <c r="AI55" s="740">
        <f t="shared" si="18"/>
        <v>0</v>
      </c>
      <c r="AJ55" s="740">
        <f t="shared" si="19"/>
        <v>0</v>
      </c>
      <c r="AK55" s="740"/>
      <c r="AL55" s="740"/>
      <c r="AM55" s="740"/>
      <c r="AN55" s="740"/>
      <c r="AO55" s="740"/>
      <c r="AQ55">
        <f t="shared" ca="1" si="20"/>
        <v>0</v>
      </c>
    </row>
    <row r="56" spans="1:43" ht="20.25" customHeight="1" x14ac:dyDescent="0.25">
      <c r="A56" s="755">
        <v>29</v>
      </c>
      <c r="B56" s="776" t="s">
        <v>4357</v>
      </c>
      <c r="C56" s="777" t="s">
        <v>4635</v>
      </c>
      <c r="D56" s="778">
        <v>11</v>
      </c>
      <c r="E56" s="730"/>
      <c r="F56" s="731"/>
      <c r="G56" s="731"/>
      <c r="H56" s="732"/>
      <c r="I56" s="733" t="str">
        <f t="shared" si="13"/>
        <v xml:space="preserve"> </v>
      </c>
      <c r="J56" s="734" t="str">
        <f t="shared" si="14"/>
        <v>,</v>
      </c>
      <c r="K56" s="735">
        <f t="shared" ca="1" si="15"/>
        <v>0</v>
      </c>
      <c r="L56" s="736" t="str">
        <f t="shared" si="16"/>
        <v>000100</v>
      </c>
      <c r="M56" s="766">
        <f ca="1">IF(K56=0,0,IF(K56&lt;9,"TOO YOUNG",IF(K56&lt;14,"OK","NOT ELIGIBLE")))</f>
        <v>0</v>
      </c>
      <c r="AD56" s="722">
        <f t="shared" si="21"/>
        <v>29</v>
      </c>
      <c r="AE56" s="443" t="str">
        <f t="shared" si="22"/>
        <v>Female 13/U 100m Butterfly</v>
      </c>
      <c r="AF56" s="440" t="s">
        <v>4635</v>
      </c>
      <c r="AG56" s="739">
        <v>11</v>
      </c>
      <c r="AH56" s="740">
        <f t="shared" si="17"/>
        <v>0</v>
      </c>
      <c r="AI56" s="740">
        <f t="shared" si="18"/>
        <v>0</v>
      </c>
      <c r="AJ56" s="740">
        <f t="shared" si="19"/>
        <v>0</v>
      </c>
      <c r="AK56" s="740"/>
      <c r="AL56" s="740"/>
      <c r="AM56" s="740"/>
      <c r="AN56" s="740"/>
      <c r="AO56" s="740"/>
      <c r="AQ56">
        <f t="shared" ca="1" si="20"/>
        <v>0</v>
      </c>
    </row>
    <row r="57" spans="1:43" ht="20.25" customHeight="1" x14ac:dyDescent="0.25">
      <c r="A57" s="755">
        <v>30</v>
      </c>
      <c r="B57" s="776" t="s">
        <v>4358</v>
      </c>
      <c r="C57" s="777" t="s">
        <v>328</v>
      </c>
      <c r="D57" s="778">
        <v>11</v>
      </c>
      <c r="E57" s="730"/>
      <c r="F57" s="731"/>
      <c r="G57" s="731"/>
      <c r="H57" s="732"/>
      <c r="I57" s="733" t="str">
        <f t="shared" si="13"/>
        <v xml:space="preserve"> </v>
      </c>
      <c r="J57" s="734" t="str">
        <f t="shared" si="14"/>
        <v>,</v>
      </c>
      <c r="K57" s="735">
        <f t="shared" ca="1" si="15"/>
        <v>0</v>
      </c>
      <c r="L57" s="736" t="str">
        <f t="shared" si="16"/>
        <v>000100</v>
      </c>
      <c r="M57" s="766">
        <f ca="1">IF(K57=0,0,IF(K57&lt;9,"TOO YOUNG",IF(K57&lt;14,"OK","NOT ELIGIBLE")))</f>
        <v>0</v>
      </c>
      <c r="AD57" s="722">
        <f t="shared" si="21"/>
        <v>30</v>
      </c>
      <c r="AE57" s="443" t="str">
        <f t="shared" si="22"/>
        <v>Open/Male 13/U 100m Butterfly</v>
      </c>
      <c r="AF57" s="440" t="s">
        <v>328</v>
      </c>
      <c r="AG57" s="739">
        <v>11</v>
      </c>
      <c r="AH57" s="740">
        <f t="shared" si="17"/>
        <v>0</v>
      </c>
      <c r="AI57" s="740">
        <f t="shared" si="18"/>
        <v>0</v>
      </c>
      <c r="AJ57" s="740">
        <f t="shared" si="19"/>
        <v>0</v>
      </c>
      <c r="AK57" s="740"/>
      <c r="AL57" s="740"/>
      <c r="AM57" s="740"/>
      <c r="AN57" s="740"/>
      <c r="AO57" s="740"/>
      <c r="AQ57">
        <f t="shared" ca="1" si="20"/>
        <v>0</v>
      </c>
    </row>
    <row r="58" spans="1:43" ht="20.25" customHeight="1" x14ac:dyDescent="0.25">
      <c r="A58" s="779">
        <v>31</v>
      </c>
      <c r="B58" s="780" t="s">
        <v>4359</v>
      </c>
      <c r="C58" s="781" t="s">
        <v>4635</v>
      </c>
      <c r="D58" s="782">
        <v>2</v>
      </c>
      <c r="E58" s="730"/>
      <c r="F58" s="731"/>
      <c r="G58" s="731"/>
      <c r="H58" s="732"/>
      <c r="I58" s="733" t="str">
        <f t="shared" si="13"/>
        <v xml:space="preserve"> </v>
      </c>
      <c r="J58" s="734" t="str">
        <f t="shared" si="14"/>
        <v>,</v>
      </c>
      <c r="K58" s="735">
        <f t="shared" ca="1" si="15"/>
        <v>0</v>
      </c>
      <c r="L58" s="736" t="str">
        <f t="shared" si="16"/>
        <v>000100</v>
      </c>
      <c r="M58" s="766">
        <f ca="1">IF(K58=0,0,IF(K58&lt;9,"TOO YOUNG",IF(K58&lt;16,"OK","NOT ELIGIBLE")))</f>
        <v>0</v>
      </c>
      <c r="AD58" s="722">
        <f t="shared" si="21"/>
        <v>31</v>
      </c>
      <c r="AE58" s="443" t="str">
        <f t="shared" si="22"/>
        <v>Female 15/U 100m Freestyle</v>
      </c>
      <c r="AF58" s="440" t="s">
        <v>4635</v>
      </c>
      <c r="AG58" s="739">
        <v>2</v>
      </c>
      <c r="AH58" s="740">
        <f t="shared" si="17"/>
        <v>0</v>
      </c>
      <c r="AI58" s="740">
        <f t="shared" si="18"/>
        <v>0</v>
      </c>
      <c r="AJ58" s="740">
        <f t="shared" si="19"/>
        <v>0</v>
      </c>
      <c r="AK58" s="740"/>
      <c r="AL58" s="740"/>
      <c r="AM58" s="740"/>
      <c r="AN58" s="740"/>
      <c r="AO58" s="740"/>
      <c r="AQ58">
        <f t="shared" ca="1" si="20"/>
        <v>0</v>
      </c>
    </row>
    <row r="59" spans="1:43" ht="20.25" customHeight="1" x14ac:dyDescent="0.25">
      <c r="A59" s="779">
        <v>32</v>
      </c>
      <c r="B59" s="780" t="s">
        <v>4360</v>
      </c>
      <c r="C59" s="781" t="s">
        <v>328</v>
      </c>
      <c r="D59" s="782">
        <v>2</v>
      </c>
      <c r="E59" s="730"/>
      <c r="F59" s="731"/>
      <c r="G59" s="731"/>
      <c r="H59" s="732"/>
      <c r="I59" s="733" t="str">
        <f t="shared" si="13"/>
        <v xml:space="preserve"> </v>
      </c>
      <c r="J59" s="734" t="str">
        <f t="shared" si="14"/>
        <v>,</v>
      </c>
      <c r="K59" s="735">
        <f t="shared" ca="1" si="15"/>
        <v>0</v>
      </c>
      <c r="L59" s="736" t="str">
        <f t="shared" si="16"/>
        <v>000100</v>
      </c>
      <c r="M59" s="766">
        <f ca="1">IF(K59=0,0,IF(K59&lt;9,"TOO YOUNG",IF(K59&lt;16,"OK","NOT ELIGIBLE")))</f>
        <v>0</v>
      </c>
      <c r="AD59" s="722">
        <f t="shared" si="21"/>
        <v>32</v>
      </c>
      <c r="AE59" s="443" t="str">
        <f t="shared" si="22"/>
        <v>Open/Male 15/U 100m Freestyle</v>
      </c>
      <c r="AF59" s="440" t="s">
        <v>328</v>
      </c>
      <c r="AG59" s="739">
        <v>2</v>
      </c>
      <c r="AH59" s="740">
        <f t="shared" si="17"/>
        <v>0</v>
      </c>
      <c r="AI59" s="740">
        <f t="shared" si="18"/>
        <v>0</v>
      </c>
      <c r="AJ59" s="740">
        <f t="shared" si="19"/>
        <v>0</v>
      </c>
      <c r="AK59" s="740"/>
      <c r="AL59" s="740"/>
      <c r="AM59" s="740"/>
      <c r="AN59" s="740"/>
      <c r="AO59" s="740"/>
      <c r="AQ59">
        <f t="shared" ca="1" si="20"/>
        <v>0</v>
      </c>
    </row>
    <row r="60" spans="1:43" ht="20.25" customHeight="1" x14ac:dyDescent="0.25">
      <c r="A60" s="727">
        <v>33</v>
      </c>
      <c r="B60" s="742" t="s">
        <v>4361</v>
      </c>
      <c r="C60" s="742" t="s">
        <v>4635</v>
      </c>
      <c r="D60" s="783">
        <v>8</v>
      </c>
      <c r="E60" s="730"/>
      <c r="F60" s="731"/>
      <c r="G60" s="731"/>
      <c r="H60" s="732"/>
      <c r="I60" s="733" t="str">
        <f t="shared" si="13"/>
        <v xml:space="preserve"> </v>
      </c>
      <c r="J60" s="734" t="str">
        <f t="shared" si="14"/>
        <v>,</v>
      </c>
      <c r="K60" s="735">
        <f t="shared" ca="1" si="15"/>
        <v>0</v>
      </c>
      <c r="L60" s="736" t="str">
        <f t="shared" si="16"/>
        <v>000100</v>
      </c>
      <c r="M60" s="770">
        <f ca="1">IF(K60=0,0,IF(K60&lt;9,"TOO YOUNG",IF(K60&lt;60,"OK","BIT OLD MAYBE")))</f>
        <v>0</v>
      </c>
      <c r="AD60" s="722">
        <f t="shared" si="21"/>
        <v>33</v>
      </c>
      <c r="AE60" s="443" t="str">
        <f t="shared" si="22"/>
        <v>Female 16+ 100m Breaststroke</v>
      </c>
      <c r="AF60" s="443" t="s">
        <v>4635</v>
      </c>
      <c r="AG60" s="744">
        <v>9</v>
      </c>
      <c r="AH60" s="740">
        <f t="shared" si="17"/>
        <v>0</v>
      </c>
      <c r="AI60" s="740">
        <f t="shared" si="18"/>
        <v>0</v>
      </c>
      <c r="AJ60" s="740">
        <f t="shared" si="19"/>
        <v>0</v>
      </c>
      <c r="AK60" s="740"/>
      <c r="AL60" s="740"/>
      <c r="AM60" s="740"/>
      <c r="AN60" s="740"/>
      <c r="AO60" s="740"/>
      <c r="AQ60">
        <f t="shared" ca="1" si="20"/>
        <v>0</v>
      </c>
    </row>
    <row r="61" spans="1:43" ht="20.25" customHeight="1" x14ac:dyDescent="0.25">
      <c r="A61" s="727">
        <v>34</v>
      </c>
      <c r="B61" s="742" t="s">
        <v>4362</v>
      </c>
      <c r="C61" s="742" t="s">
        <v>328</v>
      </c>
      <c r="D61" s="783">
        <v>8</v>
      </c>
      <c r="E61" s="730"/>
      <c r="F61" s="731"/>
      <c r="G61" s="731"/>
      <c r="H61" s="732"/>
      <c r="I61" s="733" t="str">
        <f t="shared" si="13"/>
        <v xml:space="preserve"> </v>
      </c>
      <c r="J61" s="734" t="str">
        <f t="shared" si="14"/>
        <v>,</v>
      </c>
      <c r="K61" s="735">
        <f t="shared" ca="1" si="15"/>
        <v>0</v>
      </c>
      <c r="L61" s="736" t="str">
        <f t="shared" si="16"/>
        <v>000100</v>
      </c>
      <c r="M61" s="770">
        <f ca="1">IF(K61=0,0,IF(K61&lt;9,"TOO YOUNG",IF(K61&lt;60,"OK","BIT OLD MAYBE")))</f>
        <v>0</v>
      </c>
      <c r="AD61" s="722">
        <f t="shared" si="21"/>
        <v>34</v>
      </c>
      <c r="AE61" s="443" t="str">
        <f t="shared" si="22"/>
        <v>Open/Male 16+ 100m Breaststroke</v>
      </c>
      <c r="AF61" s="443" t="s">
        <v>328</v>
      </c>
      <c r="AG61" s="744">
        <v>9</v>
      </c>
      <c r="AH61" s="740">
        <f t="shared" si="17"/>
        <v>0</v>
      </c>
      <c r="AI61" s="740">
        <f t="shared" si="18"/>
        <v>0</v>
      </c>
      <c r="AJ61" s="740">
        <f t="shared" si="19"/>
        <v>0</v>
      </c>
      <c r="AK61" s="740"/>
      <c r="AL61" s="740"/>
      <c r="AM61" s="740"/>
      <c r="AN61" s="740"/>
      <c r="AO61" s="740"/>
      <c r="AQ61">
        <f t="shared" ca="1" si="20"/>
        <v>0</v>
      </c>
    </row>
    <row r="62" spans="1:43" ht="20.25" customHeight="1" x14ac:dyDescent="0.25">
      <c r="A62" s="745">
        <v>35</v>
      </c>
      <c r="B62" s="773" t="s">
        <v>4363</v>
      </c>
      <c r="C62" s="774" t="s">
        <v>4635</v>
      </c>
      <c r="D62" s="775">
        <v>1</v>
      </c>
      <c r="E62" s="730"/>
      <c r="F62" s="731"/>
      <c r="G62" s="731"/>
      <c r="H62" s="732"/>
      <c r="I62" s="733" t="str">
        <f t="shared" si="13"/>
        <v xml:space="preserve"> </v>
      </c>
      <c r="J62" s="734" t="str">
        <f t="shared" si="14"/>
        <v>,</v>
      </c>
      <c r="K62" s="735">
        <f t="shared" ca="1" si="15"/>
        <v>0</v>
      </c>
      <c r="L62" s="736" t="str">
        <f t="shared" si="16"/>
        <v>000100</v>
      </c>
      <c r="M62" s="766">
        <f ca="1">IF(K62=0,0,IF(K62&lt;10,"TOO YOUNG",IF(K62&lt;12,"OK","NOT ELIGIBLE")))</f>
        <v>0</v>
      </c>
      <c r="AD62" s="722">
        <f t="shared" si="21"/>
        <v>35</v>
      </c>
      <c r="AE62" s="443" t="str">
        <f t="shared" si="22"/>
        <v>Female 10/11 50m Freestyle</v>
      </c>
      <c r="AF62" s="440" t="s">
        <v>4635</v>
      </c>
      <c r="AG62" s="739">
        <v>1</v>
      </c>
      <c r="AH62" s="740">
        <f t="shared" si="17"/>
        <v>0</v>
      </c>
      <c r="AI62" s="740">
        <f t="shared" si="18"/>
        <v>0</v>
      </c>
      <c r="AJ62" s="740">
        <f t="shared" si="19"/>
        <v>0</v>
      </c>
      <c r="AK62" s="740"/>
      <c r="AL62" s="740"/>
      <c r="AM62" s="740"/>
      <c r="AN62" s="740"/>
      <c r="AO62" s="740"/>
      <c r="AQ62">
        <f t="shared" ca="1" si="20"/>
        <v>0</v>
      </c>
    </row>
    <row r="63" spans="1:43" ht="20.25" customHeight="1" x14ac:dyDescent="0.25">
      <c r="A63" s="745">
        <v>36</v>
      </c>
      <c r="B63" s="773" t="s">
        <v>4699</v>
      </c>
      <c r="C63" s="774" t="s">
        <v>328</v>
      </c>
      <c r="D63" s="775">
        <v>1</v>
      </c>
      <c r="E63" s="730"/>
      <c r="F63" s="731"/>
      <c r="G63" s="731"/>
      <c r="H63" s="732"/>
      <c r="I63" s="733" t="str">
        <f t="shared" si="13"/>
        <v xml:space="preserve"> </v>
      </c>
      <c r="J63" s="734" t="str">
        <f t="shared" si="14"/>
        <v>,</v>
      </c>
      <c r="K63" s="735">
        <f t="shared" ca="1" si="15"/>
        <v>0</v>
      </c>
      <c r="L63" s="736" t="str">
        <f t="shared" si="16"/>
        <v>000100</v>
      </c>
      <c r="M63" s="766">
        <f ca="1">IF(K63=0,0,IF(K63&lt;10,"TOO YOUNG",IF(K63&lt;12,"OK","NOT ELIGIBLE")))</f>
        <v>0</v>
      </c>
      <c r="AD63" s="722">
        <f t="shared" si="21"/>
        <v>36</v>
      </c>
      <c r="AE63" s="443" t="str">
        <f t="shared" si="22"/>
        <v>Open/Male 10/11 50m Freestyle</v>
      </c>
      <c r="AF63" s="440" t="s">
        <v>328</v>
      </c>
      <c r="AG63" s="739">
        <v>1</v>
      </c>
      <c r="AH63" s="740">
        <f t="shared" si="17"/>
        <v>0</v>
      </c>
      <c r="AI63" s="740">
        <f t="shared" si="18"/>
        <v>0</v>
      </c>
      <c r="AJ63" s="740">
        <f t="shared" si="19"/>
        <v>0</v>
      </c>
      <c r="AK63" s="740"/>
      <c r="AL63" s="740"/>
      <c r="AM63" s="740"/>
      <c r="AN63" s="740"/>
      <c r="AO63" s="740"/>
      <c r="AQ63">
        <f t="shared" ca="1" si="20"/>
        <v>0</v>
      </c>
    </row>
    <row r="64" spans="1:43" ht="20.25" customHeight="1" x14ac:dyDescent="0.25">
      <c r="A64" s="755">
        <v>37</v>
      </c>
      <c r="B64" s="776" t="s">
        <v>4365</v>
      </c>
      <c r="C64" s="777" t="s">
        <v>4635</v>
      </c>
      <c r="D64" s="778">
        <v>2</v>
      </c>
      <c r="E64" s="730"/>
      <c r="F64" s="731"/>
      <c r="G64" s="731"/>
      <c r="H64" s="732"/>
      <c r="I64" s="733" t="str">
        <f t="shared" si="13"/>
        <v xml:space="preserve"> </v>
      </c>
      <c r="J64" s="734" t="str">
        <f t="shared" si="14"/>
        <v>,</v>
      </c>
      <c r="K64" s="735">
        <f t="shared" ca="1" si="15"/>
        <v>0</v>
      </c>
      <c r="L64" s="736" t="str">
        <f t="shared" si="16"/>
        <v>000100</v>
      </c>
      <c r="M64" s="766">
        <f ca="1">IF(K64=0,0,IF(K64&lt;9,"TOO YOUNG",IF(K64&lt;14,"OK","NOT ELIGIBLE")))</f>
        <v>0</v>
      </c>
      <c r="AD64" s="722">
        <f t="shared" si="21"/>
        <v>37</v>
      </c>
      <c r="AE64" s="443" t="str">
        <f t="shared" si="22"/>
        <v>Female 13/U 100m Freestyle</v>
      </c>
      <c r="AF64" s="440" t="s">
        <v>4635</v>
      </c>
      <c r="AG64" s="739">
        <v>2</v>
      </c>
      <c r="AH64" s="740">
        <f t="shared" si="17"/>
        <v>0</v>
      </c>
      <c r="AI64" s="740">
        <f t="shared" si="18"/>
        <v>0</v>
      </c>
      <c r="AJ64" s="740">
        <f t="shared" si="19"/>
        <v>0</v>
      </c>
      <c r="AK64" s="740"/>
      <c r="AL64" s="740"/>
      <c r="AM64" s="740"/>
      <c r="AN64" s="740"/>
      <c r="AO64" s="740"/>
      <c r="AQ64">
        <f t="shared" ca="1" si="20"/>
        <v>0</v>
      </c>
    </row>
    <row r="65" spans="1:43" ht="20.25" customHeight="1" x14ac:dyDescent="0.25">
      <c r="A65" s="755">
        <v>38</v>
      </c>
      <c r="B65" s="776" t="s">
        <v>4366</v>
      </c>
      <c r="C65" s="777" t="s">
        <v>328</v>
      </c>
      <c r="D65" s="778">
        <v>2</v>
      </c>
      <c r="E65" s="730"/>
      <c r="F65" s="731"/>
      <c r="G65" s="731"/>
      <c r="H65" s="732"/>
      <c r="I65" s="733" t="str">
        <f t="shared" si="13"/>
        <v xml:space="preserve"> </v>
      </c>
      <c r="J65" s="734" t="str">
        <f t="shared" si="14"/>
        <v>,</v>
      </c>
      <c r="K65" s="735">
        <f t="shared" ca="1" si="15"/>
        <v>0</v>
      </c>
      <c r="L65" s="736" t="str">
        <f t="shared" si="16"/>
        <v>000100</v>
      </c>
      <c r="M65" s="766">
        <f ca="1">IF(K65=0,0,IF(K65&lt;9,"TOO YOUNG",IF(K65&lt;14,"OK","NOT ELIGIBLE")))</f>
        <v>0</v>
      </c>
      <c r="AD65" s="722">
        <f t="shared" si="21"/>
        <v>38</v>
      </c>
      <c r="AE65" s="443" t="str">
        <f t="shared" si="22"/>
        <v>Open/Male 13/U 100m Freestyle</v>
      </c>
      <c r="AF65" s="440" t="s">
        <v>328</v>
      </c>
      <c r="AG65" s="739">
        <v>2</v>
      </c>
      <c r="AH65" s="740">
        <f t="shared" si="17"/>
        <v>0</v>
      </c>
      <c r="AI65" s="740">
        <f t="shared" si="18"/>
        <v>0</v>
      </c>
      <c r="AJ65" s="740">
        <f t="shared" si="19"/>
        <v>0</v>
      </c>
      <c r="AK65" s="740"/>
      <c r="AL65" s="740"/>
      <c r="AM65" s="740"/>
      <c r="AN65" s="740"/>
      <c r="AO65" s="740"/>
      <c r="AQ65">
        <f t="shared" ca="1" si="20"/>
        <v>0</v>
      </c>
    </row>
    <row r="66" spans="1:43" ht="20.25" customHeight="1" x14ac:dyDescent="0.25">
      <c r="A66" s="779">
        <v>39</v>
      </c>
      <c r="B66" s="780" t="s">
        <v>4367</v>
      </c>
      <c r="C66" s="781" t="s">
        <v>4635</v>
      </c>
      <c r="D66" s="782">
        <v>8</v>
      </c>
      <c r="E66" s="730"/>
      <c r="F66" s="731"/>
      <c r="G66" s="731"/>
      <c r="H66" s="732"/>
      <c r="I66" s="733" t="str">
        <f t="shared" si="13"/>
        <v xml:space="preserve"> </v>
      </c>
      <c r="J66" s="734" t="str">
        <f t="shared" si="14"/>
        <v>,</v>
      </c>
      <c r="K66" s="735">
        <f t="shared" ca="1" si="15"/>
        <v>0</v>
      </c>
      <c r="L66" s="736" t="str">
        <f t="shared" si="16"/>
        <v>000100</v>
      </c>
      <c r="M66" s="766">
        <f ca="1">IF(K66=0,0,IF(K66&lt;9,"TOO YOUNG",IF(K66&lt;16,"OK","NOT ELIGIBLE")))</f>
        <v>0</v>
      </c>
      <c r="AD66" s="722">
        <f t="shared" si="21"/>
        <v>39</v>
      </c>
      <c r="AE66" s="443" t="str">
        <f t="shared" si="22"/>
        <v>Female 15/U 100m Breaststroke</v>
      </c>
      <c r="AF66" s="440" t="s">
        <v>4635</v>
      </c>
      <c r="AG66" s="739">
        <v>9</v>
      </c>
      <c r="AH66" s="740">
        <f t="shared" si="17"/>
        <v>0</v>
      </c>
      <c r="AI66" s="740">
        <f t="shared" si="18"/>
        <v>0</v>
      </c>
      <c r="AJ66" s="740">
        <f t="shared" si="19"/>
        <v>0</v>
      </c>
      <c r="AK66" s="740"/>
      <c r="AL66" s="740"/>
      <c r="AM66" s="740"/>
      <c r="AN66" s="740"/>
      <c r="AO66" s="740"/>
      <c r="AQ66">
        <f t="shared" ca="1" si="20"/>
        <v>0</v>
      </c>
    </row>
    <row r="67" spans="1:43" ht="20.25" customHeight="1" x14ac:dyDescent="0.25">
      <c r="A67" s="779">
        <v>40</v>
      </c>
      <c r="B67" s="780" t="s">
        <v>4368</v>
      </c>
      <c r="C67" s="781" t="s">
        <v>328</v>
      </c>
      <c r="D67" s="782">
        <v>8</v>
      </c>
      <c r="E67" s="730"/>
      <c r="F67" s="731"/>
      <c r="G67" s="731"/>
      <c r="H67" s="732"/>
      <c r="I67" s="733" t="str">
        <f t="shared" si="13"/>
        <v xml:space="preserve"> </v>
      </c>
      <c r="J67" s="734" t="str">
        <f t="shared" si="14"/>
        <v>,</v>
      </c>
      <c r="K67" s="735">
        <f t="shared" ca="1" si="15"/>
        <v>0</v>
      </c>
      <c r="L67" s="736" t="str">
        <f t="shared" si="16"/>
        <v>000100</v>
      </c>
      <c r="M67" s="766">
        <f ca="1">IF(K67=0,0,IF(K67&lt;9,"TOO YOUNG",IF(K67&lt;16,"OK","NOT ELIGIBLE")))</f>
        <v>0</v>
      </c>
      <c r="AD67" s="722">
        <f t="shared" si="21"/>
        <v>40</v>
      </c>
      <c r="AE67" s="443" t="str">
        <f t="shared" si="22"/>
        <v>Open/Male 15/U 100m Breaststroke</v>
      </c>
      <c r="AF67" s="440" t="s">
        <v>328</v>
      </c>
      <c r="AG67" s="739">
        <v>9</v>
      </c>
      <c r="AH67" s="740">
        <f t="shared" si="17"/>
        <v>0</v>
      </c>
      <c r="AI67" s="740">
        <f t="shared" si="18"/>
        <v>0</v>
      </c>
      <c r="AJ67" s="740">
        <f t="shared" si="19"/>
        <v>0</v>
      </c>
      <c r="AK67" s="740"/>
      <c r="AL67" s="740"/>
      <c r="AM67" s="740"/>
      <c r="AN67" s="740"/>
      <c r="AO67" s="740"/>
      <c r="AQ67">
        <f t="shared" ca="1" si="20"/>
        <v>0</v>
      </c>
    </row>
    <row r="68" spans="1:43" ht="20.25" customHeight="1" x14ac:dyDescent="0.25">
      <c r="A68" s="727">
        <v>41</v>
      </c>
      <c r="B68" s="742" t="s">
        <v>4369</v>
      </c>
      <c r="C68" s="728" t="s">
        <v>4635</v>
      </c>
      <c r="D68" s="729">
        <v>2</v>
      </c>
      <c r="E68" s="730"/>
      <c r="F68" s="731"/>
      <c r="G68" s="731"/>
      <c r="H68" s="732"/>
      <c r="I68" s="733" t="str">
        <f t="shared" ref="I68:I101" si="23">CONCATENATE(F68," ",G68)</f>
        <v xml:space="preserve"> </v>
      </c>
      <c r="J68" s="734" t="str">
        <f t="shared" ref="J68:J101" si="24">CONCATENATE(G68,",",F68)</f>
        <v>,</v>
      </c>
      <c r="K68" s="735">
        <f t="shared" ref="K68:K99" ca="1" si="25">IF(K$2=0,0,IF(AQ68=0,0,IF(COUNTBLANK(AQ68)=1,"",YEAR(K$2)-YEAR(AQ68)-IF(DATE(YEAR(K$2),MONTH(AQ68),DAY(4638))&gt;K$2,1,0))))</f>
        <v>0</v>
      </c>
      <c r="L68" s="736" t="str">
        <f t="shared" ref="L68:L99" si="26">(TEXT(H68,"DDMMYY"))</f>
        <v>000100</v>
      </c>
      <c r="M68" s="770">
        <f ca="1">IF(K68=0,0,IF(K68&lt;9,"TOO YOUNG",IF(K68&lt;60,"OK","BIT OLD MAYBE")))</f>
        <v>0</v>
      </c>
      <c r="AD68" s="722">
        <f t="shared" si="21"/>
        <v>41</v>
      </c>
      <c r="AE68" s="443" t="str">
        <f t="shared" si="22"/>
        <v>Female 16+ 100m Freestyle</v>
      </c>
      <c r="AF68" s="440" t="s">
        <v>4635</v>
      </c>
      <c r="AG68" s="739">
        <v>2</v>
      </c>
      <c r="AH68" s="740">
        <f t="shared" ref="AH68:AH99" si="27">E68</f>
        <v>0</v>
      </c>
      <c r="AI68" s="740">
        <f t="shared" ref="AI68:AI99" si="28">F68</f>
        <v>0</v>
      </c>
      <c r="AJ68" s="740">
        <f t="shared" ref="AJ68:AJ99" si="29">G68</f>
        <v>0</v>
      </c>
      <c r="AK68" s="740"/>
      <c r="AL68" s="740"/>
      <c r="AM68" s="740"/>
      <c r="AN68" s="740"/>
      <c r="AO68" s="740"/>
      <c r="AQ68">
        <f t="shared" ref="AQ68:AQ99" ca="1" si="30">INDIRECT(ADDRESS(ROW(),AQ$3))</f>
        <v>0</v>
      </c>
    </row>
    <row r="69" spans="1:43" ht="20.25" customHeight="1" x14ac:dyDescent="0.25">
      <c r="A69" s="727">
        <v>42</v>
      </c>
      <c r="B69" s="742" t="s">
        <v>4370</v>
      </c>
      <c r="C69" s="728" t="s">
        <v>328</v>
      </c>
      <c r="D69" s="729">
        <v>2</v>
      </c>
      <c r="E69" s="730"/>
      <c r="F69" s="731"/>
      <c r="G69" s="731"/>
      <c r="H69" s="732"/>
      <c r="I69" s="733" t="str">
        <f t="shared" si="23"/>
        <v xml:space="preserve"> </v>
      </c>
      <c r="J69" s="734" t="str">
        <f t="shared" si="24"/>
        <v>,</v>
      </c>
      <c r="K69" s="735">
        <f t="shared" ca="1" si="25"/>
        <v>0</v>
      </c>
      <c r="L69" s="736" t="str">
        <f t="shared" si="26"/>
        <v>000100</v>
      </c>
      <c r="M69" s="770">
        <f ca="1">IF(K69=0,0,IF(K69&lt;9,"TOO YOUNG",IF(K69&lt;60,"OK","BIT OLD MAYBE")))</f>
        <v>0</v>
      </c>
      <c r="AD69" s="722">
        <f t="shared" si="21"/>
        <v>42</v>
      </c>
      <c r="AE69" s="443" t="str">
        <f t="shared" si="22"/>
        <v>Open/Male 16+ 100m Freestyle</v>
      </c>
      <c r="AF69" s="440" t="s">
        <v>328</v>
      </c>
      <c r="AG69" s="739">
        <v>2</v>
      </c>
      <c r="AH69" s="740">
        <f t="shared" si="27"/>
        <v>0</v>
      </c>
      <c r="AI69" s="740">
        <f t="shared" si="28"/>
        <v>0</v>
      </c>
      <c r="AJ69" s="740">
        <f t="shared" si="29"/>
        <v>0</v>
      </c>
      <c r="AK69" s="740"/>
      <c r="AL69" s="740"/>
      <c r="AM69" s="740"/>
      <c r="AN69" s="740"/>
      <c r="AO69" s="740"/>
      <c r="AQ69">
        <f t="shared" ca="1" si="30"/>
        <v>0</v>
      </c>
    </row>
    <row r="70" spans="1:43" ht="20.25" customHeight="1" x14ac:dyDescent="0.25">
      <c r="A70" s="1254">
        <v>43</v>
      </c>
      <c r="B70" s="1255" t="s">
        <v>4700</v>
      </c>
      <c r="C70" s="746"/>
      <c r="D70" s="747"/>
      <c r="E70" s="730"/>
      <c r="F70" s="731"/>
      <c r="G70" s="731"/>
      <c r="H70" s="732"/>
      <c r="I70" s="733" t="str">
        <f t="shared" si="23"/>
        <v xml:space="preserve"> </v>
      </c>
      <c r="J70" s="734" t="str">
        <f t="shared" si="24"/>
        <v>,</v>
      </c>
      <c r="K70" s="735">
        <f t="shared" ca="1" si="25"/>
        <v>0</v>
      </c>
      <c r="L70" s="736" t="str">
        <f t="shared" si="26"/>
        <v>000100</v>
      </c>
      <c r="M70" s="766">
        <f t="shared" ref="M70:M77" ca="1" si="31">IF(K70=0,0,IF(K70&lt;9,"TOO YOUNG",IF(K70&lt;12,"OK","NOT ELIGIBLE")))</f>
        <v>0</v>
      </c>
      <c r="AD70" s="1244">
        <f t="shared" si="21"/>
        <v>43</v>
      </c>
      <c r="AE70" s="1245" t="str">
        <f t="shared" si="22"/>
        <v>FEMALE 9/11 4 X 50M
MEDLEY RELAY</v>
      </c>
      <c r="AF70" s="749"/>
      <c r="AG70" s="750"/>
      <c r="AH70" s="740">
        <f t="shared" si="27"/>
        <v>0</v>
      </c>
      <c r="AI70" s="740">
        <f t="shared" si="28"/>
        <v>0</v>
      </c>
      <c r="AJ70" s="740">
        <f t="shared" si="29"/>
        <v>0</v>
      </c>
      <c r="AK70" s="740"/>
      <c r="AL70" s="740"/>
      <c r="AM70" s="740"/>
      <c r="AN70" s="740"/>
      <c r="AO70" s="740"/>
      <c r="AQ70">
        <f t="shared" ca="1" si="30"/>
        <v>0</v>
      </c>
    </row>
    <row r="71" spans="1:43" ht="20.25" customHeight="1" x14ac:dyDescent="0.25">
      <c r="A71" s="1254"/>
      <c r="B71" s="1255"/>
      <c r="C71" s="751"/>
      <c r="D71" s="752"/>
      <c r="E71" s="730"/>
      <c r="F71" s="731"/>
      <c r="G71" s="731"/>
      <c r="H71" s="732"/>
      <c r="I71" s="733" t="str">
        <f t="shared" si="23"/>
        <v xml:space="preserve"> </v>
      </c>
      <c r="J71" s="734" t="str">
        <f t="shared" si="24"/>
        <v>,</v>
      </c>
      <c r="K71" s="735">
        <f t="shared" ca="1" si="25"/>
        <v>0</v>
      </c>
      <c r="L71" s="736" t="str">
        <f t="shared" si="26"/>
        <v>000100</v>
      </c>
      <c r="M71" s="766">
        <f t="shared" ca="1" si="31"/>
        <v>0</v>
      </c>
      <c r="AD71" s="1244"/>
      <c r="AE71" s="1245"/>
      <c r="AF71" s="753"/>
      <c r="AG71" s="754"/>
      <c r="AH71" s="740">
        <f t="shared" si="27"/>
        <v>0</v>
      </c>
      <c r="AI71" s="740">
        <f t="shared" si="28"/>
        <v>0</v>
      </c>
      <c r="AJ71" s="740">
        <f t="shared" si="29"/>
        <v>0</v>
      </c>
      <c r="AK71" s="740"/>
      <c r="AL71" s="740"/>
      <c r="AM71" s="740"/>
      <c r="AN71" s="740"/>
      <c r="AO71" s="740"/>
      <c r="AQ71">
        <f t="shared" ca="1" si="30"/>
        <v>0</v>
      </c>
    </row>
    <row r="72" spans="1:43" ht="20.25" customHeight="1" x14ac:dyDescent="0.25">
      <c r="A72" s="1254"/>
      <c r="B72" s="1255"/>
      <c r="C72" s="751"/>
      <c r="D72" s="752"/>
      <c r="E72" s="730"/>
      <c r="F72" s="731"/>
      <c r="G72" s="731"/>
      <c r="H72" s="732"/>
      <c r="I72" s="733" t="str">
        <f t="shared" si="23"/>
        <v xml:space="preserve"> </v>
      </c>
      <c r="J72" s="734" t="str">
        <f t="shared" si="24"/>
        <v>,</v>
      </c>
      <c r="K72" s="735">
        <f t="shared" ca="1" si="25"/>
        <v>0</v>
      </c>
      <c r="L72" s="736" t="str">
        <f t="shared" si="26"/>
        <v>000100</v>
      </c>
      <c r="M72" s="766">
        <f t="shared" ca="1" si="31"/>
        <v>0</v>
      </c>
      <c r="AD72" s="1244"/>
      <c r="AE72" s="1245"/>
      <c r="AF72" s="753"/>
      <c r="AG72" s="754"/>
      <c r="AH72" s="740">
        <f t="shared" si="27"/>
        <v>0</v>
      </c>
      <c r="AI72" s="740">
        <f t="shared" si="28"/>
        <v>0</v>
      </c>
      <c r="AJ72" s="740">
        <f t="shared" si="29"/>
        <v>0</v>
      </c>
      <c r="AK72" s="740"/>
      <c r="AL72" s="740"/>
      <c r="AM72" s="740"/>
      <c r="AN72" s="740"/>
      <c r="AO72" s="740"/>
      <c r="AQ72">
        <f t="shared" ca="1" si="30"/>
        <v>0</v>
      </c>
    </row>
    <row r="73" spans="1:43" ht="20.25" customHeight="1" x14ac:dyDescent="0.25">
      <c r="A73" s="1254"/>
      <c r="B73" s="1255"/>
      <c r="C73" s="751"/>
      <c r="D73" s="752"/>
      <c r="E73" s="730"/>
      <c r="F73" s="731"/>
      <c r="G73" s="731"/>
      <c r="H73" s="732"/>
      <c r="I73" s="733" t="str">
        <f t="shared" si="23"/>
        <v xml:space="preserve"> </v>
      </c>
      <c r="J73" s="734" t="str">
        <f t="shared" si="24"/>
        <v>,</v>
      </c>
      <c r="K73" s="735">
        <f t="shared" ca="1" si="25"/>
        <v>0</v>
      </c>
      <c r="L73" s="736" t="str">
        <f t="shared" si="26"/>
        <v>000100</v>
      </c>
      <c r="M73" s="766">
        <f t="shared" ca="1" si="31"/>
        <v>0</v>
      </c>
      <c r="AD73" s="1244"/>
      <c r="AE73" s="1245"/>
      <c r="AF73" s="753"/>
      <c r="AG73" s="754"/>
      <c r="AH73" s="740">
        <f t="shared" si="27"/>
        <v>0</v>
      </c>
      <c r="AI73" s="740">
        <f t="shared" si="28"/>
        <v>0</v>
      </c>
      <c r="AJ73" s="740">
        <f t="shared" si="29"/>
        <v>0</v>
      </c>
      <c r="AK73" s="740"/>
      <c r="AL73" s="740"/>
      <c r="AM73" s="740"/>
      <c r="AN73" s="740"/>
      <c r="AO73" s="740"/>
      <c r="AQ73">
        <f t="shared" ca="1" si="30"/>
        <v>0</v>
      </c>
    </row>
    <row r="74" spans="1:43" ht="20.25" customHeight="1" x14ac:dyDescent="0.25">
      <c r="A74" s="1254">
        <v>44</v>
      </c>
      <c r="B74" s="1255" t="s">
        <v>4701</v>
      </c>
      <c r="C74" s="746"/>
      <c r="D74" s="747"/>
      <c r="E74" s="730"/>
      <c r="F74" s="731"/>
      <c r="G74" s="731"/>
      <c r="H74" s="732"/>
      <c r="I74" s="733" t="str">
        <f t="shared" si="23"/>
        <v xml:space="preserve"> </v>
      </c>
      <c r="J74" s="734" t="str">
        <f t="shared" si="24"/>
        <v>,</v>
      </c>
      <c r="K74" s="735">
        <f t="shared" ca="1" si="25"/>
        <v>0</v>
      </c>
      <c r="L74" s="736" t="str">
        <f t="shared" si="26"/>
        <v>000100</v>
      </c>
      <c r="M74" s="766">
        <f t="shared" ca="1" si="31"/>
        <v>0</v>
      </c>
      <c r="AD74" s="1244">
        <f>A74</f>
        <v>44</v>
      </c>
      <c r="AE74" s="1245" t="str">
        <f>B74</f>
        <v>OPEN/MALE 9/11 4 X 50M
MEDLEY RELAY</v>
      </c>
      <c r="AF74" s="749"/>
      <c r="AG74" s="750"/>
      <c r="AH74" s="740">
        <f t="shared" si="27"/>
        <v>0</v>
      </c>
      <c r="AI74" s="740">
        <f t="shared" si="28"/>
        <v>0</v>
      </c>
      <c r="AJ74" s="740">
        <f t="shared" si="29"/>
        <v>0</v>
      </c>
      <c r="AK74" s="740"/>
      <c r="AL74" s="740"/>
      <c r="AM74" s="740"/>
      <c r="AN74" s="740"/>
      <c r="AO74" s="740"/>
      <c r="AQ74">
        <f t="shared" ca="1" si="30"/>
        <v>0</v>
      </c>
    </row>
    <row r="75" spans="1:43" ht="20.25" customHeight="1" x14ac:dyDescent="0.25">
      <c r="A75" s="1254"/>
      <c r="B75" s="1255"/>
      <c r="C75" s="751"/>
      <c r="D75" s="752"/>
      <c r="E75" s="730"/>
      <c r="F75" s="731"/>
      <c r="G75" s="731"/>
      <c r="H75" s="732"/>
      <c r="I75" s="733" t="str">
        <f t="shared" si="23"/>
        <v xml:space="preserve"> </v>
      </c>
      <c r="J75" s="734" t="str">
        <f t="shared" si="24"/>
        <v>,</v>
      </c>
      <c r="K75" s="735">
        <f t="shared" ca="1" si="25"/>
        <v>0</v>
      </c>
      <c r="L75" s="736" t="str">
        <f t="shared" si="26"/>
        <v>000100</v>
      </c>
      <c r="M75" s="766">
        <f t="shared" ca="1" si="31"/>
        <v>0</v>
      </c>
      <c r="AD75" s="1244"/>
      <c r="AE75" s="1245"/>
      <c r="AF75" s="753"/>
      <c r="AG75" s="754"/>
      <c r="AH75" s="740">
        <f t="shared" si="27"/>
        <v>0</v>
      </c>
      <c r="AI75" s="740">
        <f t="shared" si="28"/>
        <v>0</v>
      </c>
      <c r="AJ75" s="740">
        <f t="shared" si="29"/>
        <v>0</v>
      </c>
      <c r="AK75" s="740"/>
      <c r="AL75" s="740"/>
      <c r="AM75" s="740"/>
      <c r="AN75" s="740"/>
      <c r="AO75" s="740"/>
      <c r="AQ75">
        <f t="shared" ca="1" si="30"/>
        <v>0</v>
      </c>
    </row>
    <row r="76" spans="1:43" ht="20.25" customHeight="1" x14ac:dyDescent="0.25">
      <c r="A76" s="1254"/>
      <c r="B76" s="1255"/>
      <c r="C76" s="751"/>
      <c r="D76" s="752"/>
      <c r="E76" s="730"/>
      <c r="F76" s="731"/>
      <c r="G76" s="731"/>
      <c r="H76" s="732"/>
      <c r="I76" s="733" t="str">
        <f t="shared" si="23"/>
        <v xml:space="preserve"> </v>
      </c>
      <c r="J76" s="734" t="str">
        <f t="shared" si="24"/>
        <v>,</v>
      </c>
      <c r="K76" s="735">
        <f t="shared" ca="1" si="25"/>
        <v>0</v>
      </c>
      <c r="L76" s="736" t="str">
        <f t="shared" si="26"/>
        <v>000100</v>
      </c>
      <c r="M76" s="766">
        <f t="shared" ca="1" si="31"/>
        <v>0</v>
      </c>
      <c r="AD76" s="1244"/>
      <c r="AE76" s="1245"/>
      <c r="AF76" s="753"/>
      <c r="AG76" s="754"/>
      <c r="AH76" s="740">
        <f t="shared" si="27"/>
        <v>0</v>
      </c>
      <c r="AI76" s="740">
        <f t="shared" si="28"/>
        <v>0</v>
      </c>
      <c r="AJ76" s="740">
        <f t="shared" si="29"/>
        <v>0</v>
      </c>
      <c r="AK76" s="740"/>
      <c r="AL76" s="740"/>
      <c r="AM76" s="740"/>
      <c r="AN76" s="740"/>
      <c r="AO76" s="740"/>
      <c r="AQ76">
        <f t="shared" ca="1" si="30"/>
        <v>0</v>
      </c>
    </row>
    <row r="77" spans="1:43" ht="20.25" customHeight="1" x14ac:dyDescent="0.25">
      <c r="A77" s="1254"/>
      <c r="B77" s="1255"/>
      <c r="C77" s="751"/>
      <c r="D77" s="752"/>
      <c r="E77" s="730"/>
      <c r="F77" s="731"/>
      <c r="G77" s="731"/>
      <c r="H77" s="732"/>
      <c r="I77" s="733" t="str">
        <f t="shared" si="23"/>
        <v xml:space="preserve"> </v>
      </c>
      <c r="J77" s="734" t="str">
        <f t="shared" si="24"/>
        <v>,</v>
      </c>
      <c r="K77" s="735">
        <f t="shared" ca="1" si="25"/>
        <v>0</v>
      </c>
      <c r="L77" s="736" t="str">
        <f t="shared" si="26"/>
        <v>000100</v>
      </c>
      <c r="M77" s="766">
        <f t="shared" ca="1" si="31"/>
        <v>0</v>
      </c>
      <c r="AD77" s="1244"/>
      <c r="AE77" s="1245"/>
      <c r="AF77" s="753"/>
      <c r="AG77" s="754"/>
      <c r="AH77" s="740">
        <f t="shared" si="27"/>
        <v>0</v>
      </c>
      <c r="AI77" s="740">
        <f t="shared" si="28"/>
        <v>0</v>
      </c>
      <c r="AJ77" s="740">
        <f t="shared" si="29"/>
        <v>0</v>
      </c>
      <c r="AK77" s="740"/>
      <c r="AL77" s="740"/>
      <c r="AM77" s="740"/>
      <c r="AN77" s="740"/>
      <c r="AO77" s="740"/>
      <c r="AQ77">
        <f t="shared" ca="1" si="30"/>
        <v>0</v>
      </c>
    </row>
    <row r="78" spans="1:43" ht="20.25" customHeight="1" x14ac:dyDescent="0.25">
      <c r="A78" s="1252">
        <v>45</v>
      </c>
      <c r="B78" s="1253" t="s">
        <v>4702</v>
      </c>
      <c r="C78" s="756"/>
      <c r="D78" s="757"/>
      <c r="E78" s="730"/>
      <c r="F78" s="731"/>
      <c r="G78" s="731"/>
      <c r="H78" s="732"/>
      <c r="I78" s="733" t="str">
        <f t="shared" si="23"/>
        <v xml:space="preserve"> </v>
      </c>
      <c r="J78" s="734" t="str">
        <f t="shared" si="24"/>
        <v>,</v>
      </c>
      <c r="K78" s="735">
        <f t="shared" ca="1" si="25"/>
        <v>0</v>
      </c>
      <c r="L78" s="736" t="str">
        <f t="shared" si="26"/>
        <v>000100</v>
      </c>
      <c r="M78" s="766">
        <f t="shared" ref="M78:M85" ca="1" si="32">IF(K78=0,0,IF(K78&lt;9,"TOO YOUNG",IF(K78&lt;14,"OK","NOT ELIGIBLE")))</f>
        <v>0</v>
      </c>
      <c r="AD78" s="1244">
        <f>A78</f>
        <v>45</v>
      </c>
      <c r="AE78" s="1245" t="str">
        <f>B78</f>
        <v>FEMALE 13/U 4 X 50M
FREESTYLE RELAY</v>
      </c>
      <c r="AF78" s="749"/>
      <c r="AG78" s="750"/>
      <c r="AH78" s="740">
        <f t="shared" si="27"/>
        <v>0</v>
      </c>
      <c r="AI78" s="740">
        <f t="shared" si="28"/>
        <v>0</v>
      </c>
      <c r="AJ78" s="740">
        <f t="shared" si="29"/>
        <v>0</v>
      </c>
      <c r="AK78" s="740"/>
      <c r="AL78" s="740"/>
      <c r="AM78" s="740"/>
      <c r="AN78" s="740"/>
      <c r="AO78" s="740"/>
      <c r="AQ78">
        <f t="shared" ca="1" si="30"/>
        <v>0</v>
      </c>
    </row>
    <row r="79" spans="1:43" ht="20.25" customHeight="1" x14ac:dyDescent="0.25">
      <c r="A79" s="1252"/>
      <c r="B79" s="1253"/>
      <c r="C79" s="758"/>
      <c r="D79" s="759"/>
      <c r="E79" s="730"/>
      <c r="F79" s="731"/>
      <c r="G79" s="731"/>
      <c r="H79" s="732"/>
      <c r="I79" s="733" t="str">
        <f t="shared" si="23"/>
        <v xml:space="preserve"> </v>
      </c>
      <c r="J79" s="734" t="str">
        <f t="shared" si="24"/>
        <v>,</v>
      </c>
      <c r="K79" s="735">
        <f t="shared" ca="1" si="25"/>
        <v>0</v>
      </c>
      <c r="L79" s="736" t="str">
        <f t="shared" si="26"/>
        <v>000100</v>
      </c>
      <c r="M79" s="766">
        <f t="shared" ca="1" si="32"/>
        <v>0</v>
      </c>
      <c r="AD79" s="1244"/>
      <c r="AE79" s="1245"/>
      <c r="AF79" s="753"/>
      <c r="AG79" s="754"/>
      <c r="AH79" s="740">
        <f t="shared" si="27"/>
        <v>0</v>
      </c>
      <c r="AI79" s="740">
        <f t="shared" si="28"/>
        <v>0</v>
      </c>
      <c r="AJ79" s="740">
        <f t="shared" si="29"/>
        <v>0</v>
      </c>
      <c r="AK79" s="740"/>
      <c r="AL79" s="740"/>
      <c r="AM79" s="740"/>
      <c r="AN79" s="740"/>
      <c r="AO79" s="740"/>
      <c r="AQ79">
        <f t="shared" ca="1" si="30"/>
        <v>0</v>
      </c>
    </row>
    <row r="80" spans="1:43" ht="20.25" customHeight="1" x14ac:dyDescent="0.25">
      <c r="A80" s="1252"/>
      <c r="B80" s="1253"/>
      <c r="C80" s="758"/>
      <c r="D80" s="759"/>
      <c r="E80" s="730"/>
      <c r="F80" s="731"/>
      <c r="G80" s="731"/>
      <c r="H80" s="732"/>
      <c r="I80" s="733" t="str">
        <f t="shared" si="23"/>
        <v xml:space="preserve"> </v>
      </c>
      <c r="J80" s="734" t="str">
        <f t="shared" si="24"/>
        <v>,</v>
      </c>
      <c r="K80" s="735">
        <f t="shared" ca="1" si="25"/>
        <v>0</v>
      </c>
      <c r="L80" s="736" t="str">
        <f t="shared" si="26"/>
        <v>000100</v>
      </c>
      <c r="M80" s="766">
        <f t="shared" ca="1" si="32"/>
        <v>0</v>
      </c>
      <c r="AD80" s="1244"/>
      <c r="AE80" s="1245"/>
      <c r="AF80" s="753"/>
      <c r="AG80" s="754"/>
      <c r="AH80" s="740">
        <f t="shared" si="27"/>
        <v>0</v>
      </c>
      <c r="AI80" s="740">
        <f t="shared" si="28"/>
        <v>0</v>
      </c>
      <c r="AJ80" s="740">
        <f t="shared" si="29"/>
        <v>0</v>
      </c>
      <c r="AK80" s="740"/>
      <c r="AL80" s="740"/>
      <c r="AM80" s="740"/>
      <c r="AN80" s="740"/>
      <c r="AO80" s="740"/>
      <c r="AQ80">
        <f t="shared" ca="1" si="30"/>
        <v>0</v>
      </c>
    </row>
    <row r="81" spans="1:43" ht="20.25" customHeight="1" x14ac:dyDescent="0.25">
      <c r="A81" s="1252"/>
      <c r="B81" s="1253"/>
      <c r="C81" s="758"/>
      <c r="D81" s="759"/>
      <c r="E81" s="730"/>
      <c r="F81" s="731"/>
      <c r="G81" s="731"/>
      <c r="H81" s="732"/>
      <c r="I81" s="733" t="str">
        <f t="shared" si="23"/>
        <v xml:space="preserve"> </v>
      </c>
      <c r="J81" s="734" t="str">
        <f t="shared" si="24"/>
        <v>,</v>
      </c>
      <c r="K81" s="735">
        <f t="shared" ca="1" si="25"/>
        <v>0</v>
      </c>
      <c r="L81" s="736" t="str">
        <f t="shared" si="26"/>
        <v>000100</v>
      </c>
      <c r="M81" s="766">
        <f t="shared" ca="1" si="32"/>
        <v>0</v>
      </c>
      <c r="AD81" s="1244"/>
      <c r="AE81" s="1245"/>
      <c r="AF81" s="753"/>
      <c r="AG81" s="754"/>
      <c r="AH81" s="740">
        <f t="shared" si="27"/>
        <v>0</v>
      </c>
      <c r="AI81" s="740">
        <f t="shared" si="28"/>
        <v>0</v>
      </c>
      <c r="AJ81" s="740">
        <f t="shared" si="29"/>
        <v>0</v>
      </c>
      <c r="AK81" s="740"/>
      <c r="AL81" s="740"/>
      <c r="AM81" s="740"/>
      <c r="AN81" s="740"/>
      <c r="AO81" s="740"/>
      <c r="AQ81">
        <f t="shared" ca="1" si="30"/>
        <v>0</v>
      </c>
    </row>
    <row r="82" spans="1:43" ht="20.25" customHeight="1" x14ac:dyDescent="0.25">
      <c r="A82" s="1252">
        <v>46</v>
      </c>
      <c r="B82" s="1253" t="s">
        <v>4703</v>
      </c>
      <c r="C82" s="756"/>
      <c r="D82" s="757"/>
      <c r="E82" s="730"/>
      <c r="F82" s="731"/>
      <c r="G82" s="731"/>
      <c r="H82" s="732"/>
      <c r="I82" s="733" t="str">
        <f t="shared" si="23"/>
        <v xml:space="preserve"> </v>
      </c>
      <c r="J82" s="734" t="str">
        <f t="shared" si="24"/>
        <v>,</v>
      </c>
      <c r="K82" s="735">
        <f t="shared" ca="1" si="25"/>
        <v>0</v>
      </c>
      <c r="L82" s="736" t="str">
        <f t="shared" si="26"/>
        <v>000100</v>
      </c>
      <c r="M82" s="766">
        <f t="shared" ca="1" si="32"/>
        <v>0</v>
      </c>
      <c r="AD82" s="1244">
        <f>A82</f>
        <v>46</v>
      </c>
      <c r="AE82" s="1245" t="str">
        <f>B82</f>
        <v>OPEN/MALE 13/U 4 X 50M
FREESTYLE RELAY</v>
      </c>
      <c r="AF82" s="749"/>
      <c r="AG82" s="750"/>
      <c r="AH82" s="740">
        <f t="shared" si="27"/>
        <v>0</v>
      </c>
      <c r="AI82" s="740">
        <f t="shared" si="28"/>
        <v>0</v>
      </c>
      <c r="AJ82" s="740">
        <f t="shared" si="29"/>
        <v>0</v>
      </c>
      <c r="AK82" s="740"/>
      <c r="AL82" s="740"/>
      <c r="AM82" s="740"/>
      <c r="AN82" s="740"/>
      <c r="AO82" s="740"/>
      <c r="AQ82">
        <f t="shared" ca="1" si="30"/>
        <v>0</v>
      </c>
    </row>
    <row r="83" spans="1:43" ht="20.25" customHeight="1" x14ac:dyDescent="0.25">
      <c r="A83" s="1252"/>
      <c r="B83" s="1253"/>
      <c r="C83" s="758"/>
      <c r="D83" s="759"/>
      <c r="E83" s="730"/>
      <c r="F83" s="731"/>
      <c r="G83" s="731"/>
      <c r="H83" s="732"/>
      <c r="I83" s="733" t="str">
        <f t="shared" si="23"/>
        <v xml:space="preserve"> </v>
      </c>
      <c r="J83" s="734" t="str">
        <f t="shared" si="24"/>
        <v>,</v>
      </c>
      <c r="K83" s="735">
        <f t="shared" ca="1" si="25"/>
        <v>0</v>
      </c>
      <c r="L83" s="736" t="str">
        <f t="shared" si="26"/>
        <v>000100</v>
      </c>
      <c r="M83" s="766">
        <f t="shared" ca="1" si="32"/>
        <v>0</v>
      </c>
      <c r="AD83" s="1244"/>
      <c r="AE83" s="1245"/>
      <c r="AF83" s="753"/>
      <c r="AG83" s="754"/>
      <c r="AH83" s="740">
        <f t="shared" si="27"/>
        <v>0</v>
      </c>
      <c r="AI83" s="740">
        <f t="shared" si="28"/>
        <v>0</v>
      </c>
      <c r="AJ83" s="740">
        <f t="shared" si="29"/>
        <v>0</v>
      </c>
      <c r="AK83" s="740"/>
      <c r="AL83" s="740"/>
      <c r="AM83" s="740"/>
      <c r="AN83" s="740"/>
      <c r="AO83" s="740"/>
      <c r="AQ83">
        <f t="shared" ca="1" si="30"/>
        <v>0</v>
      </c>
    </row>
    <row r="84" spans="1:43" ht="20.25" customHeight="1" x14ac:dyDescent="0.25">
      <c r="A84" s="1252"/>
      <c r="B84" s="1253"/>
      <c r="C84" s="758"/>
      <c r="D84" s="759"/>
      <c r="E84" s="730"/>
      <c r="F84" s="731"/>
      <c r="G84" s="731"/>
      <c r="H84" s="732"/>
      <c r="I84" s="733" t="str">
        <f t="shared" si="23"/>
        <v xml:space="preserve"> </v>
      </c>
      <c r="J84" s="734" t="str">
        <f t="shared" si="24"/>
        <v>,</v>
      </c>
      <c r="K84" s="735">
        <f t="shared" ca="1" si="25"/>
        <v>0</v>
      </c>
      <c r="L84" s="736" t="str">
        <f t="shared" si="26"/>
        <v>000100</v>
      </c>
      <c r="M84" s="766">
        <f t="shared" ca="1" si="32"/>
        <v>0</v>
      </c>
      <c r="AD84" s="1244"/>
      <c r="AE84" s="1245"/>
      <c r="AF84" s="753"/>
      <c r="AG84" s="754"/>
      <c r="AH84" s="740">
        <f t="shared" si="27"/>
        <v>0</v>
      </c>
      <c r="AI84" s="740">
        <f t="shared" si="28"/>
        <v>0</v>
      </c>
      <c r="AJ84" s="740">
        <f t="shared" si="29"/>
        <v>0</v>
      </c>
      <c r="AK84" s="740"/>
      <c r="AL84" s="740"/>
      <c r="AM84" s="740"/>
      <c r="AN84" s="740"/>
      <c r="AO84" s="740"/>
      <c r="AQ84">
        <f t="shared" ca="1" si="30"/>
        <v>0</v>
      </c>
    </row>
    <row r="85" spans="1:43" ht="20.25" customHeight="1" x14ac:dyDescent="0.25">
      <c r="A85" s="1252"/>
      <c r="B85" s="1253"/>
      <c r="C85" s="758"/>
      <c r="D85" s="759"/>
      <c r="E85" s="730"/>
      <c r="F85" s="731"/>
      <c r="G85" s="731"/>
      <c r="H85" s="732"/>
      <c r="I85" s="733" t="str">
        <f t="shared" si="23"/>
        <v xml:space="preserve"> </v>
      </c>
      <c r="J85" s="734" t="str">
        <f t="shared" si="24"/>
        <v>,</v>
      </c>
      <c r="K85" s="735">
        <f t="shared" ca="1" si="25"/>
        <v>0</v>
      </c>
      <c r="L85" s="736" t="str">
        <f t="shared" si="26"/>
        <v>000100</v>
      </c>
      <c r="M85" s="766">
        <f t="shared" ca="1" si="32"/>
        <v>0</v>
      </c>
      <c r="AD85" s="1244"/>
      <c r="AE85" s="1245"/>
      <c r="AF85" s="753"/>
      <c r="AG85" s="754"/>
      <c r="AH85" s="740">
        <f t="shared" si="27"/>
        <v>0</v>
      </c>
      <c r="AI85" s="740">
        <f t="shared" si="28"/>
        <v>0</v>
      </c>
      <c r="AJ85" s="740">
        <f t="shared" si="29"/>
        <v>0</v>
      </c>
      <c r="AK85" s="740"/>
      <c r="AL85" s="740"/>
      <c r="AM85" s="740"/>
      <c r="AN85" s="740"/>
      <c r="AO85" s="740"/>
      <c r="AQ85">
        <f t="shared" ca="1" si="30"/>
        <v>0</v>
      </c>
    </row>
    <row r="86" spans="1:43" ht="20.25" customHeight="1" x14ac:dyDescent="0.25">
      <c r="A86" s="1248">
        <v>47</v>
      </c>
      <c r="B86" s="1249" t="s">
        <v>4704</v>
      </c>
      <c r="C86" s="761"/>
      <c r="D86" s="762"/>
      <c r="E86" s="730"/>
      <c r="F86" s="731"/>
      <c r="G86" s="731"/>
      <c r="H86" s="732"/>
      <c r="I86" s="733" t="str">
        <f t="shared" si="23"/>
        <v xml:space="preserve"> </v>
      </c>
      <c r="J86" s="734" t="str">
        <f t="shared" si="24"/>
        <v>,</v>
      </c>
      <c r="K86" s="735">
        <f t="shared" ca="1" si="25"/>
        <v>0</v>
      </c>
      <c r="L86" s="736" t="str">
        <f t="shared" si="26"/>
        <v>000100</v>
      </c>
      <c r="M86" s="766">
        <f t="shared" ref="M86:M93" ca="1" si="33">IF(K86=0,0,IF(K86&lt;9,"TOO YOUNG",IF(K86&lt;16,"OK","NOT ELIGIBLE")))</f>
        <v>0</v>
      </c>
      <c r="AD86" s="1244">
        <f>A86</f>
        <v>47</v>
      </c>
      <c r="AE86" s="1245" t="str">
        <f>B86</f>
        <v>FEMALE 15/U 4 X 50M
MEDLEY RELAY</v>
      </c>
      <c r="AF86" s="749"/>
      <c r="AG86" s="750"/>
      <c r="AH86" s="740">
        <f t="shared" si="27"/>
        <v>0</v>
      </c>
      <c r="AI86" s="740">
        <f t="shared" si="28"/>
        <v>0</v>
      </c>
      <c r="AJ86" s="740">
        <f t="shared" si="29"/>
        <v>0</v>
      </c>
      <c r="AK86" s="740"/>
      <c r="AL86" s="740"/>
      <c r="AM86" s="740"/>
      <c r="AN86" s="740"/>
      <c r="AO86" s="740"/>
      <c r="AQ86">
        <f t="shared" ca="1" si="30"/>
        <v>0</v>
      </c>
    </row>
    <row r="87" spans="1:43" ht="20.25" customHeight="1" x14ac:dyDescent="0.25">
      <c r="A87" s="1248"/>
      <c r="B87" s="1249"/>
      <c r="C87" s="763"/>
      <c r="D87" s="764"/>
      <c r="E87" s="730"/>
      <c r="F87" s="731"/>
      <c r="G87" s="731"/>
      <c r="H87" s="732"/>
      <c r="I87" s="733" t="str">
        <f t="shared" si="23"/>
        <v xml:space="preserve"> </v>
      </c>
      <c r="J87" s="734" t="str">
        <f t="shared" si="24"/>
        <v>,</v>
      </c>
      <c r="K87" s="735">
        <f t="shared" ca="1" si="25"/>
        <v>0</v>
      </c>
      <c r="L87" s="736" t="str">
        <f t="shared" si="26"/>
        <v>000100</v>
      </c>
      <c r="M87" s="766">
        <f t="shared" ca="1" si="33"/>
        <v>0</v>
      </c>
      <c r="AD87" s="1244"/>
      <c r="AE87" s="1245"/>
      <c r="AF87" s="753"/>
      <c r="AG87" s="754"/>
      <c r="AH87" s="740">
        <f t="shared" si="27"/>
        <v>0</v>
      </c>
      <c r="AI87" s="740">
        <f t="shared" si="28"/>
        <v>0</v>
      </c>
      <c r="AJ87" s="740">
        <f t="shared" si="29"/>
        <v>0</v>
      </c>
      <c r="AK87" s="740"/>
      <c r="AL87" s="740"/>
      <c r="AM87" s="740"/>
      <c r="AN87" s="740"/>
      <c r="AO87" s="740"/>
      <c r="AQ87">
        <f t="shared" ca="1" si="30"/>
        <v>0</v>
      </c>
    </row>
    <row r="88" spans="1:43" ht="20.25" customHeight="1" x14ac:dyDescent="0.25">
      <c r="A88" s="1248"/>
      <c r="B88" s="1249"/>
      <c r="C88" s="763"/>
      <c r="D88" s="764"/>
      <c r="E88" s="730"/>
      <c r="F88" s="731"/>
      <c r="G88" s="731"/>
      <c r="H88" s="732"/>
      <c r="I88" s="733" t="str">
        <f t="shared" si="23"/>
        <v xml:space="preserve"> </v>
      </c>
      <c r="J88" s="734" t="str">
        <f t="shared" si="24"/>
        <v>,</v>
      </c>
      <c r="K88" s="735">
        <f t="shared" ca="1" si="25"/>
        <v>0</v>
      </c>
      <c r="L88" s="736" t="str">
        <f t="shared" si="26"/>
        <v>000100</v>
      </c>
      <c r="M88" s="766">
        <f t="shared" ca="1" si="33"/>
        <v>0</v>
      </c>
      <c r="AD88" s="1244"/>
      <c r="AE88" s="1245"/>
      <c r="AF88" s="753"/>
      <c r="AG88" s="754"/>
      <c r="AH88" s="740">
        <f t="shared" si="27"/>
        <v>0</v>
      </c>
      <c r="AI88" s="740">
        <f t="shared" si="28"/>
        <v>0</v>
      </c>
      <c r="AJ88" s="740">
        <f t="shared" si="29"/>
        <v>0</v>
      </c>
      <c r="AK88" s="740"/>
      <c r="AL88" s="740"/>
      <c r="AM88" s="740"/>
      <c r="AN88" s="740"/>
      <c r="AO88" s="740"/>
      <c r="AQ88">
        <f t="shared" ca="1" si="30"/>
        <v>0</v>
      </c>
    </row>
    <row r="89" spans="1:43" ht="20.25" customHeight="1" x14ac:dyDescent="0.25">
      <c r="A89" s="1248"/>
      <c r="B89" s="1249"/>
      <c r="C89" s="763"/>
      <c r="D89" s="764"/>
      <c r="E89" s="730"/>
      <c r="F89" s="731"/>
      <c r="G89" s="731"/>
      <c r="H89" s="732"/>
      <c r="I89" s="733" t="str">
        <f t="shared" si="23"/>
        <v xml:space="preserve"> </v>
      </c>
      <c r="J89" s="734" t="str">
        <f t="shared" si="24"/>
        <v>,</v>
      </c>
      <c r="K89" s="735">
        <f t="shared" ca="1" si="25"/>
        <v>0</v>
      </c>
      <c r="L89" s="736" t="str">
        <f t="shared" si="26"/>
        <v>000100</v>
      </c>
      <c r="M89" s="766">
        <f t="shared" ca="1" si="33"/>
        <v>0</v>
      </c>
      <c r="AD89" s="1244"/>
      <c r="AE89" s="1245"/>
      <c r="AF89" s="753"/>
      <c r="AG89" s="754"/>
      <c r="AH89" s="740">
        <f t="shared" si="27"/>
        <v>0</v>
      </c>
      <c r="AI89" s="740">
        <f t="shared" si="28"/>
        <v>0</v>
      </c>
      <c r="AJ89" s="740">
        <f t="shared" si="29"/>
        <v>0</v>
      </c>
      <c r="AK89" s="740"/>
      <c r="AL89" s="740"/>
      <c r="AM89" s="740"/>
      <c r="AN89" s="740"/>
      <c r="AO89" s="740"/>
      <c r="AQ89">
        <f t="shared" ca="1" si="30"/>
        <v>0</v>
      </c>
    </row>
    <row r="90" spans="1:43" ht="20.25" customHeight="1" x14ac:dyDescent="0.25">
      <c r="A90" s="1248">
        <v>48</v>
      </c>
      <c r="B90" s="1249" t="s">
        <v>4705</v>
      </c>
      <c r="C90" s="761"/>
      <c r="D90" s="762"/>
      <c r="E90" s="730"/>
      <c r="F90" s="731"/>
      <c r="G90" s="731"/>
      <c r="H90" s="732"/>
      <c r="I90" s="733" t="str">
        <f t="shared" si="23"/>
        <v xml:space="preserve"> </v>
      </c>
      <c r="J90" s="734" t="str">
        <f t="shared" si="24"/>
        <v>,</v>
      </c>
      <c r="K90" s="735">
        <f t="shared" ca="1" si="25"/>
        <v>0</v>
      </c>
      <c r="L90" s="736" t="str">
        <f t="shared" si="26"/>
        <v>000100</v>
      </c>
      <c r="M90" s="766">
        <f t="shared" ca="1" si="33"/>
        <v>0</v>
      </c>
      <c r="AD90" s="1244">
        <f>A90</f>
        <v>48</v>
      </c>
      <c r="AE90" s="1245" t="str">
        <f>B90</f>
        <v>OPEN/MALE 15/U 4 X 50M
MEDLEY RELAY</v>
      </c>
      <c r="AF90" s="749"/>
      <c r="AG90" s="750"/>
      <c r="AH90" s="740">
        <f t="shared" si="27"/>
        <v>0</v>
      </c>
      <c r="AI90" s="740">
        <f t="shared" si="28"/>
        <v>0</v>
      </c>
      <c r="AJ90" s="740">
        <f t="shared" si="29"/>
        <v>0</v>
      </c>
      <c r="AK90" s="740"/>
      <c r="AL90" s="740"/>
      <c r="AM90" s="740"/>
      <c r="AN90" s="740"/>
      <c r="AO90" s="740"/>
      <c r="AQ90">
        <f t="shared" ca="1" si="30"/>
        <v>0</v>
      </c>
    </row>
    <row r="91" spans="1:43" ht="20.25" customHeight="1" x14ac:dyDescent="0.25">
      <c r="A91" s="1248"/>
      <c r="B91" s="1249"/>
      <c r="C91" s="763"/>
      <c r="D91" s="764"/>
      <c r="E91" s="730"/>
      <c r="F91" s="731"/>
      <c r="G91" s="731"/>
      <c r="H91" s="732"/>
      <c r="I91" s="733" t="str">
        <f t="shared" si="23"/>
        <v xml:space="preserve"> </v>
      </c>
      <c r="J91" s="734" t="str">
        <f t="shared" si="24"/>
        <v>,</v>
      </c>
      <c r="K91" s="735">
        <f t="shared" ca="1" si="25"/>
        <v>0</v>
      </c>
      <c r="L91" s="736" t="str">
        <f t="shared" si="26"/>
        <v>000100</v>
      </c>
      <c r="M91" s="766">
        <f t="shared" ca="1" si="33"/>
        <v>0</v>
      </c>
      <c r="AD91" s="1244"/>
      <c r="AE91" s="1245"/>
      <c r="AF91" s="753"/>
      <c r="AG91" s="754"/>
      <c r="AH91" s="740">
        <f t="shared" si="27"/>
        <v>0</v>
      </c>
      <c r="AI91" s="740">
        <f t="shared" si="28"/>
        <v>0</v>
      </c>
      <c r="AJ91" s="740">
        <f t="shared" si="29"/>
        <v>0</v>
      </c>
      <c r="AK91" s="740"/>
      <c r="AL91" s="740"/>
      <c r="AM91" s="740"/>
      <c r="AN91" s="740"/>
      <c r="AO91" s="740"/>
      <c r="AQ91">
        <f t="shared" ca="1" si="30"/>
        <v>0</v>
      </c>
    </row>
    <row r="92" spans="1:43" ht="20.25" customHeight="1" x14ac:dyDescent="0.25">
      <c r="A92" s="1248"/>
      <c r="B92" s="1249"/>
      <c r="C92" s="763"/>
      <c r="D92" s="764"/>
      <c r="E92" s="730"/>
      <c r="F92" s="731"/>
      <c r="G92" s="731"/>
      <c r="H92" s="732"/>
      <c r="I92" s="733" t="str">
        <f t="shared" si="23"/>
        <v xml:space="preserve"> </v>
      </c>
      <c r="J92" s="734" t="str">
        <f t="shared" si="24"/>
        <v>,</v>
      </c>
      <c r="K92" s="735">
        <f t="shared" ca="1" si="25"/>
        <v>0</v>
      </c>
      <c r="L92" s="736" t="str">
        <f t="shared" si="26"/>
        <v>000100</v>
      </c>
      <c r="M92" s="766">
        <f t="shared" ca="1" si="33"/>
        <v>0</v>
      </c>
      <c r="AD92" s="1244"/>
      <c r="AE92" s="1245"/>
      <c r="AF92" s="753"/>
      <c r="AG92" s="754"/>
      <c r="AH92" s="740">
        <f t="shared" si="27"/>
        <v>0</v>
      </c>
      <c r="AI92" s="740">
        <f t="shared" si="28"/>
        <v>0</v>
      </c>
      <c r="AJ92" s="740">
        <f t="shared" si="29"/>
        <v>0</v>
      </c>
      <c r="AK92" s="740"/>
      <c r="AL92" s="740"/>
      <c r="AM92" s="740"/>
      <c r="AN92" s="740"/>
      <c r="AO92" s="740"/>
      <c r="AQ92">
        <f t="shared" ca="1" si="30"/>
        <v>0</v>
      </c>
    </row>
    <row r="93" spans="1:43" ht="20.25" customHeight="1" x14ac:dyDescent="0.25">
      <c r="A93" s="1248"/>
      <c r="B93" s="1249"/>
      <c r="C93" s="763"/>
      <c r="D93" s="764"/>
      <c r="E93" s="730"/>
      <c r="F93" s="731"/>
      <c r="G93" s="731"/>
      <c r="H93" s="732"/>
      <c r="I93" s="733" t="str">
        <f t="shared" si="23"/>
        <v xml:space="preserve"> </v>
      </c>
      <c r="J93" s="734" t="str">
        <f t="shared" si="24"/>
        <v>,</v>
      </c>
      <c r="K93" s="735">
        <f t="shared" ca="1" si="25"/>
        <v>0</v>
      </c>
      <c r="L93" s="736" t="str">
        <f t="shared" si="26"/>
        <v>000100</v>
      </c>
      <c r="M93" s="766">
        <f t="shared" ca="1" si="33"/>
        <v>0</v>
      </c>
      <c r="AD93" s="1244"/>
      <c r="AE93" s="1245"/>
      <c r="AF93" s="753"/>
      <c r="AG93" s="754"/>
      <c r="AH93" s="740">
        <f t="shared" si="27"/>
        <v>0</v>
      </c>
      <c r="AI93" s="740">
        <f t="shared" si="28"/>
        <v>0</v>
      </c>
      <c r="AJ93" s="740">
        <f t="shared" si="29"/>
        <v>0</v>
      </c>
      <c r="AK93" s="740"/>
      <c r="AL93" s="740"/>
      <c r="AM93" s="740"/>
      <c r="AN93" s="740"/>
      <c r="AO93" s="740"/>
      <c r="AQ93">
        <f t="shared" ca="1" si="30"/>
        <v>0</v>
      </c>
    </row>
    <row r="94" spans="1:43" ht="20.25" customHeight="1" x14ac:dyDescent="0.25">
      <c r="A94" s="1250">
        <v>49</v>
      </c>
      <c r="B94" s="1251" t="s">
        <v>4706</v>
      </c>
      <c r="C94" s="768"/>
      <c r="D94" s="769"/>
      <c r="E94" s="731"/>
      <c r="F94" s="731"/>
      <c r="G94" s="731"/>
      <c r="H94" s="732"/>
      <c r="I94" s="733" t="str">
        <f t="shared" si="23"/>
        <v xml:space="preserve"> </v>
      </c>
      <c r="J94" s="734" t="str">
        <f t="shared" si="24"/>
        <v>,</v>
      </c>
      <c r="K94" s="735">
        <f t="shared" ca="1" si="25"/>
        <v>0</v>
      </c>
      <c r="L94" s="736" t="str">
        <f t="shared" si="26"/>
        <v>000100</v>
      </c>
      <c r="M94" s="770">
        <f t="shared" ref="M94:M109" ca="1" si="34">IF(K94=0,0,IF(K94&lt;9,"TOO YOUNG",IF(K94&lt;60,"OK","BIT OLD MAYBE")))</f>
        <v>0</v>
      </c>
      <c r="AD94" s="1244">
        <f>A94</f>
        <v>49</v>
      </c>
      <c r="AE94" s="1245" t="str">
        <f>B94</f>
        <v>FEMALE 16+4 X 50M
FREESTYLE RELAY</v>
      </c>
      <c r="AF94" s="749"/>
      <c r="AG94" s="750"/>
      <c r="AH94" s="740">
        <f t="shared" si="27"/>
        <v>0</v>
      </c>
      <c r="AI94" s="740">
        <f t="shared" si="28"/>
        <v>0</v>
      </c>
      <c r="AJ94" s="740">
        <f t="shared" si="29"/>
        <v>0</v>
      </c>
      <c r="AK94" s="740"/>
      <c r="AL94" s="740"/>
      <c r="AM94" s="740"/>
      <c r="AN94" s="740"/>
      <c r="AO94" s="740"/>
      <c r="AQ94">
        <f t="shared" ca="1" si="30"/>
        <v>0</v>
      </c>
    </row>
    <row r="95" spans="1:43" ht="20.25" customHeight="1" x14ac:dyDescent="0.25">
      <c r="A95" s="1250"/>
      <c r="B95" s="1251"/>
      <c r="C95" s="771"/>
      <c r="D95" s="772"/>
      <c r="E95" s="730"/>
      <c r="F95" s="731"/>
      <c r="G95" s="731"/>
      <c r="H95" s="732"/>
      <c r="I95" s="733" t="str">
        <f t="shared" si="23"/>
        <v xml:space="preserve"> </v>
      </c>
      <c r="J95" s="734" t="str">
        <f t="shared" si="24"/>
        <v>,</v>
      </c>
      <c r="K95" s="735">
        <f t="shared" ca="1" si="25"/>
        <v>0</v>
      </c>
      <c r="L95" s="736" t="str">
        <f t="shared" si="26"/>
        <v>000100</v>
      </c>
      <c r="M95" s="770">
        <f t="shared" ca="1" si="34"/>
        <v>0</v>
      </c>
      <c r="AD95" s="1244"/>
      <c r="AE95" s="1245"/>
      <c r="AF95" s="753"/>
      <c r="AG95" s="754"/>
      <c r="AH95" s="740">
        <f t="shared" si="27"/>
        <v>0</v>
      </c>
      <c r="AI95" s="740">
        <f t="shared" si="28"/>
        <v>0</v>
      </c>
      <c r="AJ95" s="740">
        <f t="shared" si="29"/>
        <v>0</v>
      </c>
      <c r="AK95" s="740"/>
      <c r="AL95" s="740"/>
      <c r="AM95" s="740"/>
      <c r="AN95" s="740"/>
      <c r="AO95" s="740"/>
      <c r="AQ95">
        <f t="shared" ca="1" si="30"/>
        <v>0</v>
      </c>
    </row>
    <row r="96" spans="1:43" ht="20.25" customHeight="1" x14ac:dyDescent="0.25">
      <c r="A96" s="1250"/>
      <c r="B96" s="1251"/>
      <c r="C96" s="771"/>
      <c r="D96" s="772"/>
      <c r="E96" s="730"/>
      <c r="F96" s="731"/>
      <c r="G96" s="731"/>
      <c r="H96" s="732"/>
      <c r="I96" s="733" t="str">
        <f t="shared" si="23"/>
        <v xml:space="preserve"> </v>
      </c>
      <c r="J96" s="734" t="str">
        <f t="shared" si="24"/>
        <v>,</v>
      </c>
      <c r="K96" s="735">
        <f t="shared" ca="1" si="25"/>
        <v>0</v>
      </c>
      <c r="L96" s="736" t="str">
        <f t="shared" si="26"/>
        <v>000100</v>
      </c>
      <c r="M96" s="770">
        <f t="shared" ca="1" si="34"/>
        <v>0</v>
      </c>
      <c r="AD96" s="1244"/>
      <c r="AE96" s="1245"/>
      <c r="AF96" s="753"/>
      <c r="AG96" s="754"/>
      <c r="AH96" s="740">
        <f t="shared" si="27"/>
        <v>0</v>
      </c>
      <c r="AI96" s="740">
        <f t="shared" si="28"/>
        <v>0</v>
      </c>
      <c r="AJ96" s="740">
        <f t="shared" si="29"/>
        <v>0</v>
      </c>
      <c r="AK96" s="740"/>
      <c r="AL96" s="740"/>
      <c r="AM96" s="740"/>
      <c r="AN96" s="740"/>
      <c r="AO96" s="740"/>
      <c r="AQ96">
        <f t="shared" ca="1" si="30"/>
        <v>0</v>
      </c>
    </row>
    <row r="97" spans="1:43" ht="20.25" customHeight="1" x14ac:dyDescent="0.25">
      <c r="A97" s="1250"/>
      <c r="B97" s="1251"/>
      <c r="C97" s="771"/>
      <c r="D97" s="772"/>
      <c r="E97" s="730"/>
      <c r="F97" s="731"/>
      <c r="G97" s="731"/>
      <c r="H97" s="732"/>
      <c r="I97" s="733" t="str">
        <f t="shared" si="23"/>
        <v xml:space="preserve"> </v>
      </c>
      <c r="J97" s="734" t="str">
        <f t="shared" si="24"/>
        <v>,</v>
      </c>
      <c r="K97" s="735">
        <f t="shared" ca="1" si="25"/>
        <v>0</v>
      </c>
      <c r="L97" s="736" t="str">
        <f t="shared" si="26"/>
        <v>000100</v>
      </c>
      <c r="M97" s="770">
        <f t="shared" ca="1" si="34"/>
        <v>0</v>
      </c>
      <c r="AD97" s="1244"/>
      <c r="AE97" s="1245"/>
      <c r="AF97" s="753"/>
      <c r="AG97" s="754"/>
      <c r="AH97" s="740">
        <f t="shared" si="27"/>
        <v>0</v>
      </c>
      <c r="AI97" s="740">
        <f t="shared" si="28"/>
        <v>0</v>
      </c>
      <c r="AJ97" s="740">
        <f t="shared" si="29"/>
        <v>0</v>
      </c>
      <c r="AK97" s="740"/>
      <c r="AL97" s="740"/>
      <c r="AM97" s="740"/>
      <c r="AN97" s="740"/>
      <c r="AO97" s="740"/>
      <c r="AQ97">
        <f t="shared" ca="1" si="30"/>
        <v>0</v>
      </c>
    </row>
    <row r="98" spans="1:43" ht="20.25" customHeight="1" x14ac:dyDescent="0.25">
      <c r="A98" s="1242">
        <v>50</v>
      </c>
      <c r="B98" s="1243" t="s">
        <v>4707</v>
      </c>
      <c r="C98" s="768"/>
      <c r="D98" s="769"/>
      <c r="E98" s="730"/>
      <c r="F98" s="731"/>
      <c r="G98" s="731"/>
      <c r="H98" s="732"/>
      <c r="I98" s="733" t="str">
        <f t="shared" si="23"/>
        <v xml:space="preserve"> </v>
      </c>
      <c r="J98" s="734" t="str">
        <f t="shared" si="24"/>
        <v>,</v>
      </c>
      <c r="K98" s="735">
        <f t="shared" ca="1" si="25"/>
        <v>0</v>
      </c>
      <c r="L98" s="736" t="str">
        <f t="shared" si="26"/>
        <v>000100</v>
      </c>
      <c r="M98" s="770">
        <f t="shared" ca="1" si="34"/>
        <v>0</v>
      </c>
      <c r="AD98" s="1244">
        <f>A98</f>
        <v>50</v>
      </c>
      <c r="AE98" s="1245" t="str">
        <f>B98</f>
        <v>OPEN/MALE 16+4 X 50M
FREESTYLE RELAY</v>
      </c>
      <c r="AF98" s="749"/>
      <c r="AG98" s="750"/>
      <c r="AH98" s="740">
        <f t="shared" si="27"/>
        <v>0</v>
      </c>
      <c r="AI98" s="740">
        <f t="shared" si="28"/>
        <v>0</v>
      </c>
      <c r="AJ98" s="740">
        <f t="shared" si="29"/>
        <v>0</v>
      </c>
      <c r="AK98" s="740"/>
      <c r="AL98" s="740"/>
      <c r="AM98" s="740"/>
      <c r="AN98" s="740"/>
      <c r="AO98" s="740"/>
      <c r="AQ98">
        <f t="shared" ca="1" si="30"/>
        <v>0</v>
      </c>
    </row>
    <row r="99" spans="1:43" ht="20.25" customHeight="1" x14ac:dyDescent="0.25">
      <c r="A99" s="1242"/>
      <c r="B99" s="1243"/>
      <c r="C99" s="771"/>
      <c r="D99" s="772"/>
      <c r="E99" s="730"/>
      <c r="F99" s="731"/>
      <c r="G99" s="731"/>
      <c r="H99" s="732"/>
      <c r="I99" s="733" t="str">
        <f t="shared" si="23"/>
        <v xml:space="preserve"> </v>
      </c>
      <c r="J99" s="734" t="str">
        <f t="shared" si="24"/>
        <v>,</v>
      </c>
      <c r="K99" s="735">
        <f t="shared" ca="1" si="25"/>
        <v>0</v>
      </c>
      <c r="L99" s="736" t="str">
        <f t="shared" si="26"/>
        <v>000100</v>
      </c>
      <c r="M99" s="770">
        <f t="shared" ca="1" si="34"/>
        <v>0</v>
      </c>
      <c r="AD99" s="1244"/>
      <c r="AE99" s="1245"/>
      <c r="AF99" s="753"/>
      <c r="AG99" s="754"/>
      <c r="AH99" s="740">
        <f t="shared" si="27"/>
        <v>0</v>
      </c>
      <c r="AI99" s="740">
        <f t="shared" si="28"/>
        <v>0</v>
      </c>
      <c r="AJ99" s="740">
        <f t="shared" si="29"/>
        <v>0</v>
      </c>
      <c r="AK99" s="740"/>
      <c r="AL99" s="740"/>
      <c r="AM99" s="740"/>
      <c r="AN99" s="740"/>
      <c r="AO99" s="740"/>
      <c r="AQ99">
        <f t="shared" ca="1" si="30"/>
        <v>0</v>
      </c>
    </row>
    <row r="100" spans="1:43" ht="20.25" customHeight="1" x14ac:dyDescent="0.25">
      <c r="A100" s="1242"/>
      <c r="B100" s="1243"/>
      <c r="C100" s="771"/>
      <c r="D100" s="772"/>
      <c r="E100" s="730"/>
      <c r="F100" s="731"/>
      <c r="G100" s="731"/>
      <c r="H100" s="732"/>
      <c r="I100" s="733" t="str">
        <f t="shared" si="23"/>
        <v xml:space="preserve"> </v>
      </c>
      <c r="J100" s="734" t="str">
        <f t="shared" si="24"/>
        <v>,</v>
      </c>
      <c r="K100" s="735">
        <f t="shared" ref="K100:K109" ca="1" si="35">IF(K$2=0,0,IF(AQ100=0,0,IF(COUNTBLANK(AQ100)=1,"",YEAR(K$2)-YEAR(AQ100)-IF(DATE(YEAR(K$2),MONTH(AQ100),DAY(4638))&gt;K$2,1,0))))</f>
        <v>0</v>
      </c>
      <c r="L100" s="736" t="str">
        <f t="shared" ref="L100:L109" si="36">(TEXT(H100,"DDMMYY"))</f>
        <v>000100</v>
      </c>
      <c r="M100" s="770">
        <f t="shared" ca="1" si="34"/>
        <v>0</v>
      </c>
      <c r="AD100" s="1244"/>
      <c r="AE100" s="1245"/>
      <c r="AF100" s="753"/>
      <c r="AG100" s="754"/>
      <c r="AH100" s="740">
        <f t="shared" ref="AH100:AH109" si="37">E100</f>
        <v>0</v>
      </c>
      <c r="AI100" s="740">
        <f t="shared" ref="AI100:AI109" si="38">F100</f>
        <v>0</v>
      </c>
      <c r="AJ100" s="740">
        <f t="shared" ref="AJ100:AJ109" si="39">G100</f>
        <v>0</v>
      </c>
      <c r="AK100" s="740"/>
      <c r="AL100" s="740"/>
      <c r="AM100" s="740"/>
      <c r="AN100" s="740"/>
      <c r="AO100" s="740"/>
      <c r="AQ100">
        <f t="shared" ref="AQ100:AQ109" ca="1" si="40">INDIRECT(ADDRESS(ROW(),AQ$3))</f>
        <v>0</v>
      </c>
    </row>
    <row r="101" spans="1:43" ht="20.25" customHeight="1" x14ac:dyDescent="0.25">
      <c r="A101" s="1242"/>
      <c r="B101" s="1243"/>
      <c r="C101" s="771"/>
      <c r="D101" s="772"/>
      <c r="E101" s="730"/>
      <c r="F101" s="731"/>
      <c r="G101" s="731"/>
      <c r="H101" s="732"/>
      <c r="I101" s="733" t="str">
        <f t="shared" si="23"/>
        <v xml:space="preserve"> </v>
      </c>
      <c r="J101" s="734" t="str">
        <f t="shared" si="24"/>
        <v>,</v>
      </c>
      <c r="K101" s="735">
        <f t="shared" ca="1" si="35"/>
        <v>0</v>
      </c>
      <c r="L101" s="736" t="str">
        <f t="shared" si="36"/>
        <v>000100</v>
      </c>
      <c r="M101" s="770">
        <f t="shared" ca="1" si="34"/>
        <v>0</v>
      </c>
      <c r="AD101" s="1244"/>
      <c r="AE101" s="1245"/>
      <c r="AF101" s="753"/>
      <c r="AG101" s="754"/>
      <c r="AH101" s="740">
        <f t="shared" si="37"/>
        <v>0</v>
      </c>
      <c r="AI101" s="740">
        <f t="shared" si="38"/>
        <v>0</v>
      </c>
      <c r="AJ101" s="740">
        <f t="shared" si="39"/>
        <v>0</v>
      </c>
      <c r="AK101" s="740"/>
      <c r="AL101" s="740"/>
      <c r="AM101" s="740"/>
      <c r="AN101" s="740"/>
      <c r="AO101" s="740"/>
      <c r="AQ101">
        <f t="shared" ca="1" si="40"/>
        <v>0</v>
      </c>
    </row>
    <row r="102" spans="1:43" ht="20.25" customHeight="1" x14ac:dyDescent="0.25">
      <c r="A102" s="1246">
        <v>51</v>
      </c>
      <c r="B102" s="1247" t="s">
        <v>4708</v>
      </c>
      <c r="C102" s="20"/>
      <c r="D102" s="784"/>
      <c r="E102" s="730"/>
      <c r="F102" s="731"/>
      <c r="G102" s="731"/>
      <c r="H102" s="732"/>
      <c r="I102" s="785"/>
      <c r="J102" s="785"/>
      <c r="K102" s="735">
        <f t="shared" ca="1" si="35"/>
        <v>0</v>
      </c>
      <c r="L102" s="736" t="str">
        <f t="shared" si="36"/>
        <v>000100</v>
      </c>
      <c r="M102" s="770">
        <f t="shared" ca="1" si="34"/>
        <v>0</v>
      </c>
      <c r="AD102" s="1244">
        <f>A102</f>
        <v>51</v>
      </c>
      <c r="AE102" s="1245" t="str">
        <f>B102</f>
        <v>SQUADRON RELAY 8 X 50M
1 MALE &amp; 1 FEMALE FROM EACH AGE GROUP
SWIM IN ANY ORDER</v>
      </c>
      <c r="AF102" s="786"/>
      <c r="AG102" s="787"/>
      <c r="AH102" s="740">
        <f t="shared" si="37"/>
        <v>0</v>
      </c>
      <c r="AI102" s="740">
        <f t="shared" si="38"/>
        <v>0</v>
      </c>
      <c r="AJ102" s="740">
        <f t="shared" si="39"/>
        <v>0</v>
      </c>
      <c r="AK102" s="740"/>
      <c r="AL102" s="740"/>
      <c r="AM102" s="740"/>
      <c r="AN102" s="740"/>
      <c r="AO102" s="740"/>
      <c r="AQ102">
        <f t="shared" ca="1" si="40"/>
        <v>0</v>
      </c>
    </row>
    <row r="103" spans="1:43" ht="20.25" customHeight="1" x14ac:dyDescent="0.25">
      <c r="A103" s="1246"/>
      <c r="B103" s="1247"/>
      <c r="C103" s="20"/>
      <c r="D103" s="784"/>
      <c r="E103" s="730"/>
      <c r="F103" s="731"/>
      <c r="G103" s="731"/>
      <c r="H103" s="732"/>
      <c r="I103" s="785"/>
      <c r="J103" s="785"/>
      <c r="K103" s="735">
        <f t="shared" ca="1" si="35"/>
        <v>0</v>
      </c>
      <c r="L103" s="736" t="str">
        <f t="shared" si="36"/>
        <v>000100</v>
      </c>
      <c r="M103" s="770">
        <f t="shared" ca="1" si="34"/>
        <v>0</v>
      </c>
      <c r="AD103" s="1244"/>
      <c r="AE103" s="1245"/>
      <c r="AF103" s="786"/>
      <c r="AG103" s="787"/>
      <c r="AH103" s="740">
        <f t="shared" si="37"/>
        <v>0</v>
      </c>
      <c r="AI103" s="740">
        <f t="shared" si="38"/>
        <v>0</v>
      </c>
      <c r="AJ103" s="740">
        <f t="shared" si="39"/>
        <v>0</v>
      </c>
      <c r="AK103" s="740"/>
      <c r="AL103" s="740"/>
      <c r="AM103" s="740"/>
      <c r="AN103" s="740"/>
      <c r="AO103" s="740"/>
      <c r="AQ103">
        <f t="shared" ca="1" si="40"/>
        <v>0</v>
      </c>
    </row>
    <row r="104" spans="1:43" ht="20.25" customHeight="1" x14ac:dyDescent="0.25">
      <c r="A104" s="1246"/>
      <c r="B104" s="1247"/>
      <c r="C104" s="20"/>
      <c r="D104" s="784"/>
      <c r="E104" s="730"/>
      <c r="F104" s="731"/>
      <c r="G104" s="731"/>
      <c r="H104" s="732"/>
      <c r="I104" s="785"/>
      <c r="J104" s="785"/>
      <c r="K104" s="735">
        <f t="shared" ca="1" si="35"/>
        <v>0</v>
      </c>
      <c r="L104" s="736" t="str">
        <f t="shared" si="36"/>
        <v>000100</v>
      </c>
      <c r="M104" s="770">
        <f t="shared" ca="1" si="34"/>
        <v>0</v>
      </c>
      <c r="AD104" s="1244"/>
      <c r="AE104" s="1245"/>
      <c r="AF104" s="786"/>
      <c r="AG104" s="787"/>
      <c r="AH104" s="740">
        <f t="shared" si="37"/>
        <v>0</v>
      </c>
      <c r="AI104" s="740">
        <f t="shared" si="38"/>
        <v>0</v>
      </c>
      <c r="AJ104" s="740">
        <f t="shared" si="39"/>
        <v>0</v>
      </c>
      <c r="AK104" s="740"/>
      <c r="AL104" s="740"/>
      <c r="AM104" s="740"/>
      <c r="AN104" s="740"/>
      <c r="AO104" s="740"/>
      <c r="AQ104">
        <f t="shared" ca="1" si="40"/>
        <v>0</v>
      </c>
    </row>
    <row r="105" spans="1:43" ht="20.25" customHeight="1" x14ac:dyDescent="0.25">
      <c r="A105" s="1246"/>
      <c r="B105" s="1247"/>
      <c r="C105" s="20"/>
      <c r="D105" s="784"/>
      <c r="E105" s="730"/>
      <c r="F105" s="731"/>
      <c r="G105" s="731"/>
      <c r="H105" s="732"/>
      <c r="I105" s="785"/>
      <c r="J105" s="785"/>
      <c r="K105" s="735">
        <f t="shared" ca="1" si="35"/>
        <v>0</v>
      </c>
      <c r="L105" s="736" t="str">
        <f t="shared" si="36"/>
        <v>000100</v>
      </c>
      <c r="M105" s="770">
        <f t="shared" ca="1" si="34"/>
        <v>0</v>
      </c>
      <c r="AD105" s="1244"/>
      <c r="AE105" s="1245"/>
      <c r="AF105" s="786"/>
      <c r="AG105" s="787"/>
      <c r="AH105" s="740">
        <f t="shared" si="37"/>
        <v>0</v>
      </c>
      <c r="AI105" s="740">
        <f t="shared" si="38"/>
        <v>0</v>
      </c>
      <c r="AJ105" s="740">
        <f t="shared" si="39"/>
        <v>0</v>
      </c>
      <c r="AK105" s="740"/>
      <c r="AL105" s="740"/>
      <c r="AM105" s="740"/>
      <c r="AN105" s="740"/>
      <c r="AO105" s="740"/>
      <c r="AQ105">
        <f t="shared" ca="1" si="40"/>
        <v>0</v>
      </c>
    </row>
    <row r="106" spans="1:43" ht="20.25" customHeight="1" x14ac:dyDescent="0.25">
      <c r="A106" s="1246"/>
      <c r="B106" s="1247"/>
      <c r="E106" s="730"/>
      <c r="F106" s="731"/>
      <c r="G106" s="731"/>
      <c r="H106" s="732"/>
      <c r="I106" s="785"/>
      <c r="J106" s="785"/>
      <c r="K106" s="735">
        <f t="shared" ca="1" si="35"/>
        <v>0</v>
      </c>
      <c r="L106" s="736" t="str">
        <f t="shared" si="36"/>
        <v>000100</v>
      </c>
      <c r="M106" s="770">
        <f t="shared" ca="1" si="34"/>
        <v>0</v>
      </c>
      <c r="AD106" s="1244"/>
      <c r="AE106" s="1245"/>
      <c r="AH106" s="740">
        <f t="shared" si="37"/>
        <v>0</v>
      </c>
      <c r="AI106" s="740">
        <f t="shared" si="38"/>
        <v>0</v>
      </c>
      <c r="AJ106" s="740">
        <f t="shared" si="39"/>
        <v>0</v>
      </c>
      <c r="AK106" s="211"/>
      <c r="AL106" s="211"/>
      <c r="AM106" s="211"/>
      <c r="AN106" s="211"/>
      <c r="AO106" s="211"/>
      <c r="AQ106">
        <f t="shared" ca="1" si="40"/>
        <v>0</v>
      </c>
    </row>
    <row r="107" spans="1:43" ht="20.25" customHeight="1" x14ac:dyDescent="0.25">
      <c r="A107" s="1246"/>
      <c r="B107" s="1247"/>
      <c r="E107" s="730"/>
      <c r="F107" s="731"/>
      <c r="G107" s="731"/>
      <c r="H107" s="732"/>
      <c r="I107" s="785"/>
      <c r="J107" s="785"/>
      <c r="K107" s="735">
        <f t="shared" ca="1" si="35"/>
        <v>0</v>
      </c>
      <c r="L107" s="736" t="str">
        <f t="shared" si="36"/>
        <v>000100</v>
      </c>
      <c r="M107" s="770">
        <f t="shared" ca="1" si="34"/>
        <v>0</v>
      </c>
      <c r="AD107" s="1244"/>
      <c r="AE107" s="1245"/>
      <c r="AH107" s="740">
        <f t="shared" si="37"/>
        <v>0</v>
      </c>
      <c r="AI107" s="740">
        <f t="shared" si="38"/>
        <v>0</v>
      </c>
      <c r="AJ107" s="740">
        <f t="shared" si="39"/>
        <v>0</v>
      </c>
      <c r="AK107" s="211"/>
      <c r="AL107" s="211"/>
      <c r="AM107" s="211"/>
      <c r="AN107" s="211"/>
      <c r="AO107" s="211"/>
      <c r="AQ107">
        <f t="shared" ca="1" si="40"/>
        <v>0</v>
      </c>
    </row>
    <row r="108" spans="1:43" ht="20.25" customHeight="1" x14ac:dyDescent="0.25">
      <c r="A108" s="1246"/>
      <c r="B108" s="1247"/>
      <c r="E108" s="730"/>
      <c r="F108" s="731"/>
      <c r="G108" s="731"/>
      <c r="H108" s="732"/>
      <c r="I108" s="785"/>
      <c r="J108" s="785"/>
      <c r="K108" s="735">
        <f t="shared" ca="1" si="35"/>
        <v>0</v>
      </c>
      <c r="L108" s="736" t="str">
        <f t="shared" si="36"/>
        <v>000100</v>
      </c>
      <c r="M108" s="770">
        <f t="shared" ca="1" si="34"/>
        <v>0</v>
      </c>
      <c r="AD108" s="1244"/>
      <c r="AE108" s="1245"/>
      <c r="AH108" s="740">
        <f t="shared" si="37"/>
        <v>0</v>
      </c>
      <c r="AI108" s="740">
        <f t="shared" si="38"/>
        <v>0</v>
      </c>
      <c r="AJ108" s="740">
        <f t="shared" si="39"/>
        <v>0</v>
      </c>
      <c r="AK108" s="211"/>
      <c r="AL108" s="211"/>
      <c r="AM108" s="211"/>
      <c r="AN108" s="211"/>
      <c r="AO108" s="211"/>
      <c r="AQ108">
        <f t="shared" ca="1" si="40"/>
        <v>0</v>
      </c>
    </row>
    <row r="109" spans="1:43" ht="20.25" customHeight="1" x14ac:dyDescent="0.25">
      <c r="A109" s="1246"/>
      <c r="B109" s="1247"/>
      <c r="E109" s="730"/>
      <c r="F109" s="731"/>
      <c r="G109" s="731"/>
      <c r="H109" s="732"/>
      <c r="I109" s="785"/>
      <c r="J109" s="785"/>
      <c r="K109" s="735">
        <f t="shared" ca="1" si="35"/>
        <v>0</v>
      </c>
      <c r="L109" s="736" t="str">
        <f t="shared" si="36"/>
        <v>000100</v>
      </c>
      <c r="M109" s="770">
        <f t="shared" ca="1" si="34"/>
        <v>0</v>
      </c>
      <c r="AD109" s="1244"/>
      <c r="AE109" s="1245"/>
      <c r="AH109" s="740">
        <f t="shared" si="37"/>
        <v>0</v>
      </c>
      <c r="AI109" s="740">
        <f t="shared" si="38"/>
        <v>0</v>
      </c>
      <c r="AJ109" s="740">
        <f t="shared" si="39"/>
        <v>0</v>
      </c>
      <c r="AK109" s="211"/>
      <c r="AL109" s="211"/>
      <c r="AM109" s="211"/>
      <c r="AN109" s="211"/>
      <c r="AO109" s="211"/>
      <c r="AQ109">
        <f t="shared" ca="1" si="40"/>
        <v>0</v>
      </c>
    </row>
    <row r="110" spans="1:43" s="134" customFormat="1" ht="9" customHeight="1" x14ac:dyDescent="0.25">
      <c r="E110" s="788"/>
      <c r="F110" s="789"/>
      <c r="G110" s="789"/>
      <c r="H110" s="790"/>
      <c r="AD110" s="791"/>
      <c r="AE110" s="792"/>
    </row>
    <row r="111" spans="1:43" s="134" customFormat="1" ht="9" customHeight="1" x14ac:dyDescent="0.25">
      <c r="E111" s="788"/>
      <c r="F111" s="789"/>
      <c r="G111" s="789"/>
      <c r="H111" s="790"/>
      <c r="AD111" s="791"/>
      <c r="AE111" s="792"/>
    </row>
    <row r="112" spans="1:43" s="134" customFormat="1" ht="9" customHeight="1" x14ac:dyDescent="0.25">
      <c r="E112" s="788"/>
      <c r="F112" s="789"/>
      <c r="G112" s="789"/>
      <c r="H112" s="790"/>
      <c r="AD112" s="791"/>
      <c r="AE112" s="792"/>
    </row>
    <row r="113" spans="5:31" s="134" customFormat="1" ht="9" customHeight="1" x14ac:dyDescent="0.25">
      <c r="E113" s="788"/>
      <c r="F113" s="789"/>
      <c r="G113" s="789"/>
      <c r="H113" s="790"/>
      <c r="AD113" s="791"/>
      <c r="AE113" s="792"/>
    </row>
    <row r="114" spans="5:31" s="134" customFormat="1" ht="9" customHeight="1" x14ac:dyDescent="0.25">
      <c r="E114" s="788"/>
      <c r="F114" s="789"/>
      <c r="G114" s="789"/>
      <c r="H114" s="790"/>
      <c r="AD114" s="791"/>
      <c r="AE114" s="792"/>
    </row>
    <row r="115" spans="5:31" s="134" customFormat="1" ht="9" customHeight="1" x14ac:dyDescent="0.25">
      <c r="E115" s="788"/>
      <c r="F115" s="789"/>
      <c r="G115" s="789"/>
      <c r="H115" s="790"/>
      <c r="AD115" s="791"/>
      <c r="AE115" s="792"/>
    </row>
    <row r="116" spans="5:31" s="134" customFormat="1" ht="9" customHeight="1" x14ac:dyDescent="0.25">
      <c r="E116" s="788"/>
      <c r="F116" s="789"/>
      <c r="G116" s="789"/>
      <c r="H116" s="790"/>
      <c r="AD116" s="791"/>
      <c r="AE116" s="792"/>
    </row>
    <row r="117" spans="5:31" s="134" customFormat="1" ht="9" customHeight="1" x14ac:dyDescent="0.25">
      <c r="E117" s="788"/>
      <c r="F117" s="789"/>
      <c r="G117" s="789"/>
      <c r="H117" s="790"/>
      <c r="AD117" s="791"/>
      <c r="AE117" s="792"/>
    </row>
    <row r="118" spans="5:31" s="134" customFormat="1" ht="9" customHeight="1" x14ac:dyDescent="0.25">
      <c r="E118" s="788"/>
      <c r="F118" s="789"/>
      <c r="G118" s="789"/>
      <c r="H118" s="790"/>
      <c r="AD118" s="791"/>
      <c r="AE118" s="792"/>
    </row>
    <row r="119" spans="5:31" s="134" customFormat="1" ht="9" customHeight="1" x14ac:dyDescent="0.25">
      <c r="E119" s="788"/>
      <c r="F119" s="789"/>
      <c r="G119" s="789"/>
      <c r="H119" s="790"/>
      <c r="AD119" s="791"/>
      <c r="AE119" s="792"/>
    </row>
    <row r="120" spans="5:31" s="134" customFormat="1" ht="9" customHeight="1" x14ac:dyDescent="0.25">
      <c r="E120" s="788"/>
      <c r="F120" s="789"/>
      <c r="G120" s="789"/>
      <c r="H120" s="790"/>
      <c r="AD120" s="791"/>
      <c r="AE120" s="792"/>
    </row>
    <row r="121" spans="5:31" s="134" customFormat="1" ht="9" customHeight="1" x14ac:dyDescent="0.25">
      <c r="E121" s="788"/>
      <c r="F121" s="789"/>
      <c r="G121" s="789"/>
      <c r="H121" s="790"/>
      <c r="AD121" s="791"/>
      <c r="AE121" s="792"/>
    </row>
    <row r="122" spans="5:31" s="134" customFormat="1" ht="9" customHeight="1" x14ac:dyDescent="0.25">
      <c r="E122" s="788"/>
      <c r="F122" s="789"/>
      <c r="G122" s="789"/>
      <c r="H122" s="790"/>
      <c r="AD122" s="791"/>
      <c r="AE122" s="792"/>
    </row>
    <row r="123" spans="5:31" s="134" customFormat="1" ht="9" customHeight="1" x14ac:dyDescent="0.25">
      <c r="E123" s="788"/>
      <c r="F123" s="789"/>
      <c r="G123" s="789"/>
      <c r="H123" s="790"/>
      <c r="AD123" s="791"/>
      <c r="AE123" s="792"/>
    </row>
    <row r="124" spans="5:31" s="134" customFormat="1" ht="9" customHeight="1" x14ac:dyDescent="0.25">
      <c r="E124" s="788"/>
      <c r="F124" s="789"/>
      <c r="G124" s="789"/>
      <c r="H124" s="790"/>
      <c r="AD124" s="791"/>
      <c r="AE124" s="792"/>
    </row>
    <row r="125" spans="5:31" s="134" customFormat="1" ht="9" customHeight="1" x14ac:dyDescent="0.25">
      <c r="E125" s="788"/>
      <c r="F125" s="789"/>
      <c r="G125" s="789"/>
      <c r="H125" s="790"/>
      <c r="AD125" s="791"/>
      <c r="AE125" s="792"/>
    </row>
    <row r="126" spans="5:31" s="134" customFormat="1" ht="9" customHeight="1" x14ac:dyDescent="0.25">
      <c r="E126" s="788"/>
      <c r="F126" s="789"/>
      <c r="G126" s="789"/>
      <c r="H126" s="790"/>
      <c r="AD126" s="791"/>
      <c r="AE126" s="792"/>
    </row>
    <row r="127" spans="5:31" s="134" customFormat="1" ht="9" customHeight="1" x14ac:dyDescent="0.25">
      <c r="E127" s="788"/>
      <c r="F127" s="789"/>
      <c r="G127" s="789"/>
      <c r="H127" s="790"/>
      <c r="AD127" s="791"/>
      <c r="AE127" s="792"/>
    </row>
    <row r="128" spans="5:31" s="134" customFormat="1" ht="9" customHeight="1" x14ac:dyDescent="0.25">
      <c r="E128" s="788"/>
      <c r="F128" s="789"/>
      <c r="G128" s="789"/>
      <c r="H128" s="790"/>
      <c r="AD128" s="791"/>
      <c r="AE128" s="792"/>
    </row>
    <row r="129" spans="5:31" s="134" customFormat="1" ht="9" customHeight="1" x14ac:dyDescent="0.25">
      <c r="E129" s="788"/>
      <c r="F129" s="789"/>
      <c r="G129" s="789"/>
      <c r="H129" s="790"/>
      <c r="AD129" s="791"/>
      <c r="AE129" s="792"/>
    </row>
    <row r="130" spans="5:31" s="134" customFormat="1" ht="9" customHeight="1" x14ac:dyDescent="0.25">
      <c r="E130" s="788"/>
      <c r="F130" s="789"/>
      <c r="G130" s="789"/>
      <c r="H130" s="790"/>
      <c r="AD130" s="791"/>
      <c r="AE130" s="792"/>
    </row>
    <row r="131" spans="5:31" s="134" customFormat="1" ht="9" customHeight="1" x14ac:dyDescent="0.25">
      <c r="E131" s="788"/>
      <c r="F131" s="789"/>
      <c r="G131" s="789"/>
      <c r="H131" s="790"/>
      <c r="AD131" s="791"/>
      <c r="AE131" s="792"/>
    </row>
    <row r="132" spans="5:31" s="134" customFormat="1" ht="9" customHeight="1" x14ac:dyDescent="0.25">
      <c r="E132" s="788"/>
      <c r="F132" s="789"/>
      <c r="G132" s="789"/>
      <c r="H132" s="790"/>
      <c r="AD132" s="791"/>
      <c r="AE132" s="792"/>
    </row>
    <row r="133" spans="5:31" s="134" customFormat="1" ht="9" customHeight="1" x14ac:dyDescent="0.25">
      <c r="E133" s="788"/>
      <c r="F133" s="789"/>
      <c r="G133" s="789"/>
      <c r="H133" s="790"/>
      <c r="AD133" s="791"/>
      <c r="AE133" s="792"/>
    </row>
    <row r="134" spans="5:31" s="134" customFormat="1" ht="9" customHeight="1" x14ac:dyDescent="0.25">
      <c r="E134" s="788"/>
      <c r="F134" s="789"/>
      <c r="G134" s="789"/>
      <c r="H134" s="790"/>
      <c r="AD134" s="791"/>
      <c r="AE134" s="792"/>
    </row>
    <row r="135" spans="5:31" s="134" customFormat="1" ht="9" customHeight="1" x14ac:dyDescent="0.25">
      <c r="E135" s="788"/>
      <c r="F135" s="789"/>
      <c r="G135" s="789"/>
      <c r="H135" s="790"/>
      <c r="AD135" s="791"/>
      <c r="AE135" s="792"/>
    </row>
    <row r="136" spans="5:31" s="134" customFormat="1" ht="9" customHeight="1" x14ac:dyDescent="0.25">
      <c r="E136" s="788"/>
      <c r="F136" s="789"/>
      <c r="G136" s="789"/>
      <c r="H136" s="790"/>
      <c r="AD136" s="791"/>
      <c r="AE136" s="792"/>
    </row>
    <row r="137" spans="5:31" s="134" customFormat="1" ht="9" customHeight="1" x14ac:dyDescent="0.25">
      <c r="E137" s="788"/>
      <c r="F137" s="789"/>
      <c r="G137" s="789"/>
      <c r="H137" s="790"/>
      <c r="AD137" s="791"/>
      <c r="AE137" s="792"/>
    </row>
    <row r="138" spans="5:31" s="134" customFormat="1" ht="9" customHeight="1" x14ac:dyDescent="0.25">
      <c r="E138" s="788"/>
      <c r="F138" s="789"/>
      <c r="G138" s="789"/>
      <c r="H138" s="790"/>
      <c r="AD138" s="791"/>
      <c r="AE138" s="792"/>
    </row>
    <row r="139" spans="5:31" s="134" customFormat="1" ht="9" customHeight="1" x14ac:dyDescent="0.25">
      <c r="E139" s="788"/>
      <c r="F139" s="789"/>
      <c r="G139" s="789"/>
      <c r="H139" s="790"/>
      <c r="AD139" s="791"/>
      <c r="AE139" s="792"/>
    </row>
    <row r="140" spans="5:31" s="134" customFormat="1" ht="9" customHeight="1" x14ac:dyDescent="0.25">
      <c r="E140" s="788"/>
      <c r="F140" s="789"/>
      <c r="G140" s="789"/>
      <c r="H140" s="790"/>
      <c r="AD140" s="791"/>
      <c r="AE140" s="792"/>
    </row>
    <row r="141" spans="5:31" s="134" customFormat="1" ht="9" customHeight="1" x14ac:dyDescent="0.25">
      <c r="E141" s="789"/>
      <c r="F141" s="789"/>
      <c r="G141" s="789"/>
      <c r="H141" s="790"/>
      <c r="AD141" s="791"/>
      <c r="AE141" s="792"/>
    </row>
    <row r="142" spans="5:31" s="134" customFormat="1" ht="9" customHeight="1" x14ac:dyDescent="0.25">
      <c r="E142" s="789"/>
      <c r="F142" s="789"/>
      <c r="G142" s="789"/>
      <c r="H142" s="790"/>
      <c r="AD142" s="791"/>
      <c r="AE142" s="792"/>
    </row>
    <row r="143" spans="5:31" s="134" customFormat="1" ht="9" customHeight="1" x14ac:dyDescent="0.25">
      <c r="E143" s="789"/>
      <c r="F143" s="789"/>
      <c r="G143" s="789"/>
      <c r="H143" s="790"/>
      <c r="AD143" s="791"/>
      <c r="AE143" s="792"/>
    </row>
    <row r="144" spans="5:31" s="134" customFormat="1" ht="9" customHeight="1" x14ac:dyDescent="0.25">
      <c r="E144" s="789"/>
      <c r="F144" s="789"/>
      <c r="G144" s="789"/>
      <c r="H144" s="790"/>
      <c r="AD144" s="791"/>
      <c r="AE144" s="792"/>
    </row>
    <row r="145" spans="5:31" s="134" customFormat="1" ht="9" customHeight="1" x14ac:dyDescent="0.25">
      <c r="E145" s="789"/>
      <c r="F145" s="789"/>
      <c r="G145" s="789"/>
      <c r="H145" s="790"/>
      <c r="AD145" s="791"/>
      <c r="AE145" s="792"/>
    </row>
    <row r="146" spans="5:31" s="134" customFormat="1" ht="9" customHeight="1" x14ac:dyDescent="0.25">
      <c r="E146" s="789"/>
      <c r="F146" s="789"/>
      <c r="G146" s="789"/>
      <c r="H146" s="790"/>
      <c r="AD146" s="791"/>
      <c r="AE146" s="792"/>
    </row>
    <row r="147" spans="5:31" s="134" customFormat="1" ht="9" customHeight="1" x14ac:dyDescent="0.25">
      <c r="E147" s="789"/>
      <c r="F147" s="789"/>
      <c r="G147" s="789"/>
      <c r="H147" s="790"/>
      <c r="AD147" s="791"/>
      <c r="AE147" s="792"/>
    </row>
    <row r="148" spans="5:31" s="134" customFormat="1" ht="9" customHeight="1" x14ac:dyDescent="0.25">
      <c r="E148" s="789"/>
      <c r="F148" s="789"/>
      <c r="G148" s="789"/>
      <c r="H148" s="790"/>
      <c r="AD148" s="791"/>
      <c r="AE148" s="792"/>
    </row>
    <row r="149" spans="5:31" s="134" customFormat="1" ht="9" customHeight="1" x14ac:dyDescent="0.25">
      <c r="E149" s="789"/>
      <c r="F149" s="789"/>
      <c r="G149" s="789"/>
      <c r="H149" s="790"/>
      <c r="AD149" s="791"/>
      <c r="AE149" s="792"/>
    </row>
    <row r="150" spans="5:31" s="134" customFormat="1" ht="9" customHeight="1" x14ac:dyDescent="0.25">
      <c r="E150" s="789"/>
      <c r="F150" s="789"/>
      <c r="G150" s="789"/>
      <c r="H150" s="790"/>
      <c r="AD150" s="791"/>
      <c r="AE150" s="792"/>
    </row>
    <row r="151" spans="5:31" s="134" customFormat="1" ht="9" customHeight="1" x14ac:dyDescent="0.25">
      <c r="E151" s="789"/>
      <c r="F151" s="789"/>
      <c r="G151" s="789"/>
      <c r="H151" s="790"/>
      <c r="AD151" s="791"/>
      <c r="AE151" s="792"/>
    </row>
    <row r="152" spans="5:31" s="134" customFormat="1" ht="9" customHeight="1" x14ac:dyDescent="0.25">
      <c r="E152" s="789"/>
      <c r="F152" s="789"/>
      <c r="G152" s="789"/>
      <c r="H152" s="790"/>
      <c r="AD152" s="791"/>
      <c r="AE152" s="792"/>
    </row>
    <row r="153" spans="5:31" s="134" customFormat="1" ht="9" customHeight="1" x14ac:dyDescent="0.25">
      <c r="E153" s="789"/>
      <c r="F153" s="789"/>
      <c r="G153" s="789"/>
      <c r="H153" s="790"/>
      <c r="AD153" s="791"/>
      <c r="AE153" s="792"/>
    </row>
    <row r="154" spans="5:31" s="134" customFormat="1" ht="9" customHeight="1" x14ac:dyDescent="0.25">
      <c r="E154" s="789"/>
      <c r="F154" s="789"/>
      <c r="G154" s="789"/>
      <c r="H154" s="790"/>
      <c r="AD154" s="791"/>
      <c r="AE154" s="792"/>
    </row>
    <row r="155" spans="5:31" s="134" customFormat="1" ht="9" customHeight="1" x14ac:dyDescent="0.25">
      <c r="E155" s="789"/>
      <c r="F155" s="789"/>
      <c r="G155" s="789"/>
      <c r="H155" s="790"/>
      <c r="AD155" s="791"/>
      <c r="AE155" s="792"/>
    </row>
    <row r="156" spans="5:31" s="134" customFormat="1" ht="9" customHeight="1" x14ac:dyDescent="0.25">
      <c r="E156" s="789"/>
      <c r="F156" s="789"/>
      <c r="G156" s="789"/>
      <c r="H156" s="790"/>
      <c r="AD156" s="791"/>
      <c r="AE156" s="792"/>
    </row>
    <row r="157" spans="5:31" s="134" customFormat="1" ht="9" customHeight="1" x14ac:dyDescent="0.25">
      <c r="E157" s="789"/>
      <c r="F157" s="789"/>
      <c r="G157" s="789"/>
      <c r="H157" s="790"/>
      <c r="AD157" s="791"/>
      <c r="AE157" s="792"/>
    </row>
    <row r="158" spans="5:31" s="134" customFormat="1" ht="9" customHeight="1" x14ac:dyDescent="0.25">
      <c r="E158" s="789"/>
      <c r="F158" s="789"/>
      <c r="G158" s="789"/>
      <c r="H158" s="790"/>
      <c r="AD158" s="791"/>
      <c r="AE158" s="792"/>
    </row>
    <row r="159" spans="5:31" s="134" customFormat="1" ht="9" customHeight="1" x14ac:dyDescent="0.25">
      <c r="E159" s="789"/>
      <c r="F159" s="789"/>
      <c r="G159" s="789"/>
      <c r="H159" s="790"/>
      <c r="AD159" s="791"/>
      <c r="AE159" s="792"/>
    </row>
    <row r="160" spans="5:31" s="134" customFormat="1" ht="9" customHeight="1" x14ac:dyDescent="0.25">
      <c r="E160" s="789"/>
      <c r="F160" s="789"/>
      <c r="G160" s="789"/>
      <c r="H160" s="790"/>
      <c r="AD160" s="791"/>
      <c r="AE160" s="792"/>
    </row>
    <row r="161" spans="5:31" s="134" customFormat="1" ht="9" customHeight="1" x14ac:dyDescent="0.25">
      <c r="E161" s="789"/>
      <c r="F161" s="789"/>
      <c r="G161" s="789"/>
      <c r="H161" s="790"/>
      <c r="AD161" s="791"/>
      <c r="AE161" s="792"/>
    </row>
    <row r="162" spans="5:31" s="134" customFormat="1" ht="9" customHeight="1" x14ac:dyDescent="0.25">
      <c r="E162" s="789"/>
      <c r="F162" s="789"/>
      <c r="G162" s="789"/>
      <c r="H162" s="790"/>
      <c r="AD162" s="791"/>
      <c r="AE162" s="792"/>
    </row>
    <row r="163" spans="5:31" s="134" customFormat="1" ht="9" customHeight="1" x14ac:dyDescent="0.25">
      <c r="E163" s="789"/>
      <c r="F163" s="789"/>
      <c r="G163" s="789"/>
      <c r="H163" s="790"/>
      <c r="AD163" s="791"/>
      <c r="AE163" s="792"/>
    </row>
    <row r="164" spans="5:31" s="134" customFormat="1" ht="9" customHeight="1" x14ac:dyDescent="0.25">
      <c r="E164" s="789"/>
      <c r="F164" s="789"/>
      <c r="G164" s="789"/>
      <c r="H164" s="790"/>
      <c r="AD164" s="791"/>
      <c r="AE164" s="792"/>
    </row>
    <row r="165" spans="5:31" s="134" customFormat="1" ht="9" customHeight="1" x14ac:dyDescent="0.25">
      <c r="E165" s="789"/>
      <c r="F165" s="789"/>
      <c r="G165" s="789"/>
      <c r="H165" s="790"/>
      <c r="AD165" s="791"/>
      <c r="AE165" s="792"/>
    </row>
    <row r="166" spans="5:31" s="134" customFormat="1" ht="9" customHeight="1" x14ac:dyDescent="0.25">
      <c r="E166" s="789"/>
      <c r="F166" s="789"/>
      <c r="G166" s="789"/>
      <c r="H166" s="790"/>
      <c r="AD166" s="791"/>
      <c r="AE166" s="792"/>
    </row>
    <row r="167" spans="5:31" s="134" customFormat="1" ht="9" customHeight="1" x14ac:dyDescent="0.25">
      <c r="E167" s="789"/>
      <c r="F167" s="789"/>
      <c r="G167" s="789"/>
      <c r="H167" s="790"/>
      <c r="AD167" s="791"/>
      <c r="AE167" s="792"/>
    </row>
    <row r="168" spans="5:31" s="134" customFormat="1" ht="9" customHeight="1" x14ac:dyDescent="0.25">
      <c r="E168" s="789"/>
      <c r="F168" s="789"/>
      <c r="G168" s="789"/>
      <c r="H168" s="790"/>
      <c r="AD168" s="791"/>
      <c r="AE168" s="792"/>
    </row>
    <row r="169" spans="5:31" s="134" customFormat="1" ht="9" customHeight="1" x14ac:dyDescent="0.25">
      <c r="E169" s="789"/>
      <c r="F169" s="789"/>
      <c r="G169" s="789"/>
      <c r="H169" s="790"/>
      <c r="AD169" s="791"/>
      <c r="AE169" s="792"/>
    </row>
    <row r="170" spans="5:31" s="134" customFormat="1" ht="9" customHeight="1" x14ac:dyDescent="0.25">
      <c r="E170" s="789"/>
      <c r="F170" s="789"/>
      <c r="G170" s="789"/>
      <c r="H170" s="790"/>
      <c r="AD170" s="791"/>
      <c r="AE170" s="792"/>
    </row>
    <row r="171" spans="5:31" s="134" customFormat="1" ht="9" customHeight="1" x14ac:dyDescent="0.25">
      <c r="E171" s="789"/>
      <c r="F171" s="789"/>
      <c r="G171" s="789"/>
      <c r="H171" s="790"/>
      <c r="AD171" s="791"/>
      <c r="AE171" s="792"/>
    </row>
    <row r="172" spans="5:31" s="134" customFormat="1" ht="9" customHeight="1" x14ac:dyDescent="0.25">
      <c r="E172" s="789"/>
      <c r="F172" s="789"/>
      <c r="G172" s="789"/>
      <c r="H172" s="790"/>
      <c r="AD172" s="791"/>
      <c r="AE172" s="792"/>
    </row>
    <row r="173" spans="5:31" s="134" customFormat="1" ht="9" customHeight="1" x14ac:dyDescent="0.25">
      <c r="E173" s="789"/>
      <c r="F173" s="789"/>
      <c r="G173" s="789"/>
      <c r="H173" s="790"/>
      <c r="AD173" s="791"/>
      <c r="AE173" s="792"/>
    </row>
    <row r="174" spans="5:31" s="134" customFormat="1" ht="9" customHeight="1" x14ac:dyDescent="0.25">
      <c r="E174" s="789"/>
      <c r="F174" s="789"/>
      <c r="G174" s="789"/>
      <c r="H174" s="790"/>
      <c r="AD174" s="791"/>
      <c r="AE174" s="792"/>
    </row>
    <row r="175" spans="5:31" s="134" customFormat="1" ht="9" customHeight="1" x14ac:dyDescent="0.25">
      <c r="E175" s="789"/>
      <c r="F175" s="789"/>
      <c r="G175" s="789"/>
      <c r="H175" s="790"/>
      <c r="AD175" s="791"/>
      <c r="AE175" s="792"/>
    </row>
    <row r="176" spans="5:31" s="134" customFormat="1" ht="9" customHeight="1" x14ac:dyDescent="0.25">
      <c r="E176" s="789"/>
      <c r="F176" s="789"/>
      <c r="G176" s="789"/>
      <c r="H176" s="790"/>
      <c r="AD176" s="791"/>
      <c r="AE176" s="792"/>
    </row>
    <row r="177" spans="5:31" s="134" customFormat="1" ht="9" customHeight="1" x14ac:dyDescent="0.25">
      <c r="E177" s="789"/>
      <c r="F177" s="789"/>
      <c r="G177" s="789"/>
      <c r="H177" s="790"/>
      <c r="AD177" s="791"/>
      <c r="AE177" s="792"/>
    </row>
    <row r="178" spans="5:31" s="134" customFormat="1" ht="9" customHeight="1" x14ac:dyDescent="0.25">
      <c r="E178" s="789"/>
      <c r="F178" s="789"/>
      <c r="G178" s="789"/>
      <c r="H178" s="790"/>
      <c r="AD178" s="791"/>
      <c r="AE178" s="792"/>
    </row>
    <row r="179" spans="5:31" s="134" customFormat="1" ht="9" customHeight="1" x14ac:dyDescent="0.25">
      <c r="E179" s="789"/>
      <c r="F179" s="789"/>
      <c r="G179" s="789"/>
      <c r="H179" s="790"/>
      <c r="AD179" s="791"/>
      <c r="AE179" s="792"/>
    </row>
    <row r="180" spans="5:31" s="134" customFormat="1" ht="9" customHeight="1" x14ac:dyDescent="0.25">
      <c r="E180" s="789"/>
      <c r="F180" s="789"/>
      <c r="G180" s="789"/>
      <c r="H180" s="790"/>
      <c r="AD180" s="791"/>
      <c r="AE180" s="792"/>
    </row>
    <row r="181" spans="5:31" s="134" customFormat="1" ht="9" customHeight="1" x14ac:dyDescent="0.25">
      <c r="E181" s="789"/>
      <c r="F181" s="789"/>
      <c r="G181" s="789"/>
      <c r="H181" s="790"/>
      <c r="AD181" s="791"/>
      <c r="AE181" s="792"/>
    </row>
    <row r="182" spans="5:31" s="134" customFormat="1" ht="9" customHeight="1" x14ac:dyDescent="0.25">
      <c r="E182" s="789"/>
      <c r="F182" s="789"/>
      <c r="G182" s="789"/>
      <c r="H182" s="790"/>
      <c r="AD182" s="791"/>
      <c r="AE182" s="792"/>
    </row>
    <row r="183" spans="5:31" s="134" customFormat="1" ht="9" customHeight="1" x14ac:dyDescent="0.25">
      <c r="E183" s="789"/>
      <c r="F183" s="789"/>
      <c r="G183" s="789"/>
      <c r="H183" s="790"/>
      <c r="AD183" s="791"/>
      <c r="AE183" s="792"/>
    </row>
    <row r="184" spans="5:31" s="134" customFormat="1" ht="9" customHeight="1" x14ac:dyDescent="0.25">
      <c r="E184" s="789"/>
      <c r="F184" s="789"/>
      <c r="G184" s="789"/>
      <c r="H184" s="790"/>
      <c r="AD184" s="791"/>
      <c r="AE184" s="792"/>
    </row>
    <row r="185" spans="5:31" s="134" customFormat="1" ht="9" customHeight="1" x14ac:dyDescent="0.25">
      <c r="E185" s="789"/>
      <c r="F185" s="789"/>
      <c r="G185" s="789"/>
      <c r="H185" s="790"/>
      <c r="AD185" s="791"/>
      <c r="AE185" s="792"/>
    </row>
    <row r="186" spans="5:31" s="134" customFormat="1" ht="9" customHeight="1" x14ac:dyDescent="0.25">
      <c r="E186" s="789"/>
      <c r="F186" s="789"/>
      <c r="G186" s="789"/>
      <c r="H186" s="790"/>
      <c r="AD186" s="791"/>
      <c r="AE186" s="792"/>
    </row>
    <row r="187" spans="5:31" s="134" customFormat="1" ht="9" customHeight="1" x14ac:dyDescent="0.25">
      <c r="E187" s="789"/>
      <c r="F187" s="789"/>
      <c r="G187" s="789"/>
      <c r="H187" s="790"/>
      <c r="AD187" s="791"/>
      <c r="AE187" s="792"/>
    </row>
    <row r="188" spans="5:31" s="134" customFormat="1" ht="9" customHeight="1" x14ac:dyDescent="0.25">
      <c r="E188" s="789"/>
      <c r="F188" s="789"/>
      <c r="G188" s="789"/>
      <c r="H188" s="790"/>
      <c r="AD188" s="791"/>
      <c r="AE188" s="792"/>
    </row>
    <row r="189" spans="5:31" s="134" customFormat="1" ht="9" customHeight="1" x14ac:dyDescent="0.25">
      <c r="E189" s="789"/>
      <c r="F189" s="789"/>
      <c r="G189" s="789"/>
      <c r="H189" s="790"/>
      <c r="AD189" s="791"/>
      <c r="AE189" s="792"/>
    </row>
    <row r="190" spans="5:31" s="134" customFormat="1" ht="9" customHeight="1" x14ac:dyDescent="0.25">
      <c r="E190" s="789"/>
      <c r="F190" s="789"/>
      <c r="G190" s="789"/>
      <c r="H190" s="790"/>
      <c r="AD190" s="791"/>
      <c r="AE190" s="792"/>
    </row>
    <row r="191" spans="5:31" s="134" customFormat="1" ht="9" customHeight="1" x14ac:dyDescent="0.25">
      <c r="E191" s="789"/>
      <c r="F191" s="789"/>
      <c r="G191" s="789"/>
      <c r="H191" s="790"/>
      <c r="AD191" s="791"/>
      <c r="AE191" s="792"/>
    </row>
    <row r="192" spans="5:31" s="134" customFormat="1" ht="9" customHeight="1" x14ac:dyDescent="0.25">
      <c r="E192" s="789"/>
      <c r="F192" s="789"/>
      <c r="G192" s="789"/>
      <c r="H192" s="790"/>
      <c r="AD192" s="791"/>
      <c r="AE192" s="792"/>
    </row>
    <row r="193" spans="5:31" s="134" customFormat="1" ht="9" customHeight="1" x14ac:dyDescent="0.25">
      <c r="E193" s="789"/>
      <c r="F193" s="789"/>
      <c r="G193" s="789"/>
      <c r="H193" s="790"/>
      <c r="AD193" s="791"/>
      <c r="AE193" s="792"/>
    </row>
    <row r="194" spans="5:31" s="134" customFormat="1" ht="9" customHeight="1" x14ac:dyDescent="0.25">
      <c r="E194" s="789"/>
      <c r="F194" s="789"/>
      <c r="G194" s="789"/>
      <c r="H194" s="790"/>
      <c r="AD194" s="791"/>
      <c r="AE194" s="792"/>
    </row>
    <row r="195" spans="5:31" s="134" customFormat="1" ht="9" customHeight="1" x14ac:dyDescent="0.25">
      <c r="E195" s="789"/>
      <c r="F195" s="789"/>
      <c r="G195" s="789"/>
      <c r="H195" s="790"/>
      <c r="AD195" s="791"/>
      <c r="AE195" s="792"/>
    </row>
    <row r="196" spans="5:31" s="134" customFormat="1" ht="9" customHeight="1" x14ac:dyDescent="0.25">
      <c r="E196" s="789"/>
      <c r="F196" s="789"/>
      <c r="G196" s="789"/>
      <c r="H196" s="790"/>
      <c r="AD196" s="791"/>
      <c r="AE196" s="792"/>
    </row>
    <row r="197" spans="5:31" s="134" customFormat="1" ht="9" customHeight="1" x14ac:dyDescent="0.25">
      <c r="E197" s="789"/>
      <c r="F197" s="789"/>
      <c r="G197" s="789"/>
      <c r="H197" s="790"/>
      <c r="AD197" s="791"/>
      <c r="AE197" s="792"/>
    </row>
    <row r="198" spans="5:31" s="134" customFormat="1" ht="9" customHeight="1" x14ac:dyDescent="0.25">
      <c r="E198" s="789"/>
      <c r="F198" s="789"/>
      <c r="G198" s="789"/>
      <c r="H198" s="790"/>
      <c r="AD198" s="791"/>
      <c r="AE198" s="792"/>
    </row>
    <row r="199" spans="5:31" s="134" customFormat="1" ht="9" customHeight="1" x14ac:dyDescent="0.25">
      <c r="E199" s="789"/>
      <c r="F199" s="789"/>
      <c r="G199" s="789"/>
      <c r="H199" s="790"/>
      <c r="AD199" s="791"/>
      <c r="AE199" s="792"/>
    </row>
    <row r="200" spans="5:31" s="134" customFormat="1" ht="3" customHeight="1" x14ac:dyDescent="0.25">
      <c r="E200" s="789"/>
      <c r="F200" s="789"/>
      <c r="G200" s="789"/>
      <c r="H200" s="790"/>
      <c r="AD200" s="791"/>
      <c r="AE200" s="792"/>
    </row>
    <row r="201" spans="5:31" s="134" customFormat="1" ht="3" customHeight="1" x14ac:dyDescent="0.25">
      <c r="E201" s="789"/>
      <c r="F201" s="789"/>
      <c r="G201" s="789"/>
      <c r="H201" s="790"/>
      <c r="AD201" s="791"/>
      <c r="AE201" s="792"/>
    </row>
    <row r="202" spans="5:31" s="134" customFormat="1" ht="3" customHeight="1" x14ac:dyDescent="0.25">
      <c r="E202" s="789"/>
      <c r="F202" s="789"/>
      <c r="G202" s="789"/>
      <c r="H202" s="790"/>
      <c r="AD202" s="791"/>
      <c r="AE202" s="792"/>
    </row>
    <row r="203" spans="5:31" s="134" customFormat="1" ht="3" customHeight="1" x14ac:dyDescent="0.25">
      <c r="E203" s="789"/>
      <c r="F203" s="789"/>
      <c r="G203" s="789"/>
      <c r="H203" s="790"/>
      <c r="AD203" s="791"/>
      <c r="AE203" s="792"/>
    </row>
    <row r="204" spans="5:31" s="134" customFormat="1" ht="3" customHeight="1" x14ac:dyDescent="0.25">
      <c r="E204" s="789"/>
      <c r="F204" s="789"/>
      <c r="G204" s="789"/>
      <c r="H204" s="790"/>
      <c r="AD204" s="791"/>
      <c r="AE204" s="792"/>
    </row>
    <row r="205" spans="5:31" s="134" customFormat="1" ht="3" customHeight="1" x14ac:dyDescent="0.25">
      <c r="E205" s="789"/>
      <c r="F205" s="789"/>
      <c r="G205" s="789"/>
      <c r="H205" s="790"/>
      <c r="AD205" s="791"/>
      <c r="AE205" s="792"/>
    </row>
    <row r="206" spans="5:31" s="134" customFormat="1" ht="3" customHeight="1" x14ac:dyDescent="0.25">
      <c r="E206" s="789"/>
      <c r="F206" s="789"/>
      <c r="G206" s="789"/>
      <c r="H206" s="790"/>
      <c r="AD206" s="791"/>
      <c r="AE206" s="792"/>
    </row>
    <row r="207" spans="5:31" s="134" customFormat="1" ht="3" customHeight="1" x14ac:dyDescent="0.25">
      <c r="E207" s="789"/>
      <c r="F207" s="789"/>
      <c r="G207" s="789"/>
      <c r="H207" s="790"/>
      <c r="AD207" s="791"/>
      <c r="AE207" s="792"/>
    </row>
    <row r="208" spans="5:31" s="134" customFormat="1" ht="3" customHeight="1" x14ac:dyDescent="0.25">
      <c r="E208" s="789"/>
      <c r="F208" s="789"/>
      <c r="G208" s="789"/>
      <c r="H208" s="790"/>
      <c r="AD208" s="791"/>
      <c r="AE208" s="792"/>
    </row>
    <row r="209" spans="5:31" s="134" customFormat="1" ht="3" customHeight="1" x14ac:dyDescent="0.25">
      <c r="E209" s="789"/>
      <c r="F209" s="789"/>
      <c r="G209" s="789"/>
      <c r="H209" s="790"/>
      <c r="AD209" s="791"/>
      <c r="AE209" s="792"/>
    </row>
    <row r="210" spans="5:31" s="134" customFormat="1" ht="3" customHeight="1" x14ac:dyDescent="0.25">
      <c r="E210" s="789"/>
      <c r="F210" s="789"/>
      <c r="G210" s="789"/>
      <c r="H210" s="790"/>
      <c r="AD210" s="791"/>
      <c r="AE210" s="792"/>
    </row>
    <row r="211" spans="5:31" s="134" customFormat="1" ht="3" customHeight="1" x14ac:dyDescent="0.25">
      <c r="E211" s="789"/>
      <c r="F211" s="789"/>
      <c r="G211" s="789"/>
      <c r="H211" s="790"/>
      <c r="AD211" s="791"/>
      <c r="AE211" s="792"/>
    </row>
    <row r="212" spans="5:31" s="134" customFormat="1" ht="3" customHeight="1" x14ac:dyDescent="0.25">
      <c r="E212" s="789"/>
      <c r="F212" s="789"/>
      <c r="G212" s="789"/>
      <c r="H212" s="790"/>
      <c r="AD212" s="791"/>
      <c r="AE212" s="792"/>
    </row>
    <row r="213" spans="5:31" s="134" customFormat="1" ht="3" customHeight="1" x14ac:dyDescent="0.25">
      <c r="E213" s="789"/>
      <c r="F213" s="789"/>
      <c r="G213" s="789"/>
      <c r="H213" s="790"/>
      <c r="AD213" s="791"/>
      <c r="AE213" s="792"/>
    </row>
    <row r="214" spans="5:31" s="134" customFormat="1" ht="3" customHeight="1" x14ac:dyDescent="0.25">
      <c r="E214" s="789"/>
      <c r="F214" s="789"/>
      <c r="G214" s="789"/>
      <c r="H214" s="790"/>
      <c r="AD214" s="791"/>
      <c r="AE214" s="792"/>
    </row>
    <row r="215" spans="5:31" s="134" customFormat="1" ht="3" customHeight="1" x14ac:dyDescent="0.25">
      <c r="E215" s="789"/>
      <c r="F215" s="789"/>
      <c r="G215" s="789"/>
      <c r="H215" s="790"/>
      <c r="AD215" s="791"/>
      <c r="AE215" s="792"/>
    </row>
    <row r="216" spans="5:31" s="134" customFormat="1" ht="3" customHeight="1" x14ac:dyDescent="0.25">
      <c r="E216" s="789"/>
      <c r="F216" s="789"/>
      <c r="G216" s="789"/>
      <c r="H216" s="790"/>
      <c r="AD216" s="791"/>
      <c r="AE216" s="792"/>
    </row>
    <row r="217" spans="5:31" s="134" customFormat="1" ht="3" customHeight="1" x14ac:dyDescent="0.25">
      <c r="E217" s="789"/>
      <c r="F217" s="789"/>
      <c r="G217" s="789"/>
      <c r="H217" s="790"/>
      <c r="AD217" s="791"/>
      <c r="AE217" s="792"/>
    </row>
    <row r="218" spans="5:31" s="134" customFormat="1" ht="3" customHeight="1" x14ac:dyDescent="0.25">
      <c r="E218" s="789"/>
      <c r="F218" s="789"/>
      <c r="G218" s="789"/>
      <c r="H218" s="790"/>
      <c r="AD218" s="791"/>
      <c r="AE218" s="792"/>
    </row>
    <row r="219" spans="5:31" s="134" customFormat="1" ht="3" customHeight="1" x14ac:dyDescent="0.25">
      <c r="E219" s="789"/>
      <c r="F219" s="789"/>
      <c r="G219" s="789"/>
      <c r="H219" s="790"/>
      <c r="AD219" s="791"/>
      <c r="AE219" s="792"/>
    </row>
    <row r="220" spans="5:31" s="134" customFormat="1" ht="3" customHeight="1" x14ac:dyDescent="0.25">
      <c r="E220" s="789"/>
      <c r="F220" s="789"/>
      <c r="G220" s="789"/>
      <c r="H220" s="790"/>
      <c r="AD220" s="791"/>
      <c r="AE220" s="792"/>
    </row>
    <row r="221" spans="5:31" s="134" customFormat="1" ht="3" customHeight="1" x14ac:dyDescent="0.25">
      <c r="E221" s="789"/>
      <c r="F221" s="789"/>
      <c r="G221" s="789"/>
      <c r="H221" s="790"/>
      <c r="AD221" s="791"/>
      <c r="AE221" s="792"/>
    </row>
    <row r="222" spans="5:31" s="134" customFormat="1" ht="3" customHeight="1" x14ac:dyDescent="0.25">
      <c r="E222" s="789"/>
      <c r="F222" s="789"/>
      <c r="G222" s="789"/>
      <c r="H222" s="790"/>
      <c r="AD222" s="791"/>
      <c r="AE222" s="792"/>
    </row>
    <row r="223" spans="5:31" s="134" customFormat="1" ht="3" customHeight="1" x14ac:dyDescent="0.25">
      <c r="E223" s="789"/>
      <c r="F223" s="789"/>
      <c r="G223" s="789"/>
      <c r="H223" s="790"/>
      <c r="AD223" s="791"/>
      <c r="AE223" s="792"/>
    </row>
    <row r="224" spans="5:31" s="134" customFormat="1" ht="3" customHeight="1" x14ac:dyDescent="0.25">
      <c r="E224" s="789"/>
      <c r="F224" s="789"/>
      <c r="G224" s="789"/>
      <c r="H224" s="790"/>
      <c r="AD224" s="791"/>
      <c r="AE224" s="792"/>
    </row>
    <row r="225" spans="5:31" s="134" customFormat="1" ht="3" customHeight="1" x14ac:dyDescent="0.25">
      <c r="E225" s="789"/>
      <c r="F225" s="789"/>
      <c r="G225" s="789"/>
      <c r="H225" s="790"/>
      <c r="AD225" s="791"/>
      <c r="AE225" s="792"/>
    </row>
    <row r="226" spans="5:31" s="134" customFormat="1" ht="3" customHeight="1" x14ac:dyDescent="0.25">
      <c r="E226" s="789"/>
      <c r="F226" s="789"/>
      <c r="G226" s="789"/>
      <c r="H226" s="790"/>
      <c r="AD226" s="791"/>
      <c r="AE226" s="792"/>
    </row>
    <row r="227" spans="5:31" s="134" customFormat="1" ht="3" customHeight="1" x14ac:dyDescent="0.25">
      <c r="E227" s="789"/>
      <c r="F227" s="789"/>
      <c r="G227" s="789"/>
      <c r="H227" s="790"/>
      <c r="AD227" s="791"/>
      <c r="AE227" s="792"/>
    </row>
    <row r="228" spans="5:31" s="134" customFormat="1" ht="3" customHeight="1" x14ac:dyDescent="0.25">
      <c r="E228" s="789"/>
      <c r="F228" s="789"/>
      <c r="G228" s="789"/>
      <c r="H228" s="790"/>
      <c r="AD228" s="791"/>
      <c r="AE228" s="792"/>
    </row>
    <row r="229" spans="5:31" s="134" customFormat="1" ht="3" customHeight="1" x14ac:dyDescent="0.25">
      <c r="E229" s="789"/>
      <c r="F229" s="789"/>
      <c r="G229" s="789"/>
      <c r="H229" s="790"/>
      <c r="AD229" s="791"/>
      <c r="AE229" s="792"/>
    </row>
    <row r="230" spans="5:31" s="134" customFormat="1" ht="3" customHeight="1" x14ac:dyDescent="0.25">
      <c r="E230" s="789"/>
      <c r="F230" s="789"/>
      <c r="G230" s="789"/>
      <c r="H230" s="790"/>
      <c r="AD230" s="791"/>
      <c r="AE230" s="792"/>
    </row>
    <row r="231" spans="5:31" s="134" customFormat="1" ht="3" customHeight="1" x14ac:dyDescent="0.25">
      <c r="E231" s="789"/>
      <c r="F231" s="789"/>
      <c r="G231" s="789"/>
      <c r="H231" s="790"/>
      <c r="AD231" s="791"/>
      <c r="AE231" s="792"/>
    </row>
    <row r="232" spans="5:31" s="134" customFormat="1" ht="3" customHeight="1" x14ac:dyDescent="0.25">
      <c r="E232" s="789"/>
      <c r="F232" s="789"/>
      <c r="G232" s="789"/>
      <c r="H232" s="790"/>
      <c r="AD232" s="791"/>
      <c r="AE232" s="792"/>
    </row>
    <row r="233" spans="5:31" s="134" customFormat="1" ht="3" customHeight="1" x14ac:dyDescent="0.25">
      <c r="E233" s="789"/>
      <c r="F233" s="789"/>
      <c r="G233" s="789"/>
      <c r="H233" s="790"/>
      <c r="AD233" s="791"/>
      <c r="AE233" s="792"/>
    </row>
    <row r="234" spans="5:31" s="134" customFormat="1" ht="3" customHeight="1" x14ac:dyDescent="0.25">
      <c r="E234" s="789"/>
      <c r="F234" s="789"/>
      <c r="G234" s="789"/>
      <c r="H234" s="790"/>
      <c r="AD234" s="791"/>
      <c r="AE234" s="792"/>
    </row>
    <row r="235" spans="5:31" s="134" customFormat="1" ht="3" customHeight="1" x14ac:dyDescent="0.25">
      <c r="E235" s="789"/>
      <c r="F235" s="789"/>
      <c r="G235" s="789"/>
      <c r="H235" s="790"/>
      <c r="AD235" s="791"/>
      <c r="AE235" s="792"/>
    </row>
    <row r="236" spans="5:31" s="134" customFormat="1" ht="3" customHeight="1" x14ac:dyDescent="0.25">
      <c r="E236" s="789"/>
      <c r="F236" s="789"/>
      <c r="G236" s="789"/>
      <c r="H236" s="790"/>
      <c r="AD236" s="791"/>
      <c r="AE236" s="792"/>
    </row>
    <row r="237" spans="5:31" s="134" customFormat="1" ht="3" customHeight="1" x14ac:dyDescent="0.25">
      <c r="E237" s="789"/>
      <c r="F237" s="789"/>
      <c r="G237" s="789"/>
      <c r="H237" s="790"/>
      <c r="AD237" s="791"/>
      <c r="AE237" s="792"/>
    </row>
    <row r="238" spans="5:31" s="134" customFormat="1" ht="3" customHeight="1" x14ac:dyDescent="0.25">
      <c r="E238" s="789"/>
      <c r="F238" s="789"/>
      <c r="G238" s="789"/>
      <c r="H238" s="790"/>
      <c r="AD238" s="791"/>
      <c r="AE238" s="792"/>
    </row>
    <row r="239" spans="5:31" s="134" customFormat="1" ht="3" customHeight="1" x14ac:dyDescent="0.25">
      <c r="E239" s="789"/>
      <c r="F239" s="789"/>
      <c r="G239" s="789"/>
      <c r="H239" s="790"/>
      <c r="AD239" s="791"/>
      <c r="AE239" s="792"/>
    </row>
    <row r="240" spans="5:31" s="134" customFormat="1" ht="3" customHeight="1" x14ac:dyDescent="0.25">
      <c r="E240" s="789"/>
      <c r="F240" s="789"/>
      <c r="G240" s="789"/>
      <c r="H240" s="790"/>
      <c r="AD240" s="791"/>
      <c r="AE240" s="792"/>
    </row>
    <row r="241" spans="5:31" s="134" customFormat="1" ht="3" customHeight="1" x14ac:dyDescent="0.25">
      <c r="E241" s="789"/>
      <c r="F241" s="789"/>
      <c r="G241" s="789"/>
      <c r="H241" s="790"/>
      <c r="AD241" s="791"/>
      <c r="AE241" s="792"/>
    </row>
    <row r="242" spans="5:31" s="134" customFormat="1" ht="3" customHeight="1" x14ac:dyDescent="0.25">
      <c r="E242" s="789"/>
      <c r="F242" s="789"/>
      <c r="G242" s="789"/>
      <c r="H242" s="790"/>
      <c r="AD242" s="791"/>
      <c r="AE242" s="792"/>
    </row>
    <row r="243" spans="5:31" s="134" customFormat="1" ht="3" customHeight="1" x14ac:dyDescent="0.25">
      <c r="E243" s="789"/>
      <c r="F243" s="789"/>
      <c r="G243" s="789"/>
      <c r="H243" s="790"/>
      <c r="AD243" s="791"/>
      <c r="AE243" s="792"/>
    </row>
    <row r="244" spans="5:31" s="134" customFormat="1" ht="3" customHeight="1" x14ac:dyDescent="0.25">
      <c r="E244" s="789"/>
      <c r="F244" s="789"/>
      <c r="G244" s="789"/>
      <c r="H244" s="790"/>
      <c r="AD244" s="791"/>
      <c r="AE244" s="792"/>
    </row>
    <row r="245" spans="5:31" s="134" customFormat="1" ht="3" customHeight="1" x14ac:dyDescent="0.25">
      <c r="E245" s="789"/>
      <c r="F245" s="789"/>
      <c r="G245" s="789"/>
      <c r="H245" s="790"/>
      <c r="AD245" s="791"/>
      <c r="AE245" s="792"/>
    </row>
    <row r="246" spans="5:31" s="134" customFormat="1" ht="3" customHeight="1" x14ac:dyDescent="0.25">
      <c r="E246" s="789"/>
      <c r="F246" s="789"/>
      <c r="G246" s="789"/>
      <c r="H246" s="790"/>
      <c r="AD246" s="791"/>
      <c r="AE246" s="792"/>
    </row>
    <row r="247" spans="5:31" s="134" customFormat="1" ht="3" customHeight="1" x14ac:dyDescent="0.25">
      <c r="E247" s="789"/>
      <c r="F247" s="789"/>
      <c r="G247" s="789"/>
      <c r="H247" s="790"/>
      <c r="AD247" s="791"/>
      <c r="AE247" s="792"/>
    </row>
    <row r="248" spans="5:31" s="134" customFormat="1" ht="3" customHeight="1" x14ac:dyDescent="0.25">
      <c r="E248" s="789"/>
      <c r="F248" s="789"/>
      <c r="G248" s="789"/>
      <c r="H248" s="790"/>
      <c r="AD248" s="791"/>
      <c r="AE248" s="792"/>
    </row>
    <row r="249" spans="5:31" s="134" customFormat="1" ht="3" customHeight="1" x14ac:dyDescent="0.25">
      <c r="E249" s="789"/>
      <c r="F249" s="789"/>
      <c r="G249" s="789"/>
      <c r="H249" s="790"/>
      <c r="AD249" s="791"/>
      <c r="AE249" s="792"/>
    </row>
    <row r="250" spans="5:31" s="134" customFormat="1" ht="3" customHeight="1" x14ac:dyDescent="0.25">
      <c r="E250" s="789"/>
      <c r="F250" s="789"/>
      <c r="G250" s="789"/>
      <c r="H250" s="790"/>
      <c r="AD250" s="791"/>
      <c r="AE250" s="792"/>
    </row>
    <row r="251" spans="5:31" s="134" customFormat="1" ht="3" customHeight="1" x14ac:dyDescent="0.25">
      <c r="E251" s="789"/>
      <c r="F251" s="789"/>
      <c r="G251" s="789"/>
      <c r="H251" s="790"/>
      <c r="AD251" s="791"/>
      <c r="AE251" s="792"/>
    </row>
    <row r="252" spans="5:31" s="134" customFormat="1" ht="3" customHeight="1" x14ac:dyDescent="0.25">
      <c r="E252" s="789"/>
      <c r="F252" s="789"/>
      <c r="G252" s="789"/>
      <c r="H252" s="790"/>
      <c r="AD252" s="791"/>
      <c r="AE252" s="792"/>
    </row>
    <row r="253" spans="5:31" s="134" customFormat="1" ht="3" customHeight="1" x14ac:dyDescent="0.25">
      <c r="E253" s="789"/>
      <c r="F253" s="789"/>
      <c r="G253" s="789"/>
      <c r="H253" s="790"/>
      <c r="AD253" s="791"/>
      <c r="AE253" s="792"/>
    </row>
    <row r="254" spans="5:31" s="134" customFormat="1" ht="3" customHeight="1" x14ac:dyDescent="0.25">
      <c r="E254" s="789"/>
      <c r="F254" s="789"/>
      <c r="G254" s="789"/>
      <c r="H254" s="790"/>
      <c r="AD254" s="791"/>
      <c r="AE254" s="792"/>
    </row>
    <row r="255" spans="5:31" s="134" customFormat="1" ht="3" customHeight="1" x14ac:dyDescent="0.25">
      <c r="E255" s="789"/>
      <c r="F255" s="789"/>
      <c r="G255" s="789"/>
      <c r="H255" s="790"/>
      <c r="AD255" s="791"/>
      <c r="AE255" s="792"/>
    </row>
    <row r="256" spans="5:31" s="134" customFormat="1" ht="3" customHeight="1" x14ac:dyDescent="0.25">
      <c r="E256" s="789"/>
      <c r="F256" s="789"/>
      <c r="G256" s="789"/>
      <c r="H256" s="790"/>
      <c r="AD256" s="791"/>
      <c r="AE256" s="792"/>
    </row>
    <row r="257" spans="5:31" s="134" customFormat="1" ht="3" customHeight="1" x14ac:dyDescent="0.25">
      <c r="E257" s="789"/>
      <c r="F257" s="789"/>
      <c r="G257" s="789"/>
      <c r="H257" s="790"/>
      <c r="AD257" s="791"/>
      <c r="AE257" s="792"/>
    </row>
    <row r="258" spans="5:31" s="134" customFormat="1" ht="3" customHeight="1" x14ac:dyDescent="0.25">
      <c r="E258" s="789"/>
      <c r="F258" s="789"/>
      <c r="G258" s="789"/>
      <c r="H258" s="790"/>
      <c r="AD258" s="791"/>
      <c r="AE258" s="792"/>
    </row>
    <row r="259" spans="5:31" s="134" customFormat="1" ht="3" customHeight="1" x14ac:dyDescent="0.25">
      <c r="E259" s="789"/>
      <c r="F259" s="789"/>
      <c r="G259" s="789"/>
      <c r="H259" s="790"/>
      <c r="AD259" s="791"/>
      <c r="AE259" s="792"/>
    </row>
    <row r="260" spans="5:31" s="134" customFormat="1" ht="3" customHeight="1" x14ac:dyDescent="0.25">
      <c r="E260" s="789"/>
      <c r="F260" s="789"/>
      <c r="G260" s="789"/>
      <c r="H260" s="790"/>
      <c r="AD260" s="791"/>
      <c r="AE260" s="792"/>
    </row>
    <row r="261" spans="5:31" s="134" customFormat="1" ht="3" customHeight="1" x14ac:dyDescent="0.25">
      <c r="E261" s="789"/>
      <c r="F261" s="789"/>
      <c r="G261" s="789"/>
      <c r="H261" s="790"/>
      <c r="AD261" s="791"/>
      <c r="AE261" s="792"/>
    </row>
    <row r="262" spans="5:31" s="134" customFormat="1" ht="3" customHeight="1" x14ac:dyDescent="0.25">
      <c r="E262" s="789"/>
      <c r="F262" s="789"/>
      <c r="G262" s="789"/>
      <c r="H262" s="790"/>
      <c r="AD262" s="791"/>
      <c r="AE262" s="792"/>
    </row>
    <row r="263" spans="5:31" s="134" customFormat="1" ht="3" customHeight="1" x14ac:dyDescent="0.25">
      <c r="E263" s="789"/>
      <c r="F263" s="789"/>
      <c r="G263" s="789"/>
      <c r="H263" s="790"/>
      <c r="AD263" s="791"/>
      <c r="AE263" s="792"/>
    </row>
    <row r="264" spans="5:31" s="134" customFormat="1" ht="3" customHeight="1" x14ac:dyDescent="0.25">
      <c r="E264" s="789"/>
      <c r="F264" s="789"/>
      <c r="G264" s="789"/>
      <c r="H264" s="790"/>
      <c r="AD264" s="791"/>
      <c r="AE264" s="792"/>
    </row>
    <row r="265" spans="5:31" s="134" customFormat="1" ht="3" customHeight="1" x14ac:dyDescent="0.25">
      <c r="E265" s="789"/>
      <c r="F265" s="789"/>
      <c r="G265" s="789"/>
      <c r="H265" s="790"/>
      <c r="AD265" s="791"/>
      <c r="AE265" s="792"/>
    </row>
    <row r="266" spans="5:31" s="134" customFormat="1" ht="3" customHeight="1" x14ac:dyDescent="0.25">
      <c r="E266" s="789"/>
      <c r="F266" s="789"/>
      <c r="G266" s="789"/>
      <c r="H266" s="790"/>
      <c r="AD266" s="791"/>
      <c r="AE266" s="792"/>
    </row>
    <row r="267" spans="5:31" s="134" customFormat="1" ht="3" customHeight="1" x14ac:dyDescent="0.25">
      <c r="E267" s="789"/>
      <c r="F267" s="789"/>
      <c r="G267" s="789"/>
      <c r="H267" s="790"/>
      <c r="AD267" s="791"/>
      <c r="AE267" s="792"/>
    </row>
    <row r="268" spans="5:31" s="134" customFormat="1" ht="3" customHeight="1" x14ac:dyDescent="0.25">
      <c r="E268" s="789"/>
      <c r="F268" s="789"/>
      <c r="G268" s="789"/>
      <c r="H268" s="790"/>
      <c r="AD268" s="791"/>
      <c r="AE268" s="792"/>
    </row>
    <row r="269" spans="5:31" s="134" customFormat="1" ht="3" customHeight="1" x14ac:dyDescent="0.25">
      <c r="E269" s="789"/>
      <c r="F269" s="789"/>
      <c r="G269" s="789"/>
      <c r="H269" s="790"/>
      <c r="AD269" s="791"/>
      <c r="AE269" s="792"/>
    </row>
    <row r="270" spans="5:31" s="134" customFormat="1" ht="3" customHeight="1" x14ac:dyDescent="0.25">
      <c r="E270" s="789"/>
      <c r="F270" s="789"/>
      <c r="G270" s="789"/>
      <c r="H270" s="790"/>
      <c r="AD270" s="791"/>
      <c r="AE270" s="792"/>
    </row>
    <row r="271" spans="5:31" s="134" customFormat="1" ht="3" customHeight="1" x14ac:dyDescent="0.25">
      <c r="E271" s="789"/>
      <c r="F271" s="789"/>
      <c r="G271" s="789"/>
      <c r="H271" s="790"/>
      <c r="AD271" s="791"/>
      <c r="AE271" s="792"/>
    </row>
    <row r="272" spans="5:31" s="134" customFormat="1" ht="3" customHeight="1" x14ac:dyDescent="0.25">
      <c r="E272" s="789"/>
      <c r="F272" s="789"/>
      <c r="G272" s="789"/>
      <c r="H272" s="790"/>
      <c r="AD272" s="791"/>
      <c r="AE272" s="792"/>
    </row>
    <row r="273" spans="5:31" s="134" customFormat="1" ht="3" customHeight="1" x14ac:dyDescent="0.25">
      <c r="E273" s="789"/>
      <c r="F273" s="789"/>
      <c r="G273" s="789"/>
      <c r="H273" s="790"/>
      <c r="AD273" s="791"/>
      <c r="AE273" s="792"/>
    </row>
    <row r="274" spans="5:31" s="134" customFormat="1" ht="3" customHeight="1" x14ac:dyDescent="0.25">
      <c r="E274" s="789"/>
      <c r="F274" s="789"/>
      <c r="G274" s="789"/>
      <c r="H274" s="790"/>
      <c r="AD274" s="791"/>
      <c r="AE274" s="792"/>
    </row>
    <row r="275" spans="5:31" s="134" customFormat="1" ht="3" customHeight="1" x14ac:dyDescent="0.25">
      <c r="E275" s="789"/>
      <c r="F275" s="789"/>
      <c r="G275" s="789"/>
      <c r="H275" s="790"/>
      <c r="AD275" s="791"/>
      <c r="AE275" s="792"/>
    </row>
    <row r="276" spans="5:31" s="134" customFormat="1" ht="3" customHeight="1" x14ac:dyDescent="0.25">
      <c r="E276" s="789"/>
      <c r="F276" s="789"/>
      <c r="G276" s="789"/>
      <c r="H276" s="790"/>
      <c r="AD276" s="791"/>
      <c r="AE276" s="792"/>
    </row>
    <row r="277" spans="5:31" s="134" customFormat="1" ht="3" customHeight="1" x14ac:dyDescent="0.25">
      <c r="E277" s="789"/>
      <c r="F277" s="789"/>
      <c r="G277" s="789"/>
      <c r="H277" s="790"/>
      <c r="AD277" s="791"/>
      <c r="AE277" s="792"/>
    </row>
    <row r="278" spans="5:31" s="134" customFormat="1" ht="3" customHeight="1" x14ac:dyDescent="0.25">
      <c r="E278" s="789"/>
      <c r="F278" s="789"/>
      <c r="G278" s="789"/>
      <c r="H278" s="790"/>
      <c r="AD278" s="791"/>
      <c r="AE278" s="792"/>
    </row>
    <row r="279" spans="5:31" s="134" customFormat="1" ht="3" customHeight="1" x14ac:dyDescent="0.25">
      <c r="E279" s="789"/>
      <c r="F279" s="789"/>
      <c r="G279" s="789"/>
      <c r="H279" s="790"/>
      <c r="AD279" s="791"/>
      <c r="AE279" s="792"/>
    </row>
    <row r="280" spans="5:31" s="134" customFormat="1" ht="3" customHeight="1" x14ac:dyDescent="0.25">
      <c r="E280" s="789"/>
      <c r="F280" s="789"/>
      <c r="G280" s="789"/>
      <c r="H280" s="790"/>
      <c r="AD280" s="791"/>
      <c r="AE280" s="792"/>
    </row>
    <row r="281" spans="5:31" s="134" customFormat="1" ht="3" customHeight="1" x14ac:dyDescent="0.25">
      <c r="E281" s="789"/>
      <c r="F281" s="789"/>
      <c r="G281" s="789"/>
      <c r="H281" s="790"/>
      <c r="AD281" s="791"/>
      <c r="AE281" s="792"/>
    </row>
    <row r="282" spans="5:31" s="134" customFormat="1" ht="3" customHeight="1" x14ac:dyDescent="0.25">
      <c r="E282" s="789"/>
      <c r="F282" s="789"/>
      <c r="G282" s="789"/>
      <c r="H282" s="790"/>
      <c r="AD282" s="791"/>
      <c r="AE282" s="792"/>
    </row>
    <row r="283" spans="5:31" s="134" customFormat="1" ht="3" customHeight="1" x14ac:dyDescent="0.25">
      <c r="E283" s="789"/>
      <c r="F283" s="789"/>
      <c r="G283" s="789"/>
      <c r="H283" s="790"/>
      <c r="AD283" s="791"/>
      <c r="AE283" s="792"/>
    </row>
    <row r="284" spans="5:31" s="134" customFormat="1" ht="3" customHeight="1" x14ac:dyDescent="0.25">
      <c r="E284" s="789"/>
      <c r="F284" s="789"/>
      <c r="G284" s="789"/>
      <c r="H284" s="790"/>
      <c r="AD284" s="791"/>
      <c r="AE284" s="792"/>
    </row>
    <row r="285" spans="5:31" s="134" customFormat="1" ht="3" customHeight="1" x14ac:dyDescent="0.25">
      <c r="E285" s="789"/>
      <c r="F285" s="789"/>
      <c r="G285" s="789"/>
      <c r="H285" s="790"/>
      <c r="AD285" s="791"/>
      <c r="AE285" s="792"/>
    </row>
    <row r="286" spans="5:31" s="134" customFormat="1" ht="3" customHeight="1" x14ac:dyDescent="0.25">
      <c r="E286" s="789"/>
      <c r="F286" s="789"/>
      <c r="G286" s="789"/>
      <c r="H286" s="790"/>
      <c r="AD286" s="791"/>
      <c r="AE286" s="792"/>
    </row>
    <row r="287" spans="5:31" s="134" customFormat="1" ht="3" customHeight="1" x14ac:dyDescent="0.25">
      <c r="E287" s="789"/>
      <c r="F287" s="789"/>
      <c r="G287" s="789"/>
      <c r="H287" s="790"/>
      <c r="AD287" s="791"/>
      <c r="AE287" s="792"/>
    </row>
    <row r="288" spans="5:31" s="134" customFormat="1" ht="3" customHeight="1" x14ac:dyDescent="0.25">
      <c r="E288" s="789"/>
      <c r="F288" s="789"/>
      <c r="G288" s="789"/>
      <c r="H288" s="790"/>
      <c r="AD288" s="791"/>
      <c r="AE288" s="792"/>
    </row>
    <row r="289" spans="5:31" s="134" customFormat="1" ht="3" customHeight="1" x14ac:dyDescent="0.25">
      <c r="E289" s="789"/>
      <c r="F289" s="789"/>
      <c r="G289" s="789"/>
      <c r="H289" s="790"/>
      <c r="AD289" s="791"/>
      <c r="AE289" s="792"/>
    </row>
    <row r="290" spans="5:31" s="134" customFormat="1" ht="3" customHeight="1" x14ac:dyDescent="0.25">
      <c r="E290" s="789"/>
      <c r="F290" s="789"/>
      <c r="G290" s="789"/>
      <c r="H290" s="790"/>
      <c r="AD290" s="791"/>
      <c r="AE290" s="792"/>
    </row>
    <row r="291" spans="5:31" s="134" customFormat="1" ht="3" customHeight="1" x14ac:dyDescent="0.25">
      <c r="E291" s="789"/>
      <c r="F291" s="789"/>
      <c r="G291" s="789"/>
      <c r="H291" s="790"/>
      <c r="AD291" s="791"/>
      <c r="AE291" s="792"/>
    </row>
    <row r="292" spans="5:31" s="134" customFormat="1" ht="3" customHeight="1" x14ac:dyDescent="0.25">
      <c r="E292" s="789"/>
      <c r="F292" s="789"/>
      <c r="G292" s="789"/>
      <c r="H292" s="790"/>
      <c r="AD292" s="791"/>
      <c r="AE292" s="792"/>
    </row>
    <row r="293" spans="5:31" s="134" customFormat="1" ht="3" customHeight="1" x14ac:dyDescent="0.25">
      <c r="E293" s="789"/>
      <c r="F293" s="789"/>
      <c r="G293" s="789"/>
      <c r="H293" s="790"/>
      <c r="AD293" s="791"/>
      <c r="AE293" s="792"/>
    </row>
    <row r="294" spans="5:31" s="134" customFormat="1" ht="3" customHeight="1" x14ac:dyDescent="0.25">
      <c r="E294" s="789"/>
      <c r="F294" s="789"/>
      <c r="G294" s="789"/>
      <c r="H294" s="790"/>
      <c r="AD294" s="791"/>
      <c r="AE294" s="792"/>
    </row>
    <row r="295" spans="5:31" s="134" customFormat="1" ht="3" customHeight="1" x14ac:dyDescent="0.25">
      <c r="E295" s="789"/>
      <c r="F295" s="789"/>
      <c r="G295" s="789"/>
      <c r="H295" s="790"/>
      <c r="AD295" s="791"/>
      <c r="AE295" s="792"/>
    </row>
    <row r="296" spans="5:31" s="134" customFormat="1" ht="3" customHeight="1" x14ac:dyDescent="0.25">
      <c r="E296" s="789"/>
      <c r="F296" s="789"/>
      <c r="G296" s="789"/>
      <c r="H296" s="790"/>
      <c r="AD296" s="791"/>
      <c r="AE296" s="792"/>
    </row>
    <row r="297" spans="5:31" s="134" customFormat="1" ht="3" customHeight="1" x14ac:dyDescent="0.25">
      <c r="E297" s="789"/>
      <c r="F297" s="789"/>
      <c r="G297" s="789"/>
      <c r="H297" s="790"/>
      <c r="AD297" s="791"/>
      <c r="AE297" s="792"/>
    </row>
    <row r="298" spans="5:31" s="134" customFormat="1" ht="3" customHeight="1" x14ac:dyDescent="0.25">
      <c r="E298" s="789"/>
      <c r="F298" s="789"/>
      <c r="G298" s="789"/>
      <c r="H298" s="790"/>
      <c r="AD298" s="791"/>
      <c r="AE298" s="792"/>
    </row>
    <row r="299" spans="5:31" s="134" customFormat="1" ht="3" customHeight="1" x14ac:dyDescent="0.25">
      <c r="E299" s="789"/>
      <c r="F299" s="789"/>
      <c r="G299" s="789"/>
      <c r="H299" s="790"/>
      <c r="AD299" s="791"/>
      <c r="AE299" s="792"/>
    </row>
    <row r="300" spans="5:31" s="134" customFormat="1" ht="3" customHeight="1" x14ac:dyDescent="0.25">
      <c r="E300" s="789"/>
      <c r="F300" s="789"/>
      <c r="G300" s="789"/>
      <c r="H300" s="790"/>
      <c r="AD300" s="791"/>
      <c r="AE300" s="792"/>
    </row>
    <row r="301" spans="5:31" s="134" customFormat="1" ht="3" customHeight="1" x14ac:dyDescent="0.25">
      <c r="E301" s="789"/>
      <c r="F301" s="789"/>
      <c r="G301" s="789"/>
      <c r="H301" s="790"/>
      <c r="AD301" s="791"/>
      <c r="AE301" s="792"/>
    </row>
    <row r="302" spans="5:31" s="134" customFormat="1" ht="3" customHeight="1" x14ac:dyDescent="0.25">
      <c r="E302" s="789"/>
      <c r="F302" s="789"/>
      <c r="G302" s="789"/>
      <c r="H302" s="790"/>
      <c r="AD302" s="791"/>
      <c r="AE302" s="792"/>
    </row>
    <row r="303" spans="5:31" s="134" customFormat="1" ht="3" customHeight="1" x14ac:dyDescent="0.25">
      <c r="E303" s="789"/>
      <c r="F303" s="789"/>
      <c r="G303" s="789"/>
      <c r="H303" s="790"/>
      <c r="AD303" s="791"/>
      <c r="AE303" s="792"/>
    </row>
    <row r="304" spans="5:31" s="134" customFormat="1" ht="3" customHeight="1" x14ac:dyDescent="0.25">
      <c r="E304" s="789"/>
      <c r="F304" s="789"/>
      <c r="G304" s="789"/>
      <c r="H304" s="790"/>
      <c r="AD304" s="791"/>
      <c r="AE304" s="792"/>
    </row>
    <row r="305" spans="5:31" s="134" customFormat="1" ht="3" customHeight="1" x14ac:dyDescent="0.25">
      <c r="E305" s="789"/>
      <c r="F305" s="789"/>
      <c r="G305" s="789"/>
      <c r="H305" s="790"/>
      <c r="AD305" s="791"/>
      <c r="AE305" s="792"/>
    </row>
    <row r="306" spans="5:31" s="134" customFormat="1" ht="3" customHeight="1" x14ac:dyDescent="0.25">
      <c r="E306" s="789"/>
      <c r="F306" s="789"/>
      <c r="G306" s="789"/>
      <c r="H306" s="790"/>
      <c r="AD306" s="791"/>
      <c r="AE306" s="792"/>
    </row>
    <row r="307" spans="5:31" s="134" customFormat="1" ht="3" customHeight="1" x14ac:dyDescent="0.25">
      <c r="E307" s="789"/>
      <c r="F307" s="789"/>
      <c r="G307" s="789"/>
      <c r="H307" s="790"/>
      <c r="AD307" s="791"/>
      <c r="AE307" s="792"/>
    </row>
    <row r="308" spans="5:31" s="134" customFormat="1" ht="3" customHeight="1" x14ac:dyDescent="0.25">
      <c r="E308" s="789"/>
      <c r="F308" s="789"/>
      <c r="G308" s="789"/>
      <c r="H308" s="790"/>
      <c r="AD308" s="791"/>
      <c r="AE308" s="792"/>
    </row>
    <row r="309" spans="5:31" s="134" customFormat="1" ht="12.75" customHeight="1" x14ac:dyDescent="0.25">
      <c r="E309" s="789"/>
      <c r="F309" s="789"/>
      <c r="G309" s="789"/>
      <c r="H309" s="790"/>
      <c r="AD309" s="791"/>
      <c r="AE309" s="792"/>
    </row>
    <row r="310" spans="5:31" s="134" customFormat="1" ht="12.75" customHeight="1" x14ac:dyDescent="0.25">
      <c r="E310" s="789"/>
      <c r="F310" s="789"/>
      <c r="G310" s="789"/>
      <c r="H310" s="790"/>
      <c r="AD310" s="791"/>
      <c r="AE310" s="792"/>
    </row>
    <row r="311" spans="5:31" s="134" customFormat="1" ht="12.75" customHeight="1" x14ac:dyDescent="0.25">
      <c r="E311" s="789"/>
      <c r="F311" s="789"/>
      <c r="G311" s="789"/>
      <c r="H311" s="790"/>
      <c r="AD311" s="791"/>
      <c r="AE311" s="792"/>
    </row>
    <row r="312" spans="5:31" s="134" customFormat="1" ht="12.75" customHeight="1" x14ac:dyDescent="0.25">
      <c r="E312" s="789"/>
      <c r="F312" s="789"/>
      <c r="G312" s="789"/>
      <c r="H312" s="790"/>
      <c r="AD312" s="791"/>
      <c r="AE312" s="792"/>
    </row>
    <row r="313" spans="5:31" s="134" customFormat="1" ht="12.75" customHeight="1" x14ac:dyDescent="0.25">
      <c r="E313" s="789"/>
      <c r="F313" s="789"/>
      <c r="G313" s="789"/>
      <c r="H313" s="790"/>
      <c r="AD313" s="791"/>
      <c r="AE313" s="792"/>
    </row>
    <row r="314" spans="5:31" s="134" customFormat="1" ht="12.75" customHeight="1" x14ac:dyDescent="0.25">
      <c r="E314" s="789"/>
      <c r="F314" s="789"/>
      <c r="G314" s="789"/>
      <c r="H314" s="790"/>
      <c r="AD314" s="791"/>
      <c r="AE314" s="792"/>
    </row>
    <row r="315" spans="5:31" s="134" customFormat="1" ht="12.75" customHeight="1" x14ac:dyDescent="0.25">
      <c r="E315" s="789"/>
      <c r="F315" s="789"/>
      <c r="G315" s="789"/>
      <c r="H315" s="790"/>
      <c r="AD315" s="791"/>
      <c r="AE315" s="792"/>
    </row>
    <row r="316" spans="5:31" s="134" customFormat="1" ht="12.75" customHeight="1" x14ac:dyDescent="0.25">
      <c r="E316" s="789"/>
      <c r="F316" s="789"/>
      <c r="G316" s="789"/>
      <c r="H316" s="790"/>
      <c r="AD316" s="791"/>
      <c r="AE316" s="792"/>
    </row>
    <row r="317" spans="5:31" s="134" customFormat="1" ht="12.75" customHeight="1" x14ac:dyDescent="0.25">
      <c r="E317" s="789"/>
      <c r="F317" s="789"/>
      <c r="G317" s="789"/>
      <c r="H317" s="790"/>
      <c r="AD317" s="791"/>
      <c r="AE317" s="792"/>
    </row>
    <row r="318" spans="5:31" s="134" customFormat="1" ht="12.75" customHeight="1" x14ac:dyDescent="0.25">
      <c r="E318" s="789"/>
      <c r="F318" s="789"/>
      <c r="G318" s="789"/>
      <c r="H318" s="790"/>
      <c r="AD318" s="791"/>
      <c r="AE318" s="792"/>
    </row>
    <row r="319" spans="5:31" s="134" customFormat="1" ht="12.75" customHeight="1" x14ac:dyDescent="0.25">
      <c r="E319" s="789"/>
      <c r="F319" s="789"/>
      <c r="G319" s="789"/>
      <c r="H319" s="790"/>
      <c r="AD319" s="791"/>
      <c r="AE319" s="792"/>
    </row>
    <row r="320" spans="5:31" s="134" customFormat="1" ht="12.75" customHeight="1" x14ac:dyDescent="0.25">
      <c r="E320" s="789"/>
      <c r="F320" s="789"/>
      <c r="G320" s="789"/>
      <c r="H320" s="790"/>
      <c r="AD320" s="791"/>
      <c r="AE320" s="792"/>
    </row>
    <row r="321" spans="5:31" s="134" customFormat="1" ht="12.75" customHeight="1" x14ac:dyDescent="0.25">
      <c r="E321" s="789"/>
      <c r="F321" s="789"/>
      <c r="G321" s="789"/>
      <c r="H321" s="790"/>
      <c r="AD321" s="791"/>
      <c r="AE321" s="792"/>
    </row>
    <row r="322" spans="5:31" s="134" customFormat="1" ht="12.75" customHeight="1" x14ac:dyDescent="0.25">
      <c r="E322" s="789"/>
      <c r="F322" s="789"/>
      <c r="G322" s="789"/>
      <c r="H322" s="790"/>
      <c r="AD322" s="791"/>
      <c r="AE322" s="792"/>
    </row>
    <row r="323" spans="5:31" s="134" customFormat="1" ht="12.75" customHeight="1" x14ac:dyDescent="0.25">
      <c r="E323" s="789"/>
      <c r="F323" s="789"/>
      <c r="G323" s="789"/>
      <c r="H323" s="790"/>
      <c r="AD323" s="791"/>
      <c r="AE323" s="792"/>
    </row>
    <row r="324" spans="5:31" s="134" customFormat="1" ht="12.75" customHeight="1" x14ac:dyDescent="0.25">
      <c r="E324" s="789"/>
      <c r="F324" s="789"/>
      <c r="G324" s="789"/>
      <c r="H324" s="790"/>
      <c r="AD324" s="791"/>
      <c r="AE324" s="792"/>
    </row>
    <row r="325" spans="5:31" s="134" customFormat="1" ht="12.75" customHeight="1" x14ac:dyDescent="0.25">
      <c r="E325" s="789"/>
      <c r="F325" s="789"/>
      <c r="G325" s="789"/>
      <c r="H325" s="790"/>
      <c r="AD325" s="791"/>
      <c r="AE325" s="792"/>
    </row>
    <row r="326" spans="5:31" s="134" customFormat="1" ht="12.75" customHeight="1" x14ac:dyDescent="0.25">
      <c r="E326" s="789"/>
      <c r="F326" s="789"/>
      <c r="G326" s="789"/>
      <c r="H326" s="790"/>
      <c r="AD326" s="791"/>
      <c r="AE326" s="792"/>
    </row>
    <row r="327" spans="5:31" s="134" customFormat="1" ht="12.75" customHeight="1" x14ac:dyDescent="0.25">
      <c r="E327" s="789"/>
      <c r="F327" s="789"/>
      <c r="G327" s="789"/>
      <c r="H327" s="790"/>
      <c r="AD327" s="791"/>
      <c r="AE327" s="792"/>
    </row>
    <row r="328" spans="5:31" s="134" customFormat="1" ht="12.75" customHeight="1" x14ac:dyDescent="0.25">
      <c r="E328" s="789"/>
      <c r="F328" s="789"/>
      <c r="G328" s="789"/>
      <c r="H328" s="790"/>
      <c r="AD328" s="791"/>
      <c r="AE328" s="792"/>
    </row>
    <row r="329" spans="5:31" s="134" customFormat="1" ht="12.75" customHeight="1" x14ac:dyDescent="0.25">
      <c r="E329" s="789"/>
      <c r="F329" s="789"/>
      <c r="G329" s="789"/>
      <c r="H329" s="790"/>
      <c r="AD329" s="791"/>
      <c r="AE329" s="792"/>
    </row>
    <row r="330" spans="5:31" s="134" customFormat="1" ht="12.75" customHeight="1" x14ac:dyDescent="0.25">
      <c r="E330" s="789"/>
      <c r="F330" s="789"/>
      <c r="G330" s="789"/>
      <c r="H330" s="790"/>
      <c r="AD330" s="791"/>
      <c r="AE330" s="792"/>
    </row>
    <row r="331" spans="5:31" s="134" customFormat="1" ht="12.75" customHeight="1" x14ac:dyDescent="0.25">
      <c r="E331" s="789"/>
      <c r="F331" s="789"/>
      <c r="G331" s="789"/>
      <c r="H331" s="790"/>
      <c r="AD331" s="791"/>
      <c r="AE331" s="792"/>
    </row>
    <row r="332" spans="5:31" s="134" customFormat="1" ht="12.75" customHeight="1" x14ac:dyDescent="0.25">
      <c r="E332" s="789"/>
      <c r="F332" s="789"/>
      <c r="G332" s="789"/>
      <c r="H332" s="790"/>
      <c r="AD332" s="791"/>
      <c r="AE332" s="792"/>
    </row>
    <row r="333" spans="5:31" s="134" customFormat="1" ht="12.75" customHeight="1" x14ac:dyDescent="0.25">
      <c r="E333" s="789"/>
      <c r="F333" s="789"/>
      <c r="G333" s="789"/>
      <c r="H333" s="790"/>
      <c r="AD333" s="791"/>
      <c r="AE333" s="792"/>
    </row>
    <row r="334" spans="5:31" s="134" customFormat="1" ht="12.75" customHeight="1" x14ac:dyDescent="0.25">
      <c r="E334" s="789"/>
      <c r="F334" s="789"/>
      <c r="G334" s="789"/>
      <c r="H334" s="790"/>
      <c r="AD334" s="791"/>
      <c r="AE334" s="792"/>
    </row>
    <row r="335" spans="5:31" s="134" customFormat="1" ht="12.75" customHeight="1" x14ac:dyDescent="0.25">
      <c r="E335" s="789"/>
      <c r="F335" s="789"/>
      <c r="G335" s="789"/>
      <c r="H335" s="790"/>
      <c r="AD335" s="791"/>
      <c r="AE335" s="792"/>
    </row>
    <row r="336" spans="5:31" s="134" customFormat="1" ht="12.75" customHeight="1" x14ac:dyDescent="0.25">
      <c r="E336" s="789"/>
      <c r="F336" s="789"/>
      <c r="G336" s="789"/>
      <c r="H336" s="790"/>
      <c r="AD336" s="791"/>
      <c r="AE336" s="792"/>
    </row>
    <row r="337" spans="5:31" s="134" customFormat="1" ht="12.75" customHeight="1" x14ac:dyDescent="0.25">
      <c r="E337" s="789"/>
      <c r="F337" s="789"/>
      <c r="G337" s="789"/>
      <c r="H337" s="790"/>
      <c r="AD337" s="791"/>
      <c r="AE337" s="792"/>
    </row>
    <row r="338" spans="5:31" s="134" customFormat="1" ht="12.75" customHeight="1" x14ac:dyDescent="0.25">
      <c r="E338" s="789"/>
      <c r="F338" s="789"/>
      <c r="G338" s="789"/>
      <c r="H338" s="790"/>
      <c r="AD338" s="791"/>
      <c r="AE338" s="792"/>
    </row>
    <row r="339" spans="5:31" s="134" customFormat="1" ht="12.75" customHeight="1" x14ac:dyDescent="0.25">
      <c r="E339" s="789"/>
      <c r="F339" s="789"/>
      <c r="G339" s="789"/>
      <c r="H339" s="790"/>
      <c r="AD339" s="791"/>
      <c r="AE339" s="792"/>
    </row>
    <row r="340" spans="5:31" s="134" customFormat="1" ht="12.75" customHeight="1" x14ac:dyDescent="0.25">
      <c r="E340" s="789"/>
      <c r="F340" s="789"/>
      <c r="G340" s="789"/>
      <c r="H340" s="790"/>
      <c r="AD340" s="791"/>
      <c r="AE340" s="792"/>
    </row>
    <row r="341" spans="5:31" s="134" customFormat="1" ht="12.75" customHeight="1" x14ac:dyDescent="0.25">
      <c r="E341" s="789"/>
      <c r="F341" s="789"/>
      <c r="G341" s="789"/>
      <c r="H341" s="790"/>
      <c r="AD341" s="791"/>
      <c r="AE341" s="792"/>
    </row>
    <row r="342" spans="5:31" s="134" customFormat="1" ht="12.75" customHeight="1" x14ac:dyDescent="0.25">
      <c r="E342" s="789"/>
      <c r="F342" s="789"/>
      <c r="G342" s="789"/>
      <c r="H342" s="790"/>
      <c r="AD342" s="791"/>
      <c r="AE342" s="792"/>
    </row>
    <row r="343" spans="5:31" s="134" customFormat="1" ht="12.75" customHeight="1" x14ac:dyDescent="0.25">
      <c r="E343" s="789"/>
      <c r="F343" s="789"/>
      <c r="G343" s="789"/>
      <c r="H343" s="790"/>
      <c r="AD343" s="791"/>
      <c r="AE343" s="792"/>
    </row>
    <row r="344" spans="5:31" s="134" customFormat="1" ht="12.75" customHeight="1" x14ac:dyDescent="0.25">
      <c r="E344" s="789"/>
      <c r="F344" s="789"/>
      <c r="G344" s="789"/>
      <c r="H344" s="790"/>
      <c r="AD344" s="791"/>
      <c r="AE344" s="792"/>
    </row>
    <row r="345" spans="5:31" s="134" customFormat="1" ht="12.75" customHeight="1" x14ac:dyDescent="0.25">
      <c r="E345" s="789"/>
      <c r="F345" s="789"/>
      <c r="G345" s="789"/>
      <c r="H345" s="790"/>
      <c r="AD345" s="791"/>
      <c r="AE345" s="792"/>
    </row>
    <row r="346" spans="5:31" s="134" customFormat="1" ht="12.75" customHeight="1" x14ac:dyDescent="0.25">
      <c r="E346" s="789"/>
      <c r="F346" s="789"/>
      <c r="G346" s="789"/>
      <c r="H346" s="790"/>
      <c r="AD346" s="791"/>
      <c r="AE346" s="792"/>
    </row>
    <row r="347" spans="5:31" s="134" customFormat="1" ht="12.75" customHeight="1" x14ac:dyDescent="0.25">
      <c r="E347" s="789"/>
      <c r="F347" s="789"/>
      <c r="G347" s="789"/>
      <c r="H347" s="790"/>
      <c r="AD347" s="791"/>
      <c r="AE347" s="792"/>
    </row>
    <row r="348" spans="5:31" s="134" customFormat="1" ht="12.75" customHeight="1" x14ac:dyDescent="0.25">
      <c r="E348" s="789"/>
      <c r="F348" s="789"/>
      <c r="G348" s="789"/>
      <c r="H348" s="790"/>
      <c r="AD348" s="791"/>
      <c r="AE348" s="792"/>
    </row>
    <row r="349" spans="5:31" s="134" customFormat="1" ht="12.75" customHeight="1" x14ac:dyDescent="0.25">
      <c r="E349" s="789"/>
      <c r="F349" s="789"/>
      <c r="G349" s="789"/>
      <c r="H349" s="790"/>
      <c r="AD349" s="791"/>
      <c r="AE349" s="792"/>
    </row>
    <row r="350" spans="5:31" s="134" customFormat="1" ht="12.75" customHeight="1" x14ac:dyDescent="0.25">
      <c r="E350" s="789"/>
      <c r="F350" s="789"/>
      <c r="G350" s="789"/>
      <c r="H350" s="790"/>
      <c r="AD350" s="791"/>
      <c r="AE350" s="792"/>
    </row>
    <row r="351" spans="5:31" s="134" customFormat="1" ht="12.75" customHeight="1" x14ac:dyDescent="0.25">
      <c r="E351" s="789"/>
      <c r="F351" s="789"/>
      <c r="G351" s="789"/>
      <c r="H351" s="790"/>
      <c r="AD351" s="791"/>
      <c r="AE351" s="792"/>
    </row>
    <row r="352" spans="5:31" s="134" customFormat="1" ht="12.75" customHeight="1" x14ac:dyDescent="0.25">
      <c r="E352" s="789"/>
      <c r="F352" s="789"/>
      <c r="G352" s="789"/>
      <c r="H352" s="790"/>
      <c r="AD352" s="791"/>
      <c r="AE352" s="792"/>
    </row>
    <row r="353" spans="5:31" s="134" customFormat="1" ht="12.75" customHeight="1" x14ac:dyDescent="0.25">
      <c r="E353" s="789"/>
      <c r="F353" s="789"/>
      <c r="G353" s="789"/>
      <c r="H353" s="790"/>
      <c r="AD353" s="791"/>
      <c r="AE353" s="792"/>
    </row>
    <row r="354" spans="5:31" s="134" customFormat="1" ht="12.75" customHeight="1" x14ac:dyDescent="0.25">
      <c r="E354" s="789"/>
      <c r="F354" s="789"/>
      <c r="G354" s="789"/>
      <c r="H354" s="790"/>
      <c r="AD354" s="791"/>
      <c r="AE354" s="792"/>
    </row>
    <row r="355" spans="5:31" s="134" customFormat="1" ht="12.75" customHeight="1" x14ac:dyDescent="0.25">
      <c r="E355" s="789"/>
      <c r="F355" s="789"/>
      <c r="G355" s="789"/>
      <c r="H355" s="790"/>
      <c r="AD355" s="791"/>
      <c r="AE355" s="792"/>
    </row>
    <row r="356" spans="5:31" s="134" customFormat="1" ht="12.75" customHeight="1" x14ac:dyDescent="0.25">
      <c r="E356" s="789"/>
      <c r="F356" s="789"/>
      <c r="G356" s="789"/>
      <c r="H356" s="790"/>
      <c r="AD356" s="791"/>
      <c r="AE356" s="792"/>
    </row>
    <row r="357" spans="5:31" s="134" customFormat="1" ht="12.75" customHeight="1" x14ac:dyDescent="0.25">
      <c r="E357" s="789"/>
      <c r="F357" s="789"/>
      <c r="G357" s="789"/>
      <c r="H357" s="790"/>
      <c r="AD357" s="791"/>
      <c r="AE357" s="792"/>
    </row>
    <row r="358" spans="5:31" s="134" customFormat="1" ht="12.75" customHeight="1" x14ac:dyDescent="0.25">
      <c r="E358" s="789"/>
      <c r="F358" s="789"/>
      <c r="G358" s="789"/>
      <c r="H358" s="790"/>
      <c r="AD358" s="791"/>
      <c r="AE358" s="792"/>
    </row>
    <row r="359" spans="5:31" s="134" customFormat="1" ht="12.75" customHeight="1" x14ac:dyDescent="0.25">
      <c r="E359" s="789"/>
      <c r="F359" s="789"/>
      <c r="G359" s="789"/>
      <c r="H359" s="790"/>
      <c r="AD359" s="791"/>
      <c r="AE359" s="792"/>
    </row>
    <row r="360" spans="5:31" s="134" customFormat="1" ht="12.75" customHeight="1" x14ac:dyDescent="0.25">
      <c r="E360" s="789"/>
      <c r="F360" s="789"/>
      <c r="G360" s="789"/>
      <c r="H360" s="790"/>
      <c r="AD360" s="791"/>
      <c r="AE360" s="792"/>
    </row>
    <row r="361" spans="5:31" s="134" customFormat="1" ht="12.75" customHeight="1" x14ac:dyDescent="0.25">
      <c r="E361" s="789"/>
      <c r="F361" s="789"/>
      <c r="G361" s="789"/>
      <c r="H361" s="790"/>
      <c r="AD361" s="791"/>
      <c r="AE361" s="792"/>
    </row>
    <row r="362" spans="5:31" s="134" customFormat="1" ht="12.75" customHeight="1" x14ac:dyDescent="0.25">
      <c r="E362" s="789"/>
      <c r="F362" s="789"/>
      <c r="G362" s="789"/>
      <c r="H362" s="790"/>
      <c r="AD362" s="791"/>
      <c r="AE362" s="792"/>
    </row>
    <row r="363" spans="5:31" s="134" customFormat="1" ht="12.75" customHeight="1" x14ac:dyDescent="0.25">
      <c r="E363" s="789"/>
      <c r="F363" s="789"/>
      <c r="G363" s="789"/>
      <c r="H363" s="790"/>
      <c r="AD363" s="791"/>
      <c r="AE363" s="792"/>
    </row>
    <row r="364" spans="5:31" s="134" customFormat="1" ht="12.75" customHeight="1" x14ac:dyDescent="0.25">
      <c r="E364" s="789"/>
      <c r="F364" s="789"/>
      <c r="G364" s="789"/>
      <c r="H364" s="790"/>
      <c r="AD364" s="791"/>
      <c r="AE364" s="792"/>
    </row>
    <row r="365" spans="5:31" ht="12.75" customHeight="1" x14ac:dyDescent="0.25">
      <c r="E365" s="793"/>
      <c r="F365" s="793"/>
      <c r="G365" s="793"/>
      <c r="H365" s="794"/>
    </row>
    <row r="366" spans="5:31" ht="12.75" customHeight="1" x14ac:dyDescent="0.25">
      <c r="E366" s="793"/>
      <c r="F366" s="793"/>
      <c r="G366" s="793"/>
      <c r="H366" s="794"/>
    </row>
    <row r="367" spans="5:31" ht="12.75" customHeight="1" x14ac:dyDescent="0.25">
      <c r="E367" s="793"/>
      <c r="F367" s="793"/>
      <c r="G367" s="793"/>
      <c r="H367" s="794"/>
    </row>
    <row r="368" spans="5:31" ht="12.75" customHeight="1" x14ac:dyDescent="0.25">
      <c r="E368" s="793"/>
      <c r="F368" s="793"/>
      <c r="G368" s="793"/>
      <c r="H368" s="794"/>
    </row>
    <row r="369" spans="5:8" ht="12.75" customHeight="1" x14ac:dyDescent="0.25">
      <c r="E369" s="793"/>
      <c r="F369" s="793"/>
      <c r="G369" s="793"/>
      <c r="H369" s="794"/>
    </row>
    <row r="370" spans="5:8" ht="12.75" customHeight="1" x14ac:dyDescent="0.25">
      <c r="E370" s="793"/>
      <c r="F370" s="793"/>
      <c r="G370" s="793"/>
      <c r="H370" s="794"/>
    </row>
    <row r="371" spans="5:8" ht="12.75" customHeight="1" x14ac:dyDescent="0.25">
      <c r="E371" s="793"/>
      <c r="F371" s="793"/>
      <c r="G371" s="793"/>
      <c r="H371" s="794"/>
    </row>
    <row r="372" spans="5:8" ht="12.75" customHeight="1" x14ac:dyDescent="0.25">
      <c r="E372" s="793"/>
      <c r="F372" s="793"/>
      <c r="G372" s="793"/>
      <c r="H372" s="794"/>
    </row>
    <row r="373" spans="5:8" ht="12.75" customHeight="1" x14ac:dyDescent="0.25">
      <c r="E373" s="793"/>
      <c r="F373" s="793"/>
      <c r="G373" s="793"/>
      <c r="H373" s="794"/>
    </row>
    <row r="374" spans="5:8" ht="12.75" customHeight="1" x14ac:dyDescent="0.25">
      <c r="E374" s="793"/>
      <c r="F374" s="793"/>
      <c r="G374" s="793"/>
      <c r="H374" s="794"/>
    </row>
    <row r="375" spans="5:8" ht="12.75" customHeight="1" x14ac:dyDescent="0.25">
      <c r="E375" s="793"/>
      <c r="F375" s="793"/>
      <c r="G375" s="793"/>
      <c r="H375" s="794"/>
    </row>
    <row r="376" spans="5:8" ht="12.75" customHeight="1" x14ac:dyDescent="0.25">
      <c r="E376" s="793"/>
      <c r="F376" s="793"/>
      <c r="G376" s="793"/>
      <c r="H376" s="794"/>
    </row>
    <row r="377" spans="5:8" ht="12.75" customHeight="1" x14ac:dyDescent="0.25">
      <c r="E377" s="793"/>
      <c r="F377" s="793"/>
      <c r="G377" s="793"/>
      <c r="H377" s="794"/>
    </row>
    <row r="378" spans="5:8" ht="12.75" customHeight="1" x14ac:dyDescent="0.25">
      <c r="E378" s="793"/>
      <c r="F378" s="793"/>
      <c r="G378" s="793"/>
      <c r="H378" s="794"/>
    </row>
    <row r="379" spans="5:8" ht="12.75" customHeight="1" x14ac:dyDescent="0.25">
      <c r="E379" s="793"/>
      <c r="F379" s="793"/>
      <c r="G379" s="793"/>
      <c r="H379" s="794"/>
    </row>
    <row r="380" spans="5:8" ht="12.75" customHeight="1" x14ac:dyDescent="0.25">
      <c r="E380" s="793"/>
      <c r="F380" s="793"/>
      <c r="G380" s="793"/>
      <c r="H380" s="794"/>
    </row>
    <row r="381" spans="5:8" ht="12.75" customHeight="1" x14ac:dyDescent="0.25">
      <c r="E381" s="793"/>
      <c r="F381" s="793"/>
      <c r="G381" s="793"/>
      <c r="H381" s="794"/>
    </row>
    <row r="382" spans="5:8" ht="12.75" customHeight="1" x14ac:dyDescent="0.25">
      <c r="E382" s="793"/>
      <c r="F382" s="793"/>
      <c r="G382" s="793"/>
      <c r="H382" s="794"/>
    </row>
    <row r="383" spans="5:8" ht="12.75" customHeight="1" x14ac:dyDescent="0.25">
      <c r="E383" s="793"/>
      <c r="F383" s="793"/>
      <c r="G383" s="793"/>
      <c r="H383" s="794"/>
    </row>
    <row r="384" spans="5:8" ht="12.75" customHeight="1" x14ac:dyDescent="0.25">
      <c r="E384" s="793"/>
      <c r="F384" s="793"/>
      <c r="G384" s="793"/>
      <c r="H384" s="794"/>
    </row>
    <row r="385" spans="5:8" ht="12.75" customHeight="1" x14ac:dyDescent="0.25">
      <c r="E385" s="793"/>
      <c r="F385" s="793"/>
      <c r="G385" s="793"/>
      <c r="H385" s="794"/>
    </row>
    <row r="386" spans="5:8" ht="12.75" customHeight="1" x14ac:dyDescent="0.25">
      <c r="E386" s="793"/>
      <c r="F386" s="793"/>
      <c r="G386" s="793"/>
      <c r="H386" s="794"/>
    </row>
    <row r="387" spans="5:8" ht="12.75" customHeight="1" x14ac:dyDescent="0.25">
      <c r="E387" s="793"/>
      <c r="F387" s="793"/>
      <c r="G387" s="793"/>
      <c r="H387" s="794"/>
    </row>
    <row r="388" spans="5:8" ht="12.75" customHeight="1" x14ac:dyDescent="0.25">
      <c r="E388" s="793"/>
      <c r="F388" s="793"/>
      <c r="G388" s="793"/>
      <c r="H388" s="794"/>
    </row>
    <row r="389" spans="5:8" ht="12.75" customHeight="1" x14ac:dyDescent="0.25">
      <c r="E389" s="793"/>
      <c r="F389" s="793"/>
      <c r="G389" s="793"/>
      <c r="H389" s="794"/>
    </row>
    <row r="390" spans="5:8" ht="12.75" customHeight="1" x14ac:dyDescent="0.25">
      <c r="E390" s="793"/>
      <c r="F390" s="793"/>
      <c r="G390" s="793"/>
      <c r="H390" s="794"/>
    </row>
    <row r="391" spans="5:8" ht="12.75" customHeight="1" x14ac:dyDescent="0.25">
      <c r="E391" s="793"/>
      <c r="F391" s="793"/>
      <c r="G391" s="793"/>
      <c r="H391" s="794"/>
    </row>
    <row r="392" spans="5:8" ht="12.75" customHeight="1" x14ac:dyDescent="0.25">
      <c r="E392" s="793"/>
      <c r="F392" s="793"/>
      <c r="G392" s="793"/>
      <c r="H392" s="794"/>
    </row>
    <row r="393" spans="5:8" ht="12.75" customHeight="1" x14ac:dyDescent="0.25">
      <c r="E393" s="793"/>
      <c r="F393" s="793"/>
      <c r="G393" s="793"/>
      <c r="H393" s="794"/>
    </row>
    <row r="394" spans="5:8" ht="12.75" customHeight="1" x14ac:dyDescent="0.25">
      <c r="E394" s="793"/>
      <c r="F394" s="793"/>
      <c r="G394" s="793"/>
      <c r="H394" s="794"/>
    </row>
    <row r="395" spans="5:8" ht="12.75" customHeight="1" x14ac:dyDescent="0.25">
      <c r="E395" s="793"/>
      <c r="F395" s="793"/>
      <c r="G395" s="793"/>
      <c r="H395" s="794"/>
    </row>
    <row r="396" spans="5:8" ht="12.75" customHeight="1" x14ac:dyDescent="0.25">
      <c r="E396" s="793"/>
      <c r="F396" s="793"/>
      <c r="G396" s="793"/>
      <c r="H396" s="794"/>
    </row>
    <row r="397" spans="5:8" ht="12.75" customHeight="1" x14ac:dyDescent="0.25">
      <c r="E397" s="793"/>
      <c r="F397" s="793"/>
      <c r="G397" s="793"/>
      <c r="H397" s="794"/>
    </row>
    <row r="398" spans="5:8" ht="12.75" customHeight="1" x14ac:dyDescent="0.25">
      <c r="E398" s="793"/>
      <c r="F398" s="793"/>
      <c r="G398" s="793"/>
      <c r="H398" s="794"/>
    </row>
    <row r="399" spans="5:8" ht="12.75" customHeight="1" x14ac:dyDescent="0.25">
      <c r="E399" s="793"/>
      <c r="F399" s="793"/>
      <c r="G399" s="793"/>
      <c r="H399" s="794"/>
    </row>
    <row r="400" spans="5:8" ht="12.75" customHeight="1" x14ac:dyDescent="0.25">
      <c r="E400" s="793"/>
      <c r="F400" s="793"/>
      <c r="G400" s="793"/>
      <c r="H400" s="794"/>
    </row>
    <row r="401" spans="5:8" ht="12.75" customHeight="1" x14ac:dyDescent="0.25">
      <c r="E401" s="793"/>
      <c r="F401" s="793"/>
      <c r="G401" s="793"/>
      <c r="H401" s="794"/>
    </row>
    <row r="402" spans="5:8" ht="12.75" customHeight="1" x14ac:dyDescent="0.25">
      <c r="E402" s="793"/>
      <c r="F402" s="793"/>
      <c r="G402" s="793"/>
      <c r="H402" s="794"/>
    </row>
    <row r="403" spans="5:8" ht="12.75" customHeight="1" x14ac:dyDescent="0.25">
      <c r="E403" s="793"/>
      <c r="F403" s="793"/>
      <c r="G403" s="793"/>
      <c r="H403" s="794"/>
    </row>
    <row r="404" spans="5:8" ht="12.75" customHeight="1" x14ac:dyDescent="0.25">
      <c r="E404" s="793"/>
      <c r="F404" s="793"/>
      <c r="G404" s="793"/>
      <c r="H404" s="794"/>
    </row>
    <row r="405" spans="5:8" ht="12.75" customHeight="1" x14ac:dyDescent="0.25">
      <c r="E405" s="793"/>
      <c r="F405" s="793"/>
      <c r="G405" s="793"/>
      <c r="H405" s="794"/>
    </row>
    <row r="406" spans="5:8" ht="12.75" customHeight="1" x14ac:dyDescent="0.25">
      <c r="E406" s="793"/>
      <c r="F406" s="793"/>
      <c r="G406" s="793"/>
      <c r="H406" s="794"/>
    </row>
    <row r="407" spans="5:8" ht="12.75" customHeight="1" x14ac:dyDescent="0.25">
      <c r="E407" s="793"/>
      <c r="F407" s="793"/>
      <c r="G407" s="793"/>
      <c r="H407" s="794"/>
    </row>
    <row r="408" spans="5:8" ht="12.75" customHeight="1" x14ac:dyDescent="0.25">
      <c r="E408" s="793"/>
      <c r="F408" s="793"/>
      <c r="G408" s="793"/>
      <c r="H408" s="794"/>
    </row>
    <row r="409" spans="5:8" ht="12.75" customHeight="1" x14ac:dyDescent="0.25">
      <c r="E409" s="793"/>
      <c r="F409" s="793"/>
      <c r="G409" s="793"/>
      <c r="H409" s="794"/>
    </row>
    <row r="410" spans="5:8" ht="12.75" customHeight="1" x14ac:dyDescent="0.25">
      <c r="E410" s="793"/>
      <c r="F410" s="793"/>
      <c r="G410" s="793"/>
      <c r="H410" s="794"/>
    </row>
    <row r="411" spans="5:8" ht="12.75" customHeight="1" x14ac:dyDescent="0.25">
      <c r="E411" s="793"/>
      <c r="F411" s="793"/>
      <c r="G411" s="793"/>
      <c r="H411" s="794"/>
    </row>
    <row r="412" spans="5:8" ht="12.75" customHeight="1" x14ac:dyDescent="0.25">
      <c r="E412" s="793"/>
      <c r="F412" s="793"/>
      <c r="G412" s="793"/>
      <c r="H412" s="794"/>
    </row>
    <row r="413" spans="5:8" ht="12.75" customHeight="1" x14ac:dyDescent="0.25">
      <c r="E413" s="793"/>
      <c r="F413" s="793"/>
      <c r="G413" s="793"/>
      <c r="H413" s="794"/>
    </row>
    <row r="414" spans="5:8" ht="12.75" customHeight="1" x14ac:dyDescent="0.25">
      <c r="E414" s="793"/>
      <c r="F414" s="793"/>
      <c r="G414" s="793"/>
      <c r="H414" s="794"/>
    </row>
    <row r="415" spans="5:8" ht="12.75" customHeight="1" x14ac:dyDescent="0.25">
      <c r="E415" s="793"/>
      <c r="F415" s="793"/>
      <c r="G415" s="793"/>
      <c r="H415" s="794"/>
    </row>
    <row r="416" spans="5:8" ht="12.75" customHeight="1" x14ac:dyDescent="0.25">
      <c r="E416" s="793"/>
      <c r="F416" s="793"/>
      <c r="G416" s="793"/>
      <c r="H416" s="794"/>
    </row>
    <row r="417" spans="5:8" ht="12.75" customHeight="1" x14ac:dyDescent="0.25">
      <c r="E417" s="793"/>
      <c r="F417" s="793"/>
      <c r="G417" s="793"/>
      <c r="H417" s="794"/>
    </row>
    <row r="418" spans="5:8" ht="12.75" customHeight="1" x14ac:dyDescent="0.25">
      <c r="E418" s="793"/>
      <c r="F418" s="793"/>
      <c r="G418" s="793"/>
      <c r="H418" s="794"/>
    </row>
    <row r="419" spans="5:8" ht="12.75" customHeight="1" x14ac:dyDescent="0.25">
      <c r="E419" s="793"/>
      <c r="F419" s="793"/>
      <c r="G419" s="793"/>
      <c r="H419" s="794"/>
    </row>
    <row r="420" spans="5:8" ht="12.75" customHeight="1" x14ac:dyDescent="0.25">
      <c r="E420" s="793"/>
      <c r="F420" s="793"/>
      <c r="G420" s="793"/>
      <c r="H420" s="794"/>
    </row>
    <row r="421" spans="5:8" ht="12.75" customHeight="1" x14ac:dyDescent="0.25">
      <c r="E421" s="793"/>
      <c r="F421" s="793"/>
      <c r="G421" s="793"/>
      <c r="H421" s="794"/>
    </row>
    <row r="422" spans="5:8" ht="12.75" customHeight="1" x14ac:dyDescent="0.25">
      <c r="E422" s="793"/>
      <c r="F422" s="793"/>
      <c r="G422" s="793"/>
      <c r="H422" s="794"/>
    </row>
    <row r="423" spans="5:8" ht="12.75" customHeight="1" x14ac:dyDescent="0.25">
      <c r="E423" s="793"/>
      <c r="F423" s="793"/>
      <c r="G423" s="793"/>
      <c r="H423" s="794"/>
    </row>
    <row r="424" spans="5:8" ht="12.75" customHeight="1" x14ac:dyDescent="0.25">
      <c r="E424" s="793"/>
      <c r="F424" s="793"/>
      <c r="G424" s="793"/>
      <c r="H424" s="794"/>
    </row>
    <row r="425" spans="5:8" ht="12.75" customHeight="1" x14ac:dyDescent="0.25">
      <c r="E425" s="793"/>
      <c r="F425" s="793"/>
      <c r="G425" s="793"/>
      <c r="H425" s="794"/>
    </row>
    <row r="426" spans="5:8" ht="12.75" customHeight="1" x14ac:dyDescent="0.25">
      <c r="E426" s="793"/>
      <c r="F426" s="793"/>
      <c r="G426" s="793"/>
      <c r="H426" s="794"/>
    </row>
    <row r="427" spans="5:8" ht="12.75" customHeight="1" x14ac:dyDescent="0.25">
      <c r="E427" s="793"/>
      <c r="F427" s="793"/>
      <c r="G427" s="793"/>
      <c r="H427" s="794"/>
    </row>
    <row r="428" spans="5:8" ht="12.75" customHeight="1" x14ac:dyDescent="0.25">
      <c r="E428" s="793"/>
      <c r="F428" s="793"/>
      <c r="G428" s="793"/>
      <c r="H428" s="794"/>
    </row>
    <row r="429" spans="5:8" ht="12.75" customHeight="1" x14ac:dyDescent="0.25">
      <c r="E429" s="793"/>
      <c r="F429" s="793"/>
      <c r="G429" s="793"/>
      <c r="H429" s="794"/>
    </row>
    <row r="430" spans="5:8" ht="12.75" customHeight="1" x14ac:dyDescent="0.25">
      <c r="E430" s="793"/>
      <c r="F430" s="793"/>
      <c r="G430" s="793"/>
      <c r="H430" s="794"/>
    </row>
    <row r="431" spans="5:8" ht="12.75" customHeight="1" x14ac:dyDescent="0.25">
      <c r="E431" s="793"/>
      <c r="F431" s="793"/>
      <c r="G431" s="793"/>
      <c r="H431" s="794"/>
    </row>
    <row r="432" spans="5:8" ht="12.75" customHeight="1" x14ac:dyDescent="0.25">
      <c r="E432" s="793"/>
      <c r="F432" s="793"/>
      <c r="G432" s="793"/>
      <c r="H432" s="794"/>
    </row>
    <row r="433" spans="5:8" ht="12.75" customHeight="1" x14ac:dyDescent="0.25">
      <c r="E433" s="793"/>
      <c r="F433" s="793"/>
      <c r="G433" s="793"/>
      <c r="H433" s="794"/>
    </row>
    <row r="434" spans="5:8" ht="12.75" customHeight="1" x14ac:dyDescent="0.25">
      <c r="E434" s="793"/>
      <c r="F434" s="793"/>
      <c r="G434" s="793"/>
      <c r="H434" s="794"/>
    </row>
    <row r="435" spans="5:8" ht="12.75" customHeight="1" x14ac:dyDescent="0.25">
      <c r="E435" s="793"/>
      <c r="F435" s="793"/>
      <c r="G435" s="793"/>
      <c r="H435" s="794"/>
    </row>
    <row r="436" spans="5:8" ht="12.75" customHeight="1" x14ac:dyDescent="0.25">
      <c r="E436" s="793"/>
      <c r="F436" s="793"/>
      <c r="G436" s="793"/>
      <c r="H436" s="794"/>
    </row>
    <row r="437" spans="5:8" ht="12.75" customHeight="1" x14ac:dyDescent="0.25">
      <c r="E437" s="793"/>
      <c r="F437" s="793"/>
      <c r="G437" s="793"/>
      <c r="H437" s="794"/>
    </row>
    <row r="438" spans="5:8" ht="12.75" customHeight="1" x14ac:dyDescent="0.25">
      <c r="E438" s="793"/>
      <c r="F438" s="793"/>
      <c r="G438" s="793"/>
      <c r="H438" s="794"/>
    </row>
    <row r="439" spans="5:8" ht="12.75" customHeight="1" x14ac:dyDescent="0.25">
      <c r="E439" s="793"/>
      <c r="F439" s="793"/>
      <c r="G439" s="793"/>
      <c r="H439" s="794"/>
    </row>
    <row r="440" spans="5:8" ht="12.75" customHeight="1" x14ac:dyDescent="0.25">
      <c r="E440" s="793"/>
      <c r="F440" s="793"/>
      <c r="G440" s="793"/>
      <c r="H440" s="794"/>
    </row>
    <row r="441" spans="5:8" ht="12.75" customHeight="1" x14ac:dyDescent="0.25">
      <c r="E441" s="793"/>
      <c r="F441" s="793"/>
      <c r="G441" s="793"/>
      <c r="H441" s="794"/>
    </row>
    <row r="442" spans="5:8" ht="12.75" customHeight="1" x14ac:dyDescent="0.25">
      <c r="E442" s="793"/>
      <c r="F442" s="793"/>
      <c r="G442" s="793"/>
      <c r="H442" s="794"/>
    </row>
    <row r="443" spans="5:8" ht="12.75" customHeight="1" x14ac:dyDescent="0.25">
      <c r="E443" s="793"/>
      <c r="F443" s="793"/>
      <c r="G443" s="793"/>
      <c r="H443" s="794"/>
    </row>
    <row r="444" spans="5:8" ht="12.75" customHeight="1" x14ac:dyDescent="0.25">
      <c r="E444" s="793"/>
      <c r="F444" s="793"/>
      <c r="G444" s="793"/>
      <c r="H444" s="794"/>
    </row>
    <row r="445" spans="5:8" ht="12.75" customHeight="1" x14ac:dyDescent="0.25">
      <c r="E445" s="793"/>
      <c r="F445" s="793"/>
      <c r="G445" s="793"/>
      <c r="H445" s="794"/>
    </row>
    <row r="446" spans="5:8" ht="12.75" customHeight="1" x14ac:dyDescent="0.25">
      <c r="E446" s="793"/>
      <c r="F446" s="793"/>
      <c r="G446" s="793"/>
      <c r="H446" s="794"/>
    </row>
    <row r="447" spans="5:8" ht="12.75" customHeight="1" x14ac:dyDescent="0.25">
      <c r="E447" s="793"/>
      <c r="F447" s="793"/>
      <c r="G447" s="793"/>
      <c r="H447" s="794"/>
    </row>
    <row r="448" spans="5:8" ht="12.75" customHeight="1" x14ac:dyDescent="0.25">
      <c r="E448" s="793"/>
      <c r="F448" s="793"/>
      <c r="G448" s="793"/>
      <c r="H448" s="794"/>
    </row>
    <row r="449" spans="5:8" ht="12.75" customHeight="1" x14ac:dyDescent="0.25">
      <c r="E449" s="793"/>
      <c r="F449" s="793"/>
      <c r="G449" s="793"/>
      <c r="H449" s="794"/>
    </row>
    <row r="450" spans="5:8" ht="12.75" customHeight="1" x14ac:dyDescent="0.25">
      <c r="E450" s="793"/>
      <c r="F450" s="793"/>
      <c r="G450" s="793"/>
      <c r="H450" s="794"/>
    </row>
    <row r="451" spans="5:8" ht="12.75" customHeight="1" x14ac:dyDescent="0.25">
      <c r="E451" s="793"/>
      <c r="F451" s="793"/>
      <c r="G451" s="793"/>
      <c r="H451" s="794"/>
    </row>
    <row r="452" spans="5:8" ht="12.75" customHeight="1" x14ac:dyDescent="0.25">
      <c r="E452" s="793"/>
      <c r="F452" s="793"/>
      <c r="G452" s="793"/>
      <c r="H452" s="794"/>
    </row>
    <row r="453" spans="5:8" ht="12.75" customHeight="1" x14ac:dyDescent="0.25">
      <c r="E453" s="793"/>
      <c r="F453" s="793"/>
      <c r="G453" s="793"/>
      <c r="H453" s="794"/>
    </row>
    <row r="454" spans="5:8" ht="12.75" customHeight="1" x14ac:dyDescent="0.25">
      <c r="E454" s="793"/>
      <c r="F454" s="793"/>
      <c r="G454" s="793"/>
      <c r="H454" s="794"/>
    </row>
    <row r="455" spans="5:8" ht="12.75" customHeight="1" x14ac:dyDescent="0.25">
      <c r="E455" s="793"/>
      <c r="F455" s="793"/>
      <c r="G455" s="793"/>
      <c r="H455" s="794"/>
    </row>
    <row r="456" spans="5:8" ht="12.75" customHeight="1" x14ac:dyDescent="0.25">
      <c r="E456" s="793"/>
      <c r="F456" s="793"/>
      <c r="G456" s="793"/>
      <c r="H456" s="794"/>
    </row>
    <row r="457" spans="5:8" ht="12.75" customHeight="1" x14ac:dyDescent="0.25">
      <c r="E457" s="793"/>
      <c r="F457" s="793"/>
      <c r="G457" s="793"/>
      <c r="H457" s="794"/>
    </row>
    <row r="458" spans="5:8" ht="12.75" customHeight="1" x14ac:dyDescent="0.25">
      <c r="E458" s="793"/>
      <c r="F458" s="793"/>
      <c r="G458" s="793"/>
      <c r="H458" s="794"/>
    </row>
    <row r="459" spans="5:8" ht="12.75" customHeight="1" x14ac:dyDescent="0.25">
      <c r="E459" s="793"/>
      <c r="F459" s="793"/>
      <c r="G459" s="793"/>
      <c r="H459" s="794"/>
    </row>
    <row r="460" spans="5:8" ht="12.75" customHeight="1" x14ac:dyDescent="0.25">
      <c r="E460" s="793"/>
      <c r="F460" s="793"/>
      <c r="G460" s="793"/>
      <c r="H460" s="794"/>
    </row>
    <row r="461" spans="5:8" ht="12.75" customHeight="1" x14ac:dyDescent="0.25">
      <c r="E461" s="793"/>
      <c r="F461" s="793"/>
      <c r="G461" s="793"/>
      <c r="H461" s="794"/>
    </row>
    <row r="462" spans="5:8" ht="12.75" customHeight="1" x14ac:dyDescent="0.25">
      <c r="E462" s="793"/>
      <c r="F462" s="793"/>
      <c r="G462" s="793"/>
      <c r="H462" s="794"/>
    </row>
    <row r="463" spans="5:8" ht="12.75" customHeight="1" x14ac:dyDescent="0.25">
      <c r="E463" s="793"/>
      <c r="F463" s="793"/>
      <c r="G463" s="793"/>
      <c r="H463" s="794"/>
    </row>
    <row r="464" spans="5:8" ht="12.75" customHeight="1" x14ac:dyDescent="0.25">
      <c r="E464" s="793"/>
      <c r="F464" s="793"/>
      <c r="G464" s="793"/>
      <c r="H464" s="794"/>
    </row>
    <row r="465" spans="5:8" ht="12.75" customHeight="1" x14ac:dyDescent="0.25">
      <c r="E465" s="793"/>
      <c r="F465" s="793"/>
      <c r="G465" s="793"/>
      <c r="H465" s="794"/>
    </row>
    <row r="466" spans="5:8" ht="12.75" customHeight="1" x14ac:dyDescent="0.25">
      <c r="E466" s="793"/>
      <c r="F466" s="793"/>
      <c r="G466" s="793"/>
      <c r="H466" s="794"/>
    </row>
    <row r="467" spans="5:8" ht="12.75" customHeight="1" x14ac:dyDescent="0.25">
      <c r="E467" s="793"/>
      <c r="F467" s="793"/>
      <c r="G467" s="793"/>
      <c r="H467" s="794"/>
    </row>
    <row r="468" spans="5:8" ht="12.75" customHeight="1" x14ac:dyDescent="0.25">
      <c r="E468" s="793"/>
      <c r="F468" s="793"/>
      <c r="G468" s="793"/>
      <c r="H468" s="794"/>
    </row>
    <row r="469" spans="5:8" ht="12.75" customHeight="1" x14ac:dyDescent="0.25">
      <c r="E469" s="793"/>
      <c r="F469" s="793"/>
      <c r="G469" s="793"/>
      <c r="H469" s="794"/>
    </row>
    <row r="470" spans="5:8" ht="12.75" customHeight="1" x14ac:dyDescent="0.25">
      <c r="E470" s="793"/>
      <c r="F470" s="793"/>
      <c r="G470" s="793"/>
      <c r="H470" s="794"/>
    </row>
    <row r="471" spans="5:8" ht="12.75" customHeight="1" x14ac:dyDescent="0.25">
      <c r="E471" s="793"/>
      <c r="F471" s="793"/>
      <c r="G471" s="793"/>
      <c r="H471" s="794"/>
    </row>
    <row r="472" spans="5:8" ht="12.75" customHeight="1" x14ac:dyDescent="0.25">
      <c r="E472" s="793"/>
      <c r="F472" s="793"/>
      <c r="G472" s="793"/>
      <c r="H472" s="794"/>
    </row>
    <row r="473" spans="5:8" ht="12.75" customHeight="1" x14ac:dyDescent="0.25">
      <c r="E473" s="793"/>
      <c r="F473" s="793"/>
      <c r="G473" s="793"/>
      <c r="H473" s="794"/>
    </row>
    <row r="474" spans="5:8" ht="12.75" customHeight="1" x14ac:dyDescent="0.25">
      <c r="E474" s="793"/>
      <c r="F474" s="793"/>
      <c r="G474" s="793"/>
      <c r="H474" s="794"/>
    </row>
    <row r="475" spans="5:8" ht="12.75" customHeight="1" x14ac:dyDescent="0.25">
      <c r="E475" s="793"/>
      <c r="F475" s="793"/>
      <c r="G475" s="793"/>
      <c r="H475" s="794"/>
    </row>
    <row r="476" spans="5:8" ht="12.75" customHeight="1" x14ac:dyDescent="0.25">
      <c r="E476" s="793"/>
      <c r="F476" s="793"/>
      <c r="G476" s="793"/>
      <c r="H476" s="794"/>
    </row>
    <row r="477" spans="5:8" ht="12.75" customHeight="1" x14ac:dyDescent="0.25">
      <c r="E477" s="793"/>
      <c r="F477" s="793"/>
      <c r="G477" s="793"/>
      <c r="H477" s="794"/>
    </row>
    <row r="478" spans="5:8" ht="12.75" customHeight="1" x14ac:dyDescent="0.25">
      <c r="E478" s="793"/>
      <c r="F478" s="793"/>
      <c r="G478" s="793"/>
      <c r="H478" s="794"/>
    </row>
    <row r="479" spans="5:8" ht="12.75" customHeight="1" x14ac:dyDescent="0.25">
      <c r="E479" s="793"/>
      <c r="F479" s="793"/>
      <c r="G479" s="793"/>
      <c r="H479" s="794"/>
    </row>
    <row r="480" spans="5:8" ht="12.75" customHeight="1" x14ac:dyDescent="0.25">
      <c r="E480" s="793"/>
      <c r="F480" s="793"/>
      <c r="G480" s="793"/>
      <c r="H480" s="794"/>
    </row>
    <row r="481" spans="5:8" ht="12.75" customHeight="1" x14ac:dyDescent="0.25">
      <c r="E481" s="793"/>
      <c r="F481" s="793"/>
      <c r="G481" s="793"/>
      <c r="H481" s="794"/>
    </row>
    <row r="482" spans="5:8" ht="12.75" customHeight="1" x14ac:dyDescent="0.25">
      <c r="E482" s="793"/>
      <c r="F482" s="793"/>
      <c r="G482" s="793"/>
      <c r="H482" s="794"/>
    </row>
    <row r="483" spans="5:8" ht="12.75" customHeight="1" x14ac:dyDescent="0.25">
      <c r="E483" s="793"/>
      <c r="F483" s="793"/>
      <c r="G483" s="793"/>
      <c r="H483" s="794"/>
    </row>
    <row r="484" spans="5:8" ht="12.75" customHeight="1" x14ac:dyDescent="0.25">
      <c r="E484" s="793"/>
      <c r="F484" s="793"/>
      <c r="G484" s="793"/>
      <c r="H484" s="794"/>
    </row>
    <row r="485" spans="5:8" ht="12.75" customHeight="1" x14ac:dyDescent="0.25">
      <c r="E485" s="793"/>
      <c r="F485" s="793"/>
      <c r="G485" s="793"/>
      <c r="H485" s="794"/>
    </row>
    <row r="486" spans="5:8" ht="12.75" customHeight="1" x14ac:dyDescent="0.25">
      <c r="E486" s="793"/>
      <c r="F486" s="793"/>
      <c r="G486" s="793"/>
      <c r="H486" s="794"/>
    </row>
    <row r="487" spans="5:8" ht="12.75" customHeight="1" x14ac:dyDescent="0.25">
      <c r="E487" s="793"/>
      <c r="F487" s="793"/>
      <c r="G487" s="793"/>
      <c r="H487" s="794"/>
    </row>
    <row r="488" spans="5:8" ht="12.75" customHeight="1" x14ac:dyDescent="0.25">
      <c r="E488" s="793"/>
      <c r="F488" s="793"/>
      <c r="G488" s="793"/>
      <c r="H488" s="794"/>
    </row>
    <row r="489" spans="5:8" ht="12.75" customHeight="1" x14ac:dyDescent="0.25">
      <c r="E489" s="793"/>
      <c r="F489" s="793"/>
      <c r="G489" s="793"/>
      <c r="H489" s="794"/>
    </row>
    <row r="490" spans="5:8" ht="12.75" customHeight="1" x14ac:dyDescent="0.25">
      <c r="E490" s="793"/>
      <c r="F490" s="793"/>
      <c r="G490" s="793"/>
      <c r="H490" s="794"/>
    </row>
    <row r="491" spans="5:8" ht="12.75" customHeight="1" x14ac:dyDescent="0.25">
      <c r="E491" s="793"/>
      <c r="F491" s="793"/>
      <c r="G491" s="793"/>
      <c r="H491" s="794"/>
    </row>
    <row r="492" spans="5:8" ht="12.75" customHeight="1" x14ac:dyDescent="0.25">
      <c r="E492" s="793"/>
      <c r="F492" s="793"/>
      <c r="G492" s="793"/>
      <c r="H492" s="794"/>
    </row>
    <row r="493" spans="5:8" ht="12.75" customHeight="1" x14ac:dyDescent="0.25">
      <c r="E493" s="793"/>
      <c r="F493" s="793"/>
      <c r="G493" s="793"/>
      <c r="H493" s="794"/>
    </row>
    <row r="494" spans="5:8" ht="12.75" customHeight="1" x14ac:dyDescent="0.25">
      <c r="E494" s="793"/>
      <c r="F494" s="793"/>
      <c r="G494" s="793"/>
      <c r="H494" s="794"/>
    </row>
    <row r="495" spans="5:8" ht="12.75" customHeight="1" x14ac:dyDescent="0.25">
      <c r="E495" s="793"/>
      <c r="F495" s="793"/>
      <c r="G495" s="793"/>
      <c r="H495" s="794"/>
    </row>
    <row r="496" spans="5:8" ht="12.75" customHeight="1" x14ac:dyDescent="0.25">
      <c r="E496" s="793"/>
      <c r="F496" s="793"/>
      <c r="G496" s="793"/>
      <c r="H496" s="794"/>
    </row>
    <row r="497" spans="5:8" ht="12.75" customHeight="1" x14ac:dyDescent="0.25">
      <c r="E497" s="793"/>
      <c r="F497" s="793"/>
      <c r="G497" s="793"/>
      <c r="H497" s="794"/>
    </row>
    <row r="498" spans="5:8" ht="12.75" customHeight="1" x14ac:dyDescent="0.25">
      <c r="E498" s="793"/>
      <c r="F498" s="793"/>
      <c r="G498" s="793"/>
      <c r="H498" s="794"/>
    </row>
    <row r="499" spans="5:8" ht="12.75" customHeight="1" x14ac:dyDescent="0.25">
      <c r="E499" s="793"/>
      <c r="F499" s="793"/>
      <c r="G499" s="793"/>
      <c r="H499" s="794"/>
    </row>
    <row r="500" spans="5:8" ht="12.75" customHeight="1" x14ac:dyDescent="0.25">
      <c r="E500" s="793"/>
      <c r="F500" s="793"/>
      <c r="G500" s="793"/>
      <c r="H500" s="794"/>
    </row>
    <row r="501" spans="5:8" ht="12.75" customHeight="1" x14ac:dyDescent="0.25">
      <c r="E501" s="793"/>
      <c r="F501" s="793"/>
      <c r="G501" s="793"/>
      <c r="H501" s="794"/>
    </row>
    <row r="502" spans="5:8" ht="12.75" customHeight="1" x14ac:dyDescent="0.25">
      <c r="E502" s="793"/>
      <c r="F502" s="793"/>
      <c r="G502" s="793"/>
      <c r="H502" s="794"/>
    </row>
    <row r="503" spans="5:8" ht="12.75" customHeight="1" x14ac:dyDescent="0.25">
      <c r="E503" s="793"/>
      <c r="F503" s="793"/>
      <c r="G503" s="793"/>
      <c r="H503" s="794"/>
    </row>
    <row r="504" spans="5:8" ht="12.75" customHeight="1" x14ac:dyDescent="0.25">
      <c r="E504" s="793"/>
      <c r="F504" s="793"/>
      <c r="G504" s="793"/>
      <c r="H504" s="794"/>
    </row>
    <row r="505" spans="5:8" ht="12.75" customHeight="1" x14ac:dyDescent="0.25">
      <c r="E505" s="793"/>
      <c r="F505" s="793"/>
      <c r="G505" s="793"/>
      <c r="H505" s="794"/>
    </row>
    <row r="506" spans="5:8" ht="12.75" customHeight="1" x14ac:dyDescent="0.25">
      <c r="E506" s="793"/>
      <c r="F506" s="793"/>
      <c r="G506" s="793"/>
      <c r="H506" s="794"/>
    </row>
    <row r="507" spans="5:8" ht="12.75" customHeight="1" x14ac:dyDescent="0.25">
      <c r="E507" s="793"/>
      <c r="F507" s="793"/>
      <c r="G507" s="793"/>
      <c r="H507" s="794"/>
    </row>
    <row r="508" spans="5:8" ht="12.75" customHeight="1" x14ac:dyDescent="0.25">
      <c r="E508" s="793"/>
      <c r="F508" s="793"/>
      <c r="G508" s="793"/>
      <c r="H508" s="794"/>
    </row>
    <row r="509" spans="5:8" ht="12.75" customHeight="1" x14ac:dyDescent="0.25">
      <c r="E509" s="793"/>
      <c r="F509" s="793"/>
      <c r="G509" s="793"/>
      <c r="H509" s="794"/>
    </row>
    <row r="510" spans="5:8" ht="12.75" customHeight="1" x14ac:dyDescent="0.25">
      <c r="E510" s="793"/>
      <c r="F510" s="793"/>
      <c r="G510" s="793"/>
      <c r="H510" s="794"/>
    </row>
    <row r="511" spans="5:8" ht="12.75" customHeight="1" x14ac:dyDescent="0.25">
      <c r="E511" s="793"/>
      <c r="F511" s="793"/>
      <c r="G511" s="793"/>
      <c r="H511" s="794"/>
    </row>
    <row r="512" spans="5:8" ht="12.75" customHeight="1" x14ac:dyDescent="0.25">
      <c r="E512" s="793"/>
      <c r="F512" s="793"/>
      <c r="G512" s="793"/>
      <c r="H512" s="794"/>
    </row>
    <row r="513" spans="5:8" ht="12.75" customHeight="1" x14ac:dyDescent="0.25">
      <c r="E513" s="793"/>
      <c r="F513" s="793"/>
      <c r="G513" s="793"/>
      <c r="H513" s="794"/>
    </row>
    <row r="514" spans="5:8" ht="12.75" customHeight="1" x14ac:dyDescent="0.25">
      <c r="E514" s="793"/>
      <c r="F514" s="793"/>
      <c r="G514" s="793"/>
      <c r="H514" s="794"/>
    </row>
    <row r="515" spans="5:8" ht="12.75" customHeight="1" x14ac:dyDescent="0.25">
      <c r="E515" s="793"/>
      <c r="F515" s="793"/>
      <c r="G515" s="793"/>
      <c r="H515" s="794"/>
    </row>
    <row r="516" spans="5:8" ht="12.75" customHeight="1" x14ac:dyDescent="0.25">
      <c r="E516" s="793"/>
      <c r="F516" s="793"/>
      <c r="G516" s="793"/>
      <c r="H516" s="794"/>
    </row>
    <row r="517" spans="5:8" ht="12.75" customHeight="1" x14ac:dyDescent="0.25">
      <c r="E517" s="793"/>
      <c r="F517" s="793"/>
      <c r="G517" s="793"/>
      <c r="H517" s="794"/>
    </row>
    <row r="518" spans="5:8" ht="12.75" customHeight="1" x14ac:dyDescent="0.25">
      <c r="E518" s="793"/>
      <c r="F518" s="793"/>
      <c r="G518" s="793"/>
      <c r="H518" s="794"/>
    </row>
    <row r="519" spans="5:8" ht="12.75" customHeight="1" x14ac:dyDescent="0.25">
      <c r="E519" s="793"/>
      <c r="F519" s="793"/>
      <c r="G519" s="793"/>
      <c r="H519" s="794"/>
    </row>
    <row r="520" spans="5:8" ht="12.75" customHeight="1" x14ac:dyDescent="0.25">
      <c r="E520" s="793"/>
      <c r="F520" s="793"/>
      <c r="G520" s="793"/>
      <c r="H520" s="794"/>
    </row>
    <row r="521" spans="5:8" ht="12.75" customHeight="1" x14ac:dyDescent="0.25">
      <c r="E521" s="793"/>
      <c r="F521" s="793"/>
      <c r="G521" s="793"/>
      <c r="H521" s="794"/>
    </row>
    <row r="522" spans="5:8" ht="12.75" customHeight="1" x14ac:dyDescent="0.25">
      <c r="E522" s="793"/>
      <c r="F522" s="793"/>
      <c r="G522" s="793"/>
      <c r="H522" s="794"/>
    </row>
    <row r="523" spans="5:8" ht="12.75" customHeight="1" x14ac:dyDescent="0.25">
      <c r="E523" s="793"/>
      <c r="F523" s="793"/>
      <c r="G523" s="793"/>
      <c r="H523" s="794"/>
    </row>
    <row r="524" spans="5:8" ht="12.75" customHeight="1" x14ac:dyDescent="0.25">
      <c r="E524" s="793"/>
      <c r="F524" s="793"/>
      <c r="G524" s="793"/>
      <c r="H524" s="794"/>
    </row>
    <row r="525" spans="5:8" ht="12.75" customHeight="1" x14ac:dyDescent="0.25">
      <c r="E525" s="793"/>
      <c r="F525" s="793"/>
      <c r="G525" s="793"/>
      <c r="H525" s="794"/>
    </row>
    <row r="526" spans="5:8" ht="12.75" customHeight="1" x14ac:dyDescent="0.25">
      <c r="E526" s="793"/>
      <c r="F526" s="793"/>
      <c r="G526" s="793"/>
      <c r="H526" s="794"/>
    </row>
    <row r="527" spans="5:8" ht="12.75" customHeight="1" x14ac:dyDescent="0.25">
      <c r="E527" s="793"/>
      <c r="F527" s="793"/>
      <c r="G527" s="793"/>
      <c r="H527" s="794"/>
    </row>
    <row r="528" spans="5:8" ht="12.75" customHeight="1" x14ac:dyDescent="0.25">
      <c r="E528" s="793"/>
      <c r="F528" s="793"/>
      <c r="G528" s="793"/>
      <c r="H528" s="794"/>
    </row>
    <row r="529" spans="5:8" ht="12.75" customHeight="1" x14ac:dyDescent="0.25">
      <c r="E529" s="793"/>
      <c r="F529" s="793"/>
      <c r="G529" s="793"/>
      <c r="H529" s="794"/>
    </row>
    <row r="530" spans="5:8" ht="12.75" customHeight="1" x14ac:dyDescent="0.25">
      <c r="E530" s="793"/>
      <c r="F530" s="793"/>
      <c r="G530" s="793"/>
      <c r="H530" s="794"/>
    </row>
    <row r="531" spans="5:8" ht="12.75" customHeight="1" x14ac:dyDescent="0.25">
      <c r="E531" s="793"/>
      <c r="F531" s="793"/>
      <c r="G531" s="793"/>
      <c r="H531" s="794"/>
    </row>
    <row r="532" spans="5:8" ht="12.75" customHeight="1" x14ac:dyDescent="0.25">
      <c r="E532" s="793"/>
      <c r="F532" s="793"/>
      <c r="G532" s="793"/>
      <c r="H532" s="794"/>
    </row>
    <row r="533" spans="5:8" ht="12.75" customHeight="1" x14ac:dyDescent="0.25">
      <c r="E533" s="793"/>
      <c r="F533" s="793"/>
      <c r="G533" s="793"/>
      <c r="H533" s="794"/>
    </row>
    <row r="534" spans="5:8" ht="12.75" customHeight="1" x14ac:dyDescent="0.25">
      <c r="E534" s="793"/>
      <c r="F534" s="793"/>
      <c r="G534" s="793"/>
      <c r="H534" s="794"/>
    </row>
    <row r="535" spans="5:8" ht="12.75" customHeight="1" x14ac:dyDescent="0.25">
      <c r="E535" s="793"/>
      <c r="F535" s="793"/>
      <c r="G535" s="793"/>
      <c r="H535" s="794"/>
    </row>
    <row r="536" spans="5:8" ht="12.75" customHeight="1" x14ac:dyDescent="0.25">
      <c r="E536" s="793"/>
      <c r="F536" s="793"/>
      <c r="G536" s="793"/>
      <c r="H536" s="794"/>
    </row>
    <row r="537" spans="5:8" ht="12.75" customHeight="1" x14ac:dyDescent="0.25">
      <c r="E537" s="793"/>
      <c r="F537" s="793"/>
      <c r="G537" s="793"/>
      <c r="H537" s="794"/>
    </row>
    <row r="538" spans="5:8" ht="12.75" customHeight="1" x14ac:dyDescent="0.25">
      <c r="E538" s="793"/>
      <c r="F538" s="793"/>
      <c r="G538" s="793"/>
      <c r="H538" s="794"/>
    </row>
    <row r="539" spans="5:8" ht="12.75" customHeight="1" x14ac:dyDescent="0.25">
      <c r="E539" s="793"/>
      <c r="F539" s="793"/>
      <c r="G539" s="793"/>
      <c r="H539" s="794"/>
    </row>
    <row r="540" spans="5:8" ht="12.75" customHeight="1" x14ac:dyDescent="0.25">
      <c r="E540" s="793"/>
      <c r="F540" s="793"/>
      <c r="G540" s="793"/>
      <c r="H540" s="794"/>
    </row>
    <row r="541" spans="5:8" ht="12.75" customHeight="1" x14ac:dyDescent="0.25">
      <c r="E541" s="793"/>
      <c r="F541" s="793"/>
      <c r="G541" s="793"/>
      <c r="H541" s="794"/>
    </row>
    <row r="542" spans="5:8" ht="12.75" customHeight="1" x14ac:dyDescent="0.25">
      <c r="E542" s="793"/>
      <c r="F542" s="793"/>
      <c r="G542" s="793"/>
      <c r="H542" s="794"/>
    </row>
    <row r="543" spans="5:8" ht="12.75" customHeight="1" x14ac:dyDescent="0.25">
      <c r="E543" s="793"/>
      <c r="F543" s="793"/>
      <c r="G543" s="793"/>
      <c r="H543" s="794"/>
    </row>
    <row r="544" spans="5:8" ht="12.75" customHeight="1" x14ac:dyDescent="0.25">
      <c r="E544" s="793"/>
      <c r="F544" s="793"/>
      <c r="G544" s="793"/>
      <c r="H544" s="794"/>
    </row>
    <row r="545" spans="5:8" ht="12.75" customHeight="1" x14ac:dyDescent="0.25">
      <c r="E545" s="793"/>
      <c r="F545" s="793"/>
      <c r="G545" s="793"/>
      <c r="H545" s="794"/>
    </row>
    <row r="546" spans="5:8" ht="12.75" customHeight="1" x14ac:dyDescent="0.25">
      <c r="E546" s="793"/>
      <c r="F546" s="793"/>
      <c r="G546" s="793"/>
      <c r="H546" s="794"/>
    </row>
    <row r="547" spans="5:8" ht="12.75" customHeight="1" x14ac:dyDescent="0.25">
      <c r="E547" s="793"/>
      <c r="F547" s="793"/>
      <c r="G547" s="793"/>
      <c r="H547" s="794"/>
    </row>
    <row r="548" spans="5:8" ht="12.75" customHeight="1" x14ac:dyDescent="0.25">
      <c r="E548" s="793"/>
      <c r="F548" s="793"/>
      <c r="G548" s="793"/>
      <c r="H548" s="794"/>
    </row>
    <row r="549" spans="5:8" ht="12.75" customHeight="1" x14ac:dyDescent="0.25">
      <c r="E549" s="793"/>
      <c r="F549" s="793"/>
      <c r="G549" s="793"/>
      <c r="H549" s="794"/>
    </row>
    <row r="550" spans="5:8" ht="12.75" customHeight="1" x14ac:dyDescent="0.25">
      <c r="E550" s="793"/>
      <c r="F550" s="793"/>
      <c r="G550" s="793"/>
      <c r="H550" s="794"/>
    </row>
    <row r="551" spans="5:8" ht="12.75" customHeight="1" x14ac:dyDescent="0.25">
      <c r="E551" s="793"/>
      <c r="F551" s="793"/>
      <c r="G551" s="793"/>
      <c r="H551" s="794"/>
    </row>
    <row r="552" spans="5:8" ht="12.75" customHeight="1" x14ac:dyDescent="0.25">
      <c r="E552" s="793"/>
      <c r="F552" s="793"/>
      <c r="G552" s="793"/>
      <c r="H552" s="794"/>
    </row>
    <row r="553" spans="5:8" ht="12.75" customHeight="1" x14ac:dyDescent="0.25">
      <c r="E553" s="793"/>
      <c r="F553" s="793"/>
      <c r="G553" s="793"/>
      <c r="H553" s="794"/>
    </row>
    <row r="554" spans="5:8" ht="12.75" customHeight="1" x14ac:dyDescent="0.25">
      <c r="E554" s="793"/>
      <c r="F554" s="793"/>
      <c r="G554" s="793"/>
      <c r="H554" s="794"/>
    </row>
    <row r="555" spans="5:8" ht="12.75" customHeight="1" x14ac:dyDescent="0.25">
      <c r="E555" s="793"/>
      <c r="F555" s="793"/>
      <c r="G555" s="793"/>
      <c r="H555" s="794"/>
    </row>
    <row r="556" spans="5:8" ht="12.75" customHeight="1" x14ac:dyDescent="0.25">
      <c r="E556" s="793"/>
      <c r="F556" s="793"/>
      <c r="G556" s="793"/>
      <c r="H556" s="794"/>
    </row>
    <row r="557" spans="5:8" ht="12.75" customHeight="1" x14ac:dyDescent="0.25">
      <c r="E557" s="793"/>
      <c r="F557" s="793"/>
      <c r="G557" s="793"/>
      <c r="H557" s="794"/>
    </row>
    <row r="558" spans="5:8" ht="12.75" customHeight="1" x14ac:dyDescent="0.25">
      <c r="E558" s="793"/>
      <c r="F558" s="793"/>
      <c r="G558" s="793"/>
      <c r="H558" s="794"/>
    </row>
    <row r="559" spans="5:8" ht="12.75" customHeight="1" x14ac:dyDescent="0.25">
      <c r="E559" s="793"/>
      <c r="F559" s="793"/>
      <c r="G559" s="793"/>
      <c r="H559" s="794"/>
    </row>
    <row r="560" spans="5:8" ht="12.75" customHeight="1" x14ac:dyDescent="0.25">
      <c r="E560" s="793"/>
      <c r="F560" s="793"/>
      <c r="G560" s="793"/>
      <c r="H560" s="794"/>
    </row>
    <row r="561" spans="5:8" ht="12.75" customHeight="1" x14ac:dyDescent="0.25">
      <c r="E561" s="793"/>
      <c r="F561" s="793"/>
      <c r="G561" s="793"/>
      <c r="H561" s="794"/>
    </row>
    <row r="562" spans="5:8" ht="12.75" customHeight="1" x14ac:dyDescent="0.25">
      <c r="E562" s="793"/>
      <c r="F562" s="793"/>
      <c r="G562" s="793"/>
      <c r="H562" s="794"/>
    </row>
    <row r="563" spans="5:8" ht="12.75" customHeight="1" x14ac:dyDescent="0.25">
      <c r="E563" s="793"/>
      <c r="F563" s="793"/>
      <c r="G563" s="793"/>
      <c r="H563" s="794"/>
    </row>
    <row r="564" spans="5:8" ht="12.75" customHeight="1" x14ac:dyDescent="0.25">
      <c r="E564" s="793"/>
      <c r="F564" s="793"/>
      <c r="G564" s="793"/>
      <c r="H564" s="794"/>
    </row>
    <row r="565" spans="5:8" ht="12.75" customHeight="1" x14ac:dyDescent="0.25">
      <c r="E565" s="793"/>
      <c r="F565" s="793"/>
      <c r="G565" s="793"/>
      <c r="H565" s="794"/>
    </row>
    <row r="566" spans="5:8" ht="12.75" customHeight="1" x14ac:dyDescent="0.25">
      <c r="E566" s="793"/>
      <c r="F566" s="793"/>
      <c r="G566" s="793"/>
      <c r="H566" s="794"/>
    </row>
    <row r="567" spans="5:8" ht="12.75" customHeight="1" x14ac:dyDescent="0.25">
      <c r="E567" s="793"/>
      <c r="F567" s="793"/>
      <c r="G567" s="793"/>
      <c r="H567" s="794"/>
    </row>
    <row r="568" spans="5:8" ht="12.75" customHeight="1" x14ac:dyDescent="0.25">
      <c r="E568" s="793"/>
      <c r="F568" s="793"/>
      <c r="G568" s="793"/>
      <c r="H568" s="794"/>
    </row>
    <row r="569" spans="5:8" ht="12.75" customHeight="1" x14ac:dyDescent="0.25">
      <c r="E569" s="793"/>
      <c r="F569" s="793"/>
      <c r="G569" s="793"/>
      <c r="H569" s="794"/>
    </row>
    <row r="570" spans="5:8" ht="12.75" customHeight="1" x14ac:dyDescent="0.25">
      <c r="E570" s="793"/>
      <c r="F570" s="793"/>
      <c r="G570" s="793"/>
      <c r="H570" s="794"/>
    </row>
    <row r="571" spans="5:8" ht="12.75" customHeight="1" x14ac:dyDescent="0.25">
      <c r="E571" s="793"/>
      <c r="F571" s="793"/>
      <c r="G571" s="793"/>
      <c r="H571" s="794"/>
    </row>
    <row r="572" spans="5:8" ht="12.75" customHeight="1" x14ac:dyDescent="0.25">
      <c r="E572" s="793"/>
      <c r="F572" s="793"/>
      <c r="G572" s="793"/>
      <c r="H572" s="794"/>
    </row>
    <row r="573" spans="5:8" ht="12.75" customHeight="1" x14ac:dyDescent="0.25">
      <c r="E573" s="793"/>
      <c r="F573" s="793"/>
      <c r="G573" s="793"/>
      <c r="H573" s="794"/>
    </row>
    <row r="574" spans="5:8" ht="12.75" customHeight="1" x14ac:dyDescent="0.25">
      <c r="E574" s="793"/>
      <c r="F574" s="793"/>
      <c r="G574" s="793"/>
      <c r="H574" s="794"/>
    </row>
    <row r="575" spans="5:8" ht="12.75" customHeight="1" x14ac:dyDescent="0.25">
      <c r="E575" s="793"/>
      <c r="F575" s="793"/>
      <c r="G575" s="793"/>
      <c r="H575" s="794"/>
    </row>
    <row r="576" spans="5:8" ht="12.75" customHeight="1" x14ac:dyDescent="0.25">
      <c r="E576" s="793"/>
      <c r="F576" s="793"/>
      <c r="G576" s="793"/>
      <c r="H576" s="794"/>
    </row>
    <row r="577" spans="5:8" ht="12.75" customHeight="1" x14ac:dyDescent="0.25">
      <c r="E577" s="793"/>
      <c r="F577" s="793"/>
      <c r="G577" s="793"/>
      <c r="H577" s="794"/>
    </row>
    <row r="578" spans="5:8" ht="12.75" customHeight="1" x14ac:dyDescent="0.25">
      <c r="E578" s="793"/>
      <c r="F578" s="793"/>
      <c r="G578" s="793"/>
      <c r="H578" s="794"/>
    </row>
    <row r="579" spans="5:8" ht="12.75" customHeight="1" x14ac:dyDescent="0.25">
      <c r="E579" s="793"/>
      <c r="F579" s="793"/>
      <c r="G579" s="793"/>
      <c r="H579" s="794"/>
    </row>
    <row r="580" spans="5:8" ht="12.75" customHeight="1" x14ac:dyDescent="0.25">
      <c r="E580" s="793"/>
      <c r="F580" s="793"/>
      <c r="G580" s="793"/>
      <c r="H580" s="794"/>
    </row>
    <row r="581" spans="5:8" ht="12.75" customHeight="1" x14ac:dyDescent="0.25">
      <c r="E581" s="793"/>
      <c r="F581" s="793"/>
      <c r="G581" s="793"/>
      <c r="H581" s="794"/>
    </row>
    <row r="582" spans="5:8" ht="12.75" customHeight="1" x14ac:dyDescent="0.25">
      <c r="E582" s="793"/>
      <c r="F582" s="793"/>
      <c r="G582" s="793"/>
      <c r="H582" s="794"/>
    </row>
    <row r="583" spans="5:8" ht="12.75" customHeight="1" x14ac:dyDescent="0.25">
      <c r="E583" s="793"/>
      <c r="F583" s="793"/>
      <c r="G583" s="793"/>
      <c r="H583" s="794"/>
    </row>
    <row r="584" spans="5:8" ht="12.75" customHeight="1" x14ac:dyDescent="0.25">
      <c r="E584" s="793"/>
      <c r="F584" s="793"/>
      <c r="G584" s="793"/>
      <c r="H584" s="794"/>
    </row>
    <row r="585" spans="5:8" ht="12.75" customHeight="1" x14ac:dyDescent="0.25">
      <c r="E585" s="793"/>
      <c r="F585" s="793"/>
      <c r="G585" s="793"/>
      <c r="H585" s="794"/>
    </row>
    <row r="586" spans="5:8" ht="12.75" customHeight="1" x14ac:dyDescent="0.25">
      <c r="E586" s="793"/>
      <c r="F586" s="793"/>
      <c r="G586" s="793"/>
      <c r="H586" s="794"/>
    </row>
    <row r="587" spans="5:8" ht="12.75" customHeight="1" x14ac:dyDescent="0.25">
      <c r="E587" s="793"/>
      <c r="F587" s="793"/>
      <c r="G587" s="793"/>
      <c r="H587" s="794"/>
    </row>
    <row r="588" spans="5:8" ht="12.75" customHeight="1" x14ac:dyDescent="0.25">
      <c r="E588" s="793"/>
      <c r="F588" s="793"/>
      <c r="G588" s="793"/>
      <c r="H588" s="794"/>
    </row>
    <row r="589" spans="5:8" ht="12.75" customHeight="1" x14ac:dyDescent="0.25">
      <c r="E589" s="793"/>
      <c r="F589" s="793"/>
      <c r="G589" s="793"/>
      <c r="H589" s="794"/>
    </row>
    <row r="590" spans="5:8" ht="12.75" customHeight="1" x14ac:dyDescent="0.25">
      <c r="E590" s="793"/>
      <c r="F590" s="793"/>
      <c r="G590" s="793"/>
      <c r="H590" s="794"/>
    </row>
    <row r="591" spans="5:8" ht="12.75" customHeight="1" x14ac:dyDescent="0.25">
      <c r="E591" s="793"/>
      <c r="F591" s="793"/>
      <c r="G591" s="793"/>
      <c r="H591" s="794"/>
    </row>
    <row r="592" spans="5:8" ht="12.75" customHeight="1" x14ac:dyDescent="0.25">
      <c r="E592" s="793"/>
      <c r="F592" s="793"/>
      <c r="G592" s="793"/>
      <c r="H592" s="794"/>
    </row>
    <row r="593" spans="5:8" ht="12.75" customHeight="1" x14ac:dyDescent="0.25">
      <c r="E593" s="793"/>
      <c r="F593" s="793"/>
      <c r="G593" s="793"/>
      <c r="H593" s="794"/>
    </row>
    <row r="594" spans="5:8" ht="12.75" customHeight="1" x14ac:dyDescent="0.25">
      <c r="E594" s="793"/>
      <c r="F594" s="793"/>
      <c r="G594" s="793"/>
      <c r="H594" s="794"/>
    </row>
    <row r="595" spans="5:8" ht="12.75" customHeight="1" x14ac:dyDescent="0.25">
      <c r="E595" s="793"/>
      <c r="F595" s="793"/>
      <c r="G595" s="793"/>
      <c r="H595" s="794"/>
    </row>
    <row r="596" spans="5:8" ht="12.75" customHeight="1" x14ac:dyDescent="0.25">
      <c r="E596" s="793"/>
      <c r="F596" s="793"/>
      <c r="G596" s="793"/>
      <c r="H596" s="794"/>
    </row>
    <row r="597" spans="5:8" ht="12.75" customHeight="1" x14ac:dyDescent="0.25">
      <c r="E597" s="793"/>
      <c r="F597" s="793"/>
      <c r="G597" s="793"/>
      <c r="H597" s="794"/>
    </row>
    <row r="598" spans="5:8" ht="12.75" customHeight="1" x14ac:dyDescent="0.25">
      <c r="E598" s="793"/>
      <c r="F598" s="793"/>
      <c r="G598" s="793"/>
      <c r="H598" s="794"/>
    </row>
    <row r="599" spans="5:8" ht="12.75" customHeight="1" x14ac:dyDescent="0.25">
      <c r="E599" s="793"/>
      <c r="F599" s="793"/>
      <c r="G599" s="793"/>
      <c r="H599" s="794"/>
    </row>
    <row r="600" spans="5:8" ht="12.75" customHeight="1" x14ac:dyDescent="0.25">
      <c r="E600" s="793"/>
      <c r="F600" s="793"/>
      <c r="G600" s="793"/>
      <c r="H600" s="794"/>
    </row>
    <row r="601" spans="5:8" ht="12.75" customHeight="1" x14ac:dyDescent="0.25">
      <c r="E601" s="793"/>
      <c r="F601" s="793"/>
      <c r="G601" s="793"/>
      <c r="H601" s="794"/>
    </row>
    <row r="602" spans="5:8" ht="12.75" customHeight="1" x14ac:dyDescent="0.25">
      <c r="E602" s="793"/>
      <c r="F602" s="793"/>
      <c r="G602" s="793"/>
      <c r="H602" s="794"/>
    </row>
    <row r="603" spans="5:8" ht="12.75" customHeight="1" x14ac:dyDescent="0.25">
      <c r="E603" s="793"/>
      <c r="F603" s="793"/>
      <c r="G603" s="793"/>
      <c r="H603" s="794"/>
    </row>
    <row r="604" spans="5:8" ht="12.75" customHeight="1" x14ac:dyDescent="0.25">
      <c r="E604" s="793"/>
      <c r="F604" s="793"/>
      <c r="G604" s="793"/>
      <c r="H604" s="794"/>
    </row>
    <row r="605" spans="5:8" ht="12.75" customHeight="1" x14ac:dyDescent="0.25">
      <c r="E605" s="793"/>
      <c r="F605" s="793"/>
      <c r="G605" s="793"/>
      <c r="H605" s="794"/>
    </row>
    <row r="606" spans="5:8" ht="12.75" customHeight="1" x14ac:dyDescent="0.25">
      <c r="E606" s="793"/>
      <c r="F606" s="793"/>
      <c r="G606" s="793"/>
      <c r="H606" s="794"/>
    </row>
    <row r="607" spans="5:8" ht="12.75" customHeight="1" x14ac:dyDescent="0.25">
      <c r="E607" s="793"/>
      <c r="F607" s="793"/>
      <c r="G607" s="793"/>
      <c r="H607" s="794"/>
    </row>
    <row r="608" spans="5:8" ht="12.75" customHeight="1" x14ac:dyDescent="0.25">
      <c r="E608" s="793"/>
      <c r="F608" s="793"/>
      <c r="G608" s="793"/>
      <c r="H608" s="794"/>
    </row>
    <row r="609" spans="5:8" ht="12.75" customHeight="1" x14ac:dyDescent="0.25">
      <c r="E609" s="793"/>
      <c r="F609" s="793"/>
      <c r="G609" s="793"/>
      <c r="H609" s="794"/>
    </row>
    <row r="610" spans="5:8" ht="12.75" customHeight="1" x14ac:dyDescent="0.25">
      <c r="E610" s="793"/>
      <c r="F610" s="793"/>
      <c r="G610" s="793"/>
      <c r="H610" s="794"/>
    </row>
    <row r="611" spans="5:8" ht="12.75" customHeight="1" x14ac:dyDescent="0.25">
      <c r="E611" s="793"/>
      <c r="F611" s="793"/>
      <c r="G611" s="793"/>
      <c r="H611" s="794"/>
    </row>
    <row r="612" spans="5:8" ht="12.75" customHeight="1" x14ac:dyDescent="0.25">
      <c r="E612" s="793"/>
      <c r="F612" s="793"/>
      <c r="G612" s="793"/>
      <c r="H612" s="794"/>
    </row>
    <row r="613" spans="5:8" ht="12.75" customHeight="1" x14ac:dyDescent="0.25">
      <c r="E613" s="793"/>
      <c r="F613" s="793"/>
      <c r="G613" s="793"/>
      <c r="H613" s="794"/>
    </row>
    <row r="614" spans="5:8" ht="12.75" customHeight="1" x14ac:dyDescent="0.25">
      <c r="E614" s="793"/>
      <c r="F614" s="793"/>
      <c r="G614" s="793"/>
      <c r="H614" s="794"/>
    </row>
    <row r="615" spans="5:8" ht="12.75" customHeight="1" x14ac:dyDescent="0.25">
      <c r="E615" s="793"/>
      <c r="F615" s="793"/>
      <c r="G615" s="793"/>
      <c r="H615" s="794"/>
    </row>
    <row r="616" spans="5:8" ht="12.75" customHeight="1" x14ac:dyDescent="0.25">
      <c r="E616" s="793"/>
      <c r="F616" s="793"/>
      <c r="G616" s="793"/>
      <c r="H616" s="794"/>
    </row>
    <row r="617" spans="5:8" ht="12.75" customHeight="1" x14ac:dyDescent="0.25">
      <c r="E617" s="793"/>
      <c r="F617" s="793"/>
      <c r="G617" s="793"/>
      <c r="H617" s="794"/>
    </row>
    <row r="618" spans="5:8" ht="12.75" customHeight="1" x14ac:dyDescent="0.25">
      <c r="E618" s="793"/>
      <c r="F618" s="793"/>
      <c r="G618" s="793"/>
      <c r="H618" s="794"/>
    </row>
    <row r="619" spans="5:8" ht="12.75" customHeight="1" x14ac:dyDescent="0.25">
      <c r="E619" s="793"/>
      <c r="F619" s="793"/>
      <c r="G619" s="793"/>
      <c r="H619" s="794"/>
    </row>
    <row r="620" spans="5:8" ht="12.75" customHeight="1" x14ac:dyDescent="0.25">
      <c r="E620" s="793"/>
      <c r="F620" s="793"/>
      <c r="G620" s="793"/>
      <c r="H620" s="794"/>
    </row>
    <row r="621" spans="5:8" ht="12.75" customHeight="1" x14ac:dyDescent="0.25">
      <c r="E621" s="793"/>
      <c r="F621" s="793"/>
      <c r="G621" s="793"/>
      <c r="H621" s="794"/>
    </row>
    <row r="622" spans="5:8" ht="12.75" customHeight="1" x14ac:dyDescent="0.25">
      <c r="E622" s="793"/>
      <c r="F622" s="793"/>
      <c r="G622" s="793"/>
      <c r="H622" s="794"/>
    </row>
    <row r="623" spans="5:8" ht="12.75" customHeight="1" x14ac:dyDescent="0.25">
      <c r="E623" s="793"/>
      <c r="F623" s="793"/>
      <c r="G623" s="793"/>
      <c r="H623" s="794"/>
    </row>
    <row r="624" spans="5:8" ht="12.75" customHeight="1" x14ac:dyDescent="0.25">
      <c r="E624" s="793"/>
      <c r="F624" s="793"/>
      <c r="G624" s="793"/>
      <c r="H624" s="794"/>
    </row>
    <row r="625" spans="5:8" ht="12.75" customHeight="1" x14ac:dyDescent="0.25">
      <c r="E625" s="793"/>
      <c r="F625" s="793"/>
      <c r="G625" s="793"/>
      <c r="H625" s="794"/>
    </row>
    <row r="626" spans="5:8" ht="12.75" customHeight="1" x14ac:dyDescent="0.25">
      <c r="E626" s="793"/>
      <c r="F626" s="793"/>
      <c r="G626" s="793"/>
      <c r="H626" s="794"/>
    </row>
    <row r="627" spans="5:8" ht="12.75" customHeight="1" x14ac:dyDescent="0.25">
      <c r="E627" s="793"/>
      <c r="F627" s="793"/>
      <c r="G627" s="793"/>
      <c r="H627" s="794"/>
    </row>
    <row r="628" spans="5:8" ht="12.75" customHeight="1" x14ac:dyDescent="0.25">
      <c r="E628" s="793"/>
      <c r="F628" s="793"/>
      <c r="G628" s="793"/>
      <c r="H628" s="794"/>
    </row>
    <row r="629" spans="5:8" ht="12.75" customHeight="1" x14ac:dyDescent="0.25">
      <c r="E629" s="793"/>
      <c r="F629" s="793"/>
      <c r="G629" s="793"/>
      <c r="H629" s="794"/>
    </row>
    <row r="630" spans="5:8" ht="12.75" customHeight="1" x14ac:dyDescent="0.25">
      <c r="E630" s="793"/>
      <c r="F630" s="793"/>
      <c r="G630" s="793"/>
      <c r="H630" s="794"/>
    </row>
    <row r="631" spans="5:8" ht="12.75" customHeight="1" x14ac:dyDescent="0.25">
      <c r="E631" s="793"/>
      <c r="F631" s="793"/>
      <c r="G631" s="793"/>
      <c r="H631" s="794"/>
    </row>
    <row r="632" spans="5:8" ht="12.75" customHeight="1" x14ac:dyDescent="0.25">
      <c r="E632" s="793"/>
      <c r="F632" s="793"/>
      <c r="G632" s="793"/>
      <c r="H632" s="794"/>
    </row>
    <row r="633" spans="5:8" ht="12.75" customHeight="1" x14ac:dyDescent="0.25">
      <c r="E633" s="793"/>
      <c r="F633" s="793"/>
      <c r="G633" s="793"/>
      <c r="H633" s="794"/>
    </row>
    <row r="634" spans="5:8" ht="12.75" customHeight="1" x14ac:dyDescent="0.25">
      <c r="E634" s="793"/>
      <c r="F634" s="793"/>
      <c r="G634" s="793"/>
      <c r="H634" s="794"/>
    </row>
    <row r="635" spans="5:8" ht="12.75" customHeight="1" x14ac:dyDescent="0.25"/>
    <row r="636" spans="5:8" ht="12.75" customHeight="1" x14ac:dyDescent="0.25"/>
    <row r="637" spans="5:8" ht="12.75" customHeight="1" x14ac:dyDescent="0.25"/>
    <row r="638" spans="5:8" ht="12.75" customHeight="1" x14ac:dyDescent="0.25"/>
    <row r="639" spans="5:8" ht="12.75" customHeight="1" x14ac:dyDescent="0.25"/>
    <row r="640" spans="5:8"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row r="1068" ht="12.75" customHeight="1" x14ac:dyDescent="0.25"/>
    <row r="1069" ht="12.75" customHeight="1" x14ac:dyDescent="0.25"/>
    <row r="1070" ht="12.75" customHeight="1" x14ac:dyDescent="0.25"/>
    <row r="1071" ht="12.75" customHeight="1" x14ac:dyDescent="0.25"/>
    <row r="1072" ht="12.75" customHeight="1" x14ac:dyDescent="0.25"/>
    <row r="1073" ht="12.75" customHeight="1" x14ac:dyDescent="0.25"/>
    <row r="1074" ht="12.75" customHeight="1" x14ac:dyDescent="0.25"/>
    <row r="1075" ht="12.75" customHeight="1" x14ac:dyDescent="0.25"/>
    <row r="1076" ht="12.75" customHeight="1" x14ac:dyDescent="0.25"/>
    <row r="1077" ht="12.75" customHeight="1" x14ac:dyDescent="0.25"/>
    <row r="1078" ht="12.75" customHeight="1" x14ac:dyDescent="0.25"/>
    <row r="1079" ht="12.75" customHeight="1" x14ac:dyDescent="0.25"/>
    <row r="1080" ht="12.75" customHeight="1" x14ac:dyDescent="0.25"/>
    <row r="1081" ht="12.75" customHeight="1" x14ac:dyDescent="0.25"/>
    <row r="1082" ht="12.75" customHeight="1" x14ac:dyDescent="0.25"/>
    <row r="1083" ht="12.75" customHeight="1" x14ac:dyDescent="0.25"/>
    <row r="1084" ht="12.75" customHeight="1" x14ac:dyDescent="0.25"/>
    <row r="1085" ht="12.75" customHeight="1" x14ac:dyDescent="0.25"/>
    <row r="1086" ht="12.75" customHeight="1" x14ac:dyDescent="0.25"/>
    <row r="1087" ht="12.75" customHeight="1" x14ac:dyDescent="0.25"/>
    <row r="1088" ht="12.75" customHeight="1" x14ac:dyDescent="0.25"/>
    <row r="1089" ht="12.75" customHeight="1" x14ac:dyDescent="0.25"/>
    <row r="1090" ht="12.75" customHeight="1" x14ac:dyDescent="0.25"/>
    <row r="1091" ht="12.75" customHeight="1" x14ac:dyDescent="0.25"/>
    <row r="1092" ht="12.75" customHeight="1" x14ac:dyDescent="0.25"/>
    <row r="1093" ht="12.75" customHeight="1" x14ac:dyDescent="0.25"/>
    <row r="1094" ht="12.75" customHeight="1" x14ac:dyDescent="0.25"/>
    <row r="1095" ht="12.75" customHeight="1" x14ac:dyDescent="0.25"/>
    <row r="1096" ht="12.75" customHeight="1" x14ac:dyDescent="0.25"/>
    <row r="1097" ht="12.75" customHeight="1" x14ac:dyDescent="0.25"/>
    <row r="1098" ht="12.75" customHeight="1" x14ac:dyDescent="0.25"/>
    <row r="1099" ht="12.75" customHeight="1" x14ac:dyDescent="0.25"/>
    <row r="1100" ht="12.75" customHeight="1" x14ac:dyDescent="0.25"/>
    <row r="1101" ht="12.75" customHeight="1" x14ac:dyDescent="0.25"/>
    <row r="1102" ht="12.75" customHeight="1" x14ac:dyDescent="0.25"/>
    <row r="1103" ht="12.75" customHeight="1" x14ac:dyDescent="0.25"/>
    <row r="1104" ht="12.75" customHeight="1" x14ac:dyDescent="0.25"/>
    <row r="1105" ht="12.75" customHeight="1" x14ac:dyDescent="0.25"/>
    <row r="1106" ht="12.75" customHeight="1" x14ac:dyDescent="0.25"/>
    <row r="1107" ht="12.75" customHeight="1" x14ac:dyDescent="0.25"/>
    <row r="1108" ht="12.75" customHeight="1" x14ac:dyDescent="0.25"/>
    <row r="1109" ht="12.75" customHeight="1" x14ac:dyDescent="0.25"/>
  </sheetData>
  <sheetProtection algorithmName="SHA-512" hashValue="7mbqOdpjZKb8pXZyssPPnIsTAhz2UJcRLoqIbDVYBLgfroCMam3dlsHGUjj5hBdGOTx2lEgjB8leMaw9i5PbAg==" saltValue="TfB12SFO8F364E8QJe9hEg==" spinCount="100000" sheet="1" autoFilter="0"/>
  <mergeCells count="85">
    <mergeCell ref="A1:B2"/>
    <mergeCell ref="E1:H2"/>
    <mergeCell ref="K1:M1"/>
    <mergeCell ref="N1:P1"/>
    <mergeCell ref="AD1:AE2"/>
    <mergeCell ref="AH1:AJ2"/>
    <mergeCell ref="AK1:AN3"/>
    <mergeCell ref="K2:M2"/>
    <mergeCell ref="N2:O17"/>
    <mergeCell ref="P2:P17"/>
    <mergeCell ref="A3:B3"/>
    <mergeCell ref="K3:M3"/>
    <mergeCell ref="AD3:AE3"/>
    <mergeCell ref="A6:A9"/>
    <mergeCell ref="B6:B9"/>
    <mergeCell ref="AD6:AD9"/>
    <mergeCell ref="AE6:AE9"/>
    <mergeCell ref="A10:A13"/>
    <mergeCell ref="B10:B13"/>
    <mergeCell ref="AD10:AD13"/>
    <mergeCell ref="AE10:AE13"/>
    <mergeCell ref="A14:A17"/>
    <mergeCell ref="B14:B17"/>
    <mergeCell ref="AD14:AD17"/>
    <mergeCell ref="AE14:AE17"/>
    <mergeCell ref="AD18:AD21"/>
    <mergeCell ref="AE18:AE21"/>
    <mergeCell ref="A22:A25"/>
    <mergeCell ref="B22:B25"/>
    <mergeCell ref="N22:P23"/>
    <mergeCell ref="AD22:AD25"/>
    <mergeCell ref="AE22:AE25"/>
    <mergeCell ref="A18:A21"/>
    <mergeCell ref="B18:B21"/>
    <mergeCell ref="N18:N21"/>
    <mergeCell ref="O18:O21"/>
    <mergeCell ref="P18:P21"/>
    <mergeCell ref="A26:A29"/>
    <mergeCell ref="B26:B29"/>
    <mergeCell ref="AD26:AD29"/>
    <mergeCell ref="AE26:AE29"/>
    <mergeCell ref="A30:A33"/>
    <mergeCell ref="B30:B33"/>
    <mergeCell ref="AD30:AD33"/>
    <mergeCell ref="AE30:AE33"/>
    <mergeCell ref="A34:A37"/>
    <mergeCell ref="B34:B37"/>
    <mergeCell ref="AD34:AD37"/>
    <mergeCell ref="AE34:AE37"/>
    <mergeCell ref="A70:A73"/>
    <mergeCell ref="B70:B73"/>
    <mergeCell ref="AD70:AD73"/>
    <mergeCell ref="AE70:AE73"/>
    <mergeCell ref="A74:A77"/>
    <mergeCell ref="B74:B77"/>
    <mergeCell ref="AD74:AD77"/>
    <mergeCell ref="AE74:AE77"/>
    <mergeCell ref="A78:A81"/>
    <mergeCell ref="B78:B81"/>
    <mergeCell ref="AD78:AD81"/>
    <mergeCell ref="AE78:AE81"/>
    <mergeCell ref="A82:A85"/>
    <mergeCell ref="B82:B85"/>
    <mergeCell ref="AD82:AD85"/>
    <mergeCell ref="AE82:AE85"/>
    <mergeCell ref="A86:A89"/>
    <mergeCell ref="B86:B89"/>
    <mergeCell ref="AD86:AD89"/>
    <mergeCell ref="AE86:AE89"/>
    <mergeCell ref="A90:A93"/>
    <mergeCell ref="B90:B93"/>
    <mergeCell ref="AD90:AD93"/>
    <mergeCell ref="AE90:AE93"/>
    <mergeCell ref="A94:A97"/>
    <mergeCell ref="B94:B97"/>
    <mergeCell ref="AD94:AD97"/>
    <mergeCell ref="AE94:AE97"/>
    <mergeCell ref="A98:A101"/>
    <mergeCell ref="B98:B101"/>
    <mergeCell ref="AD98:AD101"/>
    <mergeCell ref="AE98:AE101"/>
    <mergeCell ref="A102:A109"/>
    <mergeCell ref="B102:B109"/>
    <mergeCell ref="AD102:AD109"/>
    <mergeCell ref="AE102:AE109"/>
  </mergeCells>
  <conditionalFormatting sqref="E3:G65536">
    <cfRule type="cellIs" dxfId="22" priority="2" operator="equal">
      <formula>0</formula>
    </cfRule>
  </conditionalFormatting>
  <conditionalFormatting sqref="K4:K109">
    <cfRule type="cellIs" dxfId="21" priority="5" operator="equal">
      <formula>0</formula>
    </cfRule>
    <cfRule type="cellIs" dxfId="20" priority="6" operator="between">
      <formula>8</formula>
      <formula>1</formula>
    </cfRule>
  </conditionalFormatting>
  <conditionalFormatting sqref="M4:M5 M30:M37 M44:M45 M52:M53 M60:M61 M68:M69 M94:M109">
    <cfRule type="cellIs" dxfId="19" priority="13" operator="equal">
      <formula>"BIT OLD MAYBE"</formula>
    </cfRule>
    <cfRule type="cellIs" dxfId="18" priority="14" operator="equal">
      <formula>"TOO YOUNG"</formula>
    </cfRule>
  </conditionalFormatting>
  <conditionalFormatting sqref="M4:M109">
    <cfRule type="cellIs" dxfId="17" priority="3" operator="equal">
      <formula>0</formula>
    </cfRule>
    <cfRule type="cellIs" dxfId="16" priority="4" operator="equal">
      <formula>"OK"</formula>
    </cfRule>
  </conditionalFormatting>
  <conditionalFormatting sqref="M6:M29 M38:M43 M46:M51 M54:M59 M62:M67 M70:M93">
    <cfRule type="cellIs" dxfId="15" priority="15" operator="equal">
      <formula>"NOT ELIGIBLE"</formula>
    </cfRule>
    <cfRule type="cellIs" dxfId="14" priority="16" operator="equal">
      <formula>"TOO YOUNG"</formula>
    </cfRule>
  </conditionalFormatting>
  <conditionalFormatting sqref="N2">
    <cfRule type="cellIs" dxfId="13" priority="7" operator="greaterThan">
      <formula>0</formula>
    </cfRule>
  </conditionalFormatting>
  <conditionalFormatting sqref="N18:O21">
    <cfRule type="cellIs" dxfId="12" priority="10" operator="greaterThan">
      <formula>0</formula>
    </cfRule>
  </conditionalFormatting>
  <conditionalFormatting sqref="P2">
    <cfRule type="cellIs" dxfId="11" priority="11" operator="greaterThan">
      <formula>0</formula>
    </cfRule>
  </conditionalFormatting>
  <conditionalFormatting sqref="P18">
    <cfRule type="cellIs" dxfId="10" priority="9" operator="greaterThan">
      <formula>0</formula>
    </cfRule>
  </conditionalFormatting>
  <conditionalFormatting sqref="Q1:Q17 P2 Q22:Q23">
    <cfRule type="cellIs" dxfId="9" priority="8" operator="greaterThan">
      <formula>"A"</formula>
    </cfRule>
  </conditionalFormatting>
  <conditionalFormatting sqref="AH1:AJ1 AH3:AJ3 AH4:AO94 AK95:AO105 AH95:AJ109">
    <cfRule type="cellIs" dxfId="8" priority="12" operator="equal">
      <formula>0</formula>
    </cfRule>
  </conditionalFormatting>
  <dataValidations count="9">
    <dataValidation allowBlank="1" showInputMessage="1" showErrorMessage="1" promptTitle="DRAG &amp; DROP IS NOT PERMITTED" sqref="J4:J101" xr:uid="{00000000-0002-0000-1000-000000000000}">
      <formula1>0</formula1>
      <formula2>0</formula2>
    </dataValidation>
    <dataValidation allowBlank="1" showInputMessage="1" showErrorMessage="1" promptTitle="IF EMPTY" prompt="Please add the row title GIVEN NAME in this box (See Left)" sqref="F3" xr:uid="{00000000-0002-0000-1000-000001000000}">
      <formula1>0</formula1>
      <formula2>0</formula2>
    </dataValidation>
    <dataValidation allowBlank="1" showInputMessage="1" showErrorMessage="1" promptTitle="IF EMPTY" prompt="Please add the row title FAMILY NAME in this box (See Left)" sqref="G3" xr:uid="{00000000-0002-0000-1000-000002000000}">
      <formula1>0</formula1>
      <formula2>0</formula2>
    </dataValidation>
    <dataValidation allowBlank="1" showInputMessage="1" showErrorMessage="1" promptTitle="IF EMPTY" prompt="Please add the row title ASA NO in this box (See Left)" sqref="E3" xr:uid="{00000000-0002-0000-1000-000003000000}">
      <formula1>0</formula1>
      <formula2>0</formula2>
    </dataValidation>
    <dataValidation allowBlank="1" showInputMessage="1" showErrorMessage="1" promptTitle="IF EMPTY" prompt="Please add the row title D.O.B. in this box (See Left)" sqref="H3" xr:uid="{00000000-0002-0000-1000-000004000000}">
      <formula1>0</formula1>
      <formula2>0</formula2>
    </dataValidation>
    <dataValidation allowBlank="1" showInputMessage="1" showErrorMessage="1" prompt="Enter the swimmers Family Name as registered with the ASA" sqref="G4 G30 G82" xr:uid="{00000000-0002-0000-1000-000005000000}">
      <formula1>0</formula1>
      <formula2>0</formula2>
    </dataValidation>
    <dataValidation allowBlank="1" showInputMessage="1" showErrorMessage="1" prompt="Enter the Swimmers Given name (1st Name) as registered with the ASA_x000a_" sqref="F4 F30 F82" xr:uid="{00000000-0002-0000-1000-000006000000}">
      <formula1>0</formula1>
      <formula2>0</formula2>
    </dataValidation>
    <dataValidation allowBlank="1" showInputMessage="1" showErrorMessage="1" prompt="Enter the Swimmers Date of birth.  Day, Month, Year  _x000a_ie 21/11/2011" sqref="H4 H52" xr:uid="{00000000-0002-0000-1000-000007000000}">
      <formula1>0</formula1>
      <formula2>0</formula2>
    </dataValidation>
    <dataValidation allowBlank="1" showInputMessage="1" showErrorMessage="1" error="You must now &quot;undo&quot; drag and drop" sqref="F5:H5 F31:G31 H53 F83:G83" xr:uid="{00000000-0002-0000-1000-000008000000}">
      <formula1>0</formula1>
      <formula2>0</formula2>
    </dataValidation>
  </dataValidations>
  <hyperlinks>
    <hyperlink ref="N18" location="'Gala Setup'!G2" display="Gala Setup" xr:uid="{00000000-0004-0000-1000-000000000000}"/>
    <hyperlink ref="O18" location="Recording!C26" display="Gala Recording" xr:uid="{00000000-0004-0000-1000-000001000000}"/>
    <hyperlink ref="P18" location="'Lane Timer sheets'!D1" display="Lane Timer Sheets" xr:uid="{00000000-0004-0000-1000-000002000000}"/>
  </hyperlinks>
  <pageMargins left="0.75" right="0.75" top="1" bottom="1" header="0.511811023622047" footer="0.511811023622047"/>
  <pageSetup paperSize="9" scale="64"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K21"/>
  <sheetViews>
    <sheetView showRowColHeaders="0" topLeftCell="F1" zoomScaleNormal="100" workbookViewId="0">
      <selection activeCell="H4" sqref="H4:I4"/>
    </sheetView>
  </sheetViews>
  <sheetFormatPr defaultColWidth="39.6640625" defaultRowHeight="13.2" x14ac:dyDescent="0.25"/>
  <cols>
    <col min="1" max="1" width="13.109375" customWidth="1"/>
    <col min="2" max="2" width="54" customWidth="1"/>
    <col min="3" max="3" width="59.88671875" customWidth="1"/>
    <col min="4" max="7" width="56.5546875" customWidth="1"/>
    <col min="8" max="8" width="73.109375" customWidth="1"/>
    <col min="9" max="9" width="13.33203125" customWidth="1"/>
    <col min="10" max="10" width="11.88671875" customWidth="1"/>
    <col min="11" max="11" width="115.33203125" customWidth="1"/>
  </cols>
  <sheetData>
    <row r="1" spans="1:11" ht="20.399999999999999" x14ac:dyDescent="0.35">
      <c r="I1" s="801"/>
    </row>
    <row r="2" spans="1:11" ht="30" customHeight="1" x14ac:dyDescent="0.3">
      <c r="A2" s="802"/>
      <c r="B2" s="802"/>
      <c r="C2" s="802"/>
      <c r="D2" s="803"/>
      <c r="E2" s="802"/>
      <c r="F2" s="802"/>
      <c r="G2" s="804"/>
      <c r="H2" s="1281" t="s">
        <v>5057</v>
      </c>
      <c r="I2" s="1281"/>
      <c r="J2" s="1282" t="s">
        <v>4319</v>
      </c>
      <c r="K2" s="805"/>
    </row>
    <row r="3" spans="1:11" ht="30" customHeight="1" x14ac:dyDescent="0.25">
      <c r="A3" s="802"/>
      <c r="B3" s="441"/>
      <c r="C3" s="441"/>
      <c r="D3" s="806"/>
      <c r="E3" s="441"/>
      <c r="F3" s="441"/>
      <c r="G3" s="807"/>
      <c r="H3" s="1283" t="s">
        <v>5058</v>
      </c>
      <c r="I3" s="1283"/>
      <c r="J3" s="1282"/>
      <c r="K3" s="805"/>
    </row>
    <row r="4" spans="1:11" ht="30" customHeight="1" x14ac:dyDescent="0.25">
      <c r="A4" s="802"/>
      <c r="B4" s="808" t="str">
        <f>'Gala Setup'!B4</f>
        <v>National Arena Swimming League</v>
      </c>
      <c r="C4" s="808" t="str">
        <f>'Gala Setup'!C4</f>
        <v>AQUA VALE S &amp; F CENTRE AYLESBURY</v>
      </c>
      <c r="D4" s="808" t="str">
        <f>'Gala Setup'!E6</f>
        <v>091223</v>
      </c>
      <c r="E4" s="808">
        <f>'Gala Setup'!F4</f>
        <v>31</v>
      </c>
      <c r="F4" s="441" t="str">
        <f>CONCATENATE(B4,",",C4)</f>
        <v>National Arena Swimming League,AQUA VALE S &amp; F CENTRE AYLESBURY</v>
      </c>
      <c r="G4" s="809" t="str">
        <f>CONCATENATE(F4,",",D4)</f>
        <v>National Arena Swimming League,AQUA VALE S &amp; F CENTRE AYLESBURY,091223</v>
      </c>
      <c r="H4" s="1284" t="str">
        <f>CONCATENATE(G4,",",E4)</f>
        <v>National Arena Swimming League,AQUA VALE S &amp; F CENTRE AYLESBURY,091223,31</v>
      </c>
      <c r="I4" s="1284"/>
      <c r="J4" s="1285" t="s">
        <v>4320</v>
      </c>
      <c r="K4" s="805"/>
    </row>
    <row r="5" spans="1:11" ht="30" customHeight="1" x14ac:dyDescent="0.25">
      <c r="A5" s="802"/>
      <c r="B5" s="441"/>
      <c r="C5" s="441"/>
      <c r="D5" s="806"/>
      <c r="E5" s="441"/>
      <c r="F5" s="441"/>
      <c r="G5" s="810"/>
      <c r="H5" s="1286" t="s">
        <v>5059</v>
      </c>
      <c r="I5" s="1286"/>
      <c r="J5" s="1285"/>
      <c r="K5" s="805"/>
    </row>
    <row r="6" spans="1:11" ht="30" customHeight="1" x14ac:dyDescent="0.25">
      <c r="A6" s="802"/>
      <c r="B6" s="441"/>
      <c r="C6" s="441"/>
      <c r="D6" s="806"/>
      <c r="E6" s="441"/>
      <c r="F6" s="441"/>
      <c r="G6" s="810"/>
      <c r="H6" s="1286"/>
      <c r="I6" s="1286"/>
      <c r="J6" s="1287" t="s">
        <v>4619</v>
      </c>
      <c r="K6" s="805"/>
    </row>
    <row r="7" spans="1:11" ht="30" customHeight="1" x14ac:dyDescent="0.25">
      <c r="A7" s="802"/>
      <c r="B7" s="441"/>
      <c r="C7" s="441"/>
      <c r="D7" s="806"/>
      <c r="E7" s="441"/>
      <c r="F7" s="441"/>
      <c r="G7" s="810"/>
      <c r="H7" s="1286"/>
      <c r="I7" s="1286"/>
      <c r="J7" s="1287"/>
      <c r="K7" s="805"/>
    </row>
    <row r="8" spans="1:11" ht="30" customHeight="1" x14ac:dyDescent="0.25">
      <c r="A8" s="802"/>
      <c r="B8" s="441"/>
      <c r="C8" s="441"/>
      <c r="D8" s="806"/>
      <c r="E8" s="441"/>
      <c r="F8" s="441"/>
      <c r="G8" s="810"/>
      <c r="H8" s="1276" t="str">
        <f>'Gala Setup'!J7</f>
        <v>3ER231478</v>
      </c>
      <c r="I8" s="1276"/>
      <c r="J8" s="812"/>
      <c r="K8" s="805"/>
    </row>
    <row r="9" spans="1:11" ht="12.75" customHeight="1" x14ac:dyDescent="0.25">
      <c r="A9" s="802"/>
      <c r="B9" s="441"/>
      <c r="C9" s="441"/>
      <c r="D9" s="806"/>
      <c r="E9" s="441"/>
      <c r="F9" s="441"/>
      <c r="G9" s="810"/>
      <c r="H9" s="813"/>
      <c r="I9" s="811"/>
      <c r="J9" s="814"/>
      <c r="K9" s="805"/>
    </row>
    <row r="10" spans="1:11" ht="15" customHeight="1" x14ac:dyDescent="0.25">
      <c r="A10" s="802"/>
      <c r="B10" s="441"/>
      <c r="C10" s="441"/>
      <c r="D10" s="806"/>
      <c r="E10" s="441"/>
      <c r="F10" s="441"/>
      <c r="G10" s="1277" t="s">
        <v>5060</v>
      </c>
      <c r="H10" s="1277"/>
      <c r="I10" s="1277"/>
      <c r="J10" s="815"/>
      <c r="K10" s="805"/>
    </row>
    <row r="11" spans="1:11" ht="15" customHeight="1" x14ac:dyDescent="0.25">
      <c r="A11" s="802"/>
      <c r="B11" s="802"/>
      <c r="C11" s="802"/>
      <c r="D11" s="803"/>
      <c r="E11" s="802"/>
      <c r="F11" s="802"/>
      <c r="G11" s="1277"/>
      <c r="H11" s="1277"/>
      <c r="I11" s="1277"/>
      <c r="J11" s="815"/>
      <c r="K11" s="805"/>
    </row>
    <row r="12" spans="1:11" ht="15" customHeight="1" x14ac:dyDescent="0.25">
      <c r="A12" s="802"/>
      <c r="B12" s="802"/>
      <c r="C12" s="802"/>
      <c r="D12" s="803"/>
      <c r="E12" s="802"/>
      <c r="F12" s="802"/>
      <c r="G12" s="816"/>
      <c r="H12" s="1278" t="s">
        <v>5061</v>
      </c>
      <c r="I12" s="1278"/>
      <c r="J12" s="815"/>
      <c r="K12" s="805"/>
    </row>
    <row r="13" spans="1:11" ht="4.5" customHeight="1" x14ac:dyDescent="0.25">
      <c r="A13" s="802"/>
      <c r="B13" s="802"/>
      <c r="C13" s="802"/>
      <c r="D13" s="803"/>
      <c r="E13" s="802"/>
      <c r="F13" s="802"/>
      <c r="G13" s="816"/>
      <c r="H13" s="1278"/>
      <c r="I13" s="1278"/>
      <c r="J13" s="817"/>
      <c r="K13" s="805"/>
    </row>
    <row r="14" spans="1:11" ht="15" customHeight="1" x14ac:dyDescent="0.25">
      <c r="A14" s="802"/>
      <c r="B14" s="802"/>
      <c r="C14" s="802"/>
      <c r="D14" s="803"/>
      <c r="E14" s="802"/>
      <c r="F14" s="802"/>
      <c r="G14" s="818"/>
      <c r="H14" s="1279" t="s">
        <v>5062</v>
      </c>
      <c r="I14" s="1279"/>
      <c r="J14" s="819"/>
      <c r="K14" s="805"/>
    </row>
    <row r="15" spans="1:11" ht="15" customHeight="1" x14ac:dyDescent="0.25">
      <c r="A15" s="802"/>
      <c r="B15" s="802"/>
      <c r="C15" s="802"/>
      <c r="D15" s="803"/>
      <c r="E15" s="802"/>
      <c r="F15" s="802"/>
      <c r="G15" s="802"/>
      <c r="H15" s="1280" t="str">
        <f>'Gala Setup'!S4</f>
        <v>NASL.2023 V6</v>
      </c>
      <c r="I15" s="1280"/>
      <c r="J15" s="819"/>
      <c r="K15" s="805"/>
    </row>
    <row r="16" spans="1:11" ht="15" customHeight="1" x14ac:dyDescent="0.25">
      <c r="A16" s="802"/>
      <c r="B16" s="802"/>
      <c r="C16" s="802"/>
      <c r="D16" s="803"/>
      <c r="E16" s="802"/>
      <c r="F16" s="802"/>
      <c r="G16" s="802"/>
      <c r="H16" s="1280"/>
      <c r="I16" s="1280"/>
      <c r="J16" s="819"/>
      <c r="K16" s="805"/>
    </row>
    <row r="17" spans="1:11" ht="12.75" customHeight="1" x14ac:dyDescent="0.25">
      <c r="A17" s="802"/>
      <c r="B17" s="802"/>
      <c r="C17" s="802"/>
      <c r="D17" s="803"/>
      <c r="E17" s="802"/>
      <c r="F17" s="802"/>
      <c r="H17" s="1280"/>
      <c r="I17" s="1280"/>
      <c r="J17" s="802"/>
      <c r="K17" s="805"/>
    </row>
    <row r="18" spans="1:11" x14ac:dyDescent="0.25">
      <c r="A18" s="802"/>
      <c r="B18" s="802"/>
      <c r="C18" s="802"/>
      <c r="D18" s="803"/>
      <c r="E18" s="802"/>
      <c r="F18" s="802"/>
      <c r="H18" s="1280"/>
      <c r="I18" s="1280"/>
      <c r="J18" s="802"/>
      <c r="K18" s="805"/>
    </row>
    <row r="19" spans="1:11" ht="12.75" customHeight="1" x14ac:dyDescent="0.25">
      <c r="A19" s="802"/>
      <c r="B19" s="802"/>
      <c r="C19" s="802"/>
      <c r="D19" s="803"/>
      <c r="E19" s="802"/>
      <c r="F19" s="802"/>
      <c r="G19" s="802"/>
      <c r="H19" s="805"/>
      <c r="I19" s="805"/>
      <c r="J19" s="802"/>
      <c r="K19" s="805"/>
    </row>
    <row r="20" spans="1:11" x14ac:dyDescent="0.25">
      <c r="A20" s="802"/>
      <c r="B20" s="802"/>
      <c r="C20" s="802"/>
      <c r="D20" s="803"/>
      <c r="E20" s="802"/>
      <c r="F20" s="802"/>
      <c r="G20" s="802"/>
      <c r="H20" s="805"/>
      <c r="I20" s="805"/>
      <c r="J20" s="802"/>
      <c r="K20" s="805"/>
    </row>
    <row r="21" spans="1:11" ht="264.75" customHeight="1" x14ac:dyDescent="0.25">
      <c r="A21" s="805"/>
      <c r="B21" s="805"/>
      <c r="C21" s="805"/>
      <c r="D21" s="805"/>
      <c r="E21" s="805"/>
      <c r="F21" s="805"/>
      <c r="G21" s="805"/>
      <c r="H21" s="805"/>
      <c r="I21" s="805"/>
      <c r="J21" s="805"/>
      <c r="K21" s="805"/>
    </row>
  </sheetData>
  <mergeCells count="12">
    <mergeCell ref="H2:I2"/>
    <mergeCell ref="J2:J3"/>
    <mergeCell ref="H3:I3"/>
    <mergeCell ref="H4:I4"/>
    <mergeCell ref="J4:J5"/>
    <mergeCell ref="H5:I7"/>
    <mergeCell ref="J6:J7"/>
    <mergeCell ref="H8:I8"/>
    <mergeCell ref="G10:I11"/>
    <mergeCell ref="H12:I13"/>
    <mergeCell ref="H14:I14"/>
    <mergeCell ref="H15:I18"/>
  </mergeCells>
  <conditionalFormatting sqref="H3 H5 G10:I11">
    <cfRule type="cellIs" dxfId="7" priority="4" operator="greaterThan">
      <formula>0</formula>
    </cfRule>
  </conditionalFormatting>
  <conditionalFormatting sqref="J2:J5">
    <cfRule type="cellIs" dxfId="6" priority="3" operator="greaterThan">
      <formula>0</formula>
    </cfRule>
  </conditionalFormatting>
  <conditionalFormatting sqref="J6:J7">
    <cfRule type="cellIs" dxfId="5" priority="2" operator="greaterThan">
      <formula>0</formula>
    </cfRule>
  </conditionalFormatting>
  <hyperlinks>
    <hyperlink ref="J2" location="'Gala Setup'!Q2" display="Gala Setup" xr:uid="{00000000-0004-0000-1100-000000000000}"/>
    <hyperlink ref="J4" location="Recording!C26" display="Gala Recording" xr:uid="{00000000-0004-0000-1100-000001000000}"/>
    <hyperlink ref="J6" location="MRF!T23" display="Rankings MRF" xr:uid="{00000000-0004-0000-1100-000002000000}"/>
    <hyperlink ref="H14" r:id="rId1" xr:uid="{00000000-0004-0000-1100-000003000000}"/>
  </hyperlinks>
  <pageMargins left="0.75" right="0.75" top="1" bottom="1" header="0.511811023622047" footer="0.511811023622047"/>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385"/>
  <sheetViews>
    <sheetView showRowColHeaders="0" topLeftCell="A334" zoomScaleNormal="100" workbookViewId="0">
      <selection activeCell="R1" sqref="R1:R340"/>
    </sheetView>
  </sheetViews>
  <sheetFormatPr defaultColWidth="20.6640625" defaultRowHeight="13.2" x14ac:dyDescent="0.25"/>
  <cols>
    <col min="1" max="1" width="20.6640625" style="3"/>
    <col min="2" max="17" width="20.6640625" style="3" hidden="1"/>
    <col min="18" max="18" width="54.6640625" style="3" customWidth="1"/>
    <col min="19" max="21" width="20.6640625" style="3"/>
    <col min="22" max="22" width="149.33203125" style="3" customWidth="1"/>
    <col min="23" max="16384" width="20.6640625" style="3"/>
  </cols>
  <sheetData>
    <row r="1" spans="1:22" ht="12.75" customHeight="1" x14ac:dyDescent="0.25">
      <c r="A1" s="820"/>
      <c r="B1" s="821" t="s">
        <v>4635</v>
      </c>
      <c r="C1" s="821" t="str">
        <f>'Team 1'!J4</f>
        <v>Gomez-Velasco,Bianca</v>
      </c>
      <c r="D1" s="821" t="str">
        <f>'Gala Setup'!$Q$4</f>
        <v>HABL</v>
      </c>
      <c r="E1" s="822" t="str">
        <f>'Team 1'!L4</f>
        <v>140107</v>
      </c>
      <c r="F1" s="823">
        <f>'print 10 lane'!I$12</f>
        <v>1.7831018518518519E-3</v>
      </c>
      <c r="G1" s="821">
        <f>'Team 1'!$D$4</f>
        <v>16</v>
      </c>
      <c r="H1" s="821" t="s">
        <v>4635</v>
      </c>
      <c r="I1" s="821" t="str">
        <f t="shared" ref="I1:I64" si="0">CONCATENATE(B1,",",C1)</f>
        <v>F,Gomez-Velasco,Bianca</v>
      </c>
      <c r="J1" s="821" t="str">
        <f t="shared" ref="J1:J64" si="1">CONCATENATE(I1,",",D1)</f>
        <v>F,Gomez-Velasco,Bianca,HABL</v>
      </c>
      <c r="K1" s="821" t="str">
        <f t="shared" ref="K1:K64" si="2">CONCATENATE(J1,",",E1)</f>
        <v>F,Gomez-Velasco,Bianca,HABL,140107</v>
      </c>
      <c r="L1" s="821" t="str">
        <f t="shared" ref="L1:L64" si="3">CONCATENATE(K1,",",Q1)</f>
        <v>F,Gomez-Velasco,Bianca,HABL,140107,023406</v>
      </c>
      <c r="M1" s="821" t="str">
        <f t="shared" ref="M1:M64" si="4">CONCATENATE(L1,",",G1)</f>
        <v>F,Gomez-Velasco,Bianca,HABL,140107,023406,16</v>
      </c>
      <c r="N1" s="821" t="str">
        <f t="shared" ref="N1:N64" si="5">CONCATENATE(M1,",",H1)</f>
        <v>F,Gomez-Velasco,Bianca,HABL,140107,023406,16,F</v>
      </c>
      <c r="O1" s="824"/>
      <c r="P1" s="824" t="str">
        <f t="shared" ref="P1:P64" si="6">TEXT(F1,"mm:ss.00")</f>
        <v>02:34.06</v>
      </c>
      <c r="Q1" s="824" t="str">
        <f t="shared" ref="Q1:Q64" si="7">LEFT(P1,2)&amp;MID(P1,4,2)&amp;RIGHT(P1,2)</f>
        <v>023406</v>
      </c>
      <c r="R1" s="825" t="str">
        <f t="shared" ref="R1:R64" si="8">IF(F1=0,"",N1)</f>
        <v>F,Gomez-Velasco,Bianca,HABL,140107,023406,16,F</v>
      </c>
      <c r="S1" s="1295" t="s">
        <v>5063</v>
      </c>
      <c r="T1" s="1295"/>
      <c r="U1" s="1295"/>
      <c r="V1" s="820"/>
    </row>
    <row r="2" spans="1:22" ht="12.75" customHeight="1" x14ac:dyDescent="0.25">
      <c r="A2" s="820"/>
      <c r="B2" s="826" t="s">
        <v>4635</v>
      </c>
      <c r="C2" s="826" t="str">
        <f>'Team 2'!J4</f>
        <v>Stelmach,Sophie</v>
      </c>
      <c r="D2" s="826" t="str">
        <f>'Gala Setup'!$Q$5</f>
        <v>STET</v>
      </c>
      <c r="E2" s="827" t="str">
        <f>'Team 2'!L4</f>
        <v>270709</v>
      </c>
      <c r="F2" s="823">
        <f>'print 10 lane'!L$12</f>
        <v>1.8467592592592596E-3</v>
      </c>
      <c r="G2" s="826">
        <f>'Team 1'!$D$4</f>
        <v>16</v>
      </c>
      <c r="H2" s="826" t="s">
        <v>4635</v>
      </c>
      <c r="I2" s="826" t="str">
        <f t="shared" si="0"/>
        <v>F,Stelmach,Sophie</v>
      </c>
      <c r="J2" s="826" t="str">
        <f t="shared" si="1"/>
        <v>F,Stelmach,Sophie,STET</v>
      </c>
      <c r="K2" s="826" t="str">
        <f t="shared" si="2"/>
        <v>F,Stelmach,Sophie,STET,270709</v>
      </c>
      <c r="L2" s="821" t="str">
        <f t="shared" si="3"/>
        <v>F,Stelmach,Sophie,STET,270709,023956</v>
      </c>
      <c r="M2" s="826" t="str">
        <f t="shared" si="4"/>
        <v>F,Stelmach,Sophie,STET,270709,023956,16</v>
      </c>
      <c r="N2" s="826" t="str">
        <f t="shared" si="5"/>
        <v>F,Stelmach,Sophie,STET,270709,023956,16,F</v>
      </c>
      <c r="O2" s="824"/>
      <c r="P2" s="824" t="str">
        <f t="shared" si="6"/>
        <v>02:39.56</v>
      </c>
      <c r="Q2" s="824" t="str">
        <f t="shared" si="7"/>
        <v>023956</v>
      </c>
      <c r="R2" s="825" t="str">
        <f t="shared" si="8"/>
        <v>F,Stelmach,Sophie,STET,270709,023956,16,F</v>
      </c>
      <c r="S2" s="1295"/>
      <c r="T2" s="1295"/>
      <c r="U2" s="1295"/>
      <c r="V2" s="820"/>
    </row>
    <row r="3" spans="1:22" ht="12.75" customHeight="1" x14ac:dyDescent="0.25">
      <c r="A3" s="820"/>
      <c r="B3" s="821" t="s">
        <v>4635</v>
      </c>
      <c r="C3" s="821" t="str">
        <f>'Team 3'!J4</f>
        <v>Lovelock,Hannah</v>
      </c>
      <c r="D3" s="821" t="str">
        <f>'Gala Setup'!Q$6</f>
        <v>BBST</v>
      </c>
      <c r="E3" s="822" t="str">
        <f>'Team 3'!L4</f>
        <v>180208</v>
      </c>
      <c r="F3" s="823">
        <f>'print 10 lane'!O$12</f>
        <v>1.7894675925925925E-3</v>
      </c>
      <c r="G3" s="821">
        <f>'Team 1'!$D$4</f>
        <v>16</v>
      </c>
      <c r="H3" s="821" t="s">
        <v>4635</v>
      </c>
      <c r="I3" s="821" t="str">
        <f t="shared" si="0"/>
        <v>F,Lovelock,Hannah</v>
      </c>
      <c r="J3" s="821" t="str">
        <f t="shared" si="1"/>
        <v>F,Lovelock,Hannah,BBST</v>
      </c>
      <c r="K3" s="821" t="str">
        <f t="shared" si="2"/>
        <v>F,Lovelock,Hannah,BBST,180208</v>
      </c>
      <c r="L3" s="821" t="str">
        <f t="shared" si="3"/>
        <v>F,Lovelock,Hannah,BBST,180208,023461</v>
      </c>
      <c r="M3" s="821" t="str">
        <f t="shared" si="4"/>
        <v>F,Lovelock,Hannah,BBST,180208,023461,16</v>
      </c>
      <c r="N3" s="821" t="str">
        <f t="shared" si="5"/>
        <v>F,Lovelock,Hannah,BBST,180208,023461,16,F</v>
      </c>
      <c r="O3" s="824"/>
      <c r="P3" s="824" t="str">
        <f t="shared" si="6"/>
        <v>02:34.61</v>
      </c>
      <c r="Q3" s="824" t="str">
        <f t="shared" si="7"/>
        <v>023461</v>
      </c>
      <c r="R3" s="825" t="str">
        <f t="shared" si="8"/>
        <v>F,Lovelock,Hannah,BBST,180208,023461,16,F</v>
      </c>
      <c r="S3" s="1296" t="s">
        <v>5064</v>
      </c>
      <c r="T3" s="1296"/>
      <c r="U3" s="1296"/>
      <c r="V3" s="820"/>
    </row>
    <row r="4" spans="1:22" ht="12.75" customHeight="1" x14ac:dyDescent="0.25">
      <c r="A4" s="820"/>
      <c r="B4" s="826" t="s">
        <v>4635</v>
      </c>
      <c r="C4" s="826" t="str">
        <f>'Team 4'!J4</f>
        <v>BLISSETT,LIBBY</v>
      </c>
      <c r="D4" s="826" t="str">
        <f>'Gala Setup'!Q$7</f>
        <v>AYBS</v>
      </c>
      <c r="E4" s="827" t="str">
        <f>'Team 4'!L4</f>
        <v>280402</v>
      </c>
      <c r="F4" s="823">
        <f>'print 10 lane'!R$12</f>
        <v>1.75E-3</v>
      </c>
      <c r="G4" s="826">
        <f>'Team 1'!$D$4</f>
        <v>16</v>
      </c>
      <c r="H4" s="826" t="s">
        <v>4635</v>
      </c>
      <c r="I4" s="826" t="str">
        <f t="shared" si="0"/>
        <v>F,BLISSETT,LIBBY</v>
      </c>
      <c r="J4" s="826" t="str">
        <f t="shared" si="1"/>
        <v>F,BLISSETT,LIBBY,AYBS</v>
      </c>
      <c r="K4" s="826" t="str">
        <f t="shared" si="2"/>
        <v>F,BLISSETT,LIBBY,AYBS,280402</v>
      </c>
      <c r="L4" s="821" t="str">
        <f t="shared" si="3"/>
        <v>F,BLISSETT,LIBBY,AYBS,280402,023120</v>
      </c>
      <c r="M4" s="826" t="str">
        <f t="shared" si="4"/>
        <v>F,BLISSETT,LIBBY,AYBS,280402,023120,16</v>
      </c>
      <c r="N4" s="826" t="str">
        <f t="shared" si="5"/>
        <v>F,BLISSETT,LIBBY,AYBS,280402,023120,16,F</v>
      </c>
      <c r="O4" s="824"/>
      <c r="P4" s="824" t="str">
        <f t="shared" si="6"/>
        <v>02:31.20</v>
      </c>
      <c r="Q4" s="824" t="str">
        <f t="shared" si="7"/>
        <v>023120</v>
      </c>
      <c r="R4" s="825" t="str">
        <f t="shared" si="8"/>
        <v>F,BLISSETT,LIBBY,AYBS,280402,023120,16,F</v>
      </c>
      <c r="S4" s="1296"/>
      <c r="T4" s="1296"/>
      <c r="U4" s="1296"/>
      <c r="V4" s="820"/>
    </row>
    <row r="5" spans="1:22" ht="12.75" customHeight="1" x14ac:dyDescent="0.25">
      <c r="A5" s="820"/>
      <c r="B5" s="821" t="s">
        <v>4635</v>
      </c>
      <c r="C5" s="821" t="str">
        <f>'Team 5'!J4</f>
        <v>Talbot,Isabelle</v>
      </c>
      <c r="D5" s="821" t="str">
        <f>'Gala Setup'!Q$8</f>
        <v>BTRT</v>
      </c>
      <c r="E5" s="822" t="str">
        <f>'Team 5'!L4</f>
        <v>211107</v>
      </c>
      <c r="F5" s="823">
        <f>'print 10 lane'!U$12</f>
        <v>1.8901620370370372E-3</v>
      </c>
      <c r="G5" s="821">
        <f>'Team 1'!$D$4</f>
        <v>16</v>
      </c>
      <c r="H5" s="821" t="s">
        <v>4635</v>
      </c>
      <c r="I5" s="821" t="str">
        <f t="shared" si="0"/>
        <v>F,Talbot,Isabelle</v>
      </c>
      <c r="J5" s="821" t="str">
        <f t="shared" si="1"/>
        <v>F,Talbot,Isabelle,BTRT</v>
      </c>
      <c r="K5" s="821" t="str">
        <f t="shared" si="2"/>
        <v>F,Talbot,Isabelle,BTRT,211107</v>
      </c>
      <c r="L5" s="821" t="str">
        <f t="shared" si="3"/>
        <v>F,Talbot,Isabelle,BTRT,211107,024331</v>
      </c>
      <c r="M5" s="821" t="str">
        <f t="shared" si="4"/>
        <v>F,Talbot,Isabelle,BTRT,211107,024331,16</v>
      </c>
      <c r="N5" s="821" t="str">
        <f t="shared" si="5"/>
        <v>F,Talbot,Isabelle,BTRT,211107,024331,16,F</v>
      </c>
      <c r="O5" s="824"/>
      <c r="P5" s="824" t="str">
        <f t="shared" si="6"/>
        <v>02:43.31</v>
      </c>
      <c r="Q5" s="824" t="str">
        <f t="shared" si="7"/>
        <v>024331</v>
      </c>
      <c r="R5" s="825" t="str">
        <f t="shared" si="8"/>
        <v>F,Talbot,Isabelle,BTRT,211107,024331,16,F</v>
      </c>
      <c r="S5" s="1296"/>
      <c r="T5" s="1296"/>
      <c r="U5" s="1296"/>
      <c r="V5" s="820"/>
    </row>
    <row r="6" spans="1:22" ht="12.75" customHeight="1" x14ac:dyDescent="0.25">
      <c r="A6" s="820"/>
      <c r="B6" s="826" t="s">
        <v>4635</v>
      </c>
      <c r="C6" s="826" t="str">
        <f>'Team 6'!J4</f>
        <v xml:space="preserve">Sharrock,Alice </v>
      </c>
      <c r="D6" s="826" t="str">
        <f>'Gala Setup'!Q$9</f>
        <v>HAWL</v>
      </c>
      <c r="E6" s="827" t="str">
        <f>'Team 6'!L4</f>
        <v>301109</v>
      </c>
      <c r="F6" s="823">
        <f>'print 10 lane'!X$12</f>
        <v>1.8304398148148149E-3</v>
      </c>
      <c r="G6" s="826">
        <f>'Team 1'!$D$4</f>
        <v>16</v>
      </c>
      <c r="H6" s="826" t="s">
        <v>4635</v>
      </c>
      <c r="I6" s="826" t="str">
        <f t="shared" si="0"/>
        <v xml:space="preserve">F,Sharrock,Alice </v>
      </c>
      <c r="J6" s="826" t="str">
        <f t="shared" si="1"/>
        <v>F,Sharrock,Alice ,HAWL</v>
      </c>
      <c r="K6" s="826" t="str">
        <f t="shared" si="2"/>
        <v>F,Sharrock,Alice ,HAWL,301109</v>
      </c>
      <c r="L6" s="821" t="str">
        <f t="shared" si="3"/>
        <v>F,Sharrock,Alice ,HAWL,301109,023815</v>
      </c>
      <c r="M6" s="826" t="str">
        <f t="shared" si="4"/>
        <v>F,Sharrock,Alice ,HAWL,301109,023815,16</v>
      </c>
      <c r="N6" s="826" t="str">
        <f t="shared" si="5"/>
        <v>F,Sharrock,Alice ,HAWL,301109,023815,16,F</v>
      </c>
      <c r="O6" s="824"/>
      <c r="P6" s="824" t="str">
        <f t="shared" si="6"/>
        <v>02:38.15</v>
      </c>
      <c r="Q6" s="824" t="str">
        <f t="shared" si="7"/>
        <v>023815</v>
      </c>
      <c r="R6" s="825" t="str">
        <f t="shared" si="8"/>
        <v>F,Sharrock,Alice ,HAWL,301109,023815,16,F</v>
      </c>
      <c r="S6" s="1296"/>
      <c r="T6" s="1296"/>
      <c r="U6" s="1296"/>
      <c r="V6" s="820"/>
    </row>
    <row r="7" spans="1:22" ht="12.75" customHeight="1" x14ac:dyDescent="0.25">
      <c r="A7" s="820"/>
      <c r="B7" s="821" t="s">
        <v>4635</v>
      </c>
      <c r="C7" s="821" t="str">
        <f>'Team 7'!J4</f>
        <v>Hibberd,Laura</v>
      </c>
      <c r="D7" s="821" t="str">
        <f>'Gala Setup'!Q$10</f>
        <v>HISL</v>
      </c>
      <c r="E7" s="822" t="str">
        <f>'Team 7'!L4</f>
        <v>020590</v>
      </c>
      <c r="F7" s="823">
        <f>'print 10 lane'!AA$12</f>
        <v>1.8548611111111109E-3</v>
      </c>
      <c r="G7" s="821">
        <f>'Team 1'!$D$4</f>
        <v>16</v>
      </c>
      <c r="H7" s="821" t="s">
        <v>4635</v>
      </c>
      <c r="I7" s="821" t="str">
        <f t="shared" si="0"/>
        <v>F,Hibberd,Laura</v>
      </c>
      <c r="J7" s="821" t="str">
        <f t="shared" si="1"/>
        <v>F,Hibberd,Laura,HISL</v>
      </c>
      <c r="K7" s="821" t="str">
        <f t="shared" si="2"/>
        <v>F,Hibberd,Laura,HISL,020590</v>
      </c>
      <c r="L7" s="821" t="str">
        <f t="shared" si="3"/>
        <v>F,Hibberd,Laura,HISL,020590,024026</v>
      </c>
      <c r="M7" s="821" t="str">
        <f t="shared" si="4"/>
        <v>F,Hibberd,Laura,HISL,020590,024026,16</v>
      </c>
      <c r="N7" s="821" t="str">
        <f t="shared" si="5"/>
        <v>F,Hibberd,Laura,HISL,020590,024026,16,F</v>
      </c>
      <c r="O7" s="824"/>
      <c r="P7" s="824" t="str">
        <f t="shared" si="6"/>
        <v>02:40.26</v>
      </c>
      <c r="Q7" s="824" t="str">
        <f t="shared" si="7"/>
        <v>024026</v>
      </c>
      <c r="R7" s="825" t="str">
        <f t="shared" si="8"/>
        <v>F,Hibberd,Laura,HISL,020590,024026,16,F</v>
      </c>
      <c r="S7" s="1297" t="s">
        <v>5065</v>
      </c>
      <c r="T7" s="1297"/>
      <c r="U7" s="1297"/>
      <c r="V7" s="820"/>
    </row>
    <row r="8" spans="1:22" ht="12.75" customHeight="1" x14ac:dyDescent="0.25">
      <c r="A8" s="820"/>
      <c r="B8" s="826" t="s">
        <v>4635</v>
      </c>
      <c r="C8" s="826" t="str">
        <f>'Team 8'!J4</f>
        <v>,</v>
      </c>
      <c r="D8" s="826">
        <f>'Gala Setup'!Q$11</f>
        <v>0</v>
      </c>
      <c r="E8" s="827" t="str">
        <f>'Team 8'!L4</f>
        <v>000100</v>
      </c>
      <c r="F8" s="823">
        <f>'print 10 lane'!AD$12</f>
        <v>0</v>
      </c>
      <c r="G8" s="826">
        <f>'Team 1'!$D$4</f>
        <v>16</v>
      </c>
      <c r="H8" s="826" t="s">
        <v>4635</v>
      </c>
      <c r="I8" s="826" t="str">
        <f t="shared" si="0"/>
        <v>F,,</v>
      </c>
      <c r="J8" s="826" t="str">
        <f t="shared" si="1"/>
        <v>F,,,0</v>
      </c>
      <c r="K8" s="826" t="str">
        <f t="shared" si="2"/>
        <v>F,,,0,000100</v>
      </c>
      <c r="L8" s="821" t="str">
        <f t="shared" si="3"/>
        <v>F,,,0,000100,000000</v>
      </c>
      <c r="M8" s="826" t="str">
        <f t="shared" si="4"/>
        <v>F,,,0,000100,000000,16</v>
      </c>
      <c r="N8" s="826" t="str">
        <f t="shared" si="5"/>
        <v>F,,,0,000100,000000,16,F</v>
      </c>
      <c r="O8" s="824"/>
      <c r="P8" s="824" t="str">
        <f t="shared" si="6"/>
        <v>00:00.00</v>
      </c>
      <c r="Q8" s="824" t="str">
        <f t="shared" si="7"/>
        <v>000000</v>
      </c>
      <c r="R8" s="825" t="str">
        <f t="shared" si="8"/>
        <v/>
      </c>
      <c r="S8" s="1297"/>
      <c r="T8" s="1297"/>
      <c r="U8" s="1297"/>
      <c r="V8" s="820"/>
    </row>
    <row r="9" spans="1:22" ht="12.75" customHeight="1" x14ac:dyDescent="0.25">
      <c r="A9" s="820"/>
      <c r="B9" s="821" t="s">
        <v>4635</v>
      </c>
      <c r="C9" s="821" t="str">
        <f>'Team 9'!J4</f>
        <v>,</v>
      </c>
      <c r="D9" s="821">
        <f>'Gala Setup'!Q$12</f>
        <v>0</v>
      </c>
      <c r="E9" s="822" t="str">
        <f>'Team 9'!L4</f>
        <v>000100</v>
      </c>
      <c r="F9" s="823">
        <f>'print 10 lane'!AG$12</f>
        <v>0</v>
      </c>
      <c r="G9" s="821">
        <f>'Team 1'!$D$4</f>
        <v>16</v>
      </c>
      <c r="H9" s="821" t="s">
        <v>4635</v>
      </c>
      <c r="I9" s="821" t="str">
        <f t="shared" si="0"/>
        <v>F,,</v>
      </c>
      <c r="J9" s="821" t="str">
        <f t="shared" si="1"/>
        <v>F,,,0</v>
      </c>
      <c r="K9" s="821" t="str">
        <f t="shared" si="2"/>
        <v>F,,,0,000100</v>
      </c>
      <c r="L9" s="821" t="str">
        <f t="shared" si="3"/>
        <v>F,,,0,000100,000000</v>
      </c>
      <c r="M9" s="821" t="str">
        <f t="shared" si="4"/>
        <v>F,,,0,000100,000000,16</v>
      </c>
      <c r="N9" s="821" t="str">
        <f t="shared" si="5"/>
        <v>F,,,0,000100,000000,16,F</v>
      </c>
      <c r="O9" s="824"/>
      <c r="P9" s="824" t="str">
        <f t="shared" si="6"/>
        <v>00:00.00</v>
      </c>
      <c r="Q9" s="824" t="str">
        <f t="shared" si="7"/>
        <v>000000</v>
      </c>
      <c r="R9" s="825" t="str">
        <f t="shared" si="8"/>
        <v/>
      </c>
      <c r="S9" s="1297"/>
      <c r="T9" s="1297"/>
      <c r="U9" s="1297"/>
      <c r="V9" s="820"/>
    </row>
    <row r="10" spans="1:22" ht="12.75" customHeight="1" x14ac:dyDescent="0.25">
      <c r="A10" s="820"/>
      <c r="B10" s="826" t="s">
        <v>4635</v>
      </c>
      <c r="C10" s="826" t="str">
        <f>'Team 10'!J4</f>
        <v>,</v>
      </c>
      <c r="D10" s="826">
        <f>'Gala Setup'!Q$13</f>
        <v>0</v>
      </c>
      <c r="E10" s="827" t="str">
        <f>'Team 10'!L4</f>
        <v>000100</v>
      </c>
      <c r="F10" s="823">
        <f>'print 10 lane'!AJ$12</f>
        <v>0</v>
      </c>
      <c r="G10" s="826">
        <f>'Team 1'!$D$4</f>
        <v>16</v>
      </c>
      <c r="H10" s="826" t="s">
        <v>4635</v>
      </c>
      <c r="I10" s="826" t="str">
        <f t="shared" si="0"/>
        <v>F,,</v>
      </c>
      <c r="J10" s="826" t="str">
        <f t="shared" si="1"/>
        <v>F,,,0</v>
      </c>
      <c r="K10" s="826" t="str">
        <f t="shared" si="2"/>
        <v>F,,,0,000100</v>
      </c>
      <c r="L10" s="821" t="str">
        <f t="shared" si="3"/>
        <v>F,,,0,000100,000000</v>
      </c>
      <c r="M10" s="826" t="str">
        <f t="shared" si="4"/>
        <v>F,,,0,000100,000000,16</v>
      </c>
      <c r="N10" s="826" t="str">
        <f t="shared" si="5"/>
        <v>F,,,0,000100,000000,16,F</v>
      </c>
      <c r="O10" s="824"/>
      <c r="P10" s="824" t="str">
        <f t="shared" si="6"/>
        <v>00:00.00</v>
      </c>
      <c r="Q10" s="824" t="str">
        <f t="shared" si="7"/>
        <v>000000</v>
      </c>
      <c r="R10" s="825" t="str">
        <f t="shared" si="8"/>
        <v/>
      </c>
      <c r="S10" s="1297"/>
      <c r="T10" s="1297"/>
      <c r="U10" s="1297"/>
      <c r="V10" s="820"/>
    </row>
    <row r="11" spans="1:22" ht="12.75" customHeight="1" x14ac:dyDescent="0.25">
      <c r="A11" s="820"/>
      <c r="B11" s="821" t="s">
        <v>328</v>
      </c>
      <c r="C11" s="821" t="str">
        <f>'Team 1'!J5</f>
        <v>Buzsik,Zente</v>
      </c>
      <c r="D11" s="821" t="str">
        <f>'Gala Setup'!Q$4</f>
        <v>HABL</v>
      </c>
      <c r="E11" s="822" t="str">
        <f>'Team 1'!L5</f>
        <v>291110</v>
      </c>
      <c r="F11" s="823">
        <f>'print 10 lane'!I$15</f>
        <v>0</v>
      </c>
      <c r="G11" s="821">
        <f>'Team 1'!$D$5</f>
        <v>16</v>
      </c>
      <c r="H11" s="821" t="s">
        <v>4635</v>
      </c>
      <c r="I11" s="821" t="str">
        <f t="shared" si="0"/>
        <v>M,Buzsik,Zente</v>
      </c>
      <c r="J11" s="821" t="str">
        <f t="shared" si="1"/>
        <v>M,Buzsik,Zente,HABL</v>
      </c>
      <c r="K11" s="821" t="str">
        <f t="shared" si="2"/>
        <v>M,Buzsik,Zente,HABL,291110</v>
      </c>
      <c r="L11" s="821" t="str">
        <f t="shared" si="3"/>
        <v>M,Buzsik,Zente,HABL,291110,000000</v>
      </c>
      <c r="M11" s="821" t="str">
        <f t="shared" si="4"/>
        <v>M,Buzsik,Zente,HABL,291110,000000,16</v>
      </c>
      <c r="N11" s="821" t="str">
        <f t="shared" si="5"/>
        <v>M,Buzsik,Zente,HABL,291110,000000,16,F</v>
      </c>
      <c r="O11" s="824"/>
      <c r="P11" s="824" t="str">
        <f t="shared" si="6"/>
        <v>00:00.00</v>
      </c>
      <c r="Q11" s="824" t="str">
        <f t="shared" si="7"/>
        <v>000000</v>
      </c>
      <c r="R11" s="825" t="str">
        <f t="shared" si="8"/>
        <v/>
      </c>
      <c r="S11" s="1298" t="s">
        <v>5066</v>
      </c>
      <c r="T11" s="1298"/>
      <c r="U11" s="1298"/>
      <c r="V11" s="820"/>
    </row>
    <row r="12" spans="1:22" ht="12.75" customHeight="1" x14ac:dyDescent="0.25">
      <c r="A12" s="820"/>
      <c r="B12" s="826" t="s">
        <v>328</v>
      </c>
      <c r="C12" s="826" t="str">
        <f>'Team 2'!J5</f>
        <v>Chapman,Harry</v>
      </c>
      <c r="D12" s="826" t="str">
        <f>'Gala Setup'!$Q$5</f>
        <v>STET</v>
      </c>
      <c r="E12" s="827" t="str">
        <f>'Team 2'!L5</f>
        <v>170307</v>
      </c>
      <c r="F12" s="823">
        <f>'print 10 lane'!L$15</f>
        <v>1.8596064814814814E-3</v>
      </c>
      <c r="G12" s="826">
        <f>'Team 1'!$D$5</f>
        <v>16</v>
      </c>
      <c r="H12" s="826" t="s">
        <v>4635</v>
      </c>
      <c r="I12" s="826" t="str">
        <f t="shared" si="0"/>
        <v>M,Chapman,Harry</v>
      </c>
      <c r="J12" s="826" t="str">
        <f t="shared" si="1"/>
        <v>M,Chapman,Harry,STET</v>
      </c>
      <c r="K12" s="826" t="str">
        <f t="shared" si="2"/>
        <v>M,Chapman,Harry,STET,170307</v>
      </c>
      <c r="L12" s="821" t="str">
        <f t="shared" si="3"/>
        <v>M,Chapman,Harry,STET,170307,024067</v>
      </c>
      <c r="M12" s="826" t="str">
        <f t="shared" si="4"/>
        <v>M,Chapman,Harry,STET,170307,024067,16</v>
      </c>
      <c r="N12" s="826" t="str">
        <f t="shared" si="5"/>
        <v>M,Chapman,Harry,STET,170307,024067,16,F</v>
      </c>
      <c r="O12" s="824"/>
      <c r="P12" s="824" t="str">
        <f t="shared" si="6"/>
        <v>02:40.67</v>
      </c>
      <c r="Q12" s="824" t="str">
        <f t="shared" si="7"/>
        <v>024067</v>
      </c>
      <c r="R12" s="825" t="str">
        <f t="shared" si="8"/>
        <v>M,Chapman,Harry,STET,170307,024067,16,F</v>
      </c>
      <c r="S12" s="1298"/>
      <c r="T12" s="1298"/>
      <c r="U12" s="1298"/>
      <c r="V12" s="820"/>
    </row>
    <row r="13" spans="1:22" ht="12.75" customHeight="1" x14ac:dyDescent="0.25">
      <c r="A13" s="820"/>
      <c r="B13" s="821" t="s">
        <v>328</v>
      </c>
      <c r="C13" s="821" t="str">
        <f>'Team 3'!J5</f>
        <v>Lovelock,George</v>
      </c>
      <c r="D13" s="821" t="str">
        <f>'Gala Setup'!Q$6</f>
        <v>BBST</v>
      </c>
      <c r="E13" s="822" t="str">
        <f>'Team 3'!L5</f>
        <v>291005</v>
      </c>
      <c r="F13" s="823">
        <f>'print 10 lane'!O$15</f>
        <v>1.7115740740740739E-3</v>
      </c>
      <c r="G13" s="821">
        <f>'Team 1'!$D$5</f>
        <v>16</v>
      </c>
      <c r="H13" s="821" t="s">
        <v>4635</v>
      </c>
      <c r="I13" s="821" t="str">
        <f t="shared" si="0"/>
        <v>M,Lovelock,George</v>
      </c>
      <c r="J13" s="821" t="str">
        <f t="shared" si="1"/>
        <v>M,Lovelock,George,BBST</v>
      </c>
      <c r="K13" s="821" t="str">
        <f t="shared" si="2"/>
        <v>M,Lovelock,George,BBST,291005</v>
      </c>
      <c r="L13" s="821" t="str">
        <f t="shared" si="3"/>
        <v>M,Lovelock,George,BBST,291005,022788</v>
      </c>
      <c r="M13" s="821" t="str">
        <f t="shared" si="4"/>
        <v>M,Lovelock,George,BBST,291005,022788,16</v>
      </c>
      <c r="N13" s="821" t="str">
        <f t="shared" si="5"/>
        <v>M,Lovelock,George,BBST,291005,022788,16,F</v>
      </c>
      <c r="O13" s="824"/>
      <c r="P13" s="824" t="str">
        <f t="shared" si="6"/>
        <v>02:27.88</v>
      </c>
      <c r="Q13" s="824" t="str">
        <f t="shared" si="7"/>
        <v>022788</v>
      </c>
      <c r="R13" s="825" t="str">
        <f t="shared" si="8"/>
        <v>M,Lovelock,George,BBST,291005,022788,16,F</v>
      </c>
      <c r="S13" s="1298"/>
      <c r="T13" s="1298"/>
      <c r="U13" s="1298"/>
      <c r="V13" s="820"/>
    </row>
    <row r="14" spans="1:22" ht="12.75" customHeight="1" x14ac:dyDescent="0.25">
      <c r="A14" s="820"/>
      <c r="B14" s="826" t="s">
        <v>328</v>
      </c>
      <c r="C14" s="826" t="str">
        <f>'Team 4'!J5</f>
        <v>BUNCE,ELLIS</v>
      </c>
      <c r="D14" s="826" t="str">
        <f>'Gala Setup'!Q$7</f>
        <v>AYBS</v>
      </c>
      <c r="E14" s="827" t="str">
        <f>'Team 4'!L5</f>
        <v>301007</v>
      </c>
      <c r="F14" s="823">
        <f>'print 10 lane'!R$15</f>
        <v>1.6637731481481484E-3</v>
      </c>
      <c r="G14" s="826">
        <f>'Team 1'!$D$5</f>
        <v>16</v>
      </c>
      <c r="H14" s="826" t="s">
        <v>4635</v>
      </c>
      <c r="I14" s="826" t="str">
        <f t="shared" si="0"/>
        <v>M,BUNCE,ELLIS</v>
      </c>
      <c r="J14" s="826" t="str">
        <f t="shared" si="1"/>
        <v>M,BUNCE,ELLIS,AYBS</v>
      </c>
      <c r="K14" s="826" t="str">
        <f t="shared" si="2"/>
        <v>M,BUNCE,ELLIS,AYBS,301007</v>
      </c>
      <c r="L14" s="821" t="str">
        <f t="shared" si="3"/>
        <v>M,BUNCE,ELLIS,AYBS,301007,022375</v>
      </c>
      <c r="M14" s="826" t="str">
        <f t="shared" si="4"/>
        <v>M,BUNCE,ELLIS,AYBS,301007,022375,16</v>
      </c>
      <c r="N14" s="826" t="str">
        <f t="shared" si="5"/>
        <v>M,BUNCE,ELLIS,AYBS,301007,022375,16,F</v>
      </c>
      <c r="O14" s="824"/>
      <c r="P14" s="824" t="str">
        <f t="shared" si="6"/>
        <v>02:23.75</v>
      </c>
      <c r="Q14" s="824" t="str">
        <f t="shared" si="7"/>
        <v>022375</v>
      </c>
      <c r="R14" s="825" t="str">
        <f t="shared" si="8"/>
        <v>M,BUNCE,ELLIS,AYBS,301007,022375,16,F</v>
      </c>
      <c r="S14" s="1298"/>
      <c r="T14" s="1298"/>
      <c r="U14" s="1298"/>
      <c r="V14" s="820"/>
    </row>
    <row r="15" spans="1:22" ht="12.75" customHeight="1" x14ac:dyDescent="0.25">
      <c r="A15" s="820"/>
      <c r="B15" s="821" t="s">
        <v>328</v>
      </c>
      <c r="C15" s="821" t="str">
        <f>'Team 5'!J5</f>
        <v>Orley,Albert</v>
      </c>
      <c r="D15" s="821" t="str">
        <f>'Gala Setup'!Q$8</f>
        <v>BTRT</v>
      </c>
      <c r="E15" s="822" t="str">
        <f>'Team 5'!L5</f>
        <v>300108</v>
      </c>
      <c r="F15" s="823">
        <f>'print 10 lane'!U$15</f>
        <v>1.6520833333333333E-3</v>
      </c>
      <c r="G15" s="821">
        <f>'Team 1'!$D$5</f>
        <v>16</v>
      </c>
      <c r="H15" s="821" t="s">
        <v>4635</v>
      </c>
      <c r="I15" s="821" t="str">
        <f t="shared" si="0"/>
        <v>M,Orley,Albert</v>
      </c>
      <c r="J15" s="821" t="str">
        <f t="shared" si="1"/>
        <v>M,Orley,Albert,BTRT</v>
      </c>
      <c r="K15" s="821" t="str">
        <f t="shared" si="2"/>
        <v>M,Orley,Albert,BTRT,300108</v>
      </c>
      <c r="L15" s="821" t="str">
        <f t="shared" si="3"/>
        <v>M,Orley,Albert,BTRT,300108,022274</v>
      </c>
      <c r="M15" s="821" t="str">
        <f t="shared" si="4"/>
        <v>M,Orley,Albert,BTRT,300108,022274,16</v>
      </c>
      <c r="N15" s="821" t="str">
        <f t="shared" si="5"/>
        <v>M,Orley,Albert,BTRT,300108,022274,16,F</v>
      </c>
      <c r="O15" s="824"/>
      <c r="P15" s="824" t="str">
        <f t="shared" si="6"/>
        <v>02:22.74</v>
      </c>
      <c r="Q15" s="824" t="str">
        <f t="shared" si="7"/>
        <v>022274</v>
      </c>
      <c r="R15" s="825" t="str">
        <f t="shared" si="8"/>
        <v>M,Orley,Albert,BTRT,300108,022274,16,F</v>
      </c>
      <c r="S15" s="1298"/>
      <c r="T15" s="1298"/>
      <c r="U15" s="1298"/>
      <c r="V15" s="820"/>
    </row>
    <row r="16" spans="1:22" ht="12.75" customHeight="1" x14ac:dyDescent="0.25">
      <c r="A16" s="820"/>
      <c r="B16" s="826" t="s">
        <v>328</v>
      </c>
      <c r="C16" s="826" t="str">
        <f>'Team 6'!J5</f>
        <v>Lembac,Razvan</v>
      </c>
      <c r="D16" s="826" t="str">
        <f>'Gala Setup'!Q$9</f>
        <v>HAWL</v>
      </c>
      <c r="E16" s="827" t="str">
        <f>'Team 6'!L5</f>
        <v>141207</v>
      </c>
      <c r="F16" s="823">
        <f>'print 10 lane'!X$15</f>
        <v>1.6135416666666668E-3</v>
      </c>
      <c r="G16" s="826">
        <f>'Team 1'!$D$5</f>
        <v>16</v>
      </c>
      <c r="H16" s="826" t="s">
        <v>4635</v>
      </c>
      <c r="I16" s="826" t="str">
        <f t="shared" si="0"/>
        <v>M,Lembac,Razvan</v>
      </c>
      <c r="J16" s="826" t="str">
        <f t="shared" si="1"/>
        <v>M,Lembac,Razvan,HAWL</v>
      </c>
      <c r="K16" s="826" t="str">
        <f t="shared" si="2"/>
        <v>M,Lembac,Razvan,HAWL,141207</v>
      </c>
      <c r="L16" s="821" t="str">
        <f t="shared" si="3"/>
        <v>M,Lembac,Razvan,HAWL,141207,021941</v>
      </c>
      <c r="M16" s="826" t="str">
        <f t="shared" si="4"/>
        <v>M,Lembac,Razvan,HAWL,141207,021941,16</v>
      </c>
      <c r="N16" s="826" t="str">
        <f t="shared" si="5"/>
        <v>M,Lembac,Razvan,HAWL,141207,021941,16,F</v>
      </c>
      <c r="O16" s="824"/>
      <c r="P16" s="824" t="str">
        <f t="shared" si="6"/>
        <v>02:19.41</v>
      </c>
      <c r="Q16" s="824" t="str">
        <f t="shared" si="7"/>
        <v>021941</v>
      </c>
      <c r="R16" s="828" t="str">
        <f t="shared" si="8"/>
        <v>M,Lembac,Razvan,HAWL,141207,021941,16,F</v>
      </c>
      <c r="S16" s="1298"/>
      <c r="T16" s="1298"/>
      <c r="U16" s="1298"/>
      <c r="V16" s="820"/>
    </row>
    <row r="17" spans="1:22" ht="12.75" customHeight="1" x14ac:dyDescent="0.25">
      <c r="A17" s="820"/>
      <c r="B17" s="821" t="s">
        <v>328</v>
      </c>
      <c r="C17" s="821" t="str">
        <f>'Team 7'!J5</f>
        <v>Treanor,Liam</v>
      </c>
      <c r="D17" s="821" t="str">
        <f>'Gala Setup'!Q$10</f>
        <v>HISL</v>
      </c>
      <c r="E17" s="822" t="str">
        <f>'Team 7'!L5</f>
        <v>150907</v>
      </c>
      <c r="F17" s="823">
        <f>'print 10 lane'!AA$15</f>
        <v>1.6844907407407405E-3</v>
      </c>
      <c r="G17" s="821">
        <f>'Team 1'!$D$5</f>
        <v>16</v>
      </c>
      <c r="H17" s="821" t="s">
        <v>4635</v>
      </c>
      <c r="I17" s="821" t="str">
        <f t="shared" si="0"/>
        <v>M,Treanor,Liam</v>
      </c>
      <c r="J17" s="821" t="str">
        <f t="shared" si="1"/>
        <v>M,Treanor,Liam,HISL</v>
      </c>
      <c r="K17" s="821" t="str">
        <f t="shared" si="2"/>
        <v>M,Treanor,Liam,HISL,150907</v>
      </c>
      <c r="L17" s="821" t="str">
        <f t="shared" si="3"/>
        <v>M,Treanor,Liam,HISL,150907,022554</v>
      </c>
      <c r="M17" s="821" t="str">
        <f t="shared" si="4"/>
        <v>M,Treanor,Liam,HISL,150907,022554,16</v>
      </c>
      <c r="N17" s="821" t="str">
        <f t="shared" si="5"/>
        <v>M,Treanor,Liam,HISL,150907,022554,16,F</v>
      </c>
      <c r="O17" s="824"/>
      <c r="P17" s="824" t="str">
        <f t="shared" si="6"/>
        <v>02:25.54</v>
      </c>
      <c r="Q17" s="824" t="str">
        <f t="shared" si="7"/>
        <v>022554</v>
      </c>
      <c r="R17" s="828" t="str">
        <f t="shared" si="8"/>
        <v>M,Treanor,Liam,HISL,150907,022554,16,F</v>
      </c>
      <c r="S17" s="1298"/>
      <c r="T17" s="1298"/>
      <c r="U17" s="1298"/>
      <c r="V17" s="820"/>
    </row>
    <row r="18" spans="1:22" ht="12.75" customHeight="1" x14ac:dyDescent="0.25">
      <c r="A18" s="820"/>
      <c r="B18" s="826" t="s">
        <v>328</v>
      </c>
      <c r="C18" s="826" t="str">
        <f>'Team 8'!J5</f>
        <v>,</v>
      </c>
      <c r="D18" s="826">
        <f>'Gala Setup'!Q$11</f>
        <v>0</v>
      </c>
      <c r="E18" s="827" t="str">
        <f>'Team 8'!L5</f>
        <v>000100</v>
      </c>
      <c r="F18" s="823">
        <f>'print 10 lane'!AD$15</f>
        <v>0</v>
      </c>
      <c r="G18" s="826">
        <f>'Team 1'!$D$5</f>
        <v>16</v>
      </c>
      <c r="H18" s="826" t="s">
        <v>4635</v>
      </c>
      <c r="I18" s="826" t="str">
        <f t="shared" si="0"/>
        <v>M,,</v>
      </c>
      <c r="J18" s="826" t="str">
        <f t="shared" si="1"/>
        <v>M,,,0</v>
      </c>
      <c r="K18" s="826" t="str">
        <f t="shared" si="2"/>
        <v>M,,,0,000100</v>
      </c>
      <c r="L18" s="821" t="str">
        <f t="shared" si="3"/>
        <v>M,,,0,000100,000000</v>
      </c>
      <c r="M18" s="826" t="str">
        <f t="shared" si="4"/>
        <v>M,,,0,000100,000000,16</v>
      </c>
      <c r="N18" s="826" t="str">
        <f t="shared" si="5"/>
        <v>M,,,0,000100,000000,16,F</v>
      </c>
      <c r="O18" s="824"/>
      <c r="P18" s="824" t="str">
        <f t="shared" si="6"/>
        <v>00:00.00</v>
      </c>
      <c r="Q18" s="824" t="str">
        <f t="shared" si="7"/>
        <v>000000</v>
      </c>
      <c r="R18" s="828" t="str">
        <f t="shared" si="8"/>
        <v/>
      </c>
      <c r="S18" s="1298"/>
      <c r="T18" s="1298"/>
      <c r="U18" s="1298"/>
      <c r="V18" s="820"/>
    </row>
    <row r="19" spans="1:22" ht="12.75" customHeight="1" x14ac:dyDescent="0.25">
      <c r="A19" s="820"/>
      <c r="B19" s="821" t="s">
        <v>328</v>
      </c>
      <c r="C19" s="821" t="str">
        <f>'Team 9'!J5</f>
        <v>,</v>
      </c>
      <c r="D19" s="821">
        <f>'Gala Setup'!Q$12</f>
        <v>0</v>
      </c>
      <c r="E19" s="822" t="str">
        <f>'Team 9'!L5</f>
        <v>000100</v>
      </c>
      <c r="F19" s="823">
        <f>'print 10 lane'!AG$15</f>
        <v>0</v>
      </c>
      <c r="G19" s="821">
        <f>'Team 1'!$D$5</f>
        <v>16</v>
      </c>
      <c r="H19" s="821" t="s">
        <v>4635</v>
      </c>
      <c r="I19" s="821" t="str">
        <f t="shared" si="0"/>
        <v>M,,</v>
      </c>
      <c r="J19" s="821" t="str">
        <f t="shared" si="1"/>
        <v>M,,,0</v>
      </c>
      <c r="K19" s="821" t="str">
        <f t="shared" si="2"/>
        <v>M,,,0,000100</v>
      </c>
      <c r="L19" s="821" t="str">
        <f t="shared" si="3"/>
        <v>M,,,0,000100,000000</v>
      </c>
      <c r="M19" s="821" t="str">
        <f t="shared" si="4"/>
        <v>M,,,0,000100,000000,16</v>
      </c>
      <c r="N19" s="821" t="str">
        <f t="shared" si="5"/>
        <v>M,,,0,000100,000000,16,F</v>
      </c>
      <c r="O19" s="824"/>
      <c r="P19" s="824" t="str">
        <f t="shared" si="6"/>
        <v>00:00.00</v>
      </c>
      <c r="Q19" s="824" t="str">
        <f t="shared" si="7"/>
        <v>000000</v>
      </c>
      <c r="R19" s="828" t="str">
        <f t="shared" si="8"/>
        <v/>
      </c>
      <c r="S19" s="1298"/>
      <c r="T19" s="1298"/>
      <c r="U19" s="1298"/>
      <c r="V19" s="820"/>
    </row>
    <row r="20" spans="1:22" ht="12.75" customHeight="1" x14ac:dyDescent="0.25">
      <c r="A20" s="820"/>
      <c r="B20" s="826" t="s">
        <v>328</v>
      </c>
      <c r="C20" s="826" t="str">
        <f>'Team 10'!J5</f>
        <v>,</v>
      </c>
      <c r="D20" s="826">
        <f>'Gala Setup'!Q$13</f>
        <v>0</v>
      </c>
      <c r="E20" s="827" t="str">
        <f>'Team 10'!L5</f>
        <v>000100</v>
      </c>
      <c r="F20" s="823">
        <f>'print 10 lane'!AJ$15</f>
        <v>0</v>
      </c>
      <c r="G20" s="826">
        <f>'Team 1'!$D$5</f>
        <v>16</v>
      </c>
      <c r="H20" s="826" t="s">
        <v>4635</v>
      </c>
      <c r="I20" s="826" t="str">
        <f t="shared" si="0"/>
        <v>M,,</v>
      </c>
      <c r="J20" s="826" t="str">
        <f t="shared" si="1"/>
        <v>M,,,0</v>
      </c>
      <c r="K20" s="826" t="str">
        <f t="shared" si="2"/>
        <v>M,,,0,000100</v>
      </c>
      <c r="L20" s="821" t="str">
        <f t="shared" si="3"/>
        <v>M,,,0,000100,000000</v>
      </c>
      <c r="M20" s="826" t="str">
        <f t="shared" si="4"/>
        <v>M,,,0,000100,000000,16</v>
      </c>
      <c r="N20" s="826" t="str">
        <f t="shared" si="5"/>
        <v>M,,,0,000100,000000,16,F</v>
      </c>
      <c r="O20" s="824"/>
      <c r="P20" s="824" t="str">
        <f t="shared" si="6"/>
        <v>00:00.00</v>
      </c>
      <c r="Q20" s="824" t="str">
        <f t="shared" si="7"/>
        <v>000000</v>
      </c>
      <c r="R20" s="828" t="str">
        <f t="shared" si="8"/>
        <v/>
      </c>
      <c r="S20" s="1298"/>
      <c r="T20" s="1298"/>
      <c r="U20" s="1298"/>
      <c r="V20" s="820"/>
    </row>
    <row r="21" spans="1:22" ht="12.75" customHeight="1" x14ac:dyDescent="0.25">
      <c r="A21" s="820"/>
      <c r="B21" s="821" t="s">
        <v>4635</v>
      </c>
      <c r="C21" s="821" t="str">
        <f>'Team 1'!J42</f>
        <v>Bavishi,Shreya</v>
      </c>
      <c r="D21" s="821" t="str">
        <f>'Gala Setup'!Q$4</f>
        <v>HABL</v>
      </c>
      <c r="E21" s="822" t="str">
        <f>'Team 1'!L42</f>
        <v>120709</v>
      </c>
      <c r="F21" s="823">
        <f>'print 10 lane'!I$46</f>
        <v>8.9375000000000001E-4</v>
      </c>
      <c r="G21" s="821">
        <f>'Team 1'!$D$42</f>
        <v>14</v>
      </c>
      <c r="H21" s="821" t="s">
        <v>4635</v>
      </c>
      <c r="I21" s="821" t="str">
        <f t="shared" si="0"/>
        <v>F,Bavishi,Shreya</v>
      </c>
      <c r="J21" s="821" t="str">
        <f t="shared" si="1"/>
        <v>F,Bavishi,Shreya,HABL</v>
      </c>
      <c r="K21" s="821" t="str">
        <f t="shared" si="2"/>
        <v>F,Bavishi,Shreya,HABL,120709</v>
      </c>
      <c r="L21" s="821" t="str">
        <f t="shared" si="3"/>
        <v>F,Bavishi,Shreya,HABL,120709,011722</v>
      </c>
      <c r="M21" s="821" t="str">
        <f t="shared" si="4"/>
        <v>F,Bavishi,Shreya,HABL,120709,011722,14</v>
      </c>
      <c r="N21" s="821" t="str">
        <f t="shared" si="5"/>
        <v>F,Bavishi,Shreya,HABL,120709,011722,14,F</v>
      </c>
      <c r="O21" s="824"/>
      <c r="P21" s="824" t="str">
        <f t="shared" si="6"/>
        <v>01:17.22</v>
      </c>
      <c r="Q21" s="824" t="str">
        <f t="shared" si="7"/>
        <v>011722</v>
      </c>
      <c r="R21" s="828" t="str">
        <f t="shared" si="8"/>
        <v>F,Bavishi,Shreya,HABL,120709,011722,14,F</v>
      </c>
      <c r="S21" s="1299" t="str">
        <f>'Gala Setup'!J7</f>
        <v>3ER231478</v>
      </c>
      <c r="T21" s="1299"/>
      <c r="U21" s="1299"/>
      <c r="V21" s="820"/>
    </row>
    <row r="22" spans="1:22" ht="12.75" customHeight="1" x14ac:dyDescent="0.25">
      <c r="A22" s="820"/>
      <c r="B22" s="821" t="s">
        <v>4635</v>
      </c>
      <c r="C22" s="821" t="str">
        <f>'Team 1'!J48</f>
        <v>Pedraza-Eguia,Ane</v>
      </c>
      <c r="D22" s="821" t="str">
        <f>'Gala Setup'!Q$4</f>
        <v>HABL</v>
      </c>
      <c r="E22" s="822" t="str">
        <f>'Team 1'!L48</f>
        <v>011210</v>
      </c>
      <c r="F22" s="823">
        <f>'print 10 lane'!I$64</f>
        <v>1.0196759259259258E-3</v>
      </c>
      <c r="G22" s="821">
        <f>'Team 1'!$D$48</f>
        <v>14</v>
      </c>
      <c r="H22" s="821" t="s">
        <v>4635</v>
      </c>
      <c r="I22" s="821" t="str">
        <f t="shared" si="0"/>
        <v>F,Pedraza-Eguia,Ane</v>
      </c>
      <c r="J22" s="821" t="str">
        <f t="shared" si="1"/>
        <v>F,Pedraza-Eguia,Ane,HABL</v>
      </c>
      <c r="K22" s="821" t="str">
        <f t="shared" si="2"/>
        <v>F,Pedraza-Eguia,Ane,HABL,011210</v>
      </c>
      <c r="L22" s="821" t="str">
        <f t="shared" si="3"/>
        <v>F,Pedraza-Eguia,Ane,HABL,011210,012810</v>
      </c>
      <c r="M22" s="821" t="str">
        <f t="shared" si="4"/>
        <v>F,Pedraza-Eguia,Ane,HABL,011210,012810,14</v>
      </c>
      <c r="N22" s="821" t="str">
        <f t="shared" si="5"/>
        <v>F,Pedraza-Eguia,Ane,HABL,011210,012810,14,F</v>
      </c>
      <c r="O22" s="824"/>
      <c r="P22" s="824" t="str">
        <f t="shared" si="6"/>
        <v>01:28.10</v>
      </c>
      <c r="Q22" s="824" t="str">
        <f t="shared" si="7"/>
        <v>012810</v>
      </c>
      <c r="R22" s="828" t="str">
        <f t="shared" si="8"/>
        <v>F,Pedraza-Eguia,Ane,HABL,011210,012810,14,F</v>
      </c>
      <c r="S22" s="1299"/>
      <c r="T22" s="1299"/>
      <c r="U22" s="1299"/>
      <c r="V22" s="820"/>
    </row>
    <row r="23" spans="1:22" ht="12.75" customHeight="1" x14ac:dyDescent="0.25">
      <c r="A23" s="820"/>
      <c r="B23" s="821" t="s">
        <v>4635</v>
      </c>
      <c r="C23" s="821" t="str">
        <f>'Team 1'!J52</f>
        <v>Spyrou,Isabel</v>
      </c>
      <c r="D23" s="821" t="str">
        <f>'Gala Setup'!Q$4</f>
        <v>HABL</v>
      </c>
      <c r="E23" s="822" t="str">
        <f>'Team 1'!L52</f>
        <v>110907</v>
      </c>
      <c r="F23" s="823">
        <f>'print 10 lane'!I$76</f>
        <v>9.5601851851851848E-4</v>
      </c>
      <c r="G23" s="821">
        <f>'Team 1'!$D$52</f>
        <v>14</v>
      </c>
      <c r="H23" s="821" t="s">
        <v>4635</v>
      </c>
      <c r="I23" s="821" t="str">
        <f t="shared" si="0"/>
        <v>F,Spyrou,Isabel</v>
      </c>
      <c r="J23" s="821" t="str">
        <f t="shared" si="1"/>
        <v>F,Spyrou,Isabel,HABL</v>
      </c>
      <c r="K23" s="821" t="str">
        <f t="shared" si="2"/>
        <v>F,Spyrou,Isabel,HABL,110907</v>
      </c>
      <c r="L23" s="821" t="str">
        <f t="shared" si="3"/>
        <v>F,Spyrou,Isabel,HABL,110907,012260</v>
      </c>
      <c r="M23" s="821" t="str">
        <f t="shared" si="4"/>
        <v>F,Spyrou,Isabel,HABL,110907,012260,14</v>
      </c>
      <c r="N23" s="821" t="str">
        <f t="shared" si="5"/>
        <v>F,Spyrou,Isabel,HABL,110907,012260,14,F</v>
      </c>
      <c r="O23" s="824"/>
      <c r="P23" s="824" t="str">
        <f t="shared" si="6"/>
        <v>01:22.60</v>
      </c>
      <c r="Q23" s="824" t="str">
        <f t="shared" si="7"/>
        <v>012260</v>
      </c>
      <c r="R23" s="828" t="str">
        <f t="shared" si="8"/>
        <v>F,Spyrou,Isabel,HABL,110907,012260,14,F</v>
      </c>
      <c r="S23" s="829"/>
      <c r="T23" s="829"/>
      <c r="U23" s="829"/>
      <c r="V23" s="820"/>
    </row>
    <row r="24" spans="1:22" ht="12.75" customHeight="1" x14ac:dyDescent="0.25">
      <c r="A24" s="820"/>
      <c r="B24" s="826" t="s">
        <v>4635</v>
      </c>
      <c r="C24" s="826" t="str">
        <f>'Team 2'!J42</f>
        <v>Harradine,Daisy</v>
      </c>
      <c r="D24" s="826" t="str">
        <f>'Gala Setup'!$Q$5</f>
        <v>STET</v>
      </c>
      <c r="E24" s="827" t="str">
        <f>'Team 2'!L42</f>
        <v>030809</v>
      </c>
      <c r="F24" s="823">
        <f>'print 10 lane'!L$46</f>
        <v>9.2106481481481477E-4</v>
      </c>
      <c r="G24" s="826">
        <f>'Team 1'!$D$42</f>
        <v>14</v>
      </c>
      <c r="H24" s="826" t="s">
        <v>4635</v>
      </c>
      <c r="I24" s="826" t="str">
        <f t="shared" si="0"/>
        <v>F,Harradine,Daisy</v>
      </c>
      <c r="J24" s="826" t="str">
        <f t="shared" si="1"/>
        <v>F,Harradine,Daisy,STET</v>
      </c>
      <c r="K24" s="826" t="str">
        <f t="shared" si="2"/>
        <v>F,Harradine,Daisy,STET,030809</v>
      </c>
      <c r="L24" s="821" t="str">
        <f t="shared" si="3"/>
        <v>F,Harradine,Daisy,STET,030809,011958</v>
      </c>
      <c r="M24" s="826" t="str">
        <f t="shared" si="4"/>
        <v>F,Harradine,Daisy,STET,030809,011958,14</v>
      </c>
      <c r="N24" s="826" t="str">
        <f t="shared" si="5"/>
        <v>F,Harradine,Daisy,STET,030809,011958,14,F</v>
      </c>
      <c r="O24" s="824"/>
      <c r="P24" s="824" t="str">
        <f t="shared" si="6"/>
        <v>01:19.58</v>
      </c>
      <c r="Q24" s="824" t="str">
        <f t="shared" si="7"/>
        <v>011958</v>
      </c>
      <c r="R24" s="828" t="str">
        <f t="shared" si="8"/>
        <v>F,Harradine,Daisy,STET,030809,011958,14,F</v>
      </c>
      <c r="S24" s="1289" t="s">
        <v>5067</v>
      </c>
      <c r="T24" s="1289"/>
      <c r="U24" s="1289"/>
      <c r="V24" s="820"/>
    </row>
    <row r="25" spans="1:22" ht="12.75" customHeight="1" x14ac:dyDescent="0.25">
      <c r="A25" s="820"/>
      <c r="B25" s="826" t="s">
        <v>4635</v>
      </c>
      <c r="C25" s="826" t="str">
        <f>'Team 2'!J48</f>
        <v>Heraty,Sophie</v>
      </c>
      <c r="D25" s="826" t="str">
        <f>'Gala Setup'!$Q$5</f>
        <v>STET</v>
      </c>
      <c r="E25" s="827" t="str">
        <f>'Team 2'!L48</f>
        <v>121010</v>
      </c>
      <c r="F25" s="823">
        <f>'print 10 lane'!L$64</f>
        <v>9.2986111111111101E-4</v>
      </c>
      <c r="G25" s="826">
        <f>'Team 1'!$D$48</f>
        <v>14</v>
      </c>
      <c r="H25" s="826" t="s">
        <v>4635</v>
      </c>
      <c r="I25" s="826" t="str">
        <f t="shared" si="0"/>
        <v>F,Heraty,Sophie</v>
      </c>
      <c r="J25" s="826" t="str">
        <f t="shared" si="1"/>
        <v>F,Heraty,Sophie,STET</v>
      </c>
      <c r="K25" s="826" t="str">
        <f t="shared" si="2"/>
        <v>F,Heraty,Sophie,STET,121010</v>
      </c>
      <c r="L25" s="821" t="str">
        <f t="shared" si="3"/>
        <v>F,Heraty,Sophie,STET,121010,012034</v>
      </c>
      <c r="M25" s="826" t="str">
        <f t="shared" si="4"/>
        <v>F,Heraty,Sophie,STET,121010,012034,14</v>
      </c>
      <c r="N25" s="826" t="str">
        <f t="shared" si="5"/>
        <v>F,Heraty,Sophie,STET,121010,012034,14,F</v>
      </c>
      <c r="O25" s="824"/>
      <c r="P25" s="824" t="str">
        <f t="shared" si="6"/>
        <v>01:20.34</v>
      </c>
      <c r="Q25" s="824" t="str">
        <f t="shared" si="7"/>
        <v>012034</v>
      </c>
      <c r="R25" s="828" t="str">
        <f t="shared" si="8"/>
        <v>F,Heraty,Sophie,STET,121010,012034,14,F</v>
      </c>
      <c r="S25" s="1289"/>
      <c r="T25" s="1289"/>
      <c r="U25" s="1289"/>
      <c r="V25" s="820"/>
    </row>
    <row r="26" spans="1:22" ht="12.75" customHeight="1" x14ac:dyDescent="0.25">
      <c r="A26" s="820"/>
      <c r="B26" s="826" t="s">
        <v>4635</v>
      </c>
      <c r="C26" s="826" t="str">
        <f>'Team 2'!J52</f>
        <v>Lyon,Sophie</v>
      </c>
      <c r="D26" s="826" t="str">
        <f>'Gala Setup'!$Q$5</f>
        <v>STET</v>
      </c>
      <c r="E26" s="827" t="str">
        <f>'Team 2'!L52</f>
        <v>240806</v>
      </c>
      <c r="F26" s="823">
        <f>'print 10 lane'!L$76</f>
        <v>8.688657407407408E-4</v>
      </c>
      <c r="G26" s="826">
        <f>'Team 1'!$D$52</f>
        <v>14</v>
      </c>
      <c r="H26" s="826" t="s">
        <v>4635</v>
      </c>
      <c r="I26" s="826" t="str">
        <f t="shared" si="0"/>
        <v>F,Lyon,Sophie</v>
      </c>
      <c r="J26" s="826" t="str">
        <f t="shared" si="1"/>
        <v>F,Lyon,Sophie,STET</v>
      </c>
      <c r="K26" s="826" t="str">
        <f t="shared" si="2"/>
        <v>F,Lyon,Sophie,STET,240806</v>
      </c>
      <c r="L26" s="821" t="str">
        <f t="shared" si="3"/>
        <v>F,Lyon,Sophie,STET,240806,011507</v>
      </c>
      <c r="M26" s="826" t="str">
        <f t="shared" si="4"/>
        <v>F,Lyon,Sophie,STET,240806,011507,14</v>
      </c>
      <c r="N26" s="826" t="str">
        <f t="shared" si="5"/>
        <v>F,Lyon,Sophie,STET,240806,011507,14,F</v>
      </c>
      <c r="O26" s="824"/>
      <c r="P26" s="824" t="str">
        <f t="shared" si="6"/>
        <v>01:15.07</v>
      </c>
      <c r="Q26" s="824" t="str">
        <f t="shared" si="7"/>
        <v>011507</v>
      </c>
      <c r="R26" s="828" t="str">
        <f t="shared" si="8"/>
        <v>F,Lyon,Sophie,STET,240806,011507,14,F</v>
      </c>
      <c r="S26" s="1289"/>
      <c r="T26" s="1289"/>
      <c r="U26" s="1289"/>
      <c r="V26" s="820"/>
    </row>
    <row r="27" spans="1:22" ht="12.75" customHeight="1" x14ac:dyDescent="0.25">
      <c r="A27" s="820"/>
      <c r="B27" s="821" t="s">
        <v>4635</v>
      </c>
      <c r="C27" s="821" t="str">
        <f>'Team 3'!J42</f>
        <v>Lovelock,Hannah</v>
      </c>
      <c r="D27" s="821" t="str">
        <f>'Gala Setup'!Q$6</f>
        <v>BBST</v>
      </c>
      <c r="E27" s="822" t="str">
        <f>'Team 3'!L42</f>
        <v>180208</v>
      </c>
      <c r="F27" s="823">
        <f>'print 10 lane'!O$46</f>
        <v>8.6793981481481488E-4</v>
      </c>
      <c r="G27" s="821">
        <f>'Team 1'!$D$42</f>
        <v>14</v>
      </c>
      <c r="H27" s="821" t="s">
        <v>4635</v>
      </c>
      <c r="I27" s="821" t="str">
        <f t="shared" si="0"/>
        <v>F,Lovelock,Hannah</v>
      </c>
      <c r="J27" s="821" t="str">
        <f t="shared" si="1"/>
        <v>F,Lovelock,Hannah,BBST</v>
      </c>
      <c r="K27" s="821" t="str">
        <f t="shared" si="2"/>
        <v>F,Lovelock,Hannah,BBST,180208</v>
      </c>
      <c r="L27" s="821" t="str">
        <f t="shared" si="3"/>
        <v>F,Lovelock,Hannah,BBST,180208,011499</v>
      </c>
      <c r="M27" s="821" t="str">
        <f t="shared" si="4"/>
        <v>F,Lovelock,Hannah,BBST,180208,011499,14</v>
      </c>
      <c r="N27" s="821" t="str">
        <f t="shared" si="5"/>
        <v>F,Lovelock,Hannah,BBST,180208,011499,14,F</v>
      </c>
      <c r="O27" s="824"/>
      <c r="P27" s="824" t="str">
        <f t="shared" si="6"/>
        <v>01:14.99</v>
      </c>
      <c r="Q27" s="824" t="str">
        <f t="shared" si="7"/>
        <v>011499</v>
      </c>
      <c r="R27" s="828" t="str">
        <f t="shared" si="8"/>
        <v>F,Lovelock,Hannah,BBST,180208,011499,14,F</v>
      </c>
      <c r="S27" s="1290" t="s">
        <v>5068</v>
      </c>
      <c r="T27" s="1290"/>
      <c r="U27" s="1290"/>
      <c r="V27" s="820"/>
    </row>
    <row r="28" spans="1:22" ht="12.75" customHeight="1" x14ac:dyDescent="0.25">
      <c r="A28" s="820"/>
      <c r="B28" s="821" t="s">
        <v>4635</v>
      </c>
      <c r="C28" s="821" t="str">
        <f>'Team 3'!J48</f>
        <v>Robu,Maya</v>
      </c>
      <c r="D28" s="821" t="str">
        <f>'Gala Setup'!Q$6</f>
        <v>BBST</v>
      </c>
      <c r="E28" s="822" t="str">
        <f>'Team 3'!L48</f>
        <v>270211</v>
      </c>
      <c r="F28" s="823">
        <f>'print 10 lane'!O$64</f>
        <v>9.0185185185185192E-4</v>
      </c>
      <c r="G28" s="821">
        <f>'Team 1'!$D$48</f>
        <v>14</v>
      </c>
      <c r="H28" s="821" t="s">
        <v>4635</v>
      </c>
      <c r="I28" s="821" t="str">
        <f t="shared" si="0"/>
        <v>F,Robu,Maya</v>
      </c>
      <c r="J28" s="821" t="str">
        <f t="shared" si="1"/>
        <v>F,Robu,Maya,BBST</v>
      </c>
      <c r="K28" s="821" t="str">
        <f t="shared" si="2"/>
        <v>F,Robu,Maya,BBST,270211</v>
      </c>
      <c r="L28" s="821" t="str">
        <f t="shared" si="3"/>
        <v>F,Robu,Maya,BBST,270211,011792</v>
      </c>
      <c r="M28" s="821" t="str">
        <f t="shared" si="4"/>
        <v>F,Robu,Maya,BBST,270211,011792,14</v>
      </c>
      <c r="N28" s="821" t="str">
        <f t="shared" si="5"/>
        <v>F,Robu,Maya,BBST,270211,011792,14,F</v>
      </c>
      <c r="O28" s="824"/>
      <c r="P28" s="824" t="str">
        <f t="shared" si="6"/>
        <v>01:17.92</v>
      </c>
      <c r="Q28" s="824" t="str">
        <f t="shared" si="7"/>
        <v>011792</v>
      </c>
      <c r="R28" s="828" t="str">
        <f t="shared" si="8"/>
        <v>F,Robu,Maya,BBST,270211,011792,14,F</v>
      </c>
      <c r="S28" s="1290"/>
      <c r="T28" s="1290"/>
      <c r="U28" s="1290"/>
      <c r="V28" s="820"/>
    </row>
    <row r="29" spans="1:22" ht="12.75" customHeight="1" x14ac:dyDescent="0.25">
      <c r="A29" s="820"/>
      <c r="B29" s="821" t="s">
        <v>4635</v>
      </c>
      <c r="C29" s="821" t="str">
        <f>'Team 3'!J52</f>
        <v>Sofokleous-Ames,Grace</v>
      </c>
      <c r="D29" s="821" t="str">
        <f>'Gala Setup'!Q$6</f>
        <v>BBST</v>
      </c>
      <c r="E29" s="822" t="str">
        <f>'Team 3'!L52</f>
        <v>010707</v>
      </c>
      <c r="F29" s="823">
        <f>'print 10 lane'!O$76</f>
        <v>8.9016203703703707E-4</v>
      </c>
      <c r="G29" s="821">
        <f>'Team 1'!$D$52</f>
        <v>14</v>
      </c>
      <c r="H29" s="821" t="s">
        <v>4635</v>
      </c>
      <c r="I29" s="821" t="str">
        <f t="shared" si="0"/>
        <v>F,Sofokleous-Ames,Grace</v>
      </c>
      <c r="J29" s="821" t="str">
        <f t="shared" si="1"/>
        <v>F,Sofokleous-Ames,Grace,BBST</v>
      </c>
      <c r="K29" s="821" t="str">
        <f t="shared" si="2"/>
        <v>F,Sofokleous-Ames,Grace,BBST,010707</v>
      </c>
      <c r="L29" s="821" t="str">
        <f t="shared" si="3"/>
        <v>F,Sofokleous-Ames,Grace,BBST,010707,011691</v>
      </c>
      <c r="M29" s="821" t="str">
        <f t="shared" si="4"/>
        <v>F,Sofokleous-Ames,Grace,BBST,010707,011691,14</v>
      </c>
      <c r="N29" s="821" t="str">
        <f t="shared" si="5"/>
        <v>F,Sofokleous-Ames,Grace,BBST,010707,011691,14,F</v>
      </c>
      <c r="O29" s="824"/>
      <c r="P29" s="824" t="str">
        <f t="shared" si="6"/>
        <v>01:16.91</v>
      </c>
      <c r="Q29" s="824" t="str">
        <f t="shared" si="7"/>
        <v>011691</v>
      </c>
      <c r="R29" s="828" t="str">
        <f t="shared" si="8"/>
        <v>F,Sofokleous-Ames,Grace,BBST,010707,011691,14,F</v>
      </c>
      <c r="S29" s="1290"/>
      <c r="T29" s="1290"/>
      <c r="U29" s="1290"/>
      <c r="V29" s="820"/>
    </row>
    <row r="30" spans="1:22" ht="12.75" customHeight="1" x14ac:dyDescent="0.25">
      <c r="A30" s="820"/>
      <c r="B30" s="826" t="s">
        <v>4635</v>
      </c>
      <c r="C30" s="826" t="str">
        <f>'Team 4'!J42</f>
        <v>JOHNSON,MEGAN</v>
      </c>
      <c r="D30" s="826" t="str">
        <f>'Gala Setup'!Q$7</f>
        <v>AYBS</v>
      </c>
      <c r="E30" s="827" t="str">
        <f>'Team 4'!L42</f>
        <v>031108</v>
      </c>
      <c r="F30" s="823">
        <f>'print 10 lane'!R$46</f>
        <v>7.7500000000000008E-4</v>
      </c>
      <c r="G30" s="826">
        <f>'Team 1'!$D$42</f>
        <v>14</v>
      </c>
      <c r="H30" s="826" t="s">
        <v>4635</v>
      </c>
      <c r="I30" s="826" t="str">
        <f t="shared" si="0"/>
        <v>F,JOHNSON,MEGAN</v>
      </c>
      <c r="J30" s="826" t="str">
        <f t="shared" si="1"/>
        <v>F,JOHNSON,MEGAN,AYBS</v>
      </c>
      <c r="K30" s="826" t="str">
        <f t="shared" si="2"/>
        <v>F,JOHNSON,MEGAN,AYBS,031108</v>
      </c>
      <c r="L30" s="821" t="str">
        <f t="shared" si="3"/>
        <v>F,JOHNSON,MEGAN,AYBS,031108,010696</v>
      </c>
      <c r="M30" s="826" t="str">
        <f t="shared" si="4"/>
        <v>F,JOHNSON,MEGAN,AYBS,031108,010696,14</v>
      </c>
      <c r="N30" s="826" t="str">
        <f t="shared" si="5"/>
        <v>F,JOHNSON,MEGAN,AYBS,031108,010696,14,F</v>
      </c>
      <c r="O30" s="824"/>
      <c r="P30" s="824" t="str">
        <f t="shared" si="6"/>
        <v>01:06.96</v>
      </c>
      <c r="Q30" s="824" t="str">
        <f t="shared" si="7"/>
        <v>010696</v>
      </c>
      <c r="R30" s="828" t="str">
        <f t="shared" si="8"/>
        <v>F,JOHNSON,MEGAN,AYBS,031108,010696,14,F</v>
      </c>
      <c r="S30" s="1290"/>
      <c r="T30" s="1290"/>
      <c r="U30" s="1290"/>
      <c r="V30" s="820"/>
    </row>
    <row r="31" spans="1:22" ht="12.75" customHeight="1" x14ac:dyDescent="0.25">
      <c r="A31" s="820"/>
      <c r="B31" s="826" t="s">
        <v>4635</v>
      </c>
      <c r="C31" s="826" t="str">
        <f>'Team 4'!J48</f>
        <v>STARSMORE,FRANCES</v>
      </c>
      <c r="D31" s="826" t="str">
        <f>'Gala Setup'!Q$7</f>
        <v>AYBS</v>
      </c>
      <c r="E31" s="827" t="str">
        <f>'Team 4'!L48</f>
        <v>280110</v>
      </c>
      <c r="F31" s="823">
        <f>'print 10 lane'!R$64</f>
        <v>8.8587962962962969E-4</v>
      </c>
      <c r="G31" s="826">
        <f>'Team 1'!$D$48</f>
        <v>14</v>
      </c>
      <c r="H31" s="826" t="s">
        <v>4635</v>
      </c>
      <c r="I31" s="826" t="str">
        <f t="shared" si="0"/>
        <v>F,STARSMORE,FRANCES</v>
      </c>
      <c r="J31" s="826" t="str">
        <f t="shared" si="1"/>
        <v>F,STARSMORE,FRANCES,AYBS</v>
      </c>
      <c r="K31" s="826" t="str">
        <f t="shared" si="2"/>
        <v>F,STARSMORE,FRANCES,AYBS,280110</v>
      </c>
      <c r="L31" s="821" t="str">
        <f t="shared" si="3"/>
        <v>F,STARSMORE,FRANCES,AYBS,280110,011654</v>
      </c>
      <c r="M31" s="826" t="str">
        <f t="shared" si="4"/>
        <v>F,STARSMORE,FRANCES,AYBS,280110,011654,14</v>
      </c>
      <c r="N31" s="826" t="str">
        <f t="shared" si="5"/>
        <v>F,STARSMORE,FRANCES,AYBS,280110,011654,14,F</v>
      </c>
      <c r="O31" s="824"/>
      <c r="P31" s="824" t="str">
        <f t="shared" si="6"/>
        <v>01:16.54</v>
      </c>
      <c r="Q31" s="824" t="str">
        <f t="shared" si="7"/>
        <v>011654</v>
      </c>
      <c r="R31" s="828" t="str">
        <f t="shared" si="8"/>
        <v>F,STARSMORE,FRANCES,AYBS,280110,011654,14,F</v>
      </c>
      <c r="S31" s="1291" t="s">
        <v>5062</v>
      </c>
      <c r="T31" s="1291"/>
      <c r="U31" s="1291"/>
      <c r="V31" s="820"/>
    </row>
    <row r="32" spans="1:22" ht="12.75" customHeight="1" x14ac:dyDescent="0.25">
      <c r="A32" s="820"/>
      <c r="B32" s="826" t="s">
        <v>4635</v>
      </c>
      <c r="C32" s="826" t="str">
        <f>'Team 4'!J52</f>
        <v>JOHNSON,MEGAN</v>
      </c>
      <c r="D32" s="826" t="str">
        <f>'Gala Setup'!Q$7</f>
        <v>AYBS</v>
      </c>
      <c r="E32" s="827" t="str">
        <f>'Team 4'!L52</f>
        <v>031108</v>
      </c>
      <c r="F32" s="823">
        <f>'print 10 lane'!R$76</f>
        <v>7.8784722222222233E-4</v>
      </c>
      <c r="G32" s="826">
        <f>'Team 1'!$D$52</f>
        <v>14</v>
      </c>
      <c r="H32" s="826" t="s">
        <v>4635</v>
      </c>
      <c r="I32" s="826" t="str">
        <f t="shared" si="0"/>
        <v>F,JOHNSON,MEGAN</v>
      </c>
      <c r="J32" s="826" t="str">
        <f t="shared" si="1"/>
        <v>F,JOHNSON,MEGAN,AYBS</v>
      </c>
      <c r="K32" s="826" t="str">
        <f t="shared" si="2"/>
        <v>F,JOHNSON,MEGAN,AYBS,031108</v>
      </c>
      <c r="L32" s="821" t="str">
        <f t="shared" si="3"/>
        <v>F,JOHNSON,MEGAN,AYBS,031108,010807</v>
      </c>
      <c r="M32" s="826" t="str">
        <f t="shared" si="4"/>
        <v>F,JOHNSON,MEGAN,AYBS,031108,010807,14</v>
      </c>
      <c r="N32" s="826" t="str">
        <f t="shared" si="5"/>
        <v>F,JOHNSON,MEGAN,AYBS,031108,010807,14,F</v>
      </c>
      <c r="O32" s="824"/>
      <c r="P32" s="824" t="str">
        <f t="shared" si="6"/>
        <v>01:08.07</v>
      </c>
      <c r="Q32" s="824" t="str">
        <f t="shared" si="7"/>
        <v>010807</v>
      </c>
      <c r="R32" s="825" t="str">
        <f t="shared" si="8"/>
        <v>F,JOHNSON,MEGAN,AYBS,031108,010807,14,F</v>
      </c>
      <c r="S32" s="1292" t="s">
        <v>5069</v>
      </c>
      <c r="T32" s="1293" t="s">
        <v>4320</v>
      </c>
      <c r="U32" s="1294" t="s">
        <v>5070</v>
      </c>
      <c r="V32" s="820"/>
    </row>
    <row r="33" spans="1:22" ht="12.75" customHeight="1" x14ac:dyDescent="0.25">
      <c r="A33" s="820"/>
      <c r="B33" s="821" t="s">
        <v>4635</v>
      </c>
      <c r="C33" s="821" t="str">
        <f>'Team 5'!J42</f>
        <v>Heighes,Hollie</v>
      </c>
      <c r="D33" s="821" t="str">
        <f>'Gala Setup'!Q$8</f>
        <v>BTRT</v>
      </c>
      <c r="E33" s="822" t="str">
        <f>'Team 5'!L42</f>
        <v>290208</v>
      </c>
      <c r="F33" s="823">
        <f>'print 10 lane'!U$46</f>
        <v>8.3391203703703709E-4</v>
      </c>
      <c r="G33" s="821">
        <f>'Team 1'!$D$42</f>
        <v>14</v>
      </c>
      <c r="H33" s="821" t="s">
        <v>4635</v>
      </c>
      <c r="I33" s="821" t="str">
        <f t="shared" si="0"/>
        <v>F,Heighes,Hollie</v>
      </c>
      <c r="J33" s="821" t="str">
        <f t="shared" si="1"/>
        <v>F,Heighes,Hollie,BTRT</v>
      </c>
      <c r="K33" s="821" t="str">
        <f t="shared" si="2"/>
        <v>F,Heighes,Hollie,BTRT,290208</v>
      </c>
      <c r="L33" s="821" t="str">
        <f t="shared" si="3"/>
        <v>F,Heighes,Hollie,BTRT,290208,011205</v>
      </c>
      <c r="M33" s="821" t="str">
        <f t="shared" si="4"/>
        <v>F,Heighes,Hollie,BTRT,290208,011205,14</v>
      </c>
      <c r="N33" s="821" t="str">
        <f t="shared" si="5"/>
        <v>F,Heighes,Hollie,BTRT,290208,011205,14,F</v>
      </c>
      <c r="O33" s="824"/>
      <c r="P33" s="824" t="str">
        <f t="shared" si="6"/>
        <v>01:12.05</v>
      </c>
      <c r="Q33" s="824" t="str">
        <f t="shared" si="7"/>
        <v>011205</v>
      </c>
      <c r="R33" s="825" t="str">
        <f t="shared" si="8"/>
        <v>F,Heighes,Hollie,BTRT,290208,011205,14,F</v>
      </c>
      <c r="S33" s="1292"/>
      <c r="T33" s="1293"/>
      <c r="U33" s="1294"/>
      <c r="V33" s="820"/>
    </row>
    <row r="34" spans="1:22" ht="12.75" customHeight="1" x14ac:dyDescent="0.25">
      <c r="A34" s="820"/>
      <c r="B34" s="821" t="s">
        <v>4635</v>
      </c>
      <c r="C34" s="821" t="str">
        <f>'Team 5'!J48</f>
        <v>Northgrave,Orlagh</v>
      </c>
      <c r="D34" s="821" t="str">
        <f>'Gala Setup'!Q$8</f>
        <v>BTRT</v>
      </c>
      <c r="E34" s="822" t="str">
        <f>'Team 5'!L48</f>
        <v>160310</v>
      </c>
      <c r="F34" s="823">
        <f>'print 10 lane'!U$64</f>
        <v>9.4004629629629614E-4</v>
      </c>
      <c r="G34" s="821">
        <f>'Team 1'!$D$48</f>
        <v>14</v>
      </c>
      <c r="H34" s="821" t="s">
        <v>4635</v>
      </c>
      <c r="I34" s="821" t="str">
        <f t="shared" si="0"/>
        <v>F,Northgrave,Orlagh</v>
      </c>
      <c r="J34" s="821" t="str">
        <f t="shared" si="1"/>
        <v>F,Northgrave,Orlagh,BTRT</v>
      </c>
      <c r="K34" s="821" t="str">
        <f t="shared" si="2"/>
        <v>F,Northgrave,Orlagh,BTRT,160310</v>
      </c>
      <c r="L34" s="821" t="str">
        <f t="shared" si="3"/>
        <v>F,Northgrave,Orlagh,BTRT,160310,012122</v>
      </c>
      <c r="M34" s="821" t="str">
        <f t="shared" si="4"/>
        <v>F,Northgrave,Orlagh,BTRT,160310,012122,14</v>
      </c>
      <c r="N34" s="821" t="str">
        <f t="shared" si="5"/>
        <v>F,Northgrave,Orlagh,BTRT,160310,012122,14,F</v>
      </c>
      <c r="O34" s="824"/>
      <c r="P34" s="824" t="str">
        <f t="shared" si="6"/>
        <v>01:21.22</v>
      </c>
      <c r="Q34" s="824" t="str">
        <f t="shared" si="7"/>
        <v>012122</v>
      </c>
      <c r="R34" s="825" t="str">
        <f t="shared" si="8"/>
        <v>F,Northgrave,Orlagh,BTRT,160310,012122,14,F</v>
      </c>
      <c r="S34" s="1288" t="str">
        <f>'Gala Setup'!S4</f>
        <v>NASL.2023 V6</v>
      </c>
      <c r="T34" s="1288"/>
      <c r="U34" s="1288"/>
      <c r="V34" s="820"/>
    </row>
    <row r="35" spans="1:22" ht="12.75" customHeight="1" x14ac:dyDescent="0.25">
      <c r="A35" s="820"/>
      <c r="B35" s="821" t="s">
        <v>4635</v>
      </c>
      <c r="C35" s="821" t="str">
        <f>'Team 5'!J52</f>
        <v>Talbot,Isabelle</v>
      </c>
      <c r="D35" s="821" t="str">
        <f>'Gala Setup'!Q$8</f>
        <v>BTRT</v>
      </c>
      <c r="E35" s="822" t="str">
        <f>'Team 5'!L52</f>
        <v>211107</v>
      </c>
      <c r="F35" s="823">
        <f>'print 10 lane'!U$76</f>
        <v>8.3194444444444451E-4</v>
      </c>
      <c r="G35" s="821">
        <f>'Team 1'!$D$52</f>
        <v>14</v>
      </c>
      <c r="H35" s="821" t="s">
        <v>4635</v>
      </c>
      <c r="I35" s="821" t="str">
        <f t="shared" si="0"/>
        <v>F,Talbot,Isabelle</v>
      </c>
      <c r="J35" s="821" t="str">
        <f t="shared" si="1"/>
        <v>F,Talbot,Isabelle,BTRT</v>
      </c>
      <c r="K35" s="821" t="str">
        <f t="shared" si="2"/>
        <v>F,Talbot,Isabelle,BTRT,211107</v>
      </c>
      <c r="L35" s="821" t="str">
        <f t="shared" si="3"/>
        <v>F,Talbot,Isabelle,BTRT,211107,011188</v>
      </c>
      <c r="M35" s="821" t="str">
        <f t="shared" si="4"/>
        <v>F,Talbot,Isabelle,BTRT,211107,011188,14</v>
      </c>
      <c r="N35" s="821" t="str">
        <f t="shared" si="5"/>
        <v>F,Talbot,Isabelle,BTRT,211107,011188,14,F</v>
      </c>
      <c r="O35" s="824"/>
      <c r="P35" s="824" t="str">
        <f t="shared" si="6"/>
        <v>01:11.88</v>
      </c>
      <c r="Q35" s="824" t="str">
        <f t="shared" si="7"/>
        <v>011188</v>
      </c>
      <c r="R35" s="825" t="str">
        <f t="shared" si="8"/>
        <v>F,Talbot,Isabelle,BTRT,211107,011188,14,F</v>
      </c>
      <c r="S35" s="1288"/>
      <c r="T35" s="1288"/>
      <c r="U35" s="1288"/>
      <c r="V35" s="820"/>
    </row>
    <row r="36" spans="1:22" ht="12.75" customHeight="1" x14ac:dyDescent="0.25">
      <c r="A36" s="820"/>
      <c r="B36" s="826" t="s">
        <v>4635</v>
      </c>
      <c r="C36" s="826" t="str">
        <f>'Team 6'!J42</f>
        <v xml:space="preserve">Sharrock,Alice </v>
      </c>
      <c r="D36" s="826" t="str">
        <f>'Gala Setup'!Q$9</f>
        <v>HAWL</v>
      </c>
      <c r="E36" s="827" t="str">
        <f>'Team 6'!L42</f>
        <v>301109</v>
      </c>
      <c r="F36" s="823">
        <f>'print 10 lane'!X$46</f>
        <v>8.4525462962962972E-4</v>
      </c>
      <c r="G36" s="826">
        <f>'Team 1'!$D$42</f>
        <v>14</v>
      </c>
      <c r="H36" s="826" t="s">
        <v>4635</v>
      </c>
      <c r="I36" s="826" t="str">
        <f t="shared" si="0"/>
        <v xml:space="preserve">F,Sharrock,Alice </v>
      </c>
      <c r="J36" s="826" t="str">
        <f t="shared" si="1"/>
        <v>F,Sharrock,Alice ,HAWL</v>
      </c>
      <c r="K36" s="826" t="str">
        <f t="shared" si="2"/>
        <v>F,Sharrock,Alice ,HAWL,301109</v>
      </c>
      <c r="L36" s="821" t="str">
        <f t="shared" si="3"/>
        <v>F,Sharrock,Alice ,HAWL,301109,011303</v>
      </c>
      <c r="M36" s="826" t="str">
        <f t="shared" si="4"/>
        <v>F,Sharrock,Alice ,HAWL,301109,011303,14</v>
      </c>
      <c r="N36" s="826" t="str">
        <f t="shared" si="5"/>
        <v>F,Sharrock,Alice ,HAWL,301109,011303,14,F</v>
      </c>
      <c r="O36" s="824"/>
      <c r="P36" s="824" t="str">
        <f t="shared" si="6"/>
        <v>01:13.03</v>
      </c>
      <c r="Q36" s="824" t="str">
        <f t="shared" si="7"/>
        <v>011303</v>
      </c>
      <c r="R36" s="825" t="str">
        <f t="shared" si="8"/>
        <v>F,Sharrock,Alice ,HAWL,301109,011303,14,F</v>
      </c>
      <c r="S36" s="1288"/>
      <c r="T36" s="1288"/>
      <c r="U36" s="1288"/>
      <c r="V36" s="820"/>
    </row>
    <row r="37" spans="1:22" ht="12.75" customHeight="1" x14ac:dyDescent="0.25">
      <c r="A37" s="820"/>
      <c r="B37" s="826" t="s">
        <v>4635</v>
      </c>
      <c r="C37" s="826" t="str">
        <f>'Team 6'!J48</f>
        <v xml:space="preserve">Fedorova,Polina </v>
      </c>
      <c r="D37" s="826" t="str">
        <f>'Gala Setup'!Q$9</f>
        <v>HAWL</v>
      </c>
      <c r="E37" s="827" t="str">
        <f>'Team 6'!L48</f>
        <v>290910</v>
      </c>
      <c r="F37" s="823">
        <f>'print 10 lane'!X$64</f>
        <v>9.2581018518518522E-4</v>
      </c>
      <c r="G37" s="826">
        <f>'Team 1'!$D$48</f>
        <v>14</v>
      </c>
      <c r="H37" s="826" t="s">
        <v>4635</v>
      </c>
      <c r="I37" s="826" t="str">
        <f t="shared" si="0"/>
        <v xml:space="preserve">F,Fedorova,Polina </v>
      </c>
      <c r="J37" s="826" t="str">
        <f t="shared" si="1"/>
        <v>F,Fedorova,Polina ,HAWL</v>
      </c>
      <c r="K37" s="826" t="str">
        <f t="shared" si="2"/>
        <v>F,Fedorova,Polina ,HAWL,290910</v>
      </c>
      <c r="L37" s="821" t="str">
        <f t="shared" si="3"/>
        <v>F,Fedorova,Polina ,HAWL,290910,011999</v>
      </c>
      <c r="M37" s="826" t="str">
        <f t="shared" si="4"/>
        <v>F,Fedorova,Polina ,HAWL,290910,011999,14</v>
      </c>
      <c r="N37" s="826" t="str">
        <f t="shared" si="5"/>
        <v>F,Fedorova,Polina ,HAWL,290910,011999,14,F</v>
      </c>
      <c r="O37" s="824"/>
      <c r="P37" s="824" t="str">
        <f t="shared" si="6"/>
        <v>01:19.99</v>
      </c>
      <c r="Q37" s="824" t="str">
        <f t="shared" si="7"/>
        <v>011999</v>
      </c>
      <c r="R37" s="825" t="str">
        <f t="shared" si="8"/>
        <v>F,Fedorova,Polina ,HAWL,290910,011999,14,F</v>
      </c>
      <c r="S37" s="1288"/>
      <c r="T37" s="1288"/>
      <c r="U37" s="1288"/>
      <c r="V37" s="820"/>
    </row>
    <row r="38" spans="1:22" ht="12.75" customHeight="1" x14ac:dyDescent="0.25">
      <c r="A38" s="820"/>
      <c r="B38" s="826" t="s">
        <v>4635</v>
      </c>
      <c r="C38" s="826" t="str">
        <f>'Team 6'!J52</f>
        <v>Barrios,Hannah</v>
      </c>
      <c r="D38" s="826" t="str">
        <f>'Gala Setup'!Q$9</f>
        <v>HAWL</v>
      </c>
      <c r="E38" s="827" t="str">
        <f>'Team 6'!L52</f>
        <v>180909</v>
      </c>
      <c r="F38" s="823">
        <f>'print 10 lane'!X$76</f>
        <v>9.0694444444444449E-4</v>
      </c>
      <c r="G38" s="826">
        <f>'Team 1'!$D$52</f>
        <v>14</v>
      </c>
      <c r="H38" s="826" t="s">
        <v>4635</v>
      </c>
      <c r="I38" s="826" t="str">
        <f t="shared" si="0"/>
        <v>F,Barrios,Hannah</v>
      </c>
      <c r="J38" s="826" t="str">
        <f t="shared" si="1"/>
        <v>F,Barrios,Hannah,HAWL</v>
      </c>
      <c r="K38" s="826" t="str">
        <f t="shared" si="2"/>
        <v>F,Barrios,Hannah,HAWL,180909</v>
      </c>
      <c r="L38" s="821" t="str">
        <f t="shared" si="3"/>
        <v>F,Barrios,Hannah,HAWL,180909,011836</v>
      </c>
      <c r="M38" s="826" t="str">
        <f t="shared" si="4"/>
        <v>F,Barrios,Hannah,HAWL,180909,011836,14</v>
      </c>
      <c r="N38" s="826" t="str">
        <f t="shared" si="5"/>
        <v>F,Barrios,Hannah,HAWL,180909,011836,14,F</v>
      </c>
      <c r="O38" s="824"/>
      <c r="P38" s="824" t="str">
        <f t="shared" si="6"/>
        <v>01:18.36</v>
      </c>
      <c r="Q38" s="824" t="str">
        <f t="shared" si="7"/>
        <v>011836</v>
      </c>
      <c r="R38" s="825" t="str">
        <f t="shared" si="8"/>
        <v>F,Barrios,Hannah,HAWL,180909,011836,14,F</v>
      </c>
      <c r="S38" s="1288"/>
      <c r="T38" s="1288"/>
      <c r="U38" s="1288"/>
      <c r="V38" s="820"/>
    </row>
    <row r="39" spans="1:22" ht="12.75" customHeight="1" x14ac:dyDescent="0.25">
      <c r="A39" s="820"/>
      <c r="B39" s="821" t="s">
        <v>4635</v>
      </c>
      <c r="C39" s="821" t="str">
        <f>'Team 7'!J42</f>
        <v>Roets,Keanna</v>
      </c>
      <c r="D39" s="821" t="str">
        <f>'Gala Setup'!Q$10</f>
        <v>HISL</v>
      </c>
      <c r="E39" s="822" t="str">
        <f>'Team 7'!L42</f>
        <v>200709</v>
      </c>
      <c r="F39" s="823">
        <f>'print 10 lane'!AA$46</f>
        <v>9.3564814814814812E-4</v>
      </c>
      <c r="G39" s="821">
        <f>'Team 1'!$D$42</f>
        <v>14</v>
      </c>
      <c r="H39" s="821" t="s">
        <v>4635</v>
      </c>
      <c r="I39" s="821" t="str">
        <f t="shared" si="0"/>
        <v>F,Roets,Keanna</v>
      </c>
      <c r="J39" s="821" t="str">
        <f t="shared" si="1"/>
        <v>F,Roets,Keanna,HISL</v>
      </c>
      <c r="K39" s="821" t="str">
        <f t="shared" si="2"/>
        <v>F,Roets,Keanna,HISL,200709</v>
      </c>
      <c r="L39" s="821" t="str">
        <f t="shared" si="3"/>
        <v>F,Roets,Keanna,HISL,200709,012084</v>
      </c>
      <c r="M39" s="821" t="str">
        <f t="shared" si="4"/>
        <v>F,Roets,Keanna,HISL,200709,012084,14</v>
      </c>
      <c r="N39" s="821" t="str">
        <f t="shared" si="5"/>
        <v>F,Roets,Keanna,HISL,200709,012084,14,F</v>
      </c>
      <c r="O39" s="824"/>
      <c r="P39" s="824" t="str">
        <f t="shared" si="6"/>
        <v>01:20.84</v>
      </c>
      <c r="Q39" s="824" t="str">
        <f t="shared" si="7"/>
        <v>012084</v>
      </c>
      <c r="R39" s="825" t="str">
        <f t="shared" si="8"/>
        <v>F,Roets,Keanna,HISL,200709,012084,14,F</v>
      </c>
      <c r="S39" s="830"/>
      <c r="T39" s="831"/>
      <c r="U39" s="831"/>
      <c r="V39" s="820"/>
    </row>
    <row r="40" spans="1:22" ht="12.75" customHeight="1" x14ac:dyDescent="0.25">
      <c r="A40" s="820"/>
      <c r="B40" s="821" t="s">
        <v>4635</v>
      </c>
      <c r="C40" s="821" t="str">
        <f>'Team 7'!J48</f>
        <v>Riach,Jessica</v>
      </c>
      <c r="D40" s="821" t="str">
        <f>'Gala Setup'!Q$10</f>
        <v>HISL</v>
      </c>
      <c r="E40" s="822" t="str">
        <f>'Team 7'!L48</f>
        <v>090811</v>
      </c>
      <c r="F40" s="823">
        <f>'print 10 lane'!AA$64</f>
        <v>0</v>
      </c>
      <c r="G40" s="821">
        <f>'Team 1'!$D$48</f>
        <v>14</v>
      </c>
      <c r="H40" s="821" t="s">
        <v>4635</v>
      </c>
      <c r="I40" s="821" t="str">
        <f t="shared" si="0"/>
        <v>F,Riach,Jessica</v>
      </c>
      <c r="J40" s="821" t="str">
        <f t="shared" si="1"/>
        <v>F,Riach,Jessica,HISL</v>
      </c>
      <c r="K40" s="821" t="str">
        <f t="shared" si="2"/>
        <v>F,Riach,Jessica,HISL,090811</v>
      </c>
      <c r="L40" s="821" t="str">
        <f t="shared" si="3"/>
        <v>F,Riach,Jessica,HISL,090811,000000</v>
      </c>
      <c r="M40" s="821" t="str">
        <f t="shared" si="4"/>
        <v>F,Riach,Jessica,HISL,090811,000000,14</v>
      </c>
      <c r="N40" s="821" t="str">
        <f t="shared" si="5"/>
        <v>F,Riach,Jessica,HISL,090811,000000,14,F</v>
      </c>
      <c r="O40" s="824"/>
      <c r="P40" s="824" t="str">
        <f t="shared" si="6"/>
        <v>00:00.00</v>
      </c>
      <c r="Q40" s="824" t="str">
        <f t="shared" si="7"/>
        <v>000000</v>
      </c>
      <c r="R40" s="825" t="str">
        <f t="shared" si="8"/>
        <v/>
      </c>
      <c r="S40" s="830"/>
      <c r="T40" s="831"/>
      <c r="U40" s="831"/>
      <c r="V40" s="820"/>
    </row>
    <row r="41" spans="1:22" ht="12.75" customHeight="1" x14ac:dyDescent="0.25">
      <c r="A41" s="820"/>
      <c r="B41" s="821" t="s">
        <v>4635</v>
      </c>
      <c r="C41" s="821" t="str">
        <f>'Team 7'!J52</f>
        <v>Van Zyl,Kayla</v>
      </c>
      <c r="D41" s="821" t="str">
        <f>'Gala Setup'!Q$10</f>
        <v>HISL</v>
      </c>
      <c r="E41" s="822" t="str">
        <f>'Team 7'!L52</f>
        <v>080306</v>
      </c>
      <c r="F41" s="823">
        <f>'print 10 lane'!AA$76</f>
        <v>8.4166666666666667E-4</v>
      </c>
      <c r="G41" s="821">
        <f>'Team 1'!$D$52</f>
        <v>14</v>
      </c>
      <c r="H41" s="821" t="s">
        <v>4635</v>
      </c>
      <c r="I41" s="821" t="str">
        <f t="shared" si="0"/>
        <v>F,Van Zyl,Kayla</v>
      </c>
      <c r="J41" s="821" t="str">
        <f t="shared" si="1"/>
        <v>F,Van Zyl,Kayla,HISL</v>
      </c>
      <c r="K41" s="821" t="str">
        <f t="shared" si="2"/>
        <v>F,Van Zyl,Kayla,HISL,080306</v>
      </c>
      <c r="L41" s="821" t="str">
        <f t="shared" si="3"/>
        <v>F,Van Zyl,Kayla,HISL,080306,011272</v>
      </c>
      <c r="M41" s="821" t="str">
        <f t="shared" si="4"/>
        <v>F,Van Zyl,Kayla,HISL,080306,011272,14</v>
      </c>
      <c r="N41" s="821" t="str">
        <f t="shared" si="5"/>
        <v>F,Van Zyl,Kayla,HISL,080306,011272,14,F</v>
      </c>
      <c r="O41" s="824"/>
      <c r="P41" s="824" t="str">
        <f t="shared" si="6"/>
        <v>01:12.72</v>
      </c>
      <c r="Q41" s="824" t="str">
        <f t="shared" si="7"/>
        <v>011272</v>
      </c>
      <c r="R41" s="825" t="str">
        <f t="shared" si="8"/>
        <v>F,Van Zyl,Kayla,HISL,080306,011272,14,F</v>
      </c>
      <c r="S41" s="830"/>
      <c r="T41" s="831"/>
      <c r="U41" s="831"/>
      <c r="V41" s="820"/>
    </row>
    <row r="42" spans="1:22" ht="12.75" customHeight="1" x14ac:dyDescent="0.25">
      <c r="A42" s="820"/>
      <c r="B42" s="826" t="s">
        <v>4635</v>
      </c>
      <c r="C42" s="826" t="str">
        <f>'Team 8'!J42</f>
        <v>,</v>
      </c>
      <c r="D42" s="826">
        <f>'Gala Setup'!Q$11</f>
        <v>0</v>
      </c>
      <c r="E42" s="827" t="str">
        <f>'Team 8'!L42</f>
        <v>000100</v>
      </c>
      <c r="F42" s="823">
        <f>'print 10 lane'!AD$46</f>
        <v>0</v>
      </c>
      <c r="G42" s="826">
        <f>'Team 1'!$D$42</f>
        <v>14</v>
      </c>
      <c r="H42" s="826" t="s">
        <v>4635</v>
      </c>
      <c r="I42" s="826" t="str">
        <f t="shared" si="0"/>
        <v>F,,</v>
      </c>
      <c r="J42" s="826" t="str">
        <f t="shared" si="1"/>
        <v>F,,,0</v>
      </c>
      <c r="K42" s="826" t="str">
        <f t="shared" si="2"/>
        <v>F,,,0,000100</v>
      </c>
      <c r="L42" s="821" t="str">
        <f t="shared" si="3"/>
        <v>F,,,0,000100,000000</v>
      </c>
      <c r="M42" s="826" t="str">
        <f t="shared" si="4"/>
        <v>F,,,0,000100,000000,14</v>
      </c>
      <c r="N42" s="826" t="str">
        <f t="shared" si="5"/>
        <v>F,,,0,000100,000000,14,F</v>
      </c>
      <c r="O42" s="824"/>
      <c r="P42" s="824" t="str">
        <f t="shared" si="6"/>
        <v>00:00.00</v>
      </c>
      <c r="Q42" s="824" t="str">
        <f t="shared" si="7"/>
        <v>000000</v>
      </c>
      <c r="R42" s="825" t="str">
        <f t="shared" si="8"/>
        <v/>
      </c>
      <c r="S42" s="830"/>
      <c r="T42" s="831"/>
      <c r="U42" s="831"/>
      <c r="V42" s="820"/>
    </row>
    <row r="43" spans="1:22" ht="12.75" customHeight="1" x14ac:dyDescent="0.25">
      <c r="A43" s="820"/>
      <c r="B43" s="826" t="s">
        <v>4635</v>
      </c>
      <c r="C43" s="826" t="str">
        <f>'Team 8'!J48</f>
        <v>,</v>
      </c>
      <c r="D43" s="826">
        <f>'Gala Setup'!Q$11</f>
        <v>0</v>
      </c>
      <c r="E43" s="827" t="str">
        <f>'Team 8'!L48</f>
        <v>000100</v>
      </c>
      <c r="F43" s="823">
        <f>'print 10 lane'!AD$64</f>
        <v>0</v>
      </c>
      <c r="G43" s="826">
        <f>'Team 1'!$D$48</f>
        <v>14</v>
      </c>
      <c r="H43" s="826" t="s">
        <v>4635</v>
      </c>
      <c r="I43" s="826" t="str">
        <f t="shared" si="0"/>
        <v>F,,</v>
      </c>
      <c r="J43" s="826" t="str">
        <f t="shared" si="1"/>
        <v>F,,,0</v>
      </c>
      <c r="K43" s="826" t="str">
        <f t="shared" si="2"/>
        <v>F,,,0,000100</v>
      </c>
      <c r="L43" s="821" t="str">
        <f t="shared" si="3"/>
        <v>F,,,0,000100,000000</v>
      </c>
      <c r="M43" s="826" t="str">
        <f t="shared" si="4"/>
        <v>F,,,0,000100,000000,14</v>
      </c>
      <c r="N43" s="826" t="str">
        <f t="shared" si="5"/>
        <v>F,,,0,000100,000000,14,F</v>
      </c>
      <c r="O43" s="824"/>
      <c r="P43" s="824" t="str">
        <f t="shared" si="6"/>
        <v>00:00.00</v>
      </c>
      <c r="Q43" s="824" t="str">
        <f t="shared" si="7"/>
        <v>000000</v>
      </c>
      <c r="R43" s="825" t="str">
        <f t="shared" si="8"/>
        <v/>
      </c>
      <c r="S43" s="830"/>
      <c r="T43" s="831"/>
      <c r="U43" s="831"/>
      <c r="V43" s="820"/>
    </row>
    <row r="44" spans="1:22" ht="12.75" customHeight="1" x14ac:dyDescent="0.25">
      <c r="A44" s="820"/>
      <c r="B44" s="826" t="s">
        <v>4635</v>
      </c>
      <c r="C44" s="826" t="str">
        <f>'Team 8'!J52</f>
        <v>,</v>
      </c>
      <c r="D44" s="826">
        <f>'Gala Setup'!Q$11</f>
        <v>0</v>
      </c>
      <c r="E44" s="827" t="str">
        <f>'Team 8'!L52</f>
        <v>000100</v>
      </c>
      <c r="F44" s="823">
        <f>'print 10 lane'!AD$76</f>
        <v>0</v>
      </c>
      <c r="G44" s="826">
        <f>'Team 1'!$D$52</f>
        <v>14</v>
      </c>
      <c r="H44" s="826" t="s">
        <v>4635</v>
      </c>
      <c r="I44" s="826" t="str">
        <f t="shared" si="0"/>
        <v>F,,</v>
      </c>
      <c r="J44" s="826" t="str">
        <f t="shared" si="1"/>
        <v>F,,,0</v>
      </c>
      <c r="K44" s="826" t="str">
        <f t="shared" si="2"/>
        <v>F,,,0,000100</v>
      </c>
      <c r="L44" s="821" t="str">
        <f t="shared" si="3"/>
        <v>F,,,0,000100,000000</v>
      </c>
      <c r="M44" s="826" t="str">
        <f t="shared" si="4"/>
        <v>F,,,0,000100,000000,14</v>
      </c>
      <c r="N44" s="826" t="str">
        <f t="shared" si="5"/>
        <v>F,,,0,000100,000000,14,F</v>
      </c>
      <c r="O44" s="824"/>
      <c r="P44" s="824" t="str">
        <f t="shared" si="6"/>
        <v>00:00.00</v>
      </c>
      <c r="Q44" s="824" t="str">
        <f t="shared" si="7"/>
        <v>000000</v>
      </c>
      <c r="R44" s="825" t="str">
        <f t="shared" si="8"/>
        <v/>
      </c>
      <c r="S44" s="830"/>
      <c r="T44" s="831"/>
      <c r="U44" s="831"/>
      <c r="V44" s="820"/>
    </row>
    <row r="45" spans="1:22" ht="12.75" customHeight="1" x14ac:dyDescent="0.25">
      <c r="A45" s="820"/>
      <c r="B45" s="821" t="s">
        <v>4635</v>
      </c>
      <c r="C45" s="821" t="str">
        <f>'Team 9'!J42</f>
        <v>,</v>
      </c>
      <c r="D45" s="821">
        <f>'Gala Setup'!Q$12</f>
        <v>0</v>
      </c>
      <c r="E45" s="822" t="str">
        <f>'Team 9'!L42</f>
        <v>000100</v>
      </c>
      <c r="F45" s="823">
        <f>'print 10 lane'!AG$46</f>
        <v>0</v>
      </c>
      <c r="G45" s="821">
        <f>'Team 1'!$D$42</f>
        <v>14</v>
      </c>
      <c r="H45" s="821" t="s">
        <v>4635</v>
      </c>
      <c r="I45" s="821" t="str">
        <f t="shared" si="0"/>
        <v>F,,</v>
      </c>
      <c r="J45" s="821" t="str">
        <f t="shared" si="1"/>
        <v>F,,,0</v>
      </c>
      <c r="K45" s="821" t="str">
        <f t="shared" si="2"/>
        <v>F,,,0,000100</v>
      </c>
      <c r="L45" s="821" t="str">
        <f t="shared" si="3"/>
        <v>F,,,0,000100,000000</v>
      </c>
      <c r="M45" s="821" t="str">
        <f t="shared" si="4"/>
        <v>F,,,0,000100,000000,14</v>
      </c>
      <c r="N45" s="821" t="str">
        <f t="shared" si="5"/>
        <v>F,,,0,000100,000000,14,F</v>
      </c>
      <c r="O45" s="824"/>
      <c r="P45" s="824" t="str">
        <f t="shared" si="6"/>
        <v>00:00.00</v>
      </c>
      <c r="Q45" s="824" t="str">
        <f t="shared" si="7"/>
        <v>000000</v>
      </c>
      <c r="R45" s="825" t="str">
        <f t="shared" si="8"/>
        <v/>
      </c>
      <c r="S45" s="830"/>
      <c r="T45" s="831"/>
      <c r="U45" s="831"/>
      <c r="V45" s="820"/>
    </row>
    <row r="46" spans="1:22" ht="12.75" customHeight="1" x14ac:dyDescent="0.25">
      <c r="A46" s="820"/>
      <c r="B46" s="821" t="s">
        <v>4635</v>
      </c>
      <c r="C46" s="821" t="str">
        <f>'Team 9'!J48</f>
        <v>,</v>
      </c>
      <c r="D46" s="821">
        <f>'Gala Setup'!Q$12</f>
        <v>0</v>
      </c>
      <c r="E46" s="822" t="str">
        <f>'Team 9'!L48</f>
        <v>000100</v>
      </c>
      <c r="F46" s="823">
        <f>'print 10 lane'!AG$64</f>
        <v>0</v>
      </c>
      <c r="G46" s="821">
        <f>'Team 1'!$D$48</f>
        <v>14</v>
      </c>
      <c r="H46" s="821" t="s">
        <v>4635</v>
      </c>
      <c r="I46" s="821" t="str">
        <f t="shared" si="0"/>
        <v>F,,</v>
      </c>
      <c r="J46" s="821" t="str">
        <f t="shared" si="1"/>
        <v>F,,,0</v>
      </c>
      <c r="K46" s="821" t="str">
        <f t="shared" si="2"/>
        <v>F,,,0,000100</v>
      </c>
      <c r="L46" s="821" t="str">
        <f t="shared" si="3"/>
        <v>F,,,0,000100,000000</v>
      </c>
      <c r="M46" s="821" t="str">
        <f t="shared" si="4"/>
        <v>F,,,0,000100,000000,14</v>
      </c>
      <c r="N46" s="821" t="str">
        <f t="shared" si="5"/>
        <v>F,,,0,000100,000000,14,F</v>
      </c>
      <c r="O46" s="824"/>
      <c r="P46" s="824" t="str">
        <f t="shared" si="6"/>
        <v>00:00.00</v>
      </c>
      <c r="Q46" s="824" t="str">
        <f t="shared" si="7"/>
        <v>000000</v>
      </c>
      <c r="R46" s="825" t="str">
        <f t="shared" si="8"/>
        <v/>
      </c>
      <c r="S46" s="830"/>
      <c r="T46" s="831"/>
      <c r="U46" s="831"/>
      <c r="V46" s="820"/>
    </row>
    <row r="47" spans="1:22" ht="12.75" customHeight="1" x14ac:dyDescent="0.25">
      <c r="A47" s="820"/>
      <c r="B47" s="821" t="s">
        <v>4635</v>
      </c>
      <c r="C47" s="821" t="str">
        <f>'Team 9'!J52</f>
        <v>,</v>
      </c>
      <c r="D47" s="821">
        <f>'Gala Setup'!Q$12</f>
        <v>0</v>
      </c>
      <c r="E47" s="822" t="str">
        <f>'Team 9'!L52</f>
        <v>000100</v>
      </c>
      <c r="F47" s="823">
        <f>'print 10 lane'!AG$76</f>
        <v>0</v>
      </c>
      <c r="G47" s="821">
        <f>'Team 1'!$D$52</f>
        <v>14</v>
      </c>
      <c r="H47" s="821" t="s">
        <v>4635</v>
      </c>
      <c r="I47" s="821" t="str">
        <f t="shared" si="0"/>
        <v>F,,</v>
      </c>
      <c r="J47" s="821" t="str">
        <f t="shared" si="1"/>
        <v>F,,,0</v>
      </c>
      <c r="K47" s="821" t="str">
        <f t="shared" si="2"/>
        <v>F,,,0,000100</v>
      </c>
      <c r="L47" s="821" t="str">
        <f t="shared" si="3"/>
        <v>F,,,0,000100,000000</v>
      </c>
      <c r="M47" s="821" t="str">
        <f t="shared" si="4"/>
        <v>F,,,0,000100,000000,14</v>
      </c>
      <c r="N47" s="821" t="str">
        <f t="shared" si="5"/>
        <v>F,,,0,000100,000000,14,F</v>
      </c>
      <c r="O47" s="824"/>
      <c r="P47" s="824" t="str">
        <f t="shared" si="6"/>
        <v>00:00.00</v>
      </c>
      <c r="Q47" s="824" t="str">
        <f t="shared" si="7"/>
        <v>000000</v>
      </c>
      <c r="R47" s="825" t="str">
        <f t="shared" si="8"/>
        <v/>
      </c>
      <c r="S47" s="830"/>
      <c r="T47" s="831"/>
      <c r="U47" s="831"/>
      <c r="V47" s="820"/>
    </row>
    <row r="48" spans="1:22" ht="12.75" customHeight="1" x14ac:dyDescent="0.25">
      <c r="A48" s="820"/>
      <c r="B48" s="826" t="s">
        <v>4635</v>
      </c>
      <c r="C48" s="826" t="str">
        <f>'Team 10'!J42</f>
        <v>,</v>
      </c>
      <c r="D48" s="826">
        <f>'Gala Setup'!Q$13</f>
        <v>0</v>
      </c>
      <c r="E48" s="827" t="str">
        <f>'Team 10'!L42</f>
        <v>000100</v>
      </c>
      <c r="F48" s="823">
        <f>'print 10 lane'!AJ$46</f>
        <v>0</v>
      </c>
      <c r="G48" s="826">
        <f>'Team 1'!$D$42</f>
        <v>14</v>
      </c>
      <c r="H48" s="826" t="s">
        <v>4635</v>
      </c>
      <c r="I48" s="826" t="str">
        <f t="shared" si="0"/>
        <v>F,,</v>
      </c>
      <c r="J48" s="826" t="str">
        <f t="shared" si="1"/>
        <v>F,,,0</v>
      </c>
      <c r="K48" s="826" t="str">
        <f t="shared" si="2"/>
        <v>F,,,0,000100</v>
      </c>
      <c r="L48" s="821" t="str">
        <f t="shared" si="3"/>
        <v>F,,,0,000100,000000</v>
      </c>
      <c r="M48" s="826" t="str">
        <f t="shared" si="4"/>
        <v>F,,,0,000100,000000,14</v>
      </c>
      <c r="N48" s="826" t="str">
        <f t="shared" si="5"/>
        <v>F,,,0,000100,000000,14,F</v>
      </c>
      <c r="O48" s="824"/>
      <c r="P48" s="824" t="str">
        <f t="shared" si="6"/>
        <v>00:00.00</v>
      </c>
      <c r="Q48" s="824" t="str">
        <f t="shared" si="7"/>
        <v>000000</v>
      </c>
      <c r="R48" s="825" t="str">
        <f t="shared" si="8"/>
        <v/>
      </c>
      <c r="S48" s="830"/>
      <c r="T48" s="831"/>
      <c r="U48" s="831"/>
      <c r="V48" s="820"/>
    </row>
    <row r="49" spans="1:22" ht="12.75" customHeight="1" x14ac:dyDescent="0.25">
      <c r="A49" s="820"/>
      <c r="B49" s="826" t="s">
        <v>4635</v>
      </c>
      <c r="C49" s="826" t="str">
        <f>'Team 10'!J48</f>
        <v>,</v>
      </c>
      <c r="D49" s="826">
        <f>'Gala Setup'!Q$13</f>
        <v>0</v>
      </c>
      <c r="E49" s="827" t="str">
        <f>'Team 10'!L48</f>
        <v>000100</v>
      </c>
      <c r="F49" s="823">
        <f>'print 10 lane'!AJ$64</f>
        <v>0</v>
      </c>
      <c r="G49" s="826">
        <f>'Team 1'!$D$48</f>
        <v>14</v>
      </c>
      <c r="H49" s="826" t="s">
        <v>4635</v>
      </c>
      <c r="I49" s="826" t="str">
        <f t="shared" si="0"/>
        <v>F,,</v>
      </c>
      <c r="J49" s="826" t="str">
        <f t="shared" si="1"/>
        <v>F,,,0</v>
      </c>
      <c r="K49" s="826" t="str">
        <f t="shared" si="2"/>
        <v>F,,,0,000100</v>
      </c>
      <c r="L49" s="821" t="str">
        <f t="shared" si="3"/>
        <v>F,,,0,000100,000000</v>
      </c>
      <c r="M49" s="826" t="str">
        <f t="shared" si="4"/>
        <v>F,,,0,000100,000000,14</v>
      </c>
      <c r="N49" s="826" t="str">
        <f t="shared" si="5"/>
        <v>F,,,0,000100,000000,14,F</v>
      </c>
      <c r="O49" s="824"/>
      <c r="P49" s="824" t="str">
        <f t="shared" si="6"/>
        <v>00:00.00</v>
      </c>
      <c r="Q49" s="824" t="str">
        <f t="shared" si="7"/>
        <v>000000</v>
      </c>
      <c r="R49" s="825" t="str">
        <f t="shared" si="8"/>
        <v/>
      </c>
      <c r="S49" s="830"/>
      <c r="T49" s="831"/>
      <c r="U49" s="831"/>
      <c r="V49" s="820"/>
    </row>
    <row r="50" spans="1:22" ht="12.75" customHeight="1" x14ac:dyDescent="0.25">
      <c r="A50" s="820"/>
      <c r="B50" s="826" t="s">
        <v>4635</v>
      </c>
      <c r="C50" s="826" t="str">
        <f>'Team 10'!J52</f>
        <v>,</v>
      </c>
      <c r="D50" s="826">
        <f>'Gala Setup'!Q$13</f>
        <v>0</v>
      </c>
      <c r="E50" s="827" t="str">
        <f>'Team 10'!L52</f>
        <v>000100</v>
      </c>
      <c r="F50" s="823">
        <f>'print 10 lane'!AJ$76</f>
        <v>0</v>
      </c>
      <c r="G50" s="826">
        <f>'Team 1'!$D$52</f>
        <v>14</v>
      </c>
      <c r="H50" s="826" t="s">
        <v>4635</v>
      </c>
      <c r="I50" s="826" t="str">
        <f t="shared" si="0"/>
        <v>F,,</v>
      </c>
      <c r="J50" s="826" t="str">
        <f t="shared" si="1"/>
        <v>F,,,0</v>
      </c>
      <c r="K50" s="826" t="str">
        <f t="shared" si="2"/>
        <v>F,,,0,000100</v>
      </c>
      <c r="L50" s="821" t="str">
        <f t="shared" si="3"/>
        <v>F,,,0,000100,000000</v>
      </c>
      <c r="M50" s="826" t="str">
        <f t="shared" si="4"/>
        <v>F,,,0,000100,000000,14</v>
      </c>
      <c r="N50" s="826" t="str">
        <f t="shared" si="5"/>
        <v>F,,,0,000100,000000,14,F</v>
      </c>
      <c r="O50" s="824"/>
      <c r="P50" s="824" t="str">
        <f t="shared" si="6"/>
        <v>00:00.00</v>
      </c>
      <c r="Q50" s="824" t="str">
        <f t="shared" si="7"/>
        <v>000000</v>
      </c>
      <c r="R50" s="825" t="str">
        <f t="shared" si="8"/>
        <v/>
      </c>
      <c r="S50" s="830"/>
      <c r="T50" s="831"/>
      <c r="U50" s="831"/>
      <c r="V50" s="820"/>
    </row>
    <row r="51" spans="1:22" ht="12.75" customHeight="1" x14ac:dyDescent="0.25">
      <c r="A51" s="820"/>
      <c r="B51" s="826" t="s">
        <v>328</v>
      </c>
      <c r="C51" s="826" t="str">
        <f>'Team 10'!J53</f>
        <v>,</v>
      </c>
      <c r="D51" s="826">
        <f>'Gala Setup'!Q$13</f>
        <v>0</v>
      </c>
      <c r="E51" s="827" t="str">
        <f>'Team 10'!L53</f>
        <v>000100</v>
      </c>
      <c r="F51" s="823">
        <f>'print 10 lane'!AJ$79</f>
        <v>0</v>
      </c>
      <c r="G51" s="826">
        <f>'Team 1'!$D$53</f>
        <v>14</v>
      </c>
      <c r="H51" s="826" t="s">
        <v>4635</v>
      </c>
      <c r="I51" s="826" t="str">
        <f t="shared" si="0"/>
        <v>M,,</v>
      </c>
      <c r="J51" s="826" t="str">
        <f t="shared" si="1"/>
        <v>M,,,0</v>
      </c>
      <c r="K51" s="826" t="str">
        <f t="shared" si="2"/>
        <v>M,,,0,000100</v>
      </c>
      <c r="L51" s="821" t="str">
        <f t="shared" si="3"/>
        <v>M,,,0,000100,000000</v>
      </c>
      <c r="M51" s="826" t="str">
        <f t="shared" si="4"/>
        <v>M,,,0,000100,000000,14</v>
      </c>
      <c r="N51" s="826" t="str">
        <f t="shared" si="5"/>
        <v>M,,,0,000100,000000,14,F</v>
      </c>
      <c r="O51" s="824"/>
      <c r="P51" s="824" t="str">
        <f t="shared" si="6"/>
        <v>00:00.00</v>
      </c>
      <c r="Q51" s="824" t="str">
        <f t="shared" si="7"/>
        <v>000000</v>
      </c>
      <c r="R51" s="825" t="str">
        <f t="shared" si="8"/>
        <v/>
      </c>
      <c r="S51" s="830"/>
      <c r="T51" s="831"/>
      <c r="U51" s="831"/>
      <c r="V51" s="820"/>
    </row>
    <row r="52" spans="1:22" ht="12.75" customHeight="1" x14ac:dyDescent="0.25">
      <c r="A52" s="820"/>
      <c r="B52" s="826" t="s">
        <v>328</v>
      </c>
      <c r="C52" s="826" t="str">
        <f>'Team 6'!J43</f>
        <v>Waissman,Louis</v>
      </c>
      <c r="D52" s="826" t="str">
        <f>'Gala Setup'!Q$9</f>
        <v>HAWL</v>
      </c>
      <c r="E52" s="827" t="str">
        <f>'Team 6'!L43</f>
        <v>200209</v>
      </c>
      <c r="F52" s="823">
        <f>'print 10 lane'!X$49</f>
        <v>0</v>
      </c>
      <c r="G52" s="826">
        <f>'Team 1'!$D$43</f>
        <v>14</v>
      </c>
      <c r="H52" s="826" t="s">
        <v>4635</v>
      </c>
      <c r="I52" s="826" t="str">
        <f t="shared" si="0"/>
        <v>M,Waissman,Louis</v>
      </c>
      <c r="J52" s="826" t="str">
        <f t="shared" si="1"/>
        <v>M,Waissman,Louis,HAWL</v>
      </c>
      <c r="K52" s="826" t="str">
        <f t="shared" si="2"/>
        <v>M,Waissman,Louis,HAWL,200209</v>
      </c>
      <c r="L52" s="821" t="str">
        <f t="shared" si="3"/>
        <v>M,Waissman,Louis,HAWL,200209,000000</v>
      </c>
      <c r="M52" s="826" t="str">
        <f t="shared" si="4"/>
        <v>M,Waissman,Louis,HAWL,200209,000000,14</v>
      </c>
      <c r="N52" s="826" t="str">
        <f t="shared" si="5"/>
        <v>M,Waissman,Louis,HAWL,200209,000000,14,F</v>
      </c>
      <c r="O52" s="824"/>
      <c r="P52" s="824" t="str">
        <f t="shared" si="6"/>
        <v>00:00.00</v>
      </c>
      <c r="Q52" s="824" t="str">
        <f t="shared" si="7"/>
        <v>000000</v>
      </c>
      <c r="R52" s="825" t="str">
        <f t="shared" si="8"/>
        <v/>
      </c>
      <c r="S52" s="830"/>
      <c r="T52" s="831"/>
      <c r="U52" s="831"/>
      <c r="V52" s="820"/>
    </row>
    <row r="53" spans="1:22" ht="12.75" customHeight="1" x14ac:dyDescent="0.25">
      <c r="A53" s="820"/>
      <c r="B53" s="826" t="s">
        <v>328</v>
      </c>
      <c r="C53" s="826" t="str">
        <f>'Team 6'!J49</f>
        <v>Zeqiri,Gert</v>
      </c>
      <c r="D53" s="826" t="str">
        <f>'Gala Setup'!Q$9</f>
        <v>HAWL</v>
      </c>
      <c r="E53" s="827" t="str">
        <f>'Team 6'!L49</f>
        <v>270510</v>
      </c>
      <c r="F53" s="823">
        <f>'print 10 lane'!X$67</f>
        <v>7.9201388888888898E-4</v>
      </c>
      <c r="G53" s="826">
        <f>'Team 1'!$D$49</f>
        <v>14</v>
      </c>
      <c r="H53" s="826" t="s">
        <v>4635</v>
      </c>
      <c r="I53" s="826" t="str">
        <f t="shared" si="0"/>
        <v>M,Zeqiri,Gert</v>
      </c>
      <c r="J53" s="826" t="str">
        <f t="shared" si="1"/>
        <v>M,Zeqiri,Gert,HAWL</v>
      </c>
      <c r="K53" s="826" t="str">
        <f t="shared" si="2"/>
        <v>M,Zeqiri,Gert,HAWL,270510</v>
      </c>
      <c r="L53" s="821" t="str">
        <f t="shared" si="3"/>
        <v>M,Zeqiri,Gert,HAWL,270510,010843</v>
      </c>
      <c r="M53" s="826" t="str">
        <f t="shared" si="4"/>
        <v>M,Zeqiri,Gert,HAWL,270510,010843,14</v>
      </c>
      <c r="N53" s="826" t="str">
        <f t="shared" si="5"/>
        <v>M,Zeqiri,Gert,HAWL,270510,010843,14,F</v>
      </c>
      <c r="O53" s="824"/>
      <c r="P53" s="824" t="str">
        <f t="shared" si="6"/>
        <v>01:08.43</v>
      </c>
      <c r="Q53" s="824" t="str">
        <f t="shared" si="7"/>
        <v>010843</v>
      </c>
      <c r="R53" s="825" t="str">
        <f t="shared" si="8"/>
        <v>M,Zeqiri,Gert,HAWL,270510,010843,14,F</v>
      </c>
      <c r="S53" s="830"/>
      <c r="T53" s="831"/>
      <c r="U53" s="831"/>
      <c r="V53" s="820"/>
    </row>
    <row r="54" spans="1:22" ht="12.75" customHeight="1" x14ac:dyDescent="0.25">
      <c r="A54" s="820"/>
      <c r="B54" s="821" t="s">
        <v>328</v>
      </c>
      <c r="C54" s="821" t="str">
        <f>'Team 5'!J49</f>
        <v>Hurst,Liam</v>
      </c>
      <c r="D54" s="821" t="str">
        <f>'Gala Setup'!Q$8</f>
        <v>BTRT</v>
      </c>
      <c r="E54" s="822" t="str">
        <f>'Team 5'!L49</f>
        <v>280210</v>
      </c>
      <c r="F54" s="823">
        <f>'print 10 lane'!U$67</f>
        <v>9.032407407407408E-4</v>
      </c>
      <c r="G54" s="821">
        <f>'Team 1'!$D$49</f>
        <v>14</v>
      </c>
      <c r="H54" s="821" t="s">
        <v>4635</v>
      </c>
      <c r="I54" s="821" t="str">
        <f t="shared" si="0"/>
        <v>M,Hurst,Liam</v>
      </c>
      <c r="J54" s="821" t="str">
        <f t="shared" si="1"/>
        <v>M,Hurst,Liam,BTRT</v>
      </c>
      <c r="K54" s="821" t="str">
        <f t="shared" si="2"/>
        <v>M,Hurst,Liam,BTRT,280210</v>
      </c>
      <c r="L54" s="821" t="str">
        <f t="shared" si="3"/>
        <v>M,Hurst,Liam,BTRT,280210,011804</v>
      </c>
      <c r="M54" s="821" t="str">
        <f t="shared" si="4"/>
        <v>M,Hurst,Liam,BTRT,280210,011804,14</v>
      </c>
      <c r="N54" s="821" t="str">
        <f t="shared" si="5"/>
        <v>M,Hurst,Liam,BTRT,280210,011804,14,F</v>
      </c>
      <c r="O54" s="824"/>
      <c r="P54" s="824" t="str">
        <f t="shared" si="6"/>
        <v>01:18.04</v>
      </c>
      <c r="Q54" s="824" t="str">
        <f t="shared" si="7"/>
        <v>011804</v>
      </c>
      <c r="R54" s="825" t="str">
        <f t="shared" si="8"/>
        <v>M,Hurst,Liam,BTRT,280210,011804,14,F</v>
      </c>
      <c r="S54" s="830"/>
      <c r="T54" s="831"/>
      <c r="U54" s="831"/>
      <c r="V54" s="820"/>
    </row>
    <row r="55" spans="1:22" ht="12.75" customHeight="1" x14ac:dyDescent="0.25">
      <c r="A55" s="820"/>
      <c r="B55" s="821" t="s">
        <v>328</v>
      </c>
      <c r="C55" s="821" t="str">
        <f>'Team 5'!J43</f>
        <v>Orley,Albert</v>
      </c>
      <c r="D55" s="821" t="str">
        <f>'Gala Setup'!Q$8</f>
        <v>BTRT</v>
      </c>
      <c r="E55" s="822" t="str">
        <f>'Team 5'!L43</f>
        <v>300108</v>
      </c>
      <c r="F55" s="823">
        <f>'print 10 lane'!U$49</f>
        <v>7.4768518518518511E-4</v>
      </c>
      <c r="G55" s="821">
        <f>'Team 1'!$D$43</f>
        <v>14</v>
      </c>
      <c r="H55" s="821" t="s">
        <v>4635</v>
      </c>
      <c r="I55" s="821" t="str">
        <f t="shared" si="0"/>
        <v>M,Orley,Albert</v>
      </c>
      <c r="J55" s="821" t="str">
        <f t="shared" si="1"/>
        <v>M,Orley,Albert,BTRT</v>
      </c>
      <c r="K55" s="821" t="str">
        <f t="shared" si="2"/>
        <v>M,Orley,Albert,BTRT,300108</v>
      </c>
      <c r="L55" s="821" t="str">
        <f t="shared" si="3"/>
        <v>M,Orley,Albert,BTRT,300108,010460</v>
      </c>
      <c r="M55" s="821" t="str">
        <f t="shared" si="4"/>
        <v>M,Orley,Albert,BTRT,300108,010460,14</v>
      </c>
      <c r="N55" s="821" t="str">
        <f t="shared" si="5"/>
        <v>M,Orley,Albert,BTRT,300108,010460,14,F</v>
      </c>
      <c r="O55" s="824"/>
      <c r="P55" s="824" t="str">
        <f t="shared" si="6"/>
        <v>01:04.60</v>
      </c>
      <c r="Q55" s="824" t="str">
        <f t="shared" si="7"/>
        <v>010460</v>
      </c>
      <c r="R55" s="825" t="str">
        <f t="shared" si="8"/>
        <v>M,Orley,Albert,BTRT,300108,010460,14,F</v>
      </c>
      <c r="S55" s="830"/>
      <c r="T55" s="831"/>
      <c r="U55" s="831"/>
      <c r="V55" s="820"/>
    </row>
    <row r="56" spans="1:22" ht="12.75" customHeight="1" x14ac:dyDescent="0.25">
      <c r="A56" s="820"/>
      <c r="B56" s="826" t="s">
        <v>328</v>
      </c>
      <c r="C56" s="826" t="str">
        <f>'Team 4'!J53</f>
        <v>MASTERS,MATTHEW</v>
      </c>
      <c r="D56" s="826" t="str">
        <f>'Gala Setup'!Q$7</f>
        <v>AYBS</v>
      </c>
      <c r="E56" s="827" t="str">
        <f>'Team 4'!L53</f>
        <v>311094</v>
      </c>
      <c r="F56" s="823">
        <f>'print 10 lane'!R$79</f>
        <v>7.1481481481481483E-4</v>
      </c>
      <c r="G56" s="826">
        <f>'Team 1'!$D$53</f>
        <v>14</v>
      </c>
      <c r="H56" s="826" t="s">
        <v>4635</v>
      </c>
      <c r="I56" s="826" t="str">
        <f t="shared" si="0"/>
        <v>M,MASTERS,MATTHEW</v>
      </c>
      <c r="J56" s="826" t="str">
        <f t="shared" si="1"/>
        <v>M,MASTERS,MATTHEW,AYBS</v>
      </c>
      <c r="K56" s="826" t="str">
        <f t="shared" si="2"/>
        <v>M,MASTERS,MATTHEW,AYBS,311094</v>
      </c>
      <c r="L56" s="821" t="str">
        <f t="shared" si="3"/>
        <v>M,MASTERS,MATTHEW,AYBS,311094,010176</v>
      </c>
      <c r="M56" s="826" t="str">
        <f t="shared" si="4"/>
        <v>M,MASTERS,MATTHEW,AYBS,311094,010176,14</v>
      </c>
      <c r="N56" s="826" t="str">
        <f t="shared" si="5"/>
        <v>M,MASTERS,MATTHEW,AYBS,311094,010176,14,F</v>
      </c>
      <c r="O56" s="824"/>
      <c r="P56" s="824" t="str">
        <f t="shared" si="6"/>
        <v>01:01.76</v>
      </c>
      <c r="Q56" s="824" t="str">
        <f t="shared" si="7"/>
        <v>010176</v>
      </c>
      <c r="R56" s="825" t="str">
        <f t="shared" si="8"/>
        <v>M,MASTERS,MATTHEW,AYBS,311094,010176,14,F</v>
      </c>
      <c r="S56" s="830"/>
      <c r="T56" s="831"/>
      <c r="U56" s="831"/>
      <c r="V56" s="820"/>
    </row>
    <row r="57" spans="1:22" ht="12.75" customHeight="1" x14ac:dyDescent="0.25">
      <c r="A57" s="820"/>
      <c r="B57" s="826" t="s">
        <v>328</v>
      </c>
      <c r="C57" s="826" t="str">
        <f>'Team 4'!J49</f>
        <v>ROSA,SAMUEL</v>
      </c>
      <c r="D57" s="826" t="str">
        <f>'Gala Setup'!Q$7</f>
        <v>AYBS</v>
      </c>
      <c r="E57" s="827" t="str">
        <f>'Team 4'!L49</f>
        <v>170310</v>
      </c>
      <c r="F57" s="823">
        <f>'print 10 lane'!R$67</f>
        <v>1.0128472222222221E-3</v>
      </c>
      <c r="G57" s="826">
        <f>'Team 1'!$D$49</f>
        <v>14</v>
      </c>
      <c r="H57" s="826" t="s">
        <v>4635</v>
      </c>
      <c r="I57" s="826" t="str">
        <f t="shared" si="0"/>
        <v>M,ROSA,SAMUEL</v>
      </c>
      <c r="J57" s="826" t="str">
        <f t="shared" si="1"/>
        <v>M,ROSA,SAMUEL,AYBS</v>
      </c>
      <c r="K57" s="826" t="str">
        <f t="shared" si="2"/>
        <v>M,ROSA,SAMUEL,AYBS,170310</v>
      </c>
      <c r="L57" s="821" t="str">
        <f t="shared" si="3"/>
        <v>M,ROSA,SAMUEL,AYBS,170310,012751</v>
      </c>
      <c r="M57" s="826" t="str">
        <f t="shared" si="4"/>
        <v>M,ROSA,SAMUEL,AYBS,170310,012751,14</v>
      </c>
      <c r="N57" s="826" t="str">
        <f t="shared" si="5"/>
        <v>M,ROSA,SAMUEL,AYBS,170310,012751,14,F</v>
      </c>
      <c r="O57" s="824"/>
      <c r="P57" s="824" t="str">
        <f t="shared" si="6"/>
        <v>01:27.51</v>
      </c>
      <c r="Q57" s="824" t="str">
        <f t="shared" si="7"/>
        <v>012751</v>
      </c>
      <c r="R57" s="825" t="str">
        <f t="shared" si="8"/>
        <v>M,ROSA,SAMUEL,AYBS,170310,012751,14,F</v>
      </c>
      <c r="S57" s="830"/>
      <c r="T57" s="831"/>
      <c r="U57" s="831"/>
      <c r="V57" s="820"/>
    </row>
    <row r="58" spans="1:22" ht="12.75" customHeight="1" x14ac:dyDescent="0.25">
      <c r="A58" s="820"/>
      <c r="B58" s="826" t="s">
        <v>328</v>
      </c>
      <c r="C58" s="826" t="str">
        <f>'Team 2'!J49</f>
        <v>Winter,James</v>
      </c>
      <c r="D58" s="826" t="str">
        <f>'Gala Setup'!$Q$5</f>
        <v>STET</v>
      </c>
      <c r="E58" s="827" t="str">
        <f>'Team 2'!L49</f>
        <v>040812</v>
      </c>
      <c r="F58" s="823">
        <f>'print 10 lane'!L$67</f>
        <v>1.0121527777777778E-3</v>
      </c>
      <c r="G58" s="826">
        <f>'Team 1'!$D$49</f>
        <v>14</v>
      </c>
      <c r="H58" s="826" t="s">
        <v>4635</v>
      </c>
      <c r="I58" s="826" t="str">
        <f t="shared" si="0"/>
        <v>M,Winter,James</v>
      </c>
      <c r="J58" s="826" t="str">
        <f t="shared" si="1"/>
        <v>M,Winter,James,STET</v>
      </c>
      <c r="K58" s="826" t="str">
        <f t="shared" si="2"/>
        <v>M,Winter,James,STET,040812</v>
      </c>
      <c r="L58" s="821" t="str">
        <f t="shared" si="3"/>
        <v>M,Winter,James,STET,040812,012745</v>
      </c>
      <c r="M58" s="826" t="str">
        <f t="shared" si="4"/>
        <v>M,Winter,James,STET,040812,012745,14</v>
      </c>
      <c r="N58" s="826" t="str">
        <f t="shared" si="5"/>
        <v>M,Winter,James,STET,040812,012745,14,F</v>
      </c>
      <c r="O58" s="824"/>
      <c r="P58" s="824" t="str">
        <f t="shared" si="6"/>
        <v>01:27.45</v>
      </c>
      <c r="Q58" s="824" t="str">
        <f t="shared" si="7"/>
        <v>012745</v>
      </c>
      <c r="R58" s="825" t="str">
        <f t="shared" si="8"/>
        <v>M,Winter,James,STET,040812,012745,14,F</v>
      </c>
      <c r="S58" s="830"/>
      <c r="T58" s="831"/>
      <c r="U58" s="831"/>
      <c r="V58" s="820"/>
    </row>
    <row r="59" spans="1:22" ht="12.75" customHeight="1" x14ac:dyDescent="0.25">
      <c r="A59" s="820"/>
      <c r="B59" s="821" t="s">
        <v>328</v>
      </c>
      <c r="C59" s="821" t="str">
        <f>'Team 3'!J43</f>
        <v>Bullock,Alfie</v>
      </c>
      <c r="D59" s="821" t="str">
        <f>'Gala Setup'!Q$6</f>
        <v>BBST</v>
      </c>
      <c r="E59" s="822" t="str">
        <f>'Team 3'!L43</f>
        <v>250208</v>
      </c>
      <c r="F59" s="823">
        <f>'print 10 lane'!O$49</f>
        <v>9.8182870370370373E-4</v>
      </c>
      <c r="G59" s="821">
        <f>'Team 1'!$D$43</f>
        <v>14</v>
      </c>
      <c r="H59" s="821" t="s">
        <v>4635</v>
      </c>
      <c r="I59" s="821" t="str">
        <f t="shared" si="0"/>
        <v>M,Bullock,Alfie</v>
      </c>
      <c r="J59" s="821" t="str">
        <f t="shared" si="1"/>
        <v>M,Bullock,Alfie,BBST</v>
      </c>
      <c r="K59" s="821" t="str">
        <f t="shared" si="2"/>
        <v>M,Bullock,Alfie,BBST,250208</v>
      </c>
      <c r="L59" s="821" t="str">
        <f t="shared" si="3"/>
        <v>M,Bullock,Alfie,BBST,250208,012483</v>
      </c>
      <c r="M59" s="821" t="str">
        <f t="shared" si="4"/>
        <v>M,Bullock,Alfie,BBST,250208,012483,14</v>
      </c>
      <c r="N59" s="821" t="str">
        <f t="shared" si="5"/>
        <v>M,Bullock,Alfie,BBST,250208,012483,14,F</v>
      </c>
      <c r="O59" s="824"/>
      <c r="P59" s="824" t="str">
        <f t="shared" si="6"/>
        <v>01:24.83</v>
      </c>
      <c r="Q59" s="824" t="str">
        <f t="shared" si="7"/>
        <v>012483</v>
      </c>
      <c r="R59" s="825" t="str">
        <f t="shared" si="8"/>
        <v>M,Bullock,Alfie,BBST,250208,012483,14,F</v>
      </c>
      <c r="S59" s="830"/>
      <c r="T59" s="831"/>
      <c r="U59" s="831"/>
      <c r="V59" s="820"/>
    </row>
    <row r="60" spans="1:22" ht="12.75" customHeight="1" x14ac:dyDescent="0.25">
      <c r="A60" s="820"/>
      <c r="B60" s="821" t="s">
        <v>328</v>
      </c>
      <c r="C60" s="821" t="str">
        <f>'Team 3'!J49</f>
        <v>Wimpenny,Ryan</v>
      </c>
      <c r="D60" s="821" t="str">
        <f>'Gala Setup'!Q$6</f>
        <v>BBST</v>
      </c>
      <c r="E60" s="822" t="str">
        <f>'Team 3'!L49</f>
        <v>040410</v>
      </c>
      <c r="F60" s="823">
        <f>'print 10 lane'!O$67</f>
        <v>9.3715277777777775E-4</v>
      </c>
      <c r="G60" s="821">
        <f>'Team 1'!$D$49</f>
        <v>14</v>
      </c>
      <c r="H60" s="821" t="s">
        <v>4635</v>
      </c>
      <c r="I60" s="821" t="str">
        <f t="shared" si="0"/>
        <v>M,Wimpenny,Ryan</v>
      </c>
      <c r="J60" s="821" t="str">
        <f t="shared" si="1"/>
        <v>M,Wimpenny,Ryan,BBST</v>
      </c>
      <c r="K60" s="821" t="str">
        <f t="shared" si="2"/>
        <v>M,Wimpenny,Ryan,BBST,040410</v>
      </c>
      <c r="L60" s="821" t="str">
        <f t="shared" si="3"/>
        <v>M,Wimpenny,Ryan,BBST,040410,012097</v>
      </c>
      <c r="M60" s="821" t="str">
        <f t="shared" si="4"/>
        <v>M,Wimpenny,Ryan,BBST,040410,012097,14</v>
      </c>
      <c r="N60" s="821" t="str">
        <f t="shared" si="5"/>
        <v>M,Wimpenny,Ryan,BBST,040410,012097,14,F</v>
      </c>
      <c r="O60" s="824"/>
      <c r="P60" s="824" t="str">
        <f t="shared" si="6"/>
        <v>01:20.97</v>
      </c>
      <c r="Q60" s="824" t="str">
        <f t="shared" si="7"/>
        <v>012097</v>
      </c>
      <c r="R60" s="825" t="str">
        <f t="shared" si="8"/>
        <v>M,Wimpenny,Ryan,BBST,040410,012097,14,F</v>
      </c>
      <c r="S60" s="830"/>
      <c r="T60" s="831"/>
      <c r="U60" s="831"/>
      <c r="V60" s="820"/>
    </row>
    <row r="61" spans="1:22" ht="12.75" customHeight="1" x14ac:dyDescent="0.25">
      <c r="A61" s="820"/>
      <c r="B61" s="821" t="s">
        <v>328</v>
      </c>
      <c r="C61" s="821" t="str">
        <f>'Team 3'!J53</f>
        <v>Cropley,Charlie</v>
      </c>
      <c r="D61" s="821" t="str">
        <f>'Gala Setup'!Q$6</f>
        <v>BBST</v>
      </c>
      <c r="E61" s="822" t="str">
        <f>'Team 3'!L53</f>
        <v>041206</v>
      </c>
      <c r="F61" s="823">
        <f>'print 10 lane'!O$79</f>
        <v>0</v>
      </c>
      <c r="G61" s="821">
        <f>'Team 1'!$D$53</f>
        <v>14</v>
      </c>
      <c r="H61" s="821" t="s">
        <v>4635</v>
      </c>
      <c r="I61" s="821" t="str">
        <f t="shared" si="0"/>
        <v>M,Cropley,Charlie</v>
      </c>
      <c r="J61" s="821" t="str">
        <f t="shared" si="1"/>
        <v>M,Cropley,Charlie,BBST</v>
      </c>
      <c r="K61" s="821" t="str">
        <f t="shared" si="2"/>
        <v>M,Cropley,Charlie,BBST,041206</v>
      </c>
      <c r="L61" s="821" t="str">
        <f t="shared" si="3"/>
        <v>M,Cropley,Charlie,BBST,041206,000000</v>
      </c>
      <c r="M61" s="821" t="str">
        <f t="shared" si="4"/>
        <v>M,Cropley,Charlie,BBST,041206,000000,14</v>
      </c>
      <c r="N61" s="821" t="str">
        <f t="shared" si="5"/>
        <v>M,Cropley,Charlie,BBST,041206,000000,14,F</v>
      </c>
      <c r="O61" s="824"/>
      <c r="P61" s="824" t="str">
        <f t="shared" si="6"/>
        <v>00:00.00</v>
      </c>
      <c r="Q61" s="824" t="str">
        <f t="shared" si="7"/>
        <v>000000</v>
      </c>
      <c r="R61" s="825" t="str">
        <f t="shared" si="8"/>
        <v/>
      </c>
      <c r="S61" s="830"/>
      <c r="T61" s="831"/>
      <c r="U61" s="831"/>
      <c r="V61" s="820"/>
    </row>
    <row r="62" spans="1:22" ht="12.75" customHeight="1" x14ac:dyDescent="0.25">
      <c r="A62" s="820"/>
      <c r="B62" s="826" t="s">
        <v>328</v>
      </c>
      <c r="C62" s="826" t="str">
        <f>'Team 4'!J43</f>
        <v>RAINES,CHARLES</v>
      </c>
      <c r="D62" s="826" t="str">
        <f>'Gala Setup'!Q$7</f>
        <v>AYBS</v>
      </c>
      <c r="E62" s="827" t="str">
        <f>'Team 4'!L43</f>
        <v>130208</v>
      </c>
      <c r="F62" s="823">
        <f>'print 10 lane'!R$49</f>
        <v>7.7662037037037033E-4</v>
      </c>
      <c r="G62" s="826">
        <f>'Team 1'!$D$43</f>
        <v>14</v>
      </c>
      <c r="H62" s="826" t="s">
        <v>4635</v>
      </c>
      <c r="I62" s="826" t="str">
        <f t="shared" si="0"/>
        <v>M,RAINES,CHARLES</v>
      </c>
      <c r="J62" s="826" t="str">
        <f t="shared" si="1"/>
        <v>M,RAINES,CHARLES,AYBS</v>
      </c>
      <c r="K62" s="826" t="str">
        <f t="shared" si="2"/>
        <v>M,RAINES,CHARLES,AYBS,130208</v>
      </c>
      <c r="L62" s="821" t="str">
        <f t="shared" si="3"/>
        <v>M,RAINES,CHARLES,AYBS,130208,010710</v>
      </c>
      <c r="M62" s="826" t="str">
        <f t="shared" si="4"/>
        <v>M,RAINES,CHARLES,AYBS,130208,010710,14</v>
      </c>
      <c r="N62" s="826" t="str">
        <f t="shared" si="5"/>
        <v>M,RAINES,CHARLES,AYBS,130208,010710,14,F</v>
      </c>
      <c r="O62" s="824"/>
      <c r="P62" s="824" t="str">
        <f t="shared" si="6"/>
        <v>01:07.10</v>
      </c>
      <c r="Q62" s="824" t="str">
        <f t="shared" si="7"/>
        <v>010710</v>
      </c>
      <c r="R62" s="825" t="str">
        <f t="shared" si="8"/>
        <v>M,RAINES,CHARLES,AYBS,130208,010710,14,F</v>
      </c>
      <c r="S62" s="830"/>
      <c r="T62" s="831"/>
      <c r="U62" s="831"/>
      <c r="V62" s="820"/>
    </row>
    <row r="63" spans="1:22" ht="12.75" customHeight="1" x14ac:dyDescent="0.25">
      <c r="A63" s="820"/>
      <c r="B63" s="826" t="s">
        <v>328</v>
      </c>
      <c r="C63" s="826" t="str">
        <f>'Team 2'!J53</f>
        <v>Costello,Matthew</v>
      </c>
      <c r="D63" s="826" t="str">
        <f>'Gala Setup'!$Q$5</f>
        <v>STET</v>
      </c>
      <c r="E63" s="827" t="str">
        <f>'Team 2'!L53</f>
        <v>160394</v>
      </c>
      <c r="F63" s="823">
        <f>'print 10 lane'!L$79</f>
        <v>7.9606481481481466E-4</v>
      </c>
      <c r="G63" s="826">
        <f>'Team 1'!$D$53</f>
        <v>14</v>
      </c>
      <c r="H63" s="826" t="s">
        <v>4635</v>
      </c>
      <c r="I63" s="826" t="str">
        <f t="shared" si="0"/>
        <v>M,Costello,Matthew</v>
      </c>
      <c r="J63" s="826" t="str">
        <f t="shared" si="1"/>
        <v>M,Costello,Matthew,STET</v>
      </c>
      <c r="K63" s="826" t="str">
        <f t="shared" si="2"/>
        <v>M,Costello,Matthew,STET,160394</v>
      </c>
      <c r="L63" s="821" t="str">
        <f t="shared" si="3"/>
        <v>M,Costello,Matthew,STET,160394,010878</v>
      </c>
      <c r="M63" s="826" t="str">
        <f t="shared" si="4"/>
        <v>M,Costello,Matthew,STET,160394,010878,14</v>
      </c>
      <c r="N63" s="826" t="str">
        <f t="shared" si="5"/>
        <v>M,Costello,Matthew,STET,160394,010878,14,F</v>
      </c>
      <c r="O63" s="824"/>
      <c r="P63" s="824" t="str">
        <f t="shared" si="6"/>
        <v>01:08.78</v>
      </c>
      <c r="Q63" s="824" t="str">
        <f t="shared" si="7"/>
        <v>010878</v>
      </c>
      <c r="R63" s="825" t="str">
        <f t="shared" si="8"/>
        <v>M,Costello,Matthew,STET,160394,010878,14,F</v>
      </c>
      <c r="S63" s="830"/>
      <c r="T63" s="831"/>
      <c r="U63" s="831"/>
      <c r="V63" s="820"/>
    </row>
    <row r="64" spans="1:22" ht="12.75" customHeight="1" x14ac:dyDescent="0.25">
      <c r="A64" s="820"/>
      <c r="B64" s="821" t="s">
        <v>328</v>
      </c>
      <c r="C64" s="821" t="str">
        <f>'Team 1'!J43</f>
        <v>Tornay,Zalan</v>
      </c>
      <c r="D64" s="821" t="str">
        <f>'Gala Setup'!Q$4</f>
        <v>HABL</v>
      </c>
      <c r="E64" s="822" t="str">
        <f>'Team 1'!L43</f>
        <v>090609</v>
      </c>
      <c r="F64" s="823">
        <f>'print 10 lane'!I$49</f>
        <v>9.2187499999999995E-4</v>
      </c>
      <c r="G64" s="821">
        <f>'Team 1'!$D$43</f>
        <v>14</v>
      </c>
      <c r="H64" s="821" t="s">
        <v>4635</v>
      </c>
      <c r="I64" s="821" t="str">
        <f t="shared" si="0"/>
        <v>M,Tornay,Zalan</v>
      </c>
      <c r="J64" s="821" t="str">
        <f t="shared" si="1"/>
        <v>M,Tornay,Zalan,HABL</v>
      </c>
      <c r="K64" s="821" t="str">
        <f t="shared" si="2"/>
        <v>M,Tornay,Zalan,HABL,090609</v>
      </c>
      <c r="L64" s="821" t="str">
        <f t="shared" si="3"/>
        <v>M,Tornay,Zalan,HABL,090609,011965</v>
      </c>
      <c r="M64" s="821" t="str">
        <f t="shared" si="4"/>
        <v>M,Tornay,Zalan,HABL,090609,011965,14</v>
      </c>
      <c r="N64" s="821" t="str">
        <f t="shared" si="5"/>
        <v>M,Tornay,Zalan,HABL,090609,011965,14,F</v>
      </c>
      <c r="O64" s="824"/>
      <c r="P64" s="824" t="str">
        <f t="shared" si="6"/>
        <v>01:19.65</v>
      </c>
      <c r="Q64" s="824" t="str">
        <f t="shared" si="7"/>
        <v>011965</v>
      </c>
      <c r="R64" s="825" t="str">
        <f t="shared" si="8"/>
        <v>M,Tornay,Zalan,HABL,090609,011965,14,F</v>
      </c>
      <c r="S64" s="830"/>
      <c r="T64" s="831"/>
      <c r="U64" s="831"/>
      <c r="V64" s="820"/>
    </row>
    <row r="65" spans="1:22" ht="12.75" customHeight="1" x14ac:dyDescent="0.25">
      <c r="A65" s="820"/>
      <c r="B65" s="821" t="s">
        <v>328</v>
      </c>
      <c r="C65" s="821" t="str">
        <f>'Team 1'!J49</f>
        <v>Ilhan,Yigit</v>
      </c>
      <c r="D65" s="821" t="str">
        <f>'Gala Setup'!Q$4</f>
        <v>HABL</v>
      </c>
      <c r="E65" s="822" t="str">
        <f>'Team 1'!L49</f>
        <v>170210</v>
      </c>
      <c r="F65" s="823">
        <f>'print 10 lane'!I$67</f>
        <v>9.3923611111111117E-4</v>
      </c>
      <c r="G65" s="821">
        <f>'Team 1'!$D$49</f>
        <v>14</v>
      </c>
      <c r="H65" s="821" t="s">
        <v>4635</v>
      </c>
      <c r="I65" s="821" t="str">
        <f t="shared" ref="I65:I128" si="9">CONCATENATE(B65,",",C65)</f>
        <v>M,Ilhan,Yigit</v>
      </c>
      <c r="J65" s="821" t="str">
        <f t="shared" ref="J65:J128" si="10">CONCATENATE(I65,",",D65)</f>
        <v>M,Ilhan,Yigit,HABL</v>
      </c>
      <c r="K65" s="821" t="str">
        <f t="shared" ref="K65:K128" si="11">CONCATENATE(J65,",",E65)</f>
        <v>M,Ilhan,Yigit,HABL,170210</v>
      </c>
      <c r="L65" s="821" t="str">
        <f t="shared" ref="L65:L128" si="12">CONCATENATE(K65,",",Q65)</f>
        <v>M,Ilhan,Yigit,HABL,170210,012115</v>
      </c>
      <c r="M65" s="821" t="str">
        <f t="shared" ref="M65:M128" si="13">CONCATENATE(L65,",",G65)</f>
        <v>M,Ilhan,Yigit,HABL,170210,012115,14</v>
      </c>
      <c r="N65" s="821" t="str">
        <f t="shared" ref="N65:N128" si="14">CONCATENATE(M65,",",H65)</f>
        <v>M,Ilhan,Yigit,HABL,170210,012115,14,F</v>
      </c>
      <c r="O65" s="824"/>
      <c r="P65" s="824" t="str">
        <f t="shared" ref="P65:P128" si="15">TEXT(F65,"mm:ss.00")</f>
        <v>01:21.15</v>
      </c>
      <c r="Q65" s="824" t="str">
        <f t="shared" ref="Q65:Q128" si="16">LEFT(P65,2)&amp;MID(P65,4,2)&amp;RIGHT(P65,2)</f>
        <v>012115</v>
      </c>
      <c r="R65" s="825" t="str">
        <f t="shared" ref="R65:R128" si="17">IF(F65=0,"",N65)</f>
        <v>M,Ilhan,Yigit,HABL,170210,012115,14,F</v>
      </c>
      <c r="S65" s="830"/>
      <c r="T65" s="831"/>
      <c r="U65" s="831"/>
      <c r="V65" s="820"/>
    </row>
    <row r="66" spans="1:22" ht="12.75" customHeight="1" x14ac:dyDescent="0.25">
      <c r="A66" s="820"/>
      <c r="B66" s="821" t="s">
        <v>328</v>
      </c>
      <c r="C66" s="821" t="str">
        <f>'Team 1'!J53</f>
        <v>Smeaton,James</v>
      </c>
      <c r="D66" s="821" t="str">
        <f>'Gala Setup'!Q$4</f>
        <v>HABL</v>
      </c>
      <c r="E66" s="822" t="str">
        <f>'Team 1'!L53</f>
        <v>171007</v>
      </c>
      <c r="F66" s="823">
        <f>'print 10 lane'!I$79</f>
        <v>8.2303240740740741E-4</v>
      </c>
      <c r="G66" s="821">
        <f>'Team 1'!$D$53</f>
        <v>14</v>
      </c>
      <c r="H66" s="821" t="s">
        <v>4635</v>
      </c>
      <c r="I66" s="821" t="str">
        <f t="shared" si="9"/>
        <v>M,Smeaton,James</v>
      </c>
      <c r="J66" s="821" t="str">
        <f t="shared" si="10"/>
        <v>M,Smeaton,James,HABL</v>
      </c>
      <c r="K66" s="821" t="str">
        <f t="shared" si="11"/>
        <v>M,Smeaton,James,HABL,171007</v>
      </c>
      <c r="L66" s="821" t="str">
        <f t="shared" si="12"/>
        <v>M,Smeaton,James,HABL,171007,011111</v>
      </c>
      <c r="M66" s="821" t="str">
        <f t="shared" si="13"/>
        <v>M,Smeaton,James,HABL,171007,011111,14</v>
      </c>
      <c r="N66" s="821" t="str">
        <f t="shared" si="14"/>
        <v>M,Smeaton,James,HABL,171007,011111,14,F</v>
      </c>
      <c r="O66" s="824"/>
      <c r="P66" s="824" t="str">
        <f t="shared" si="15"/>
        <v>01:11.11</v>
      </c>
      <c r="Q66" s="824" t="str">
        <f t="shared" si="16"/>
        <v>011111</v>
      </c>
      <c r="R66" s="825" t="str">
        <f t="shared" si="17"/>
        <v>M,Smeaton,James,HABL,171007,011111,14,F</v>
      </c>
      <c r="S66" s="830"/>
      <c r="T66" s="831"/>
      <c r="U66" s="831"/>
      <c r="V66" s="820"/>
    </row>
    <row r="67" spans="1:22" ht="12.75" customHeight="1" x14ac:dyDescent="0.25">
      <c r="A67" s="820"/>
      <c r="B67" s="826" t="s">
        <v>328</v>
      </c>
      <c r="C67" s="826" t="str">
        <f>'Team 2'!J43</f>
        <v>Gregory,Alexander</v>
      </c>
      <c r="D67" s="826" t="str">
        <f>'Gala Setup'!$Q$5</f>
        <v>STET</v>
      </c>
      <c r="E67" s="827" t="str">
        <f>'Team 2'!L43</f>
        <v>060708</v>
      </c>
      <c r="F67" s="823">
        <f>'print 10 lane'!L$49</f>
        <v>8.1967592592592595E-4</v>
      </c>
      <c r="G67" s="826">
        <f>'Team 1'!$D$43</f>
        <v>14</v>
      </c>
      <c r="H67" s="826" t="s">
        <v>4635</v>
      </c>
      <c r="I67" s="826" t="str">
        <f t="shared" si="9"/>
        <v>M,Gregory,Alexander</v>
      </c>
      <c r="J67" s="826" t="str">
        <f t="shared" si="10"/>
        <v>M,Gregory,Alexander,STET</v>
      </c>
      <c r="K67" s="826" t="str">
        <f t="shared" si="11"/>
        <v>M,Gregory,Alexander,STET,060708</v>
      </c>
      <c r="L67" s="821" t="str">
        <f t="shared" si="12"/>
        <v>M,Gregory,Alexander,STET,060708,011082</v>
      </c>
      <c r="M67" s="826" t="str">
        <f t="shared" si="13"/>
        <v>M,Gregory,Alexander,STET,060708,011082,14</v>
      </c>
      <c r="N67" s="826" t="str">
        <f t="shared" si="14"/>
        <v>M,Gregory,Alexander,STET,060708,011082,14,F</v>
      </c>
      <c r="O67" s="824"/>
      <c r="P67" s="824" t="str">
        <f t="shared" si="15"/>
        <v>01:10.82</v>
      </c>
      <c r="Q67" s="824" t="str">
        <f t="shared" si="16"/>
        <v>011082</v>
      </c>
      <c r="R67" s="825" t="str">
        <f t="shared" si="17"/>
        <v>M,Gregory,Alexander,STET,060708,011082,14,F</v>
      </c>
      <c r="S67" s="830"/>
      <c r="T67" s="831"/>
      <c r="U67" s="831"/>
      <c r="V67" s="820"/>
    </row>
    <row r="68" spans="1:22" ht="12.75" customHeight="1" x14ac:dyDescent="0.25">
      <c r="A68" s="820"/>
      <c r="B68" s="821" t="s">
        <v>328</v>
      </c>
      <c r="C68" s="821" t="str">
        <f>'Team 5'!J53</f>
        <v>Hartnup,Jamie</v>
      </c>
      <c r="D68" s="821" t="str">
        <f>'Gala Setup'!Q$8</f>
        <v>BTRT</v>
      </c>
      <c r="E68" s="822" t="str">
        <f>'Team 5'!L53</f>
        <v>200306</v>
      </c>
      <c r="F68" s="823">
        <f>'print 10 lane'!U$79</f>
        <v>7.6111111111111117E-4</v>
      </c>
      <c r="G68" s="821">
        <f>'Team 1'!$D$53</f>
        <v>14</v>
      </c>
      <c r="H68" s="821" t="s">
        <v>4635</v>
      </c>
      <c r="I68" s="821" t="str">
        <f t="shared" si="9"/>
        <v>M,Hartnup,Jamie</v>
      </c>
      <c r="J68" s="821" t="str">
        <f t="shared" si="10"/>
        <v>M,Hartnup,Jamie,BTRT</v>
      </c>
      <c r="K68" s="821" t="str">
        <f t="shared" si="11"/>
        <v>M,Hartnup,Jamie,BTRT,200306</v>
      </c>
      <c r="L68" s="821" t="str">
        <f t="shared" si="12"/>
        <v>M,Hartnup,Jamie,BTRT,200306,010576</v>
      </c>
      <c r="M68" s="821" t="str">
        <f t="shared" si="13"/>
        <v>M,Hartnup,Jamie,BTRT,200306,010576,14</v>
      </c>
      <c r="N68" s="821" t="str">
        <f t="shared" si="14"/>
        <v>M,Hartnup,Jamie,BTRT,200306,010576,14,F</v>
      </c>
      <c r="O68" s="824"/>
      <c r="P68" s="824" t="str">
        <f t="shared" si="15"/>
        <v>01:05.76</v>
      </c>
      <c r="Q68" s="824" t="str">
        <f t="shared" si="16"/>
        <v>010576</v>
      </c>
      <c r="R68" s="825" t="str">
        <f t="shared" si="17"/>
        <v>M,Hartnup,Jamie,BTRT,200306,010576,14,F</v>
      </c>
      <c r="S68" s="830"/>
      <c r="T68" s="831"/>
      <c r="U68" s="831"/>
      <c r="V68" s="820"/>
    </row>
    <row r="69" spans="1:22" ht="12.75" customHeight="1" x14ac:dyDescent="0.25">
      <c r="A69" s="820"/>
      <c r="B69" s="826" t="s">
        <v>328</v>
      </c>
      <c r="C69" s="826" t="str">
        <f>'Team 6'!J53</f>
        <v>Roberts,Owen</v>
      </c>
      <c r="D69" s="826" t="str">
        <f>'Gala Setup'!Q$9</f>
        <v>HAWL</v>
      </c>
      <c r="E69" s="827" t="str">
        <f>'Team 6'!L53</f>
        <v>020508</v>
      </c>
      <c r="F69" s="823">
        <f>'print 10 lane'!X$79</f>
        <v>7.7326388888888887E-4</v>
      </c>
      <c r="G69" s="826">
        <f>'Team 1'!$D$53</f>
        <v>14</v>
      </c>
      <c r="H69" s="826" t="s">
        <v>4635</v>
      </c>
      <c r="I69" s="826" t="str">
        <f t="shared" si="9"/>
        <v>M,Roberts,Owen</v>
      </c>
      <c r="J69" s="826" t="str">
        <f t="shared" si="10"/>
        <v>M,Roberts,Owen,HAWL</v>
      </c>
      <c r="K69" s="826" t="str">
        <f t="shared" si="11"/>
        <v>M,Roberts,Owen,HAWL,020508</v>
      </c>
      <c r="L69" s="821" t="str">
        <f t="shared" si="12"/>
        <v>M,Roberts,Owen,HAWL,020508,010681</v>
      </c>
      <c r="M69" s="826" t="str">
        <f t="shared" si="13"/>
        <v>M,Roberts,Owen,HAWL,020508,010681,14</v>
      </c>
      <c r="N69" s="826" t="str">
        <f t="shared" si="14"/>
        <v>M,Roberts,Owen,HAWL,020508,010681,14,F</v>
      </c>
      <c r="O69" s="824"/>
      <c r="P69" s="824" t="str">
        <f t="shared" si="15"/>
        <v>01:06.81</v>
      </c>
      <c r="Q69" s="824" t="str">
        <f t="shared" si="16"/>
        <v>010681</v>
      </c>
      <c r="R69" s="825" t="str">
        <f t="shared" si="17"/>
        <v>M,Roberts,Owen,HAWL,020508,010681,14,F</v>
      </c>
      <c r="S69" s="830"/>
      <c r="T69" s="831"/>
      <c r="U69" s="831"/>
      <c r="V69" s="820"/>
    </row>
    <row r="70" spans="1:22" ht="12.75" customHeight="1" x14ac:dyDescent="0.25">
      <c r="A70" s="820"/>
      <c r="B70" s="821" t="s">
        <v>328</v>
      </c>
      <c r="C70" s="821" t="str">
        <f>'Team 7'!J43</f>
        <v>Chan,Tsz Kwai</v>
      </c>
      <c r="D70" s="821" t="str">
        <f>'Gala Setup'!Q$10</f>
        <v>HISL</v>
      </c>
      <c r="E70" s="822" t="str">
        <f>'Team 7'!L43</f>
        <v>080209</v>
      </c>
      <c r="F70" s="823">
        <f>'print 10 lane'!AA$49</f>
        <v>8.1678240740740745E-4</v>
      </c>
      <c r="G70" s="821">
        <f>'Team 1'!$D$43</f>
        <v>14</v>
      </c>
      <c r="H70" s="821" t="s">
        <v>4635</v>
      </c>
      <c r="I70" s="821" t="str">
        <f t="shared" si="9"/>
        <v>M,Chan,Tsz Kwai</v>
      </c>
      <c r="J70" s="821" t="str">
        <f t="shared" si="10"/>
        <v>M,Chan,Tsz Kwai,HISL</v>
      </c>
      <c r="K70" s="821" t="str">
        <f t="shared" si="11"/>
        <v>M,Chan,Tsz Kwai,HISL,080209</v>
      </c>
      <c r="L70" s="821" t="str">
        <f t="shared" si="12"/>
        <v>M,Chan,Tsz Kwai,HISL,080209,011057</v>
      </c>
      <c r="M70" s="821" t="str">
        <f t="shared" si="13"/>
        <v>M,Chan,Tsz Kwai,HISL,080209,011057,14</v>
      </c>
      <c r="N70" s="821" t="str">
        <f t="shared" si="14"/>
        <v>M,Chan,Tsz Kwai,HISL,080209,011057,14,F</v>
      </c>
      <c r="O70" s="824"/>
      <c r="P70" s="824" t="str">
        <f t="shared" si="15"/>
        <v>01:10.57</v>
      </c>
      <c r="Q70" s="824" t="str">
        <f t="shared" si="16"/>
        <v>011057</v>
      </c>
      <c r="R70" s="825" t="str">
        <f t="shared" si="17"/>
        <v>M,Chan,Tsz Kwai,HISL,080209,011057,14,F</v>
      </c>
      <c r="S70" s="830"/>
      <c r="T70" s="831"/>
      <c r="U70" s="831"/>
      <c r="V70" s="820"/>
    </row>
    <row r="71" spans="1:22" ht="12.75" customHeight="1" x14ac:dyDescent="0.25">
      <c r="A71" s="820"/>
      <c r="B71" s="821" t="s">
        <v>328</v>
      </c>
      <c r="C71" s="821" t="str">
        <f>'Team 7'!J49</f>
        <v>Bhatia,Advay</v>
      </c>
      <c r="D71" s="821" t="str">
        <f>'Gala Setup'!Q$10</f>
        <v>HISL</v>
      </c>
      <c r="E71" s="822" t="str">
        <f>'Team 7'!L49</f>
        <v>100910</v>
      </c>
      <c r="F71" s="823">
        <f>'print 10 lane'!AA$67</f>
        <v>7.9988425925925919E-4</v>
      </c>
      <c r="G71" s="821">
        <f>'Team 1'!$D$49</f>
        <v>14</v>
      </c>
      <c r="H71" s="821" t="s">
        <v>4635</v>
      </c>
      <c r="I71" s="821" t="str">
        <f t="shared" si="9"/>
        <v>M,Bhatia,Advay</v>
      </c>
      <c r="J71" s="821" t="str">
        <f t="shared" si="10"/>
        <v>M,Bhatia,Advay,HISL</v>
      </c>
      <c r="K71" s="821" t="str">
        <f t="shared" si="11"/>
        <v>M,Bhatia,Advay,HISL,100910</v>
      </c>
      <c r="L71" s="821" t="str">
        <f t="shared" si="12"/>
        <v>M,Bhatia,Advay,HISL,100910,010911</v>
      </c>
      <c r="M71" s="821" t="str">
        <f t="shared" si="13"/>
        <v>M,Bhatia,Advay,HISL,100910,010911,14</v>
      </c>
      <c r="N71" s="821" t="str">
        <f t="shared" si="14"/>
        <v>M,Bhatia,Advay,HISL,100910,010911,14,F</v>
      </c>
      <c r="O71" s="824"/>
      <c r="P71" s="824" t="str">
        <f t="shared" si="15"/>
        <v>01:09.11</v>
      </c>
      <c r="Q71" s="824" t="str">
        <f t="shared" si="16"/>
        <v>010911</v>
      </c>
      <c r="R71" s="825" t="str">
        <f t="shared" si="17"/>
        <v>M,Bhatia,Advay,HISL,100910,010911,14,F</v>
      </c>
      <c r="S71" s="830"/>
      <c r="T71" s="831"/>
      <c r="U71" s="831"/>
      <c r="V71" s="820"/>
    </row>
    <row r="72" spans="1:22" ht="12.75" customHeight="1" x14ac:dyDescent="0.25">
      <c r="A72" s="820"/>
      <c r="B72" s="821" t="s">
        <v>328</v>
      </c>
      <c r="C72" s="821" t="str">
        <f>'Team 7'!J53</f>
        <v>Chan,Tsz Kwai</v>
      </c>
      <c r="D72" s="821" t="str">
        <f>'Gala Setup'!Q$10</f>
        <v>HISL</v>
      </c>
      <c r="E72" s="822" t="str">
        <f>'Team 7'!L53</f>
        <v>080209</v>
      </c>
      <c r="F72" s="823">
        <f>'print 10 lane'!AA$79</f>
        <v>8.189814814814814E-4</v>
      </c>
      <c r="G72" s="821">
        <f>'Team 1'!$D$53</f>
        <v>14</v>
      </c>
      <c r="H72" s="821" t="s">
        <v>4635</v>
      </c>
      <c r="I72" s="821" t="str">
        <f t="shared" si="9"/>
        <v>M,Chan,Tsz Kwai</v>
      </c>
      <c r="J72" s="821" t="str">
        <f t="shared" si="10"/>
        <v>M,Chan,Tsz Kwai,HISL</v>
      </c>
      <c r="K72" s="821" t="str">
        <f t="shared" si="11"/>
        <v>M,Chan,Tsz Kwai,HISL,080209</v>
      </c>
      <c r="L72" s="821" t="str">
        <f t="shared" si="12"/>
        <v>M,Chan,Tsz Kwai,HISL,080209,011076</v>
      </c>
      <c r="M72" s="821" t="str">
        <f t="shared" si="13"/>
        <v>M,Chan,Tsz Kwai,HISL,080209,011076,14</v>
      </c>
      <c r="N72" s="821" t="str">
        <f t="shared" si="14"/>
        <v>M,Chan,Tsz Kwai,HISL,080209,011076,14,F</v>
      </c>
      <c r="O72" s="824"/>
      <c r="P72" s="824" t="str">
        <f t="shared" si="15"/>
        <v>01:10.76</v>
      </c>
      <c r="Q72" s="824" t="str">
        <f t="shared" si="16"/>
        <v>011076</v>
      </c>
      <c r="R72" s="825" t="str">
        <f t="shared" si="17"/>
        <v>M,Chan,Tsz Kwai,HISL,080209,011076,14,F</v>
      </c>
      <c r="S72" s="830"/>
      <c r="T72" s="831"/>
      <c r="U72" s="831"/>
      <c r="V72" s="820"/>
    </row>
    <row r="73" spans="1:22" ht="12.75" customHeight="1" x14ac:dyDescent="0.25">
      <c r="A73" s="820"/>
      <c r="B73" s="826" t="s">
        <v>328</v>
      </c>
      <c r="C73" s="826" t="str">
        <f>'Team 8'!J43</f>
        <v>,</v>
      </c>
      <c r="D73" s="826">
        <f>'Gala Setup'!Q$11</f>
        <v>0</v>
      </c>
      <c r="E73" s="827" t="str">
        <f>'Team 8'!L43</f>
        <v>000100</v>
      </c>
      <c r="F73" s="823">
        <f>'print 10 lane'!AD$49</f>
        <v>0</v>
      </c>
      <c r="G73" s="826">
        <f>'Team 1'!$D$43</f>
        <v>14</v>
      </c>
      <c r="H73" s="826" t="s">
        <v>4635</v>
      </c>
      <c r="I73" s="826" t="str">
        <f t="shared" si="9"/>
        <v>M,,</v>
      </c>
      <c r="J73" s="826" t="str">
        <f t="shared" si="10"/>
        <v>M,,,0</v>
      </c>
      <c r="K73" s="826" t="str">
        <f t="shared" si="11"/>
        <v>M,,,0,000100</v>
      </c>
      <c r="L73" s="821" t="str">
        <f t="shared" si="12"/>
        <v>M,,,0,000100,000000</v>
      </c>
      <c r="M73" s="826" t="str">
        <f t="shared" si="13"/>
        <v>M,,,0,000100,000000,14</v>
      </c>
      <c r="N73" s="826" t="str">
        <f t="shared" si="14"/>
        <v>M,,,0,000100,000000,14,F</v>
      </c>
      <c r="O73" s="824"/>
      <c r="P73" s="824" t="str">
        <f t="shared" si="15"/>
        <v>00:00.00</v>
      </c>
      <c r="Q73" s="824" t="str">
        <f t="shared" si="16"/>
        <v>000000</v>
      </c>
      <c r="R73" s="825" t="str">
        <f t="shared" si="17"/>
        <v/>
      </c>
      <c r="S73" s="830"/>
      <c r="T73" s="831"/>
      <c r="U73" s="831"/>
      <c r="V73" s="820"/>
    </row>
    <row r="74" spans="1:22" ht="12.75" customHeight="1" x14ac:dyDescent="0.25">
      <c r="A74" s="820"/>
      <c r="B74" s="826" t="s">
        <v>328</v>
      </c>
      <c r="C74" s="826" t="str">
        <f>'Team 8'!J49</f>
        <v>,</v>
      </c>
      <c r="D74" s="826">
        <f>'Gala Setup'!Q$11</f>
        <v>0</v>
      </c>
      <c r="E74" s="827" t="str">
        <f>'Team 8'!L49</f>
        <v>000100</v>
      </c>
      <c r="F74" s="823">
        <f>'print 10 lane'!AD$67</f>
        <v>0</v>
      </c>
      <c r="G74" s="826">
        <f>'Team 1'!$D$49</f>
        <v>14</v>
      </c>
      <c r="H74" s="826" t="s">
        <v>4635</v>
      </c>
      <c r="I74" s="826" t="str">
        <f t="shared" si="9"/>
        <v>M,,</v>
      </c>
      <c r="J74" s="826" t="str">
        <f t="shared" si="10"/>
        <v>M,,,0</v>
      </c>
      <c r="K74" s="826" t="str">
        <f t="shared" si="11"/>
        <v>M,,,0,000100</v>
      </c>
      <c r="L74" s="821" t="str">
        <f t="shared" si="12"/>
        <v>M,,,0,000100,000000</v>
      </c>
      <c r="M74" s="826" t="str">
        <f t="shared" si="13"/>
        <v>M,,,0,000100,000000,14</v>
      </c>
      <c r="N74" s="826" t="str">
        <f t="shared" si="14"/>
        <v>M,,,0,000100,000000,14,F</v>
      </c>
      <c r="O74" s="824"/>
      <c r="P74" s="824" t="str">
        <f t="shared" si="15"/>
        <v>00:00.00</v>
      </c>
      <c r="Q74" s="824" t="str">
        <f t="shared" si="16"/>
        <v>000000</v>
      </c>
      <c r="R74" s="825" t="str">
        <f t="shared" si="17"/>
        <v/>
      </c>
      <c r="S74" s="830"/>
      <c r="T74" s="831"/>
      <c r="U74" s="831"/>
      <c r="V74" s="820"/>
    </row>
    <row r="75" spans="1:22" ht="12.75" customHeight="1" x14ac:dyDescent="0.25">
      <c r="A75" s="820"/>
      <c r="B75" s="826" t="s">
        <v>328</v>
      </c>
      <c r="C75" s="826" t="str">
        <f>'Team 8'!J53</f>
        <v>,</v>
      </c>
      <c r="D75" s="826">
        <f>'Gala Setup'!Q$11</f>
        <v>0</v>
      </c>
      <c r="E75" s="827" t="str">
        <f>'Team 8'!L53</f>
        <v>000100</v>
      </c>
      <c r="F75" s="823">
        <f>'print 10 lane'!AD$79</f>
        <v>0</v>
      </c>
      <c r="G75" s="826">
        <f>'Team 1'!$D$53</f>
        <v>14</v>
      </c>
      <c r="H75" s="826" t="s">
        <v>4635</v>
      </c>
      <c r="I75" s="826" t="str">
        <f t="shared" si="9"/>
        <v>M,,</v>
      </c>
      <c r="J75" s="826" t="str">
        <f t="shared" si="10"/>
        <v>M,,,0</v>
      </c>
      <c r="K75" s="826" t="str">
        <f t="shared" si="11"/>
        <v>M,,,0,000100</v>
      </c>
      <c r="L75" s="821" t="str">
        <f t="shared" si="12"/>
        <v>M,,,0,000100,000000</v>
      </c>
      <c r="M75" s="826" t="str">
        <f t="shared" si="13"/>
        <v>M,,,0,000100,000000,14</v>
      </c>
      <c r="N75" s="826" t="str">
        <f t="shared" si="14"/>
        <v>M,,,0,000100,000000,14,F</v>
      </c>
      <c r="O75" s="824"/>
      <c r="P75" s="824" t="str">
        <f t="shared" si="15"/>
        <v>00:00.00</v>
      </c>
      <c r="Q75" s="824" t="str">
        <f t="shared" si="16"/>
        <v>000000</v>
      </c>
      <c r="R75" s="825" t="str">
        <f t="shared" si="17"/>
        <v/>
      </c>
      <c r="S75" s="830"/>
      <c r="T75" s="831"/>
      <c r="U75" s="831"/>
      <c r="V75" s="820"/>
    </row>
    <row r="76" spans="1:22" ht="12.75" customHeight="1" x14ac:dyDescent="0.25">
      <c r="A76" s="820"/>
      <c r="B76" s="821" t="s">
        <v>328</v>
      </c>
      <c r="C76" s="821" t="str">
        <f>'Team 9'!J43</f>
        <v>,</v>
      </c>
      <c r="D76" s="821">
        <f>'Gala Setup'!Q$12</f>
        <v>0</v>
      </c>
      <c r="E76" s="822" t="str">
        <f>'Team 9'!L43</f>
        <v>000100</v>
      </c>
      <c r="F76" s="823">
        <f>'print 10 lane'!AG$49</f>
        <v>0</v>
      </c>
      <c r="G76" s="821">
        <f>'Team 1'!$D$43</f>
        <v>14</v>
      </c>
      <c r="H76" s="821" t="s">
        <v>4635</v>
      </c>
      <c r="I76" s="821" t="str">
        <f t="shared" si="9"/>
        <v>M,,</v>
      </c>
      <c r="J76" s="821" t="str">
        <f t="shared" si="10"/>
        <v>M,,,0</v>
      </c>
      <c r="K76" s="821" t="str">
        <f t="shared" si="11"/>
        <v>M,,,0,000100</v>
      </c>
      <c r="L76" s="821" t="str">
        <f t="shared" si="12"/>
        <v>M,,,0,000100,000000</v>
      </c>
      <c r="M76" s="821" t="str">
        <f t="shared" si="13"/>
        <v>M,,,0,000100,000000,14</v>
      </c>
      <c r="N76" s="821" t="str">
        <f t="shared" si="14"/>
        <v>M,,,0,000100,000000,14,F</v>
      </c>
      <c r="O76" s="824"/>
      <c r="P76" s="824" t="str">
        <f t="shared" si="15"/>
        <v>00:00.00</v>
      </c>
      <c r="Q76" s="824" t="str">
        <f t="shared" si="16"/>
        <v>000000</v>
      </c>
      <c r="R76" s="825" t="str">
        <f t="shared" si="17"/>
        <v/>
      </c>
      <c r="S76" s="830"/>
      <c r="T76" s="831"/>
      <c r="U76" s="831"/>
      <c r="V76" s="820"/>
    </row>
    <row r="77" spans="1:22" ht="12.75" customHeight="1" x14ac:dyDescent="0.25">
      <c r="A77" s="820"/>
      <c r="B77" s="821" t="s">
        <v>328</v>
      </c>
      <c r="C77" s="821" t="str">
        <f>'Team 9'!J49</f>
        <v>,</v>
      </c>
      <c r="D77" s="821">
        <f>'Gala Setup'!Q$12</f>
        <v>0</v>
      </c>
      <c r="E77" s="822" t="str">
        <f>'Team 9'!L49</f>
        <v>000100</v>
      </c>
      <c r="F77" s="823">
        <f>'print 10 lane'!AG$67</f>
        <v>0</v>
      </c>
      <c r="G77" s="821">
        <f>'Team 1'!$D$49</f>
        <v>14</v>
      </c>
      <c r="H77" s="821" t="s">
        <v>4635</v>
      </c>
      <c r="I77" s="821" t="str">
        <f t="shared" si="9"/>
        <v>M,,</v>
      </c>
      <c r="J77" s="821" t="str">
        <f t="shared" si="10"/>
        <v>M,,,0</v>
      </c>
      <c r="K77" s="821" t="str">
        <f t="shared" si="11"/>
        <v>M,,,0,000100</v>
      </c>
      <c r="L77" s="821" t="str">
        <f t="shared" si="12"/>
        <v>M,,,0,000100,000000</v>
      </c>
      <c r="M77" s="821" t="str">
        <f t="shared" si="13"/>
        <v>M,,,0,000100,000000,14</v>
      </c>
      <c r="N77" s="821" t="str">
        <f t="shared" si="14"/>
        <v>M,,,0,000100,000000,14,F</v>
      </c>
      <c r="O77" s="824"/>
      <c r="P77" s="824" t="str">
        <f t="shared" si="15"/>
        <v>00:00.00</v>
      </c>
      <c r="Q77" s="824" t="str">
        <f t="shared" si="16"/>
        <v>000000</v>
      </c>
      <c r="R77" s="825" t="str">
        <f t="shared" si="17"/>
        <v/>
      </c>
      <c r="S77" s="830"/>
      <c r="T77" s="831"/>
      <c r="U77" s="831"/>
      <c r="V77" s="820"/>
    </row>
    <row r="78" spans="1:22" ht="12.75" customHeight="1" x14ac:dyDescent="0.25">
      <c r="A78" s="820"/>
      <c r="B78" s="821" t="s">
        <v>328</v>
      </c>
      <c r="C78" s="821" t="str">
        <f>'Team 9'!J53</f>
        <v>,</v>
      </c>
      <c r="D78" s="821">
        <f>'Gala Setup'!Q$12</f>
        <v>0</v>
      </c>
      <c r="E78" s="822" t="str">
        <f>'Team 9'!L53</f>
        <v>000100</v>
      </c>
      <c r="F78" s="823">
        <f>'print 10 lane'!AG$79</f>
        <v>0</v>
      </c>
      <c r="G78" s="821">
        <f>'Team 1'!$D$53</f>
        <v>14</v>
      </c>
      <c r="H78" s="821" t="s">
        <v>4635</v>
      </c>
      <c r="I78" s="821" t="str">
        <f t="shared" si="9"/>
        <v>M,,</v>
      </c>
      <c r="J78" s="821" t="str">
        <f t="shared" si="10"/>
        <v>M,,,0</v>
      </c>
      <c r="K78" s="821" t="str">
        <f t="shared" si="11"/>
        <v>M,,,0,000100</v>
      </c>
      <c r="L78" s="821" t="str">
        <f t="shared" si="12"/>
        <v>M,,,0,000100,000000</v>
      </c>
      <c r="M78" s="821" t="str">
        <f t="shared" si="13"/>
        <v>M,,,0,000100,000000,14</v>
      </c>
      <c r="N78" s="821" t="str">
        <f t="shared" si="14"/>
        <v>M,,,0,000100,000000,14,F</v>
      </c>
      <c r="O78" s="824"/>
      <c r="P78" s="824" t="str">
        <f t="shared" si="15"/>
        <v>00:00.00</v>
      </c>
      <c r="Q78" s="824" t="str">
        <f t="shared" si="16"/>
        <v>000000</v>
      </c>
      <c r="R78" s="825" t="str">
        <f t="shared" si="17"/>
        <v/>
      </c>
      <c r="S78" s="830"/>
      <c r="T78" s="831"/>
      <c r="U78" s="831"/>
      <c r="V78" s="820"/>
    </row>
    <row r="79" spans="1:22" ht="12.75" customHeight="1" x14ac:dyDescent="0.25">
      <c r="A79" s="820"/>
      <c r="B79" s="826" t="s">
        <v>328</v>
      </c>
      <c r="C79" s="826" t="str">
        <f>'Team 10'!J43</f>
        <v>,</v>
      </c>
      <c r="D79" s="826">
        <f>'Gala Setup'!Q$13</f>
        <v>0</v>
      </c>
      <c r="E79" s="827" t="str">
        <f>'Team 10'!L43</f>
        <v>000100</v>
      </c>
      <c r="F79" s="823">
        <f>'print 10 lane'!AJ$49</f>
        <v>0</v>
      </c>
      <c r="G79" s="826">
        <f>'Team 1'!$D$43</f>
        <v>14</v>
      </c>
      <c r="H79" s="826" t="s">
        <v>4635</v>
      </c>
      <c r="I79" s="826" t="str">
        <f t="shared" si="9"/>
        <v>M,,</v>
      </c>
      <c r="J79" s="826" t="str">
        <f t="shared" si="10"/>
        <v>M,,,0</v>
      </c>
      <c r="K79" s="826" t="str">
        <f t="shared" si="11"/>
        <v>M,,,0,000100</v>
      </c>
      <c r="L79" s="821" t="str">
        <f t="shared" si="12"/>
        <v>M,,,0,000100,000000</v>
      </c>
      <c r="M79" s="826" t="str">
        <f t="shared" si="13"/>
        <v>M,,,0,000100,000000,14</v>
      </c>
      <c r="N79" s="826" t="str">
        <f t="shared" si="14"/>
        <v>M,,,0,000100,000000,14,F</v>
      </c>
      <c r="O79" s="824"/>
      <c r="P79" s="824" t="str">
        <f t="shared" si="15"/>
        <v>00:00.00</v>
      </c>
      <c r="Q79" s="824" t="str">
        <f t="shared" si="16"/>
        <v>000000</v>
      </c>
      <c r="R79" s="825" t="str">
        <f t="shared" si="17"/>
        <v/>
      </c>
      <c r="S79" s="830"/>
      <c r="T79" s="831"/>
      <c r="U79" s="831"/>
      <c r="V79" s="820"/>
    </row>
    <row r="80" spans="1:22" ht="12.75" customHeight="1" x14ac:dyDescent="0.25">
      <c r="A80" s="820"/>
      <c r="B80" s="826" t="s">
        <v>328</v>
      </c>
      <c r="C80" s="826" t="str">
        <f>'Team 10'!J49</f>
        <v>,</v>
      </c>
      <c r="D80" s="826">
        <f>'Gala Setup'!Q$13</f>
        <v>0</v>
      </c>
      <c r="E80" s="827" t="str">
        <f>'Team 10'!L49</f>
        <v>000100</v>
      </c>
      <c r="F80" s="823">
        <f>'print 10 lane'!AJ$67</f>
        <v>0</v>
      </c>
      <c r="G80" s="826">
        <f>'Team 1'!$D$49</f>
        <v>14</v>
      </c>
      <c r="H80" s="826" t="s">
        <v>4635</v>
      </c>
      <c r="I80" s="826" t="str">
        <f t="shared" si="9"/>
        <v>M,,</v>
      </c>
      <c r="J80" s="826" t="str">
        <f t="shared" si="10"/>
        <v>M,,,0</v>
      </c>
      <c r="K80" s="826" t="str">
        <f t="shared" si="11"/>
        <v>M,,,0,000100</v>
      </c>
      <c r="L80" s="821" t="str">
        <f t="shared" si="12"/>
        <v>M,,,0,000100,000000</v>
      </c>
      <c r="M80" s="826" t="str">
        <f t="shared" si="13"/>
        <v>M,,,0,000100,000000,14</v>
      </c>
      <c r="N80" s="826" t="str">
        <f t="shared" si="14"/>
        <v>M,,,0,000100,000000,14,F</v>
      </c>
      <c r="O80" s="824"/>
      <c r="P80" s="824" t="str">
        <f t="shared" si="15"/>
        <v>00:00.00</v>
      </c>
      <c r="Q80" s="824" t="str">
        <f t="shared" si="16"/>
        <v>000000</v>
      </c>
      <c r="R80" s="825" t="str">
        <f t="shared" si="17"/>
        <v/>
      </c>
      <c r="S80" s="830"/>
      <c r="T80" s="831"/>
      <c r="U80" s="831"/>
      <c r="V80" s="820"/>
    </row>
    <row r="81" spans="1:22" ht="12.75" customHeight="1" x14ac:dyDescent="0.25">
      <c r="A81" s="820"/>
      <c r="B81" s="821" t="s">
        <v>4635</v>
      </c>
      <c r="C81" s="821" t="str">
        <f>'Team 1'!J38</f>
        <v>Skinner,Eleanor</v>
      </c>
      <c r="D81" s="821" t="str">
        <f>'Gala Setup'!Q$4</f>
        <v>HABL</v>
      </c>
      <c r="E81" s="822" t="str">
        <f>'Team 1'!L38</f>
        <v>050412</v>
      </c>
      <c r="F81" s="823">
        <f>'print 10 lane'!I$34</f>
        <v>5.1493055555555558E-4</v>
      </c>
      <c r="G81" s="821">
        <f>'Team 1'!$D$38</f>
        <v>13</v>
      </c>
      <c r="H81" s="821" t="s">
        <v>4635</v>
      </c>
      <c r="I81" s="821" t="str">
        <f t="shared" si="9"/>
        <v>F,Skinner,Eleanor</v>
      </c>
      <c r="J81" s="821" t="str">
        <f t="shared" si="10"/>
        <v>F,Skinner,Eleanor,HABL</v>
      </c>
      <c r="K81" s="821" t="str">
        <f t="shared" si="11"/>
        <v>F,Skinner,Eleanor,HABL,050412</v>
      </c>
      <c r="L81" s="821" t="str">
        <f t="shared" si="12"/>
        <v>F,Skinner,Eleanor,HABL,050412,004449</v>
      </c>
      <c r="M81" s="821" t="str">
        <f t="shared" si="13"/>
        <v>F,Skinner,Eleanor,HABL,050412,004449,13</v>
      </c>
      <c r="N81" s="821" t="str">
        <f t="shared" si="14"/>
        <v>F,Skinner,Eleanor,HABL,050412,004449,13,F</v>
      </c>
      <c r="O81" s="824"/>
      <c r="P81" s="824" t="str">
        <f t="shared" si="15"/>
        <v>00:44.49</v>
      </c>
      <c r="Q81" s="824" t="str">
        <f t="shared" si="16"/>
        <v>004449</v>
      </c>
      <c r="R81" s="825" t="str">
        <f t="shared" si="17"/>
        <v>F,Skinner,Eleanor,HABL,050412,004449,13,F</v>
      </c>
      <c r="S81" s="830"/>
      <c r="T81" s="831"/>
      <c r="U81" s="831"/>
      <c r="V81" s="820"/>
    </row>
    <row r="82" spans="1:22" ht="12.75" customHeight="1" x14ac:dyDescent="0.25">
      <c r="A82" s="820"/>
      <c r="B82" s="826" t="s">
        <v>4635</v>
      </c>
      <c r="C82" s="826" t="str">
        <f>'Team 2'!J38</f>
        <v>Green,Esmae</v>
      </c>
      <c r="D82" s="826" t="str">
        <f>'Gala Setup'!$Q$5</f>
        <v>STET</v>
      </c>
      <c r="E82" s="827" t="str">
        <f>'Team 2'!L38</f>
        <v>110213</v>
      </c>
      <c r="F82" s="823">
        <f>'print 10 lane'!L$34</f>
        <v>5.1990740740740741E-4</v>
      </c>
      <c r="G82" s="826">
        <f>'Team 1'!$D$38</f>
        <v>13</v>
      </c>
      <c r="H82" s="826" t="s">
        <v>4635</v>
      </c>
      <c r="I82" s="826" t="str">
        <f t="shared" si="9"/>
        <v>F,Green,Esmae</v>
      </c>
      <c r="J82" s="826" t="str">
        <f t="shared" si="10"/>
        <v>F,Green,Esmae,STET</v>
      </c>
      <c r="K82" s="826" t="str">
        <f t="shared" si="11"/>
        <v>F,Green,Esmae,STET,110213</v>
      </c>
      <c r="L82" s="821" t="str">
        <f t="shared" si="12"/>
        <v>F,Green,Esmae,STET,110213,004492</v>
      </c>
      <c r="M82" s="826" t="str">
        <f t="shared" si="13"/>
        <v>F,Green,Esmae,STET,110213,004492,13</v>
      </c>
      <c r="N82" s="826" t="str">
        <f t="shared" si="14"/>
        <v>F,Green,Esmae,STET,110213,004492,13,F</v>
      </c>
      <c r="O82" s="824"/>
      <c r="P82" s="824" t="str">
        <f t="shared" si="15"/>
        <v>00:44.92</v>
      </c>
      <c r="Q82" s="824" t="str">
        <f t="shared" si="16"/>
        <v>004492</v>
      </c>
      <c r="R82" s="825" t="str">
        <f t="shared" si="17"/>
        <v>F,Green,Esmae,STET,110213,004492,13,F</v>
      </c>
      <c r="S82" s="830"/>
      <c r="T82" s="831"/>
      <c r="U82" s="831"/>
      <c r="V82" s="820"/>
    </row>
    <row r="83" spans="1:22" ht="12.75" customHeight="1" x14ac:dyDescent="0.25">
      <c r="A83" s="820"/>
      <c r="B83" s="821" t="s">
        <v>4635</v>
      </c>
      <c r="C83" s="821" t="str">
        <f>'Team 3'!J38</f>
        <v>Jounor,Hannah</v>
      </c>
      <c r="D83" s="821" t="str">
        <f>'Gala Setup'!Q$6</f>
        <v>BBST</v>
      </c>
      <c r="E83" s="822" t="str">
        <f>'Team 3'!L38</f>
        <v>250512</v>
      </c>
      <c r="F83" s="823">
        <f>'print 10 lane'!O$34</f>
        <v>0</v>
      </c>
      <c r="G83" s="821">
        <f>'Team 1'!$D$38</f>
        <v>13</v>
      </c>
      <c r="H83" s="821" t="s">
        <v>4635</v>
      </c>
      <c r="I83" s="821" t="str">
        <f t="shared" si="9"/>
        <v>F,Jounor,Hannah</v>
      </c>
      <c r="J83" s="821" t="str">
        <f t="shared" si="10"/>
        <v>F,Jounor,Hannah,BBST</v>
      </c>
      <c r="K83" s="821" t="str">
        <f t="shared" si="11"/>
        <v>F,Jounor,Hannah,BBST,250512</v>
      </c>
      <c r="L83" s="821" t="str">
        <f t="shared" si="12"/>
        <v>F,Jounor,Hannah,BBST,250512,000000</v>
      </c>
      <c r="M83" s="821" t="str">
        <f t="shared" si="13"/>
        <v>F,Jounor,Hannah,BBST,250512,000000,13</v>
      </c>
      <c r="N83" s="821" t="str">
        <f t="shared" si="14"/>
        <v>F,Jounor,Hannah,BBST,250512,000000,13,F</v>
      </c>
      <c r="O83" s="824"/>
      <c r="P83" s="824" t="str">
        <f t="shared" si="15"/>
        <v>00:00.00</v>
      </c>
      <c r="Q83" s="824" t="str">
        <f t="shared" si="16"/>
        <v>000000</v>
      </c>
      <c r="R83" s="825" t="str">
        <f t="shared" si="17"/>
        <v/>
      </c>
      <c r="S83" s="830"/>
      <c r="T83" s="831"/>
      <c r="U83" s="831"/>
      <c r="V83" s="820"/>
    </row>
    <row r="84" spans="1:22" ht="12.75" customHeight="1" x14ac:dyDescent="0.25">
      <c r="A84" s="820"/>
      <c r="B84" s="826" t="s">
        <v>4635</v>
      </c>
      <c r="C84" s="826" t="str">
        <f>'Team 4'!J38</f>
        <v>DARE,CHELSEA</v>
      </c>
      <c r="D84" s="826" t="str">
        <f>'Gala Setup'!Q$7</f>
        <v>AYBS</v>
      </c>
      <c r="E84" s="827" t="str">
        <f>'Team 4'!L38</f>
        <v>190612</v>
      </c>
      <c r="F84" s="823">
        <f>'print 10 lane'!R$34</f>
        <v>4.6643518518518518E-4</v>
      </c>
      <c r="G84" s="826">
        <f>'Team 1'!$D$38</f>
        <v>13</v>
      </c>
      <c r="H84" s="826" t="s">
        <v>4635</v>
      </c>
      <c r="I84" s="826" t="str">
        <f t="shared" si="9"/>
        <v>F,DARE,CHELSEA</v>
      </c>
      <c r="J84" s="826" t="str">
        <f t="shared" si="10"/>
        <v>F,DARE,CHELSEA,AYBS</v>
      </c>
      <c r="K84" s="826" t="str">
        <f t="shared" si="11"/>
        <v>F,DARE,CHELSEA,AYBS,190612</v>
      </c>
      <c r="L84" s="821" t="str">
        <f t="shared" si="12"/>
        <v>F,DARE,CHELSEA,AYBS,190612,004030</v>
      </c>
      <c r="M84" s="826" t="str">
        <f t="shared" si="13"/>
        <v>F,DARE,CHELSEA,AYBS,190612,004030,13</v>
      </c>
      <c r="N84" s="826" t="str">
        <f t="shared" si="14"/>
        <v>F,DARE,CHELSEA,AYBS,190612,004030,13,F</v>
      </c>
      <c r="O84" s="824"/>
      <c r="P84" s="824" t="str">
        <f t="shared" si="15"/>
        <v>00:40.30</v>
      </c>
      <c r="Q84" s="824" t="str">
        <f t="shared" si="16"/>
        <v>004030</v>
      </c>
      <c r="R84" s="825" t="str">
        <f t="shared" si="17"/>
        <v>F,DARE,CHELSEA,AYBS,190612,004030,13,F</v>
      </c>
      <c r="S84" s="830"/>
      <c r="T84" s="831"/>
      <c r="U84" s="831"/>
      <c r="V84" s="820"/>
    </row>
    <row r="85" spans="1:22" ht="12.75" customHeight="1" x14ac:dyDescent="0.25">
      <c r="A85" s="820"/>
      <c r="B85" s="821" t="s">
        <v>4635</v>
      </c>
      <c r="C85" s="821" t="str">
        <f>'Team 5'!J38</f>
        <v>Cooper,Maisie</v>
      </c>
      <c r="D85" s="821" t="str">
        <f>'Gala Setup'!Q$8</f>
        <v>BTRT</v>
      </c>
      <c r="E85" s="822" t="str">
        <f>'Team 5'!L38</f>
        <v>270713</v>
      </c>
      <c r="F85" s="823">
        <f>'print 10 lane'!U$34</f>
        <v>4.6516203703703699E-4</v>
      </c>
      <c r="G85" s="821">
        <f>'Team 1'!$D$38</f>
        <v>13</v>
      </c>
      <c r="H85" s="821" t="s">
        <v>4635</v>
      </c>
      <c r="I85" s="821" t="str">
        <f t="shared" si="9"/>
        <v>F,Cooper,Maisie</v>
      </c>
      <c r="J85" s="821" t="str">
        <f t="shared" si="10"/>
        <v>F,Cooper,Maisie,BTRT</v>
      </c>
      <c r="K85" s="821" t="str">
        <f t="shared" si="11"/>
        <v>F,Cooper,Maisie,BTRT,270713</v>
      </c>
      <c r="L85" s="821" t="str">
        <f t="shared" si="12"/>
        <v>F,Cooper,Maisie,BTRT,270713,004019</v>
      </c>
      <c r="M85" s="821" t="str">
        <f t="shared" si="13"/>
        <v>F,Cooper,Maisie,BTRT,270713,004019,13</v>
      </c>
      <c r="N85" s="821" t="str">
        <f t="shared" si="14"/>
        <v>F,Cooper,Maisie,BTRT,270713,004019,13,F</v>
      </c>
      <c r="O85" s="824"/>
      <c r="P85" s="824" t="str">
        <f t="shared" si="15"/>
        <v>00:40.19</v>
      </c>
      <c r="Q85" s="824" t="str">
        <f t="shared" si="16"/>
        <v>004019</v>
      </c>
      <c r="R85" s="825" t="str">
        <f t="shared" si="17"/>
        <v>F,Cooper,Maisie,BTRT,270713,004019,13,F</v>
      </c>
      <c r="S85" s="830"/>
      <c r="T85" s="831"/>
      <c r="U85" s="831"/>
      <c r="V85" s="820"/>
    </row>
    <row r="86" spans="1:22" ht="12.75" customHeight="1" x14ac:dyDescent="0.25">
      <c r="A86" s="820"/>
      <c r="B86" s="826" t="s">
        <v>4635</v>
      </c>
      <c r="C86" s="826" t="str">
        <f>'Team 6'!J38</f>
        <v>Chandrashekar,Mahika</v>
      </c>
      <c r="D86" s="826" t="str">
        <f>'Gala Setup'!Q$9</f>
        <v>HAWL</v>
      </c>
      <c r="E86" s="827" t="str">
        <f>'Team 6'!L38</f>
        <v>040612</v>
      </c>
      <c r="F86" s="823">
        <f>'print 10 lane'!X$34</f>
        <v>5.346064814814815E-4</v>
      </c>
      <c r="G86" s="826">
        <f>'Team 1'!$D$38</f>
        <v>13</v>
      </c>
      <c r="H86" s="826" t="s">
        <v>4635</v>
      </c>
      <c r="I86" s="826" t="str">
        <f t="shared" si="9"/>
        <v>F,Chandrashekar,Mahika</v>
      </c>
      <c r="J86" s="826" t="str">
        <f t="shared" si="10"/>
        <v>F,Chandrashekar,Mahika,HAWL</v>
      </c>
      <c r="K86" s="826" t="str">
        <f t="shared" si="11"/>
        <v>F,Chandrashekar,Mahika,HAWL,040612</v>
      </c>
      <c r="L86" s="821" t="str">
        <f t="shared" si="12"/>
        <v>F,Chandrashekar,Mahika,HAWL,040612,004619</v>
      </c>
      <c r="M86" s="826" t="str">
        <f t="shared" si="13"/>
        <v>F,Chandrashekar,Mahika,HAWL,040612,004619,13</v>
      </c>
      <c r="N86" s="826" t="str">
        <f t="shared" si="14"/>
        <v>F,Chandrashekar,Mahika,HAWL,040612,004619,13,F</v>
      </c>
      <c r="O86" s="824"/>
      <c r="P86" s="824" t="str">
        <f t="shared" si="15"/>
        <v>00:46.19</v>
      </c>
      <c r="Q86" s="824" t="str">
        <f t="shared" si="16"/>
        <v>004619</v>
      </c>
      <c r="R86" s="825" t="str">
        <f t="shared" si="17"/>
        <v>F,Chandrashekar,Mahika,HAWL,040612,004619,13,F</v>
      </c>
      <c r="S86" s="830"/>
      <c r="T86" s="831"/>
      <c r="U86" s="831"/>
      <c r="V86" s="820"/>
    </row>
    <row r="87" spans="1:22" ht="12.75" customHeight="1" x14ac:dyDescent="0.25">
      <c r="A87" s="820"/>
      <c r="B87" s="821" t="s">
        <v>4635</v>
      </c>
      <c r="C87" s="821" t="str">
        <f>'Team 7'!J38</f>
        <v>Jobanputra,Zara</v>
      </c>
      <c r="D87" s="821" t="str">
        <f>'Gala Setup'!Q$10</f>
        <v>HISL</v>
      </c>
      <c r="E87" s="822" t="str">
        <f>'Team 7'!L38</f>
        <v>141012</v>
      </c>
      <c r="F87" s="823">
        <f>'print 10 lane'!AA$34</f>
        <v>4.9548611111111115E-4</v>
      </c>
      <c r="G87" s="821">
        <f>'Team 1'!$D$38</f>
        <v>13</v>
      </c>
      <c r="H87" s="821" t="s">
        <v>4635</v>
      </c>
      <c r="I87" s="821" t="str">
        <f t="shared" si="9"/>
        <v>F,Jobanputra,Zara</v>
      </c>
      <c r="J87" s="821" t="str">
        <f t="shared" si="10"/>
        <v>F,Jobanputra,Zara,HISL</v>
      </c>
      <c r="K87" s="821" t="str">
        <f t="shared" si="11"/>
        <v>F,Jobanputra,Zara,HISL,141012</v>
      </c>
      <c r="L87" s="821" t="str">
        <f t="shared" si="12"/>
        <v>F,Jobanputra,Zara,HISL,141012,004281</v>
      </c>
      <c r="M87" s="821" t="str">
        <f t="shared" si="13"/>
        <v>F,Jobanputra,Zara,HISL,141012,004281,13</v>
      </c>
      <c r="N87" s="821" t="str">
        <f t="shared" si="14"/>
        <v>F,Jobanputra,Zara,HISL,141012,004281,13,F</v>
      </c>
      <c r="O87" s="824"/>
      <c r="P87" s="824" t="str">
        <f t="shared" si="15"/>
        <v>00:42.81</v>
      </c>
      <c r="Q87" s="824" t="str">
        <f t="shared" si="16"/>
        <v>004281</v>
      </c>
      <c r="R87" s="825" t="str">
        <f t="shared" si="17"/>
        <v>F,Jobanputra,Zara,HISL,141012,004281,13,F</v>
      </c>
      <c r="S87" s="830"/>
      <c r="T87" s="831"/>
      <c r="U87" s="831"/>
      <c r="V87" s="820"/>
    </row>
    <row r="88" spans="1:22" ht="12.75" customHeight="1" x14ac:dyDescent="0.25">
      <c r="A88" s="820"/>
      <c r="B88" s="826" t="s">
        <v>4635</v>
      </c>
      <c r="C88" s="826" t="str">
        <f>'Team 8'!J38</f>
        <v>,</v>
      </c>
      <c r="D88" s="826">
        <f>'Gala Setup'!Q$11</f>
        <v>0</v>
      </c>
      <c r="E88" s="827" t="str">
        <f>'Team 8'!L38</f>
        <v>000100</v>
      </c>
      <c r="F88" s="823">
        <f>'print 10 lane'!AD$34</f>
        <v>0</v>
      </c>
      <c r="G88" s="826">
        <f>'Team 1'!$D$38</f>
        <v>13</v>
      </c>
      <c r="H88" s="826" t="s">
        <v>4635</v>
      </c>
      <c r="I88" s="826" t="str">
        <f t="shared" si="9"/>
        <v>F,,</v>
      </c>
      <c r="J88" s="826" t="str">
        <f t="shared" si="10"/>
        <v>F,,,0</v>
      </c>
      <c r="K88" s="826" t="str">
        <f t="shared" si="11"/>
        <v>F,,,0,000100</v>
      </c>
      <c r="L88" s="821" t="str">
        <f t="shared" si="12"/>
        <v>F,,,0,000100,000000</v>
      </c>
      <c r="M88" s="826" t="str">
        <f t="shared" si="13"/>
        <v>F,,,0,000100,000000,13</v>
      </c>
      <c r="N88" s="826" t="str">
        <f t="shared" si="14"/>
        <v>F,,,0,000100,000000,13,F</v>
      </c>
      <c r="O88" s="824"/>
      <c r="P88" s="824" t="str">
        <f t="shared" si="15"/>
        <v>00:00.00</v>
      </c>
      <c r="Q88" s="824" t="str">
        <f t="shared" si="16"/>
        <v>000000</v>
      </c>
      <c r="R88" s="825" t="str">
        <f t="shared" si="17"/>
        <v/>
      </c>
      <c r="S88" s="830"/>
      <c r="T88" s="831"/>
      <c r="U88" s="831"/>
      <c r="V88" s="820"/>
    </row>
    <row r="89" spans="1:22" ht="12.75" customHeight="1" x14ac:dyDescent="0.25">
      <c r="A89" s="820"/>
      <c r="B89" s="821" t="s">
        <v>4635</v>
      </c>
      <c r="C89" s="821" t="str">
        <f>'Team 9'!J38</f>
        <v>,</v>
      </c>
      <c r="D89" s="821">
        <f>'Gala Setup'!Q$12</f>
        <v>0</v>
      </c>
      <c r="E89" s="822" t="str">
        <f>'Team 9'!L38</f>
        <v>000100</v>
      </c>
      <c r="F89" s="823">
        <f>'print 10 lane'!AG$34</f>
        <v>0</v>
      </c>
      <c r="G89" s="821">
        <f>'Team 1'!$D$38</f>
        <v>13</v>
      </c>
      <c r="H89" s="821" t="s">
        <v>4635</v>
      </c>
      <c r="I89" s="821" t="str">
        <f t="shared" si="9"/>
        <v>F,,</v>
      </c>
      <c r="J89" s="821" t="str">
        <f t="shared" si="10"/>
        <v>F,,,0</v>
      </c>
      <c r="K89" s="821" t="str">
        <f t="shared" si="11"/>
        <v>F,,,0,000100</v>
      </c>
      <c r="L89" s="821" t="str">
        <f t="shared" si="12"/>
        <v>F,,,0,000100,000000</v>
      </c>
      <c r="M89" s="821" t="str">
        <f t="shared" si="13"/>
        <v>F,,,0,000100,000000,13</v>
      </c>
      <c r="N89" s="821" t="str">
        <f t="shared" si="14"/>
        <v>F,,,0,000100,000000,13,F</v>
      </c>
      <c r="O89" s="824"/>
      <c r="P89" s="824" t="str">
        <f t="shared" si="15"/>
        <v>00:00.00</v>
      </c>
      <c r="Q89" s="824" t="str">
        <f t="shared" si="16"/>
        <v>000000</v>
      </c>
      <c r="R89" s="825" t="str">
        <f t="shared" si="17"/>
        <v/>
      </c>
      <c r="S89" s="830"/>
      <c r="T89" s="831"/>
      <c r="U89" s="831"/>
      <c r="V89" s="820"/>
    </row>
    <row r="90" spans="1:22" ht="12.75" customHeight="1" x14ac:dyDescent="0.25">
      <c r="A90" s="820"/>
      <c r="B90" s="826" t="s">
        <v>4635</v>
      </c>
      <c r="C90" s="826" t="str">
        <f>'Team 10'!J38</f>
        <v>,</v>
      </c>
      <c r="D90" s="826">
        <f>'Gala Setup'!Q$13</f>
        <v>0</v>
      </c>
      <c r="E90" s="827" t="str">
        <f>'Team 10'!L38</f>
        <v>000100</v>
      </c>
      <c r="F90" s="823">
        <f>'print 10 lane'!AJ$34</f>
        <v>0</v>
      </c>
      <c r="G90" s="826">
        <f>'Team 1'!$D$38</f>
        <v>13</v>
      </c>
      <c r="H90" s="826" t="s">
        <v>4635</v>
      </c>
      <c r="I90" s="826" t="str">
        <f t="shared" si="9"/>
        <v>F,,</v>
      </c>
      <c r="J90" s="826" t="str">
        <f t="shared" si="10"/>
        <v>F,,,0</v>
      </c>
      <c r="K90" s="826" t="str">
        <f t="shared" si="11"/>
        <v>F,,,0,000100</v>
      </c>
      <c r="L90" s="821" t="str">
        <f t="shared" si="12"/>
        <v>F,,,0,000100,000000</v>
      </c>
      <c r="M90" s="826" t="str">
        <f t="shared" si="13"/>
        <v>F,,,0,000100,000000,13</v>
      </c>
      <c r="N90" s="826" t="str">
        <f t="shared" si="14"/>
        <v>F,,,0,000100,000000,13,F</v>
      </c>
      <c r="O90" s="824"/>
      <c r="P90" s="824" t="str">
        <f t="shared" si="15"/>
        <v>00:00.00</v>
      </c>
      <c r="Q90" s="824" t="str">
        <f t="shared" si="16"/>
        <v>000000</v>
      </c>
      <c r="R90" s="825" t="str">
        <f t="shared" si="17"/>
        <v/>
      </c>
      <c r="S90" s="830"/>
      <c r="T90" s="831"/>
      <c r="U90" s="831"/>
      <c r="V90" s="820"/>
    </row>
    <row r="91" spans="1:22" ht="12.75" customHeight="1" x14ac:dyDescent="0.25">
      <c r="A91" s="820"/>
      <c r="B91" s="826" t="s">
        <v>328</v>
      </c>
      <c r="C91" s="826" t="str">
        <f>'Team 10'!J39</f>
        <v>,</v>
      </c>
      <c r="D91" s="826">
        <f>'Gala Setup'!Q$13</f>
        <v>0</v>
      </c>
      <c r="E91" s="827" t="str">
        <f>'Team 10'!L39</f>
        <v>000100</v>
      </c>
      <c r="F91" s="823">
        <f>'print 10 lane'!AJ$37</f>
        <v>0</v>
      </c>
      <c r="G91" s="826">
        <f>'Team 1'!$D$39</f>
        <v>13</v>
      </c>
      <c r="H91" s="826" t="s">
        <v>4635</v>
      </c>
      <c r="I91" s="826" t="str">
        <f t="shared" si="9"/>
        <v>M,,</v>
      </c>
      <c r="J91" s="826" t="str">
        <f t="shared" si="10"/>
        <v>M,,,0</v>
      </c>
      <c r="K91" s="826" t="str">
        <f t="shared" si="11"/>
        <v>M,,,0,000100</v>
      </c>
      <c r="L91" s="821" t="str">
        <f t="shared" si="12"/>
        <v>M,,,0,000100,000000</v>
      </c>
      <c r="M91" s="826" t="str">
        <f t="shared" si="13"/>
        <v>M,,,0,000100,000000,13</v>
      </c>
      <c r="N91" s="826" t="str">
        <f t="shared" si="14"/>
        <v>M,,,0,000100,000000,13,F</v>
      </c>
      <c r="O91" s="824"/>
      <c r="P91" s="824" t="str">
        <f t="shared" si="15"/>
        <v>00:00.00</v>
      </c>
      <c r="Q91" s="824" t="str">
        <f t="shared" si="16"/>
        <v>000000</v>
      </c>
      <c r="R91" s="825" t="str">
        <f t="shared" si="17"/>
        <v/>
      </c>
      <c r="S91" s="830"/>
      <c r="T91" s="831"/>
      <c r="U91" s="831"/>
      <c r="V91" s="820"/>
    </row>
    <row r="92" spans="1:22" ht="12.75" customHeight="1" x14ac:dyDescent="0.25">
      <c r="A92" s="820"/>
      <c r="B92" s="821" t="s">
        <v>328</v>
      </c>
      <c r="C92" s="821" t="str">
        <f>'Team 9'!J39</f>
        <v>,</v>
      </c>
      <c r="D92" s="821">
        <f>'Gala Setup'!Q$12</f>
        <v>0</v>
      </c>
      <c r="E92" s="822" t="str">
        <f>'Team 9'!L39</f>
        <v>000100</v>
      </c>
      <c r="F92" s="823">
        <f>'print 10 lane'!AG$37</f>
        <v>0</v>
      </c>
      <c r="G92" s="821">
        <f>'Team 1'!$D$39</f>
        <v>13</v>
      </c>
      <c r="H92" s="821" t="s">
        <v>4635</v>
      </c>
      <c r="I92" s="821" t="str">
        <f t="shared" si="9"/>
        <v>M,,</v>
      </c>
      <c r="J92" s="821" t="str">
        <f t="shared" si="10"/>
        <v>M,,,0</v>
      </c>
      <c r="K92" s="821" t="str">
        <f t="shared" si="11"/>
        <v>M,,,0,000100</v>
      </c>
      <c r="L92" s="821" t="str">
        <f t="shared" si="12"/>
        <v>M,,,0,000100,000000</v>
      </c>
      <c r="M92" s="821" t="str">
        <f t="shared" si="13"/>
        <v>M,,,0,000100,000000,13</v>
      </c>
      <c r="N92" s="821" t="str">
        <f t="shared" si="14"/>
        <v>M,,,0,000100,000000,13,F</v>
      </c>
      <c r="O92" s="824"/>
      <c r="P92" s="824" t="str">
        <f t="shared" si="15"/>
        <v>00:00.00</v>
      </c>
      <c r="Q92" s="824" t="str">
        <f t="shared" si="16"/>
        <v>000000</v>
      </c>
      <c r="R92" s="825" t="str">
        <f t="shared" si="17"/>
        <v/>
      </c>
      <c r="S92" s="830"/>
      <c r="T92" s="831"/>
      <c r="U92" s="831"/>
      <c r="V92" s="820"/>
    </row>
    <row r="93" spans="1:22" ht="12.75" customHeight="1" x14ac:dyDescent="0.25">
      <c r="A93" s="820"/>
      <c r="B93" s="826" t="s">
        <v>328</v>
      </c>
      <c r="C93" s="826" t="str">
        <f>'Team 8'!J39</f>
        <v>,</v>
      </c>
      <c r="D93" s="826">
        <f>'Gala Setup'!Q$11</f>
        <v>0</v>
      </c>
      <c r="E93" s="827" t="str">
        <f>'Team 8'!L39</f>
        <v>000100</v>
      </c>
      <c r="F93" s="823">
        <f>'print 10 lane'!AD$37</f>
        <v>0</v>
      </c>
      <c r="G93" s="826">
        <f>'Team 1'!$D$39</f>
        <v>13</v>
      </c>
      <c r="H93" s="826" t="s">
        <v>4635</v>
      </c>
      <c r="I93" s="826" t="str">
        <f t="shared" si="9"/>
        <v>M,,</v>
      </c>
      <c r="J93" s="826" t="str">
        <f t="shared" si="10"/>
        <v>M,,,0</v>
      </c>
      <c r="K93" s="826" t="str">
        <f t="shared" si="11"/>
        <v>M,,,0,000100</v>
      </c>
      <c r="L93" s="821" t="str">
        <f t="shared" si="12"/>
        <v>M,,,0,000100,000000</v>
      </c>
      <c r="M93" s="826" t="str">
        <f t="shared" si="13"/>
        <v>M,,,0,000100,000000,13</v>
      </c>
      <c r="N93" s="826" t="str">
        <f t="shared" si="14"/>
        <v>M,,,0,000100,000000,13,F</v>
      </c>
      <c r="O93" s="824"/>
      <c r="P93" s="824" t="str">
        <f t="shared" si="15"/>
        <v>00:00.00</v>
      </c>
      <c r="Q93" s="824" t="str">
        <f t="shared" si="16"/>
        <v>000000</v>
      </c>
      <c r="R93" s="825" t="str">
        <f t="shared" si="17"/>
        <v/>
      </c>
      <c r="S93" s="830"/>
      <c r="T93" s="831"/>
      <c r="U93" s="831"/>
      <c r="V93" s="820"/>
    </row>
    <row r="94" spans="1:22" ht="12.75" customHeight="1" x14ac:dyDescent="0.25">
      <c r="A94" s="820"/>
      <c r="B94" s="821" t="s">
        <v>328</v>
      </c>
      <c r="C94" s="821" t="str">
        <f>'Team 7'!J39</f>
        <v>Li Mow Ching,Christopher</v>
      </c>
      <c r="D94" s="821" t="str">
        <f>'Gala Setup'!Q$10</f>
        <v>HISL</v>
      </c>
      <c r="E94" s="822" t="str">
        <f>'Team 7'!L39</f>
        <v>101212</v>
      </c>
      <c r="F94" s="823">
        <f>'print 10 lane'!AA$37</f>
        <v>5.3321759259259262E-4</v>
      </c>
      <c r="G94" s="821">
        <f>'Team 1'!$D$39</f>
        <v>13</v>
      </c>
      <c r="H94" s="821" t="s">
        <v>4635</v>
      </c>
      <c r="I94" s="821" t="str">
        <f t="shared" si="9"/>
        <v>M,Li Mow Ching,Christopher</v>
      </c>
      <c r="J94" s="821" t="str">
        <f t="shared" si="10"/>
        <v>M,Li Mow Ching,Christopher,HISL</v>
      </c>
      <c r="K94" s="821" t="str">
        <f t="shared" si="11"/>
        <v>M,Li Mow Ching,Christopher,HISL,101212</v>
      </c>
      <c r="L94" s="821" t="str">
        <f t="shared" si="12"/>
        <v>M,Li Mow Ching,Christopher,HISL,101212,004607</v>
      </c>
      <c r="M94" s="821" t="str">
        <f t="shared" si="13"/>
        <v>M,Li Mow Ching,Christopher,HISL,101212,004607,13</v>
      </c>
      <c r="N94" s="821" t="str">
        <f t="shared" si="14"/>
        <v>M,Li Mow Ching,Christopher,HISL,101212,004607,13,F</v>
      </c>
      <c r="O94" s="824"/>
      <c r="P94" s="824" t="str">
        <f t="shared" si="15"/>
        <v>00:46.07</v>
      </c>
      <c r="Q94" s="824" t="str">
        <f t="shared" si="16"/>
        <v>004607</v>
      </c>
      <c r="R94" s="825" t="str">
        <f t="shared" si="17"/>
        <v>M,Li Mow Ching,Christopher,HISL,101212,004607,13,F</v>
      </c>
      <c r="S94" s="830"/>
      <c r="T94" s="831"/>
      <c r="U94" s="831"/>
      <c r="V94" s="820"/>
    </row>
    <row r="95" spans="1:22" ht="12.75" customHeight="1" x14ac:dyDescent="0.25">
      <c r="A95" s="820"/>
      <c r="B95" s="826" t="s">
        <v>328</v>
      </c>
      <c r="C95" s="826" t="str">
        <f>'Team 6'!J39</f>
        <v>Roberts,Macsen</v>
      </c>
      <c r="D95" s="826" t="str">
        <f>'Gala Setup'!Q$9</f>
        <v>HAWL</v>
      </c>
      <c r="E95" s="827" t="str">
        <f>'Team 6'!L39</f>
        <v>181012</v>
      </c>
      <c r="F95" s="823">
        <f>'print 10 lane'!X$37</f>
        <v>5.2071759259259259E-4</v>
      </c>
      <c r="G95" s="826">
        <f>'Team 1'!$D$39</f>
        <v>13</v>
      </c>
      <c r="H95" s="826" t="s">
        <v>4635</v>
      </c>
      <c r="I95" s="826" t="str">
        <f t="shared" si="9"/>
        <v>M,Roberts,Macsen</v>
      </c>
      <c r="J95" s="826" t="str">
        <f t="shared" si="10"/>
        <v>M,Roberts,Macsen,HAWL</v>
      </c>
      <c r="K95" s="826" t="str">
        <f t="shared" si="11"/>
        <v>M,Roberts,Macsen,HAWL,181012</v>
      </c>
      <c r="L95" s="821" t="str">
        <f t="shared" si="12"/>
        <v>M,Roberts,Macsen,HAWL,181012,004499</v>
      </c>
      <c r="M95" s="826" t="str">
        <f t="shared" si="13"/>
        <v>M,Roberts,Macsen,HAWL,181012,004499,13</v>
      </c>
      <c r="N95" s="826" t="str">
        <f t="shared" si="14"/>
        <v>M,Roberts,Macsen,HAWL,181012,004499,13,F</v>
      </c>
      <c r="O95" s="824"/>
      <c r="P95" s="824" t="str">
        <f t="shared" si="15"/>
        <v>00:44.99</v>
      </c>
      <c r="Q95" s="824" t="str">
        <f t="shared" si="16"/>
        <v>004499</v>
      </c>
      <c r="R95" s="825" t="str">
        <f t="shared" si="17"/>
        <v>M,Roberts,Macsen,HAWL,181012,004499,13,F</v>
      </c>
      <c r="S95" s="830"/>
      <c r="T95" s="831"/>
      <c r="U95" s="831"/>
      <c r="V95" s="820"/>
    </row>
    <row r="96" spans="1:22" ht="12.75" customHeight="1" x14ac:dyDescent="0.25">
      <c r="A96" s="820"/>
      <c r="B96" s="821" t="s">
        <v>328</v>
      </c>
      <c r="C96" s="821" t="str">
        <f>'Team 5'!J39</f>
        <v>Young,Myron</v>
      </c>
      <c r="D96" s="821" t="str">
        <f>'Gala Setup'!Q$8</f>
        <v>BTRT</v>
      </c>
      <c r="E96" s="822" t="str">
        <f>'Team 5'!L39</f>
        <v>021013</v>
      </c>
      <c r="F96" s="823">
        <f>'print 10 lane'!U$37</f>
        <v>4.7870370370370368E-4</v>
      </c>
      <c r="G96" s="821">
        <f>'Team 1'!$D$39</f>
        <v>13</v>
      </c>
      <c r="H96" s="821" t="s">
        <v>4635</v>
      </c>
      <c r="I96" s="821" t="str">
        <f t="shared" si="9"/>
        <v>M,Young,Myron</v>
      </c>
      <c r="J96" s="821" t="str">
        <f t="shared" si="10"/>
        <v>M,Young,Myron,BTRT</v>
      </c>
      <c r="K96" s="821" t="str">
        <f t="shared" si="11"/>
        <v>M,Young,Myron,BTRT,021013</v>
      </c>
      <c r="L96" s="821" t="str">
        <f t="shared" si="12"/>
        <v>M,Young,Myron,BTRT,021013,004136</v>
      </c>
      <c r="M96" s="821" t="str">
        <f t="shared" si="13"/>
        <v>M,Young,Myron,BTRT,021013,004136,13</v>
      </c>
      <c r="N96" s="821" t="str">
        <f t="shared" si="14"/>
        <v>M,Young,Myron,BTRT,021013,004136,13,F</v>
      </c>
      <c r="O96" s="824"/>
      <c r="P96" s="824" t="str">
        <f t="shared" si="15"/>
        <v>00:41.36</v>
      </c>
      <c r="Q96" s="824" t="str">
        <f t="shared" si="16"/>
        <v>004136</v>
      </c>
      <c r="R96" s="825" t="str">
        <f t="shared" si="17"/>
        <v>M,Young,Myron,BTRT,021013,004136,13,F</v>
      </c>
      <c r="S96" s="830"/>
      <c r="T96" s="831"/>
      <c r="U96" s="831"/>
      <c r="V96" s="820"/>
    </row>
    <row r="97" spans="1:22" ht="12.75" customHeight="1" x14ac:dyDescent="0.25">
      <c r="A97" s="820"/>
      <c r="B97" s="826" t="s">
        <v>328</v>
      </c>
      <c r="C97" s="826" t="str">
        <f>'Team 4'!J39</f>
        <v>ROSA,SIMON</v>
      </c>
      <c r="D97" s="826" t="str">
        <f>'Gala Setup'!Q$7</f>
        <v>AYBS</v>
      </c>
      <c r="E97" s="827" t="str">
        <f>'Team 4'!L39</f>
        <v>181112</v>
      </c>
      <c r="F97" s="823">
        <f>'print 10 lane'!R$37</f>
        <v>5.3668981481481482E-4</v>
      </c>
      <c r="G97" s="826">
        <f>'Team 1'!$D$39</f>
        <v>13</v>
      </c>
      <c r="H97" s="826" t="s">
        <v>4635</v>
      </c>
      <c r="I97" s="826" t="str">
        <f t="shared" si="9"/>
        <v>M,ROSA,SIMON</v>
      </c>
      <c r="J97" s="826" t="str">
        <f t="shared" si="10"/>
        <v>M,ROSA,SIMON,AYBS</v>
      </c>
      <c r="K97" s="826" t="str">
        <f t="shared" si="11"/>
        <v>M,ROSA,SIMON,AYBS,181112</v>
      </c>
      <c r="L97" s="821" t="str">
        <f t="shared" si="12"/>
        <v>M,ROSA,SIMON,AYBS,181112,004637</v>
      </c>
      <c r="M97" s="826" t="str">
        <f t="shared" si="13"/>
        <v>M,ROSA,SIMON,AYBS,181112,004637,13</v>
      </c>
      <c r="N97" s="826" t="str">
        <f t="shared" si="14"/>
        <v>M,ROSA,SIMON,AYBS,181112,004637,13,F</v>
      </c>
      <c r="O97" s="824"/>
      <c r="P97" s="824" t="str">
        <f t="shared" si="15"/>
        <v>00:46.37</v>
      </c>
      <c r="Q97" s="824" t="str">
        <f t="shared" si="16"/>
        <v>004637</v>
      </c>
      <c r="R97" s="825" t="str">
        <f t="shared" si="17"/>
        <v>M,ROSA,SIMON,AYBS,181112,004637,13,F</v>
      </c>
      <c r="S97" s="830"/>
      <c r="T97" s="831"/>
      <c r="U97" s="831"/>
      <c r="V97" s="820"/>
    </row>
    <row r="98" spans="1:22" ht="12.75" customHeight="1" x14ac:dyDescent="0.25">
      <c r="A98" s="820"/>
      <c r="B98" s="821" t="s">
        <v>328</v>
      </c>
      <c r="C98" s="821" t="str">
        <f>'Team 3'!J39</f>
        <v xml:space="preserve">Thompson,Liam </v>
      </c>
      <c r="D98" s="821" t="str">
        <f>'Gala Setup'!Q$6</f>
        <v>BBST</v>
      </c>
      <c r="E98" s="822" t="str">
        <f>'Team 3'!L39</f>
        <v>111113</v>
      </c>
      <c r="F98" s="823">
        <f>'print 10 lane'!O$37</f>
        <v>5.4340277777777785E-4</v>
      </c>
      <c r="G98" s="821">
        <f>'Team 1'!$D$39</f>
        <v>13</v>
      </c>
      <c r="H98" s="821" t="s">
        <v>4635</v>
      </c>
      <c r="I98" s="821" t="str">
        <f t="shared" si="9"/>
        <v xml:space="preserve">M,Thompson,Liam </v>
      </c>
      <c r="J98" s="821" t="str">
        <f t="shared" si="10"/>
        <v>M,Thompson,Liam ,BBST</v>
      </c>
      <c r="K98" s="821" t="str">
        <f t="shared" si="11"/>
        <v>M,Thompson,Liam ,BBST,111113</v>
      </c>
      <c r="L98" s="821" t="str">
        <f t="shared" si="12"/>
        <v>M,Thompson,Liam ,BBST,111113,004695</v>
      </c>
      <c r="M98" s="821" t="str">
        <f t="shared" si="13"/>
        <v>M,Thompson,Liam ,BBST,111113,004695,13</v>
      </c>
      <c r="N98" s="821" t="str">
        <f t="shared" si="14"/>
        <v>M,Thompson,Liam ,BBST,111113,004695,13,F</v>
      </c>
      <c r="O98" s="824"/>
      <c r="P98" s="824" t="str">
        <f t="shared" si="15"/>
        <v>00:46.95</v>
      </c>
      <c r="Q98" s="824" t="str">
        <f t="shared" si="16"/>
        <v>004695</v>
      </c>
      <c r="R98" s="825" t="str">
        <f t="shared" si="17"/>
        <v>M,Thompson,Liam ,BBST,111113,004695,13,F</v>
      </c>
      <c r="S98" s="830"/>
      <c r="T98" s="831"/>
      <c r="U98" s="831"/>
      <c r="V98" s="820"/>
    </row>
    <row r="99" spans="1:22" ht="12.75" customHeight="1" x14ac:dyDescent="0.25">
      <c r="A99" s="820"/>
      <c r="B99" s="826" t="s">
        <v>328</v>
      </c>
      <c r="C99" s="826" t="str">
        <f>'Team 2'!J39</f>
        <v>Winter,James</v>
      </c>
      <c r="D99" s="826" t="str">
        <f>'Gala Setup'!$Q$5</f>
        <v>STET</v>
      </c>
      <c r="E99" s="827" t="str">
        <f>'Team 2'!L39</f>
        <v>040812</v>
      </c>
      <c r="F99" s="823">
        <f>'print 10 lane'!L$37</f>
        <v>4.6608796296296302E-4</v>
      </c>
      <c r="G99" s="826">
        <f>'Team 1'!$D$39</f>
        <v>13</v>
      </c>
      <c r="H99" s="826" t="s">
        <v>4635</v>
      </c>
      <c r="I99" s="826" t="str">
        <f t="shared" si="9"/>
        <v>M,Winter,James</v>
      </c>
      <c r="J99" s="826" t="str">
        <f t="shared" si="10"/>
        <v>M,Winter,James,STET</v>
      </c>
      <c r="K99" s="826" t="str">
        <f t="shared" si="11"/>
        <v>M,Winter,James,STET,040812</v>
      </c>
      <c r="L99" s="821" t="str">
        <f t="shared" si="12"/>
        <v>M,Winter,James,STET,040812,004027</v>
      </c>
      <c r="M99" s="826" t="str">
        <f t="shared" si="13"/>
        <v>M,Winter,James,STET,040812,004027,13</v>
      </c>
      <c r="N99" s="826" t="str">
        <f t="shared" si="14"/>
        <v>M,Winter,James,STET,040812,004027,13,F</v>
      </c>
      <c r="O99" s="824"/>
      <c r="P99" s="824" t="str">
        <f t="shared" si="15"/>
        <v>00:40.27</v>
      </c>
      <c r="Q99" s="824" t="str">
        <f t="shared" si="16"/>
        <v>004027</v>
      </c>
      <c r="R99" s="825" t="str">
        <f t="shared" si="17"/>
        <v>M,Winter,James,STET,040812,004027,13,F</v>
      </c>
      <c r="S99" s="830"/>
      <c r="T99" s="831"/>
      <c r="U99" s="831"/>
      <c r="V99" s="820"/>
    </row>
    <row r="100" spans="1:22" ht="12.75" customHeight="1" x14ac:dyDescent="0.25">
      <c r="A100" s="820"/>
      <c r="B100" s="821" t="s">
        <v>328</v>
      </c>
      <c r="C100" s="821" t="str">
        <f>'Team 1'!J39</f>
        <v>Goad,Leonardo</v>
      </c>
      <c r="D100" s="821" t="str">
        <f>'Gala Setup'!Q$4</f>
        <v>HABL</v>
      </c>
      <c r="E100" s="822" t="str">
        <f>'Team 1'!L39</f>
        <v>100613</v>
      </c>
      <c r="F100" s="823">
        <f>'print 10 lane'!I$37</f>
        <v>0</v>
      </c>
      <c r="G100" s="821">
        <f>'Team 1'!$D$39</f>
        <v>13</v>
      </c>
      <c r="H100" s="821" t="s">
        <v>4635</v>
      </c>
      <c r="I100" s="821" t="str">
        <f t="shared" si="9"/>
        <v>M,Goad,Leonardo</v>
      </c>
      <c r="J100" s="821" t="str">
        <f t="shared" si="10"/>
        <v>M,Goad,Leonardo,HABL</v>
      </c>
      <c r="K100" s="821" t="str">
        <f t="shared" si="11"/>
        <v>M,Goad,Leonardo,HABL,100613</v>
      </c>
      <c r="L100" s="821" t="str">
        <f t="shared" si="12"/>
        <v>M,Goad,Leonardo,HABL,100613,000000</v>
      </c>
      <c r="M100" s="821" t="str">
        <f t="shared" si="13"/>
        <v>M,Goad,Leonardo,HABL,100613,000000,13</v>
      </c>
      <c r="N100" s="821" t="str">
        <f t="shared" si="14"/>
        <v>M,Goad,Leonardo,HABL,100613,000000,13,F</v>
      </c>
      <c r="O100" s="824"/>
      <c r="P100" s="824" t="str">
        <f t="shared" si="15"/>
        <v>00:00.00</v>
      </c>
      <c r="Q100" s="824" t="str">
        <f t="shared" si="16"/>
        <v>000000</v>
      </c>
      <c r="R100" s="825" t="str">
        <f t="shared" si="17"/>
        <v/>
      </c>
      <c r="S100" s="830"/>
      <c r="T100" s="831"/>
      <c r="U100" s="831"/>
      <c r="V100" s="820"/>
    </row>
    <row r="101" spans="1:22" ht="12.75" customHeight="1" x14ac:dyDescent="0.25">
      <c r="A101" s="820"/>
      <c r="B101" s="821" t="s">
        <v>4635</v>
      </c>
      <c r="C101" s="821" t="str">
        <f>'Team 1'!J44</f>
        <v>Grzybek,Maja</v>
      </c>
      <c r="D101" s="821" t="str">
        <f>'Gala Setup'!Q$4</f>
        <v>HABL</v>
      </c>
      <c r="E101" s="822" t="str">
        <f>'Team 1'!L44</f>
        <v>250507</v>
      </c>
      <c r="F101" s="823">
        <f>'print 10 lane'!I$52</f>
        <v>8.8090277777777776E-4</v>
      </c>
      <c r="G101" s="821">
        <f>'Team 1'!$D$44</f>
        <v>11</v>
      </c>
      <c r="H101" s="821" t="s">
        <v>4635</v>
      </c>
      <c r="I101" s="821" t="str">
        <f t="shared" si="9"/>
        <v>F,Grzybek,Maja</v>
      </c>
      <c r="J101" s="821" t="str">
        <f t="shared" si="10"/>
        <v>F,Grzybek,Maja,HABL</v>
      </c>
      <c r="K101" s="821" t="str">
        <f t="shared" si="11"/>
        <v>F,Grzybek,Maja,HABL,250507</v>
      </c>
      <c r="L101" s="821" t="str">
        <f t="shared" si="12"/>
        <v>F,Grzybek,Maja,HABL,250507,011611</v>
      </c>
      <c r="M101" s="821" t="str">
        <f t="shared" si="13"/>
        <v>F,Grzybek,Maja,HABL,250507,011611,11</v>
      </c>
      <c r="N101" s="821" t="str">
        <f t="shared" si="14"/>
        <v>F,Grzybek,Maja,HABL,250507,011611,11,F</v>
      </c>
      <c r="O101" s="824"/>
      <c r="P101" s="824" t="str">
        <f t="shared" si="15"/>
        <v>01:16.11</v>
      </c>
      <c r="Q101" s="824" t="str">
        <f t="shared" si="16"/>
        <v>011611</v>
      </c>
      <c r="R101" s="825" t="str">
        <f t="shared" si="17"/>
        <v>F,Grzybek,Maja,HABL,250507,011611,11,F</v>
      </c>
      <c r="S101" s="830"/>
      <c r="T101" s="831"/>
      <c r="U101" s="831"/>
      <c r="V101" s="820"/>
    </row>
    <row r="102" spans="1:22" ht="12.75" customHeight="1" x14ac:dyDescent="0.25">
      <c r="A102" s="820"/>
      <c r="B102" s="826" t="s">
        <v>4635</v>
      </c>
      <c r="C102" s="826" t="str">
        <f>'Team 2'!J44</f>
        <v>Bailiss,Madeleine</v>
      </c>
      <c r="D102" s="826" t="str">
        <f>'Gala Setup'!$Q$5</f>
        <v>STET</v>
      </c>
      <c r="E102" s="827" t="str">
        <f>'Team 2'!L44</f>
        <v>021205</v>
      </c>
      <c r="F102" s="823">
        <f>'print 10 lane'!L$52</f>
        <v>9.2118055555555562E-4</v>
      </c>
      <c r="G102" s="826">
        <f>'Team 1'!$D$44</f>
        <v>11</v>
      </c>
      <c r="H102" s="826" t="s">
        <v>4635</v>
      </c>
      <c r="I102" s="826" t="str">
        <f t="shared" si="9"/>
        <v>F,Bailiss,Madeleine</v>
      </c>
      <c r="J102" s="826" t="str">
        <f t="shared" si="10"/>
        <v>F,Bailiss,Madeleine,STET</v>
      </c>
      <c r="K102" s="826" t="str">
        <f t="shared" si="11"/>
        <v>F,Bailiss,Madeleine,STET,021205</v>
      </c>
      <c r="L102" s="821" t="str">
        <f t="shared" si="12"/>
        <v>F,Bailiss,Madeleine,STET,021205,011959</v>
      </c>
      <c r="M102" s="826" t="str">
        <f t="shared" si="13"/>
        <v>F,Bailiss,Madeleine,STET,021205,011959,11</v>
      </c>
      <c r="N102" s="826" t="str">
        <f t="shared" si="14"/>
        <v>F,Bailiss,Madeleine,STET,021205,011959,11,F</v>
      </c>
      <c r="O102" s="824"/>
      <c r="P102" s="824" t="str">
        <f t="shared" si="15"/>
        <v>01:19.59</v>
      </c>
      <c r="Q102" s="824" t="str">
        <f t="shared" si="16"/>
        <v>011959</v>
      </c>
      <c r="R102" s="825" t="str">
        <f t="shared" si="17"/>
        <v>F,Bailiss,Madeleine,STET,021205,011959,11,F</v>
      </c>
      <c r="S102" s="830"/>
      <c r="T102" s="831"/>
      <c r="U102" s="831"/>
      <c r="V102" s="820"/>
    </row>
    <row r="103" spans="1:22" ht="12.75" customHeight="1" x14ac:dyDescent="0.25">
      <c r="A103" s="820"/>
      <c r="B103" s="821" t="s">
        <v>4635</v>
      </c>
      <c r="C103" s="821" t="str">
        <f>'Team 1'!J50</f>
        <v>Panayi,Zoe</v>
      </c>
      <c r="D103" s="821" t="str">
        <f>'Gala Setup'!Q$4</f>
        <v>HABL</v>
      </c>
      <c r="E103" s="822" t="str">
        <f>'Team 1'!L50</f>
        <v>040509</v>
      </c>
      <c r="F103" s="823">
        <f>'print 10 lane'!I$70</f>
        <v>8.8113425925925913E-4</v>
      </c>
      <c r="G103" s="821">
        <f>'Team 1'!$D$50</f>
        <v>11</v>
      </c>
      <c r="H103" s="821" t="s">
        <v>4635</v>
      </c>
      <c r="I103" s="821" t="str">
        <f t="shared" si="9"/>
        <v>F,Panayi,Zoe</v>
      </c>
      <c r="J103" s="821" t="str">
        <f t="shared" si="10"/>
        <v>F,Panayi,Zoe,HABL</v>
      </c>
      <c r="K103" s="821" t="str">
        <f t="shared" si="11"/>
        <v>F,Panayi,Zoe,HABL,040509</v>
      </c>
      <c r="L103" s="821" t="str">
        <f t="shared" si="12"/>
        <v>F,Panayi,Zoe,HABL,040509,011613</v>
      </c>
      <c r="M103" s="821" t="str">
        <f t="shared" si="13"/>
        <v>F,Panayi,Zoe,HABL,040509,011613,11</v>
      </c>
      <c r="N103" s="821" t="str">
        <f t="shared" si="14"/>
        <v>F,Panayi,Zoe,HABL,040509,011613,11,F</v>
      </c>
      <c r="O103" s="824"/>
      <c r="P103" s="824" t="str">
        <f t="shared" si="15"/>
        <v>01:16.13</v>
      </c>
      <c r="Q103" s="824" t="str">
        <f t="shared" si="16"/>
        <v>011613</v>
      </c>
      <c r="R103" s="825" t="str">
        <f t="shared" si="17"/>
        <v>F,Panayi,Zoe,HABL,040509,011613,11,F</v>
      </c>
      <c r="S103" s="830"/>
      <c r="T103" s="831"/>
      <c r="U103" s="831"/>
      <c r="V103" s="820"/>
    </row>
    <row r="104" spans="1:22" ht="12.75" customHeight="1" x14ac:dyDescent="0.25">
      <c r="A104" s="820"/>
      <c r="B104" s="826" t="s">
        <v>4635</v>
      </c>
      <c r="C104" s="826" t="str">
        <f>'Team 2'!J56</f>
        <v>Hunt,Jasmin</v>
      </c>
      <c r="D104" s="826" t="str">
        <f>'Gala Setup'!$Q$5</f>
        <v>STET</v>
      </c>
      <c r="E104" s="827" t="str">
        <f>'Team 2'!L56</f>
        <v>220311</v>
      </c>
      <c r="F104" s="823">
        <f>'print 10 lane'!L$88</f>
        <v>1.0836805555555556E-3</v>
      </c>
      <c r="G104" s="826">
        <f>'Team 1'!$D$56</f>
        <v>11</v>
      </c>
      <c r="H104" s="826" t="s">
        <v>4635</v>
      </c>
      <c r="I104" s="826" t="str">
        <f t="shared" si="9"/>
        <v>F,Hunt,Jasmin</v>
      </c>
      <c r="J104" s="826" t="str">
        <f t="shared" si="10"/>
        <v>F,Hunt,Jasmin,STET</v>
      </c>
      <c r="K104" s="826" t="str">
        <f t="shared" si="11"/>
        <v>F,Hunt,Jasmin,STET,220311</v>
      </c>
      <c r="L104" s="821" t="str">
        <f t="shared" si="12"/>
        <v>F,Hunt,Jasmin,STET,220311,013363</v>
      </c>
      <c r="M104" s="826" t="str">
        <f t="shared" si="13"/>
        <v>F,Hunt,Jasmin,STET,220311,013363,11</v>
      </c>
      <c r="N104" s="826" t="str">
        <f t="shared" si="14"/>
        <v>F,Hunt,Jasmin,STET,220311,013363,11,F</v>
      </c>
      <c r="O104" s="824"/>
      <c r="P104" s="824" t="str">
        <f t="shared" si="15"/>
        <v>01:33.63</v>
      </c>
      <c r="Q104" s="824" t="str">
        <f t="shared" si="16"/>
        <v>013363</v>
      </c>
      <c r="R104" s="825" t="str">
        <f t="shared" si="17"/>
        <v>F,Hunt,Jasmin,STET,220311,013363,11,F</v>
      </c>
      <c r="S104" s="830"/>
      <c r="T104" s="831"/>
      <c r="U104" s="831"/>
      <c r="V104" s="820"/>
    </row>
    <row r="105" spans="1:22" ht="12.75" customHeight="1" x14ac:dyDescent="0.25">
      <c r="A105" s="820"/>
      <c r="B105" s="821" t="s">
        <v>4635</v>
      </c>
      <c r="C105" s="821" t="str">
        <f>'Team 1'!J56</f>
        <v>Yigit,Edanur</v>
      </c>
      <c r="D105" s="821" t="str">
        <f>'Gala Setup'!Q$4</f>
        <v>HABL</v>
      </c>
      <c r="E105" s="822" t="str">
        <f>'Team 1'!L56</f>
        <v>040110</v>
      </c>
      <c r="F105" s="823">
        <f>'print 10 lane'!I$88</f>
        <v>9.662037037037036E-4</v>
      </c>
      <c r="G105" s="821">
        <f>'Team 1'!$D$56</f>
        <v>11</v>
      </c>
      <c r="H105" s="821" t="s">
        <v>4635</v>
      </c>
      <c r="I105" s="821" t="str">
        <f t="shared" si="9"/>
        <v>F,Yigit,Edanur</v>
      </c>
      <c r="J105" s="821" t="str">
        <f t="shared" si="10"/>
        <v>F,Yigit,Edanur,HABL</v>
      </c>
      <c r="K105" s="821" t="str">
        <f t="shared" si="11"/>
        <v>F,Yigit,Edanur,HABL,040110</v>
      </c>
      <c r="L105" s="821" t="str">
        <f t="shared" si="12"/>
        <v>F,Yigit,Edanur,HABL,040110,012348</v>
      </c>
      <c r="M105" s="821" t="str">
        <f t="shared" si="13"/>
        <v>F,Yigit,Edanur,HABL,040110,012348,11</v>
      </c>
      <c r="N105" s="821" t="str">
        <f t="shared" si="14"/>
        <v>F,Yigit,Edanur,HABL,040110,012348,11,F</v>
      </c>
      <c r="O105" s="824"/>
      <c r="P105" s="824" t="str">
        <f t="shared" si="15"/>
        <v>01:23.48</v>
      </c>
      <c r="Q105" s="824" t="str">
        <f t="shared" si="16"/>
        <v>012348</v>
      </c>
      <c r="R105" s="825" t="str">
        <f t="shared" si="17"/>
        <v>F,Yigit,Edanur,HABL,040110,012348,11,F</v>
      </c>
      <c r="S105" s="830"/>
      <c r="T105" s="831"/>
      <c r="U105" s="831"/>
      <c r="V105" s="820"/>
    </row>
    <row r="106" spans="1:22" ht="12.75" customHeight="1" x14ac:dyDescent="0.25">
      <c r="A106" s="820"/>
      <c r="B106" s="826" t="s">
        <v>4635</v>
      </c>
      <c r="C106" s="826" t="str">
        <f>'Team 2'!J50</f>
        <v>Lyon,Charlotte</v>
      </c>
      <c r="D106" s="826" t="str">
        <f>'Gala Setup'!$Q$5</f>
        <v>STET</v>
      </c>
      <c r="E106" s="827" t="str">
        <f>'Team 2'!L50</f>
        <v>111008</v>
      </c>
      <c r="F106" s="823">
        <f>'print 10 lane'!L$70</f>
        <v>9.0543981481481476E-4</v>
      </c>
      <c r="G106" s="826">
        <f>'Team 1'!$D$50</f>
        <v>11</v>
      </c>
      <c r="H106" s="826" t="s">
        <v>4635</v>
      </c>
      <c r="I106" s="826" t="str">
        <f t="shared" si="9"/>
        <v>F,Lyon,Charlotte</v>
      </c>
      <c r="J106" s="826" t="str">
        <f t="shared" si="10"/>
        <v>F,Lyon,Charlotte,STET</v>
      </c>
      <c r="K106" s="826" t="str">
        <f t="shared" si="11"/>
        <v>F,Lyon,Charlotte,STET,111008</v>
      </c>
      <c r="L106" s="821" t="str">
        <f t="shared" si="12"/>
        <v>F,Lyon,Charlotte,STET,111008,011823</v>
      </c>
      <c r="M106" s="826" t="str">
        <f t="shared" si="13"/>
        <v>F,Lyon,Charlotte,STET,111008,011823,11</v>
      </c>
      <c r="N106" s="826" t="str">
        <f t="shared" si="14"/>
        <v>F,Lyon,Charlotte,STET,111008,011823,11,F</v>
      </c>
      <c r="O106" s="824"/>
      <c r="P106" s="824" t="str">
        <f t="shared" si="15"/>
        <v>01:18.23</v>
      </c>
      <c r="Q106" s="824" t="str">
        <f t="shared" si="16"/>
        <v>011823</v>
      </c>
      <c r="R106" s="825" t="str">
        <f t="shared" si="17"/>
        <v>F,Lyon,Charlotte,STET,111008,011823,11,F</v>
      </c>
      <c r="S106" s="830"/>
      <c r="T106" s="831"/>
      <c r="U106" s="831"/>
      <c r="V106" s="820"/>
    </row>
    <row r="107" spans="1:22" ht="12.75" customHeight="1" x14ac:dyDescent="0.25">
      <c r="A107" s="820"/>
      <c r="B107" s="821" t="s">
        <v>4635</v>
      </c>
      <c r="C107" s="821" t="str">
        <f>'Team 3'!J44</f>
        <v>Clark,Sophie</v>
      </c>
      <c r="D107" s="821" t="str">
        <f>'Gala Setup'!Q$6</f>
        <v>BBST</v>
      </c>
      <c r="E107" s="822" t="str">
        <f>'Team 3'!L44</f>
        <v>111204</v>
      </c>
      <c r="F107" s="823">
        <f>'print 10 lane'!O$52</f>
        <v>9.0671296296296301E-4</v>
      </c>
      <c r="G107" s="821">
        <f>'Team 1'!$D$44</f>
        <v>11</v>
      </c>
      <c r="H107" s="821" t="s">
        <v>4635</v>
      </c>
      <c r="I107" s="821" t="str">
        <f t="shared" si="9"/>
        <v>F,Clark,Sophie</v>
      </c>
      <c r="J107" s="821" t="str">
        <f t="shared" si="10"/>
        <v>F,Clark,Sophie,BBST</v>
      </c>
      <c r="K107" s="821" t="str">
        <f t="shared" si="11"/>
        <v>F,Clark,Sophie,BBST,111204</v>
      </c>
      <c r="L107" s="821" t="str">
        <f t="shared" si="12"/>
        <v>F,Clark,Sophie,BBST,111204,011834</v>
      </c>
      <c r="M107" s="821" t="str">
        <f t="shared" si="13"/>
        <v>F,Clark,Sophie,BBST,111204,011834,11</v>
      </c>
      <c r="N107" s="821" t="str">
        <f t="shared" si="14"/>
        <v>F,Clark,Sophie,BBST,111204,011834,11,F</v>
      </c>
      <c r="O107" s="824"/>
      <c r="P107" s="824" t="str">
        <f t="shared" si="15"/>
        <v>01:18.34</v>
      </c>
      <c r="Q107" s="824" t="str">
        <f t="shared" si="16"/>
        <v>011834</v>
      </c>
      <c r="R107" s="825" t="str">
        <f t="shared" si="17"/>
        <v>F,Clark,Sophie,BBST,111204,011834,11,F</v>
      </c>
      <c r="S107" s="830"/>
      <c r="T107" s="831"/>
      <c r="U107" s="831"/>
      <c r="V107" s="820"/>
    </row>
    <row r="108" spans="1:22" ht="12.75" customHeight="1" x14ac:dyDescent="0.25">
      <c r="A108" s="820"/>
      <c r="B108" s="821" t="s">
        <v>4635</v>
      </c>
      <c r="C108" s="821" t="str">
        <f>'Team 3'!J50</f>
        <v>Lovelock,Hannah</v>
      </c>
      <c r="D108" s="821" t="str">
        <f>'Gala Setup'!Q$6</f>
        <v>BBST</v>
      </c>
      <c r="E108" s="822" t="str">
        <f>'Team 3'!L50</f>
        <v>180208</v>
      </c>
      <c r="F108" s="823">
        <f>'print 10 lane'!O$70</f>
        <v>8.7824074074074063E-4</v>
      </c>
      <c r="G108" s="821">
        <f>'Team 1'!$D$50</f>
        <v>11</v>
      </c>
      <c r="H108" s="821" t="s">
        <v>4635</v>
      </c>
      <c r="I108" s="821" t="str">
        <f t="shared" si="9"/>
        <v>F,Lovelock,Hannah</v>
      </c>
      <c r="J108" s="821" t="str">
        <f t="shared" si="10"/>
        <v>F,Lovelock,Hannah,BBST</v>
      </c>
      <c r="K108" s="821" t="str">
        <f t="shared" si="11"/>
        <v>F,Lovelock,Hannah,BBST,180208</v>
      </c>
      <c r="L108" s="821" t="str">
        <f t="shared" si="12"/>
        <v>F,Lovelock,Hannah,BBST,180208,011588</v>
      </c>
      <c r="M108" s="821" t="str">
        <f t="shared" si="13"/>
        <v>F,Lovelock,Hannah,BBST,180208,011588,11</v>
      </c>
      <c r="N108" s="821" t="str">
        <f t="shared" si="14"/>
        <v>F,Lovelock,Hannah,BBST,180208,011588,11,F</v>
      </c>
      <c r="O108" s="824"/>
      <c r="P108" s="824" t="str">
        <f t="shared" si="15"/>
        <v>01:15.88</v>
      </c>
      <c r="Q108" s="824" t="str">
        <f t="shared" si="16"/>
        <v>011588</v>
      </c>
      <c r="R108" s="825" t="str">
        <f t="shared" si="17"/>
        <v>F,Lovelock,Hannah,BBST,180208,011588,11,F</v>
      </c>
      <c r="S108" s="830"/>
      <c r="T108" s="831"/>
      <c r="U108" s="831"/>
      <c r="V108" s="820"/>
    </row>
    <row r="109" spans="1:22" ht="12.75" customHeight="1" x14ac:dyDescent="0.25">
      <c r="A109" s="820"/>
      <c r="B109" s="821" t="s">
        <v>4635</v>
      </c>
      <c r="C109" s="821" t="str">
        <f>'Team 3'!J56</f>
        <v>Holland,Niamh</v>
      </c>
      <c r="D109" s="821" t="str">
        <f>'Gala Setup'!Q$6</f>
        <v>BBST</v>
      </c>
      <c r="E109" s="822" t="str">
        <f>'Team 3'!L56</f>
        <v>280111</v>
      </c>
      <c r="F109" s="823">
        <f>'print 10 lane'!O$88</f>
        <v>9.8414351851851853E-4</v>
      </c>
      <c r="G109" s="821">
        <f>'Team 1'!$D$56</f>
        <v>11</v>
      </c>
      <c r="H109" s="821" t="s">
        <v>4635</v>
      </c>
      <c r="I109" s="821" t="str">
        <f t="shared" si="9"/>
        <v>F,Holland,Niamh</v>
      </c>
      <c r="J109" s="821" t="str">
        <f t="shared" si="10"/>
        <v>F,Holland,Niamh,BBST</v>
      </c>
      <c r="K109" s="821" t="str">
        <f t="shared" si="11"/>
        <v>F,Holland,Niamh,BBST,280111</v>
      </c>
      <c r="L109" s="821" t="str">
        <f t="shared" si="12"/>
        <v>F,Holland,Niamh,BBST,280111,012503</v>
      </c>
      <c r="M109" s="821" t="str">
        <f t="shared" si="13"/>
        <v>F,Holland,Niamh,BBST,280111,012503,11</v>
      </c>
      <c r="N109" s="821" t="str">
        <f t="shared" si="14"/>
        <v>F,Holland,Niamh,BBST,280111,012503,11,F</v>
      </c>
      <c r="O109" s="824"/>
      <c r="P109" s="824" t="str">
        <f t="shared" si="15"/>
        <v>01:25.03</v>
      </c>
      <c r="Q109" s="824" t="str">
        <f t="shared" si="16"/>
        <v>012503</v>
      </c>
      <c r="R109" s="825" t="str">
        <f t="shared" si="17"/>
        <v>F,Holland,Niamh,BBST,280111,012503,11,F</v>
      </c>
      <c r="S109" s="830"/>
      <c r="T109" s="831"/>
      <c r="U109" s="831"/>
      <c r="V109" s="820"/>
    </row>
    <row r="110" spans="1:22" ht="12.75" customHeight="1" x14ac:dyDescent="0.25">
      <c r="A110" s="820"/>
      <c r="B110" s="826" t="s">
        <v>4635</v>
      </c>
      <c r="C110" s="826" t="str">
        <f>'Team 4'!J50</f>
        <v>COJEEN,ANNABELLA</v>
      </c>
      <c r="D110" s="826" t="str">
        <f>'Gala Setup'!Q$7</f>
        <v>AYBS</v>
      </c>
      <c r="E110" s="827" t="str">
        <f>'Team 4'!L50</f>
        <v>151210</v>
      </c>
      <c r="F110" s="823">
        <f>'print 10 lane'!R$70</f>
        <v>9.1539351851851851E-4</v>
      </c>
      <c r="G110" s="826">
        <f>'Team 1'!$D$50</f>
        <v>11</v>
      </c>
      <c r="H110" s="826" t="s">
        <v>4635</v>
      </c>
      <c r="I110" s="826" t="str">
        <f t="shared" si="9"/>
        <v>F,COJEEN,ANNABELLA</v>
      </c>
      <c r="J110" s="826" t="str">
        <f t="shared" si="10"/>
        <v>F,COJEEN,ANNABELLA,AYBS</v>
      </c>
      <c r="K110" s="826" t="str">
        <f t="shared" si="11"/>
        <v>F,COJEEN,ANNABELLA,AYBS,151210</v>
      </c>
      <c r="L110" s="821" t="str">
        <f t="shared" si="12"/>
        <v>F,COJEEN,ANNABELLA,AYBS,151210,011909</v>
      </c>
      <c r="M110" s="826" t="str">
        <f t="shared" si="13"/>
        <v>F,COJEEN,ANNABELLA,AYBS,151210,011909,11</v>
      </c>
      <c r="N110" s="826" t="str">
        <f t="shared" si="14"/>
        <v>F,COJEEN,ANNABELLA,AYBS,151210,011909,11,F</v>
      </c>
      <c r="O110" s="824"/>
      <c r="P110" s="824" t="str">
        <f t="shared" si="15"/>
        <v>01:19.09</v>
      </c>
      <c r="Q110" s="824" t="str">
        <f t="shared" si="16"/>
        <v>011909</v>
      </c>
      <c r="R110" s="825" t="str">
        <f t="shared" si="17"/>
        <v>F,COJEEN,ANNABELLA,AYBS,151210,011909,11,F</v>
      </c>
      <c r="S110" s="830"/>
      <c r="T110" s="831"/>
      <c r="U110" s="831"/>
      <c r="V110" s="820"/>
    </row>
    <row r="111" spans="1:22" ht="12.75" customHeight="1" x14ac:dyDescent="0.25">
      <c r="A111" s="820"/>
      <c r="B111" s="826" t="s">
        <v>4635</v>
      </c>
      <c r="C111" s="826" t="str">
        <f>'Team 4'!J44</f>
        <v>BLISSETT,LIBBY</v>
      </c>
      <c r="D111" s="826" t="str">
        <f>'Gala Setup'!Q$7</f>
        <v>AYBS</v>
      </c>
      <c r="E111" s="827" t="str">
        <f>'Team 4'!L44</f>
        <v>280402</v>
      </c>
      <c r="F111" s="823">
        <f>'print 10 lane'!R$52</f>
        <v>7.9513888888888896E-4</v>
      </c>
      <c r="G111" s="826">
        <f>'Team 1'!$D$44</f>
        <v>11</v>
      </c>
      <c r="H111" s="826" t="s">
        <v>4635</v>
      </c>
      <c r="I111" s="826" t="str">
        <f t="shared" si="9"/>
        <v>F,BLISSETT,LIBBY</v>
      </c>
      <c r="J111" s="826" t="str">
        <f t="shared" si="10"/>
        <v>F,BLISSETT,LIBBY,AYBS</v>
      </c>
      <c r="K111" s="826" t="str">
        <f t="shared" si="11"/>
        <v>F,BLISSETT,LIBBY,AYBS,280402</v>
      </c>
      <c r="L111" s="821" t="str">
        <f t="shared" si="12"/>
        <v>F,BLISSETT,LIBBY,AYBS,280402,010870</v>
      </c>
      <c r="M111" s="826" t="str">
        <f t="shared" si="13"/>
        <v>F,BLISSETT,LIBBY,AYBS,280402,010870,11</v>
      </c>
      <c r="N111" s="826" t="str">
        <f t="shared" si="14"/>
        <v>F,BLISSETT,LIBBY,AYBS,280402,010870,11,F</v>
      </c>
      <c r="O111" s="824"/>
      <c r="P111" s="824" t="str">
        <f t="shared" si="15"/>
        <v>01:08.70</v>
      </c>
      <c r="Q111" s="824" t="str">
        <f t="shared" si="16"/>
        <v>010870</v>
      </c>
      <c r="R111" s="825" t="str">
        <f t="shared" si="17"/>
        <v>F,BLISSETT,LIBBY,AYBS,280402,010870,11,F</v>
      </c>
      <c r="S111" s="830"/>
      <c r="T111" s="831"/>
      <c r="U111" s="831"/>
      <c r="V111" s="820"/>
    </row>
    <row r="112" spans="1:22" ht="12.75" customHeight="1" x14ac:dyDescent="0.25">
      <c r="A112" s="820"/>
      <c r="B112" s="826" t="s">
        <v>4635</v>
      </c>
      <c r="C112" s="826" t="str">
        <f>'Team 4'!J56</f>
        <v>MOHAMMED,ISLA</v>
      </c>
      <c r="D112" s="826" t="str">
        <f>'Gala Setup'!Q$7</f>
        <v>AYBS</v>
      </c>
      <c r="E112" s="827" t="str">
        <f>'Team 4'!L56</f>
        <v>210910</v>
      </c>
      <c r="F112" s="823">
        <f>'print 10 lane'!R$88</f>
        <v>9.0659722222222216E-4</v>
      </c>
      <c r="G112" s="826">
        <f>'Team 1'!$D$56</f>
        <v>11</v>
      </c>
      <c r="H112" s="826" t="s">
        <v>4635</v>
      </c>
      <c r="I112" s="826" t="str">
        <f t="shared" si="9"/>
        <v>F,MOHAMMED,ISLA</v>
      </c>
      <c r="J112" s="826" t="str">
        <f t="shared" si="10"/>
        <v>F,MOHAMMED,ISLA,AYBS</v>
      </c>
      <c r="K112" s="826" t="str">
        <f t="shared" si="11"/>
        <v>F,MOHAMMED,ISLA,AYBS,210910</v>
      </c>
      <c r="L112" s="821" t="str">
        <f t="shared" si="12"/>
        <v>F,MOHAMMED,ISLA,AYBS,210910,011833</v>
      </c>
      <c r="M112" s="826" t="str">
        <f t="shared" si="13"/>
        <v>F,MOHAMMED,ISLA,AYBS,210910,011833,11</v>
      </c>
      <c r="N112" s="826" t="str">
        <f t="shared" si="14"/>
        <v>F,MOHAMMED,ISLA,AYBS,210910,011833,11,F</v>
      </c>
      <c r="O112" s="824"/>
      <c r="P112" s="824" t="str">
        <f t="shared" si="15"/>
        <v>01:18.33</v>
      </c>
      <c r="Q112" s="824" t="str">
        <f t="shared" si="16"/>
        <v>011833</v>
      </c>
      <c r="R112" s="825" t="str">
        <f t="shared" si="17"/>
        <v>F,MOHAMMED,ISLA,AYBS,210910,011833,11,F</v>
      </c>
      <c r="S112" s="830"/>
      <c r="T112" s="831"/>
      <c r="U112" s="831"/>
      <c r="V112" s="820"/>
    </row>
    <row r="113" spans="1:22" ht="12.75" customHeight="1" x14ac:dyDescent="0.25">
      <c r="A113" s="820"/>
      <c r="B113" s="821" t="s">
        <v>4635</v>
      </c>
      <c r="C113" s="821" t="str">
        <f>'Team 5'!J50</f>
        <v>Macklin,Mia</v>
      </c>
      <c r="D113" s="821" t="str">
        <f>'Gala Setup'!Q$8</f>
        <v>BTRT</v>
      </c>
      <c r="E113" s="822" t="str">
        <f>'Team 5'!L50</f>
        <v>280508</v>
      </c>
      <c r="F113" s="823">
        <f>'print 10 lane'!U$70</f>
        <v>8.155092592592592E-4</v>
      </c>
      <c r="G113" s="821">
        <f>'Team 1'!$D$50</f>
        <v>11</v>
      </c>
      <c r="H113" s="821" t="s">
        <v>4635</v>
      </c>
      <c r="I113" s="821" t="str">
        <f t="shared" si="9"/>
        <v>F,Macklin,Mia</v>
      </c>
      <c r="J113" s="821" t="str">
        <f t="shared" si="10"/>
        <v>F,Macklin,Mia,BTRT</v>
      </c>
      <c r="K113" s="821" t="str">
        <f t="shared" si="11"/>
        <v>F,Macklin,Mia,BTRT,280508</v>
      </c>
      <c r="L113" s="821" t="str">
        <f t="shared" si="12"/>
        <v>F,Macklin,Mia,BTRT,280508,011046</v>
      </c>
      <c r="M113" s="821" t="str">
        <f t="shared" si="13"/>
        <v>F,Macklin,Mia,BTRT,280508,011046,11</v>
      </c>
      <c r="N113" s="821" t="str">
        <f t="shared" si="14"/>
        <v>F,Macklin,Mia,BTRT,280508,011046,11,F</v>
      </c>
      <c r="O113" s="824"/>
      <c r="P113" s="824" t="str">
        <f t="shared" si="15"/>
        <v>01:10.46</v>
      </c>
      <c r="Q113" s="824" t="str">
        <f t="shared" si="16"/>
        <v>011046</v>
      </c>
      <c r="R113" s="825" t="str">
        <f t="shared" si="17"/>
        <v>F,Macklin,Mia,BTRT,280508,011046,11,F</v>
      </c>
      <c r="S113" s="830"/>
      <c r="T113" s="831"/>
      <c r="U113" s="831"/>
      <c r="V113" s="820"/>
    </row>
    <row r="114" spans="1:22" ht="12.75" customHeight="1" x14ac:dyDescent="0.25">
      <c r="A114" s="820"/>
      <c r="B114" s="821" t="s">
        <v>4635</v>
      </c>
      <c r="C114" s="821" t="str">
        <f>'Team 5'!J44</f>
        <v>Edwards,Kathryn</v>
      </c>
      <c r="D114" s="821" t="str">
        <f>'Gala Setup'!Q$8</f>
        <v>BTRT</v>
      </c>
      <c r="E114" s="822" t="str">
        <f>'Team 5'!L44</f>
        <v>150507</v>
      </c>
      <c r="F114" s="823">
        <f>'print 10 lane'!U$52</f>
        <v>8.6215277777777777E-4</v>
      </c>
      <c r="G114" s="821">
        <f>'Team 1'!$D$44</f>
        <v>11</v>
      </c>
      <c r="H114" s="821" t="s">
        <v>4635</v>
      </c>
      <c r="I114" s="821" t="str">
        <f t="shared" si="9"/>
        <v>F,Edwards,Kathryn</v>
      </c>
      <c r="J114" s="821" t="str">
        <f t="shared" si="10"/>
        <v>F,Edwards,Kathryn,BTRT</v>
      </c>
      <c r="K114" s="821" t="str">
        <f t="shared" si="11"/>
        <v>F,Edwards,Kathryn,BTRT,150507</v>
      </c>
      <c r="L114" s="821" t="str">
        <f t="shared" si="12"/>
        <v>F,Edwards,Kathryn,BTRT,150507,011449</v>
      </c>
      <c r="M114" s="821" t="str">
        <f t="shared" si="13"/>
        <v>F,Edwards,Kathryn,BTRT,150507,011449,11</v>
      </c>
      <c r="N114" s="821" t="str">
        <f t="shared" si="14"/>
        <v>F,Edwards,Kathryn,BTRT,150507,011449,11,F</v>
      </c>
      <c r="O114" s="824"/>
      <c r="P114" s="824" t="str">
        <f t="shared" si="15"/>
        <v>01:14.49</v>
      </c>
      <c r="Q114" s="824" t="str">
        <f t="shared" si="16"/>
        <v>011449</v>
      </c>
      <c r="R114" s="825" t="str">
        <f t="shared" si="17"/>
        <v>F,Edwards,Kathryn,BTRT,150507,011449,11,F</v>
      </c>
      <c r="S114" s="830"/>
      <c r="T114" s="831"/>
      <c r="U114" s="831"/>
      <c r="V114" s="820"/>
    </row>
    <row r="115" spans="1:22" ht="12.75" customHeight="1" x14ac:dyDescent="0.25">
      <c r="A115" s="820"/>
      <c r="B115" s="821" t="s">
        <v>4635</v>
      </c>
      <c r="C115" s="821" t="str">
        <f>'Team 5'!J56</f>
        <v>Baker,Aimee</v>
      </c>
      <c r="D115" s="821" t="str">
        <f>'Gala Setup'!Q$8</f>
        <v>BTRT</v>
      </c>
      <c r="E115" s="822" t="str">
        <f>'Team 5'!L56</f>
        <v>250910</v>
      </c>
      <c r="F115" s="823">
        <f>'print 10 lane'!U$88</f>
        <v>9.0937499999999992E-4</v>
      </c>
      <c r="G115" s="821">
        <f>'Team 1'!$D$56</f>
        <v>11</v>
      </c>
      <c r="H115" s="821" t="s">
        <v>4635</v>
      </c>
      <c r="I115" s="821" t="str">
        <f t="shared" si="9"/>
        <v>F,Baker,Aimee</v>
      </c>
      <c r="J115" s="821" t="str">
        <f t="shared" si="10"/>
        <v>F,Baker,Aimee,BTRT</v>
      </c>
      <c r="K115" s="821" t="str">
        <f t="shared" si="11"/>
        <v>F,Baker,Aimee,BTRT,250910</v>
      </c>
      <c r="L115" s="821" t="str">
        <f t="shared" si="12"/>
        <v>F,Baker,Aimee,BTRT,250910,011857</v>
      </c>
      <c r="M115" s="821" t="str">
        <f t="shared" si="13"/>
        <v>F,Baker,Aimee,BTRT,250910,011857,11</v>
      </c>
      <c r="N115" s="821" t="str">
        <f t="shared" si="14"/>
        <v>F,Baker,Aimee,BTRT,250910,011857,11,F</v>
      </c>
      <c r="O115" s="824"/>
      <c r="P115" s="824" t="str">
        <f t="shared" si="15"/>
        <v>01:18.57</v>
      </c>
      <c r="Q115" s="824" t="str">
        <f t="shared" si="16"/>
        <v>011857</v>
      </c>
      <c r="R115" s="825" t="str">
        <f t="shared" si="17"/>
        <v>F,Baker,Aimee,BTRT,250910,011857,11,F</v>
      </c>
      <c r="S115" s="830"/>
      <c r="T115" s="831"/>
      <c r="U115" s="831"/>
      <c r="V115" s="820"/>
    </row>
    <row r="116" spans="1:22" ht="12.75" customHeight="1" x14ac:dyDescent="0.25">
      <c r="A116" s="820"/>
      <c r="B116" s="826" t="s">
        <v>4635</v>
      </c>
      <c r="C116" s="826" t="str">
        <f>'Team 6'!J44</f>
        <v>Leksander,Laura</v>
      </c>
      <c r="D116" s="826" t="str">
        <f>'Gala Setup'!Q$9</f>
        <v>HAWL</v>
      </c>
      <c r="E116" s="827" t="str">
        <f>'Team 6'!L44</f>
        <v>200408</v>
      </c>
      <c r="F116" s="823">
        <f>'print 10 lane'!X$52</f>
        <v>9.0601851851851857E-4</v>
      </c>
      <c r="G116" s="826">
        <f>'Team 1'!$D$44</f>
        <v>11</v>
      </c>
      <c r="H116" s="826" t="s">
        <v>4635</v>
      </c>
      <c r="I116" s="826" t="str">
        <f t="shared" si="9"/>
        <v>F,Leksander,Laura</v>
      </c>
      <c r="J116" s="826" t="str">
        <f t="shared" si="10"/>
        <v>F,Leksander,Laura,HAWL</v>
      </c>
      <c r="K116" s="826" t="str">
        <f t="shared" si="11"/>
        <v>F,Leksander,Laura,HAWL,200408</v>
      </c>
      <c r="L116" s="821" t="str">
        <f t="shared" si="12"/>
        <v>F,Leksander,Laura,HAWL,200408,011828</v>
      </c>
      <c r="M116" s="826" t="str">
        <f t="shared" si="13"/>
        <v>F,Leksander,Laura,HAWL,200408,011828,11</v>
      </c>
      <c r="N116" s="826" t="str">
        <f t="shared" si="14"/>
        <v>F,Leksander,Laura,HAWL,200408,011828,11,F</v>
      </c>
      <c r="O116" s="824"/>
      <c r="P116" s="824" t="str">
        <f t="shared" si="15"/>
        <v>01:18.28</v>
      </c>
      <c r="Q116" s="824" t="str">
        <f t="shared" si="16"/>
        <v>011828</v>
      </c>
      <c r="R116" s="825" t="str">
        <f t="shared" si="17"/>
        <v>F,Leksander,Laura,HAWL,200408,011828,11,F</v>
      </c>
      <c r="S116" s="830"/>
      <c r="T116" s="831"/>
      <c r="U116" s="831"/>
      <c r="V116" s="820"/>
    </row>
    <row r="117" spans="1:22" ht="12.75" customHeight="1" x14ac:dyDescent="0.25">
      <c r="A117" s="820"/>
      <c r="B117" s="826" t="s">
        <v>4635</v>
      </c>
      <c r="C117" s="826" t="str">
        <f>'Team 6'!J50</f>
        <v xml:space="preserve">Bostan,Crina Stefania </v>
      </c>
      <c r="D117" s="826" t="str">
        <f>'Gala Setup'!Q$9</f>
        <v>HAWL</v>
      </c>
      <c r="E117" s="827" t="str">
        <f>'Team 6'!L50</f>
        <v>120409</v>
      </c>
      <c r="F117" s="823">
        <f>'print 10 lane'!X$70</f>
        <v>9.3287037037037036E-4</v>
      </c>
      <c r="G117" s="826">
        <f>'Team 1'!$D$50</f>
        <v>11</v>
      </c>
      <c r="H117" s="826" t="s">
        <v>4635</v>
      </c>
      <c r="I117" s="826" t="str">
        <f t="shared" si="9"/>
        <v xml:space="preserve">F,Bostan,Crina Stefania </v>
      </c>
      <c r="J117" s="826" t="str">
        <f t="shared" si="10"/>
        <v>F,Bostan,Crina Stefania ,HAWL</v>
      </c>
      <c r="K117" s="826" t="str">
        <f t="shared" si="11"/>
        <v>F,Bostan,Crina Stefania ,HAWL,120409</v>
      </c>
      <c r="L117" s="821" t="str">
        <f t="shared" si="12"/>
        <v>F,Bostan,Crina Stefania ,HAWL,120409,012060</v>
      </c>
      <c r="M117" s="826" t="str">
        <f t="shared" si="13"/>
        <v>F,Bostan,Crina Stefania ,HAWL,120409,012060,11</v>
      </c>
      <c r="N117" s="826" t="str">
        <f t="shared" si="14"/>
        <v>F,Bostan,Crina Stefania ,HAWL,120409,012060,11,F</v>
      </c>
      <c r="O117" s="824"/>
      <c r="P117" s="824" t="str">
        <f t="shared" si="15"/>
        <v>01:20.60</v>
      </c>
      <c r="Q117" s="824" t="str">
        <f t="shared" si="16"/>
        <v>012060</v>
      </c>
      <c r="R117" s="825" t="str">
        <f t="shared" si="17"/>
        <v>F,Bostan,Crina Stefania ,HAWL,120409,012060,11,F</v>
      </c>
      <c r="S117" s="830"/>
      <c r="T117" s="831"/>
      <c r="U117" s="831"/>
      <c r="V117" s="820"/>
    </row>
    <row r="118" spans="1:22" ht="12.75" customHeight="1" x14ac:dyDescent="0.25">
      <c r="A118" s="820"/>
      <c r="B118" s="826" t="s">
        <v>4635</v>
      </c>
      <c r="C118" s="826" t="str">
        <f>'Team 6'!J56</f>
        <v>Sum,Emma</v>
      </c>
      <c r="D118" s="826" t="str">
        <f>'Gala Setup'!Q$9</f>
        <v>HAWL</v>
      </c>
      <c r="E118" s="827" t="str">
        <f>'Team 6'!L56</f>
        <v>210410</v>
      </c>
      <c r="F118" s="823">
        <f>'print 10 lane'!X$88</f>
        <v>9.300925925925926E-4</v>
      </c>
      <c r="G118" s="826">
        <f>'Team 1'!$D$56</f>
        <v>11</v>
      </c>
      <c r="H118" s="826" t="s">
        <v>4635</v>
      </c>
      <c r="I118" s="826" t="str">
        <f t="shared" si="9"/>
        <v>F,Sum,Emma</v>
      </c>
      <c r="J118" s="826" t="str">
        <f t="shared" si="10"/>
        <v>F,Sum,Emma,HAWL</v>
      </c>
      <c r="K118" s="826" t="str">
        <f t="shared" si="11"/>
        <v>F,Sum,Emma,HAWL,210410</v>
      </c>
      <c r="L118" s="821" t="str">
        <f t="shared" si="12"/>
        <v>F,Sum,Emma,HAWL,210410,012036</v>
      </c>
      <c r="M118" s="826" t="str">
        <f t="shared" si="13"/>
        <v>F,Sum,Emma,HAWL,210410,012036,11</v>
      </c>
      <c r="N118" s="826" t="str">
        <f t="shared" si="14"/>
        <v>F,Sum,Emma,HAWL,210410,012036,11,F</v>
      </c>
      <c r="O118" s="824"/>
      <c r="P118" s="824" t="str">
        <f t="shared" si="15"/>
        <v>01:20.36</v>
      </c>
      <c r="Q118" s="824" t="str">
        <f t="shared" si="16"/>
        <v>012036</v>
      </c>
      <c r="R118" s="825" t="str">
        <f t="shared" si="17"/>
        <v>F,Sum,Emma,HAWL,210410,012036,11,F</v>
      </c>
      <c r="S118" s="830"/>
      <c r="T118" s="831"/>
      <c r="U118" s="831"/>
      <c r="V118" s="820"/>
    </row>
    <row r="119" spans="1:22" ht="12.75" customHeight="1" x14ac:dyDescent="0.25">
      <c r="A119" s="820"/>
      <c r="B119" s="821" t="s">
        <v>4635</v>
      </c>
      <c r="C119" s="821" t="str">
        <f>'Team 7'!J56</f>
        <v>Curle,Mia</v>
      </c>
      <c r="D119" s="821" t="str">
        <f>'Gala Setup'!Q$10</f>
        <v>HISL</v>
      </c>
      <c r="E119" s="822" t="str">
        <f>'Team 7'!L56</f>
        <v>291211</v>
      </c>
      <c r="F119" s="823">
        <f>'print 10 lane'!AA$88</f>
        <v>1.016087962962963E-3</v>
      </c>
      <c r="G119" s="821">
        <f>'Team 1'!$D$56</f>
        <v>11</v>
      </c>
      <c r="H119" s="821" t="s">
        <v>4635</v>
      </c>
      <c r="I119" s="821" t="str">
        <f t="shared" si="9"/>
        <v>F,Curle,Mia</v>
      </c>
      <c r="J119" s="821" t="str">
        <f t="shared" si="10"/>
        <v>F,Curle,Mia,HISL</v>
      </c>
      <c r="K119" s="821" t="str">
        <f t="shared" si="11"/>
        <v>F,Curle,Mia,HISL,291211</v>
      </c>
      <c r="L119" s="821" t="str">
        <f t="shared" si="12"/>
        <v>F,Curle,Mia,HISL,291211,012779</v>
      </c>
      <c r="M119" s="821" t="str">
        <f t="shared" si="13"/>
        <v>F,Curle,Mia,HISL,291211,012779,11</v>
      </c>
      <c r="N119" s="821" t="str">
        <f t="shared" si="14"/>
        <v>F,Curle,Mia,HISL,291211,012779,11,F</v>
      </c>
      <c r="O119" s="824"/>
      <c r="P119" s="824" t="str">
        <f t="shared" si="15"/>
        <v>01:27.79</v>
      </c>
      <c r="Q119" s="824" t="str">
        <f t="shared" si="16"/>
        <v>012779</v>
      </c>
      <c r="R119" s="825" t="str">
        <f t="shared" si="17"/>
        <v>F,Curle,Mia,HISL,291211,012779,11,F</v>
      </c>
      <c r="S119" s="830"/>
      <c r="T119" s="831"/>
      <c r="U119" s="831"/>
      <c r="V119" s="820"/>
    </row>
    <row r="120" spans="1:22" ht="12.75" customHeight="1" x14ac:dyDescent="0.25">
      <c r="A120" s="820"/>
      <c r="B120" s="821" t="s">
        <v>4635</v>
      </c>
      <c r="C120" s="821" t="str">
        <f>'Team 7'!J50</f>
        <v>Brannigan,Keira</v>
      </c>
      <c r="D120" s="821" t="str">
        <f>'Gala Setup'!Q$10</f>
        <v>HISL</v>
      </c>
      <c r="E120" s="822" t="str">
        <f>'Team 7'!L50</f>
        <v>150908</v>
      </c>
      <c r="F120" s="823">
        <f>'print 10 lane'!AA$70</f>
        <v>8.5023148148148143E-4</v>
      </c>
      <c r="G120" s="821">
        <f>'Team 1'!$D$50</f>
        <v>11</v>
      </c>
      <c r="H120" s="821" t="s">
        <v>4635</v>
      </c>
      <c r="I120" s="821" t="str">
        <f t="shared" si="9"/>
        <v>F,Brannigan,Keira</v>
      </c>
      <c r="J120" s="821" t="str">
        <f t="shared" si="10"/>
        <v>F,Brannigan,Keira,HISL</v>
      </c>
      <c r="K120" s="821" t="str">
        <f t="shared" si="11"/>
        <v>F,Brannigan,Keira,HISL,150908</v>
      </c>
      <c r="L120" s="821" t="str">
        <f t="shared" si="12"/>
        <v>F,Brannigan,Keira,HISL,150908,011346</v>
      </c>
      <c r="M120" s="821" t="str">
        <f t="shared" si="13"/>
        <v>F,Brannigan,Keira,HISL,150908,011346,11</v>
      </c>
      <c r="N120" s="821" t="str">
        <f t="shared" si="14"/>
        <v>F,Brannigan,Keira,HISL,150908,011346,11,F</v>
      </c>
      <c r="O120" s="824"/>
      <c r="P120" s="824" t="str">
        <f t="shared" si="15"/>
        <v>01:13.46</v>
      </c>
      <c r="Q120" s="824" t="str">
        <f t="shared" si="16"/>
        <v>011346</v>
      </c>
      <c r="R120" s="825" t="str">
        <f t="shared" si="17"/>
        <v>F,Brannigan,Keira,HISL,150908,011346,11,F</v>
      </c>
      <c r="S120" s="830"/>
      <c r="T120" s="831"/>
      <c r="U120" s="831"/>
      <c r="V120" s="820"/>
    </row>
    <row r="121" spans="1:22" ht="12.75" customHeight="1" x14ac:dyDescent="0.25">
      <c r="A121" s="820"/>
      <c r="B121" s="821" t="s">
        <v>4635</v>
      </c>
      <c r="C121" s="821" t="str">
        <f>'Team 7'!J44</f>
        <v>Brannigan,Keira</v>
      </c>
      <c r="D121" s="821" t="str">
        <f>'Gala Setup'!Q$10</f>
        <v>HISL</v>
      </c>
      <c r="E121" s="822" t="str">
        <f>'Team 7'!L44</f>
        <v>150908</v>
      </c>
      <c r="F121" s="823">
        <f>'print 10 lane'!AA$52</f>
        <v>8.9131944444444447E-4</v>
      </c>
      <c r="G121" s="821">
        <f>'Team 1'!$D$44</f>
        <v>11</v>
      </c>
      <c r="H121" s="821" t="s">
        <v>4635</v>
      </c>
      <c r="I121" s="821" t="str">
        <f t="shared" si="9"/>
        <v>F,Brannigan,Keira</v>
      </c>
      <c r="J121" s="821" t="str">
        <f t="shared" si="10"/>
        <v>F,Brannigan,Keira,HISL</v>
      </c>
      <c r="K121" s="821" t="str">
        <f t="shared" si="11"/>
        <v>F,Brannigan,Keira,HISL,150908</v>
      </c>
      <c r="L121" s="821" t="str">
        <f t="shared" si="12"/>
        <v>F,Brannigan,Keira,HISL,150908,011701</v>
      </c>
      <c r="M121" s="821" t="str">
        <f t="shared" si="13"/>
        <v>F,Brannigan,Keira,HISL,150908,011701,11</v>
      </c>
      <c r="N121" s="821" t="str">
        <f t="shared" si="14"/>
        <v>F,Brannigan,Keira,HISL,150908,011701,11,F</v>
      </c>
      <c r="O121" s="824"/>
      <c r="P121" s="824" t="str">
        <f t="shared" si="15"/>
        <v>01:17.01</v>
      </c>
      <c r="Q121" s="824" t="str">
        <f t="shared" si="16"/>
        <v>011701</v>
      </c>
      <c r="R121" s="825" t="str">
        <f t="shared" si="17"/>
        <v>F,Brannigan,Keira,HISL,150908,011701,11,F</v>
      </c>
      <c r="S121" s="830"/>
      <c r="T121" s="831"/>
      <c r="U121" s="831"/>
      <c r="V121" s="820"/>
    </row>
    <row r="122" spans="1:22" ht="12.75" customHeight="1" x14ac:dyDescent="0.25">
      <c r="A122" s="820"/>
      <c r="B122" s="826" t="s">
        <v>4635</v>
      </c>
      <c r="C122" s="826" t="str">
        <f>'Team 8'!J56</f>
        <v>,</v>
      </c>
      <c r="D122" s="826">
        <f>'Gala Setup'!Q$11</f>
        <v>0</v>
      </c>
      <c r="E122" s="827" t="str">
        <f>'Team 8'!L56</f>
        <v>000100</v>
      </c>
      <c r="F122" s="823">
        <f>'print 10 lane'!AD$88</f>
        <v>0</v>
      </c>
      <c r="G122" s="826">
        <f>'Team 1'!$D$56</f>
        <v>11</v>
      </c>
      <c r="H122" s="826" t="s">
        <v>4635</v>
      </c>
      <c r="I122" s="826" t="str">
        <f t="shared" si="9"/>
        <v>F,,</v>
      </c>
      <c r="J122" s="826" t="str">
        <f t="shared" si="10"/>
        <v>F,,,0</v>
      </c>
      <c r="K122" s="826" t="str">
        <f t="shared" si="11"/>
        <v>F,,,0,000100</v>
      </c>
      <c r="L122" s="821" t="str">
        <f t="shared" si="12"/>
        <v>F,,,0,000100,000000</v>
      </c>
      <c r="M122" s="826" t="str">
        <f t="shared" si="13"/>
        <v>F,,,0,000100,000000,11</v>
      </c>
      <c r="N122" s="826" t="str">
        <f t="shared" si="14"/>
        <v>F,,,0,000100,000000,11,F</v>
      </c>
      <c r="O122" s="824"/>
      <c r="P122" s="824" t="str">
        <f t="shared" si="15"/>
        <v>00:00.00</v>
      </c>
      <c r="Q122" s="824" t="str">
        <f t="shared" si="16"/>
        <v>000000</v>
      </c>
      <c r="R122" s="825" t="str">
        <f t="shared" si="17"/>
        <v/>
      </c>
      <c r="S122" s="830"/>
      <c r="T122" s="831"/>
      <c r="U122" s="831"/>
      <c r="V122" s="820"/>
    </row>
    <row r="123" spans="1:22" ht="12.75" customHeight="1" x14ac:dyDescent="0.25">
      <c r="A123" s="820"/>
      <c r="B123" s="826" t="s">
        <v>4635</v>
      </c>
      <c r="C123" s="826" t="str">
        <f>'Team 8'!J50</f>
        <v>,</v>
      </c>
      <c r="D123" s="826">
        <f>'Gala Setup'!Q$11</f>
        <v>0</v>
      </c>
      <c r="E123" s="827" t="str">
        <f>'Team 8'!L50</f>
        <v>000100</v>
      </c>
      <c r="F123" s="823">
        <f>'print 10 lane'!AD$70</f>
        <v>0</v>
      </c>
      <c r="G123" s="826">
        <f>'Team 1'!$D$50</f>
        <v>11</v>
      </c>
      <c r="H123" s="826" t="s">
        <v>4635</v>
      </c>
      <c r="I123" s="826" t="str">
        <f t="shared" si="9"/>
        <v>F,,</v>
      </c>
      <c r="J123" s="826" t="str">
        <f t="shared" si="10"/>
        <v>F,,,0</v>
      </c>
      <c r="K123" s="826" t="str">
        <f t="shared" si="11"/>
        <v>F,,,0,000100</v>
      </c>
      <c r="L123" s="821" t="str">
        <f t="shared" si="12"/>
        <v>F,,,0,000100,000000</v>
      </c>
      <c r="M123" s="826" t="str">
        <f t="shared" si="13"/>
        <v>F,,,0,000100,000000,11</v>
      </c>
      <c r="N123" s="826" t="str">
        <f t="shared" si="14"/>
        <v>F,,,0,000100,000000,11,F</v>
      </c>
      <c r="O123" s="824"/>
      <c r="P123" s="824" t="str">
        <f t="shared" si="15"/>
        <v>00:00.00</v>
      </c>
      <c r="Q123" s="824" t="str">
        <f t="shared" si="16"/>
        <v>000000</v>
      </c>
      <c r="R123" s="825" t="str">
        <f t="shared" si="17"/>
        <v/>
      </c>
      <c r="S123" s="830"/>
      <c r="T123" s="831"/>
      <c r="U123" s="831"/>
      <c r="V123" s="820"/>
    </row>
    <row r="124" spans="1:22" ht="12.75" customHeight="1" x14ac:dyDescent="0.25">
      <c r="A124" s="820"/>
      <c r="B124" s="826" t="s">
        <v>4635</v>
      </c>
      <c r="C124" s="826" t="str">
        <f>'Team 8'!J44</f>
        <v>,</v>
      </c>
      <c r="D124" s="826">
        <f>'Gala Setup'!Q$11</f>
        <v>0</v>
      </c>
      <c r="E124" s="827" t="str">
        <f>'Team 8'!L44</f>
        <v>000100</v>
      </c>
      <c r="F124" s="823">
        <f>'print 10 lane'!AD$52</f>
        <v>0</v>
      </c>
      <c r="G124" s="826">
        <f>'Team 1'!$D$44</f>
        <v>11</v>
      </c>
      <c r="H124" s="826" t="s">
        <v>4635</v>
      </c>
      <c r="I124" s="826" t="str">
        <f t="shared" si="9"/>
        <v>F,,</v>
      </c>
      <c r="J124" s="826" t="str">
        <f t="shared" si="10"/>
        <v>F,,,0</v>
      </c>
      <c r="K124" s="826" t="str">
        <f t="shared" si="11"/>
        <v>F,,,0,000100</v>
      </c>
      <c r="L124" s="821" t="str">
        <f t="shared" si="12"/>
        <v>F,,,0,000100,000000</v>
      </c>
      <c r="M124" s="826" t="str">
        <f t="shared" si="13"/>
        <v>F,,,0,000100,000000,11</v>
      </c>
      <c r="N124" s="826" t="str">
        <f t="shared" si="14"/>
        <v>F,,,0,000100,000000,11,F</v>
      </c>
      <c r="O124" s="824"/>
      <c r="P124" s="824" t="str">
        <f t="shared" si="15"/>
        <v>00:00.00</v>
      </c>
      <c r="Q124" s="824" t="str">
        <f t="shared" si="16"/>
        <v>000000</v>
      </c>
      <c r="R124" s="825" t="str">
        <f t="shared" si="17"/>
        <v/>
      </c>
      <c r="S124" s="830"/>
      <c r="T124" s="831"/>
      <c r="U124" s="831"/>
      <c r="V124" s="820"/>
    </row>
    <row r="125" spans="1:22" ht="12.75" customHeight="1" x14ac:dyDescent="0.25">
      <c r="A125" s="820"/>
      <c r="B125" s="821" t="s">
        <v>4635</v>
      </c>
      <c r="C125" s="821" t="str">
        <f>'Team 9'!J50</f>
        <v>,</v>
      </c>
      <c r="D125" s="821">
        <f>'Gala Setup'!Q$12</f>
        <v>0</v>
      </c>
      <c r="E125" s="822" t="str">
        <f>'Team 9'!L50</f>
        <v>000100</v>
      </c>
      <c r="F125" s="823">
        <f>'print 10 lane'!AG$70</f>
        <v>0</v>
      </c>
      <c r="G125" s="821">
        <f>'Team 1'!$D$50</f>
        <v>11</v>
      </c>
      <c r="H125" s="821" t="s">
        <v>4635</v>
      </c>
      <c r="I125" s="821" t="str">
        <f t="shared" si="9"/>
        <v>F,,</v>
      </c>
      <c r="J125" s="821" t="str">
        <f t="shared" si="10"/>
        <v>F,,,0</v>
      </c>
      <c r="K125" s="821" t="str">
        <f t="shared" si="11"/>
        <v>F,,,0,000100</v>
      </c>
      <c r="L125" s="821" t="str">
        <f t="shared" si="12"/>
        <v>F,,,0,000100,000000</v>
      </c>
      <c r="M125" s="821" t="str">
        <f t="shared" si="13"/>
        <v>F,,,0,000100,000000,11</v>
      </c>
      <c r="N125" s="821" t="str">
        <f t="shared" si="14"/>
        <v>F,,,0,000100,000000,11,F</v>
      </c>
      <c r="O125" s="824"/>
      <c r="P125" s="824" t="str">
        <f t="shared" si="15"/>
        <v>00:00.00</v>
      </c>
      <c r="Q125" s="824" t="str">
        <f t="shared" si="16"/>
        <v>000000</v>
      </c>
      <c r="R125" s="825" t="str">
        <f t="shared" si="17"/>
        <v/>
      </c>
      <c r="S125" s="830"/>
      <c r="T125" s="831"/>
      <c r="U125" s="831"/>
      <c r="V125" s="820"/>
    </row>
    <row r="126" spans="1:22" ht="12.75" customHeight="1" x14ac:dyDescent="0.25">
      <c r="A126" s="820"/>
      <c r="B126" s="821" t="s">
        <v>4635</v>
      </c>
      <c r="C126" s="821" t="str">
        <f>'Team 9'!J56</f>
        <v>,</v>
      </c>
      <c r="D126" s="821">
        <f>'Gala Setup'!Q$12</f>
        <v>0</v>
      </c>
      <c r="E126" s="822" t="str">
        <f>'Team 9'!L56</f>
        <v>000100</v>
      </c>
      <c r="F126" s="823">
        <f>'print 10 lane'!AG$88</f>
        <v>0</v>
      </c>
      <c r="G126" s="821">
        <f>'Team 1'!$D$56</f>
        <v>11</v>
      </c>
      <c r="H126" s="821" t="s">
        <v>4635</v>
      </c>
      <c r="I126" s="821" t="str">
        <f t="shared" si="9"/>
        <v>F,,</v>
      </c>
      <c r="J126" s="821" t="str">
        <f t="shared" si="10"/>
        <v>F,,,0</v>
      </c>
      <c r="K126" s="821" t="str">
        <f t="shared" si="11"/>
        <v>F,,,0,000100</v>
      </c>
      <c r="L126" s="821" t="str">
        <f t="shared" si="12"/>
        <v>F,,,0,000100,000000</v>
      </c>
      <c r="M126" s="821" t="str">
        <f t="shared" si="13"/>
        <v>F,,,0,000100,000000,11</v>
      </c>
      <c r="N126" s="821" t="str">
        <f t="shared" si="14"/>
        <v>F,,,0,000100,000000,11,F</v>
      </c>
      <c r="O126" s="824"/>
      <c r="P126" s="824" t="str">
        <f t="shared" si="15"/>
        <v>00:00.00</v>
      </c>
      <c r="Q126" s="824" t="str">
        <f t="shared" si="16"/>
        <v>000000</v>
      </c>
      <c r="R126" s="825" t="str">
        <f t="shared" si="17"/>
        <v/>
      </c>
      <c r="S126" s="830"/>
      <c r="T126" s="831"/>
      <c r="U126" s="831"/>
      <c r="V126" s="820"/>
    </row>
    <row r="127" spans="1:22" ht="12.75" customHeight="1" x14ac:dyDescent="0.25">
      <c r="A127" s="820"/>
      <c r="B127" s="821" t="s">
        <v>4635</v>
      </c>
      <c r="C127" s="821" t="str">
        <f>'Team 9'!J44</f>
        <v>,</v>
      </c>
      <c r="D127" s="821">
        <f>'Gala Setup'!Q$12</f>
        <v>0</v>
      </c>
      <c r="E127" s="822" t="str">
        <f>'Team 9'!L44</f>
        <v>000100</v>
      </c>
      <c r="F127" s="823">
        <f>'print 10 lane'!AG$52</f>
        <v>0</v>
      </c>
      <c r="G127" s="821">
        <f>'Team 1'!$D$44</f>
        <v>11</v>
      </c>
      <c r="H127" s="821" t="s">
        <v>4635</v>
      </c>
      <c r="I127" s="821" t="str">
        <f t="shared" si="9"/>
        <v>F,,</v>
      </c>
      <c r="J127" s="821" t="str">
        <f t="shared" si="10"/>
        <v>F,,,0</v>
      </c>
      <c r="K127" s="821" t="str">
        <f t="shared" si="11"/>
        <v>F,,,0,000100</v>
      </c>
      <c r="L127" s="821" t="str">
        <f t="shared" si="12"/>
        <v>F,,,0,000100,000000</v>
      </c>
      <c r="M127" s="821" t="str">
        <f t="shared" si="13"/>
        <v>F,,,0,000100,000000,11</v>
      </c>
      <c r="N127" s="821" t="str">
        <f t="shared" si="14"/>
        <v>F,,,0,000100,000000,11,F</v>
      </c>
      <c r="O127" s="824"/>
      <c r="P127" s="824" t="str">
        <f t="shared" si="15"/>
        <v>00:00.00</v>
      </c>
      <c r="Q127" s="824" t="str">
        <f t="shared" si="16"/>
        <v>000000</v>
      </c>
      <c r="R127" s="825" t="str">
        <f t="shared" si="17"/>
        <v/>
      </c>
      <c r="S127" s="830"/>
      <c r="T127" s="831"/>
      <c r="U127" s="831"/>
      <c r="V127" s="820"/>
    </row>
    <row r="128" spans="1:22" ht="12.75" customHeight="1" x14ac:dyDescent="0.25">
      <c r="A128" s="820"/>
      <c r="B128" s="826" t="s">
        <v>4635</v>
      </c>
      <c r="C128" s="826" t="str">
        <f>'Team 10'!J56</f>
        <v>,</v>
      </c>
      <c r="D128" s="826">
        <f>'Gala Setup'!Q$13</f>
        <v>0</v>
      </c>
      <c r="E128" s="827" t="str">
        <f>'Team 10'!L56</f>
        <v>000100</v>
      </c>
      <c r="F128" s="823">
        <f>'print 10 lane'!AJ$88</f>
        <v>0</v>
      </c>
      <c r="G128" s="826">
        <f>'Team 1'!$D$56</f>
        <v>11</v>
      </c>
      <c r="H128" s="826" t="s">
        <v>4635</v>
      </c>
      <c r="I128" s="826" t="str">
        <f t="shared" si="9"/>
        <v>F,,</v>
      </c>
      <c r="J128" s="826" t="str">
        <f t="shared" si="10"/>
        <v>F,,,0</v>
      </c>
      <c r="K128" s="826" t="str">
        <f t="shared" si="11"/>
        <v>F,,,0,000100</v>
      </c>
      <c r="L128" s="821" t="str">
        <f t="shared" si="12"/>
        <v>F,,,0,000100,000000</v>
      </c>
      <c r="M128" s="826" t="str">
        <f t="shared" si="13"/>
        <v>F,,,0,000100,000000,11</v>
      </c>
      <c r="N128" s="826" t="str">
        <f t="shared" si="14"/>
        <v>F,,,0,000100,000000,11,F</v>
      </c>
      <c r="O128" s="824"/>
      <c r="P128" s="824" t="str">
        <f t="shared" si="15"/>
        <v>00:00.00</v>
      </c>
      <c r="Q128" s="824" t="str">
        <f t="shared" si="16"/>
        <v>000000</v>
      </c>
      <c r="R128" s="825" t="str">
        <f t="shared" si="17"/>
        <v/>
      </c>
      <c r="S128" s="830"/>
      <c r="T128" s="831"/>
      <c r="U128" s="831"/>
      <c r="V128" s="820"/>
    </row>
    <row r="129" spans="1:22" ht="12.75" customHeight="1" x14ac:dyDescent="0.25">
      <c r="A129" s="820"/>
      <c r="B129" s="826" t="s">
        <v>4635</v>
      </c>
      <c r="C129" s="826" t="str">
        <f>'Team 10'!J50</f>
        <v>,</v>
      </c>
      <c r="D129" s="826">
        <f>'Gala Setup'!Q$13</f>
        <v>0</v>
      </c>
      <c r="E129" s="827" t="str">
        <f>'Team 10'!L50</f>
        <v>000100</v>
      </c>
      <c r="F129" s="823">
        <f>'print 10 lane'!AJ$70</f>
        <v>0</v>
      </c>
      <c r="G129" s="826">
        <f>'Team 1'!$D$50</f>
        <v>11</v>
      </c>
      <c r="H129" s="826" t="s">
        <v>4635</v>
      </c>
      <c r="I129" s="826" t="str">
        <f t="shared" ref="I129:I192" si="18">CONCATENATE(B129,",",C129)</f>
        <v>F,,</v>
      </c>
      <c r="J129" s="826" t="str">
        <f t="shared" ref="J129:J192" si="19">CONCATENATE(I129,",",D129)</f>
        <v>F,,,0</v>
      </c>
      <c r="K129" s="826" t="str">
        <f t="shared" ref="K129:K192" si="20">CONCATENATE(J129,",",E129)</f>
        <v>F,,,0,000100</v>
      </c>
      <c r="L129" s="821" t="str">
        <f t="shared" ref="L129:L192" si="21">CONCATENATE(K129,",",Q129)</f>
        <v>F,,,0,000100,000000</v>
      </c>
      <c r="M129" s="826" t="str">
        <f t="shared" ref="M129:M192" si="22">CONCATENATE(L129,",",G129)</f>
        <v>F,,,0,000100,000000,11</v>
      </c>
      <c r="N129" s="826" t="str">
        <f t="shared" ref="N129:N192" si="23">CONCATENATE(M129,",",H129)</f>
        <v>F,,,0,000100,000000,11,F</v>
      </c>
      <c r="O129" s="824"/>
      <c r="P129" s="824" t="str">
        <f t="shared" ref="P129:P192" si="24">TEXT(F129,"mm:ss.00")</f>
        <v>00:00.00</v>
      </c>
      <c r="Q129" s="824" t="str">
        <f t="shared" ref="Q129:Q192" si="25">LEFT(P129,2)&amp;MID(P129,4,2)&amp;RIGHT(P129,2)</f>
        <v>000000</v>
      </c>
      <c r="R129" s="825" t="str">
        <f t="shared" ref="R129:R192" si="26">IF(F129=0,"",N129)</f>
        <v/>
      </c>
      <c r="S129" s="830"/>
      <c r="T129" s="831"/>
      <c r="U129" s="831"/>
      <c r="V129" s="820"/>
    </row>
    <row r="130" spans="1:22" ht="12.75" customHeight="1" x14ac:dyDescent="0.25">
      <c r="A130" s="820"/>
      <c r="B130" s="826" t="s">
        <v>4635</v>
      </c>
      <c r="C130" s="826" t="str">
        <f>'Team 10'!J44</f>
        <v>,</v>
      </c>
      <c r="D130" s="826">
        <f>'Gala Setup'!Q$13</f>
        <v>0</v>
      </c>
      <c r="E130" s="827" t="str">
        <f>'Team 10'!L44</f>
        <v>000100</v>
      </c>
      <c r="F130" s="823">
        <f>'print 10 lane'!AJ$52</f>
        <v>0</v>
      </c>
      <c r="G130" s="826">
        <f>'Team 1'!$D$44</f>
        <v>11</v>
      </c>
      <c r="H130" s="826" t="s">
        <v>4635</v>
      </c>
      <c r="I130" s="826" t="str">
        <f t="shared" si="18"/>
        <v>F,,</v>
      </c>
      <c r="J130" s="826" t="str">
        <f t="shared" si="19"/>
        <v>F,,,0</v>
      </c>
      <c r="K130" s="826" t="str">
        <f t="shared" si="20"/>
        <v>F,,,0,000100</v>
      </c>
      <c r="L130" s="821" t="str">
        <f t="shared" si="21"/>
        <v>F,,,0,000100,000000</v>
      </c>
      <c r="M130" s="826" t="str">
        <f t="shared" si="22"/>
        <v>F,,,0,000100,000000,11</v>
      </c>
      <c r="N130" s="826" t="str">
        <f t="shared" si="23"/>
        <v>F,,,0,000100,000000,11,F</v>
      </c>
      <c r="O130" s="824"/>
      <c r="P130" s="824" t="str">
        <f t="shared" si="24"/>
        <v>00:00.00</v>
      </c>
      <c r="Q130" s="824" t="str">
        <f t="shared" si="25"/>
        <v>000000</v>
      </c>
      <c r="R130" s="825" t="str">
        <f t="shared" si="26"/>
        <v/>
      </c>
      <c r="S130" s="830"/>
      <c r="T130" s="831"/>
      <c r="U130" s="831"/>
      <c r="V130" s="820"/>
    </row>
    <row r="131" spans="1:22" ht="12.75" customHeight="1" x14ac:dyDescent="0.25">
      <c r="A131" s="820"/>
      <c r="B131" s="826" t="s">
        <v>328</v>
      </c>
      <c r="C131" s="826" t="str">
        <f>'Team 10'!J45</f>
        <v>,</v>
      </c>
      <c r="D131" s="826">
        <f>'Gala Setup'!Q$13</f>
        <v>0</v>
      </c>
      <c r="E131" s="827" t="str">
        <f>'Team 10'!L45</f>
        <v>000100</v>
      </c>
      <c r="F131" s="823">
        <f>'print 10 lane'!AJ$55</f>
        <v>0</v>
      </c>
      <c r="G131" s="826">
        <f>'Team 1'!$D$45</f>
        <v>11</v>
      </c>
      <c r="H131" s="826" t="s">
        <v>4635</v>
      </c>
      <c r="I131" s="826" t="str">
        <f t="shared" si="18"/>
        <v>M,,</v>
      </c>
      <c r="J131" s="826" t="str">
        <f t="shared" si="19"/>
        <v>M,,,0</v>
      </c>
      <c r="K131" s="826" t="str">
        <f t="shared" si="20"/>
        <v>M,,,0,000100</v>
      </c>
      <c r="L131" s="821" t="str">
        <f t="shared" si="21"/>
        <v>M,,,0,000100,000000</v>
      </c>
      <c r="M131" s="826" t="str">
        <f t="shared" si="22"/>
        <v>M,,,0,000100,000000,11</v>
      </c>
      <c r="N131" s="826" t="str">
        <f t="shared" si="23"/>
        <v>M,,,0,000100,000000,11,F</v>
      </c>
      <c r="O131" s="824"/>
      <c r="P131" s="824" t="str">
        <f t="shared" si="24"/>
        <v>00:00.00</v>
      </c>
      <c r="Q131" s="824" t="str">
        <f t="shared" si="25"/>
        <v>000000</v>
      </c>
      <c r="R131" s="825" t="str">
        <f t="shared" si="26"/>
        <v/>
      </c>
      <c r="S131" s="830"/>
      <c r="T131" s="831"/>
      <c r="U131" s="831"/>
      <c r="V131" s="820"/>
    </row>
    <row r="132" spans="1:22" ht="12.75" customHeight="1" x14ac:dyDescent="0.25">
      <c r="A132" s="820"/>
      <c r="B132" s="826" t="s">
        <v>328</v>
      </c>
      <c r="C132" s="826" t="str">
        <f>'Team 10'!J51</f>
        <v>,</v>
      </c>
      <c r="D132" s="826">
        <f>'Gala Setup'!Q$13</f>
        <v>0</v>
      </c>
      <c r="E132" s="827" t="str">
        <f>'Team 10'!L51</f>
        <v>000100</v>
      </c>
      <c r="F132" s="823">
        <f>'print 10 lane'!AJ$73</f>
        <v>0</v>
      </c>
      <c r="G132" s="826">
        <f>'Team 1'!$D$51</f>
        <v>11</v>
      </c>
      <c r="H132" s="826" t="s">
        <v>4635</v>
      </c>
      <c r="I132" s="826" t="str">
        <f t="shared" si="18"/>
        <v>M,,</v>
      </c>
      <c r="J132" s="826" t="str">
        <f t="shared" si="19"/>
        <v>M,,,0</v>
      </c>
      <c r="K132" s="826" t="str">
        <f t="shared" si="20"/>
        <v>M,,,0,000100</v>
      </c>
      <c r="L132" s="821" t="str">
        <f t="shared" si="21"/>
        <v>M,,,0,000100,000000</v>
      </c>
      <c r="M132" s="826" t="str">
        <f t="shared" si="22"/>
        <v>M,,,0,000100,000000,11</v>
      </c>
      <c r="N132" s="826" t="str">
        <f t="shared" si="23"/>
        <v>M,,,0,000100,000000,11,F</v>
      </c>
      <c r="O132" s="824"/>
      <c r="P132" s="824" t="str">
        <f t="shared" si="24"/>
        <v>00:00.00</v>
      </c>
      <c r="Q132" s="824" t="str">
        <f t="shared" si="25"/>
        <v>000000</v>
      </c>
      <c r="R132" s="825" t="str">
        <f t="shared" si="26"/>
        <v/>
      </c>
      <c r="S132" s="830"/>
      <c r="T132" s="831"/>
      <c r="U132" s="831"/>
      <c r="V132" s="820"/>
    </row>
    <row r="133" spans="1:22" ht="12.75" customHeight="1" x14ac:dyDescent="0.25">
      <c r="A133" s="820"/>
      <c r="B133" s="826" t="s">
        <v>328</v>
      </c>
      <c r="C133" s="826" t="str">
        <f>'Team 10'!J57</f>
        <v>,</v>
      </c>
      <c r="D133" s="826">
        <f>'Gala Setup'!Q$13</f>
        <v>0</v>
      </c>
      <c r="E133" s="827" t="str">
        <f>'Team 10'!L57</f>
        <v>000100</v>
      </c>
      <c r="F133" s="823">
        <f>'print 10 lane'!AJ$91</f>
        <v>0</v>
      </c>
      <c r="G133" s="826">
        <f>'Team 1'!$D$57</f>
        <v>11</v>
      </c>
      <c r="H133" s="826" t="s">
        <v>4635</v>
      </c>
      <c r="I133" s="826" t="str">
        <f t="shared" si="18"/>
        <v>M,,</v>
      </c>
      <c r="J133" s="826" t="str">
        <f t="shared" si="19"/>
        <v>M,,,0</v>
      </c>
      <c r="K133" s="826" t="str">
        <f t="shared" si="20"/>
        <v>M,,,0,000100</v>
      </c>
      <c r="L133" s="821" t="str">
        <f t="shared" si="21"/>
        <v>M,,,0,000100,000000</v>
      </c>
      <c r="M133" s="826" t="str">
        <f t="shared" si="22"/>
        <v>M,,,0,000100,000000,11</v>
      </c>
      <c r="N133" s="826" t="str">
        <f t="shared" si="23"/>
        <v>M,,,0,000100,000000,11,F</v>
      </c>
      <c r="O133" s="824"/>
      <c r="P133" s="824" t="str">
        <f t="shared" si="24"/>
        <v>00:00.00</v>
      </c>
      <c r="Q133" s="824" t="str">
        <f t="shared" si="25"/>
        <v>000000</v>
      </c>
      <c r="R133" s="825" t="str">
        <f t="shared" si="26"/>
        <v/>
      </c>
      <c r="S133" s="830"/>
      <c r="T133" s="831"/>
      <c r="U133" s="831"/>
      <c r="V133" s="820"/>
    </row>
    <row r="134" spans="1:22" ht="12.75" customHeight="1" x14ac:dyDescent="0.25">
      <c r="A134" s="820"/>
      <c r="B134" s="821" t="s">
        <v>328</v>
      </c>
      <c r="C134" s="821" t="str">
        <f>'Team 9'!J45</f>
        <v>,</v>
      </c>
      <c r="D134" s="821">
        <f>'Gala Setup'!Q$12</f>
        <v>0</v>
      </c>
      <c r="E134" s="822" t="str">
        <f>'Team 9'!L45</f>
        <v>000100</v>
      </c>
      <c r="F134" s="823">
        <f>'print 10 lane'!AG$55</f>
        <v>0</v>
      </c>
      <c r="G134" s="821">
        <f>'Team 1'!$D$45</f>
        <v>11</v>
      </c>
      <c r="H134" s="821" t="s">
        <v>4635</v>
      </c>
      <c r="I134" s="821" t="str">
        <f t="shared" si="18"/>
        <v>M,,</v>
      </c>
      <c r="J134" s="821" t="str">
        <f t="shared" si="19"/>
        <v>M,,,0</v>
      </c>
      <c r="K134" s="821" t="str">
        <f t="shared" si="20"/>
        <v>M,,,0,000100</v>
      </c>
      <c r="L134" s="821" t="str">
        <f t="shared" si="21"/>
        <v>M,,,0,000100,000000</v>
      </c>
      <c r="M134" s="821" t="str">
        <f t="shared" si="22"/>
        <v>M,,,0,000100,000000,11</v>
      </c>
      <c r="N134" s="821" t="str">
        <f t="shared" si="23"/>
        <v>M,,,0,000100,000000,11,F</v>
      </c>
      <c r="O134" s="824"/>
      <c r="P134" s="824" t="str">
        <f t="shared" si="24"/>
        <v>00:00.00</v>
      </c>
      <c r="Q134" s="824" t="str">
        <f t="shared" si="25"/>
        <v>000000</v>
      </c>
      <c r="R134" s="825" t="str">
        <f t="shared" si="26"/>
        <v/>
      </c>
      <c r="S134" s="830"/>
      <c r="T134" s="831"/>
      <c r="U134" s="831"/>
      <c r="V134" s="820"/>
    </row>
    <row r="135" spans="1:22" ht="12.75" customHeight="1" x14ac:dyDescent="0.25">
      <c r="A135" s="820"/>
      <c r="B135" s="821" t="s">
        <v>328</v>
      </c>
      <c r="C135" s="821" t="str">
        <f>'Team 9'!J51</f>
        <v>,</v>
      </c>
      <c r="D135" s="821">
        <f>'Gala Setup'!Q$12</f>
        <v>0</v>
      </c>
      <c r="E135" s="822" t="str">
        <f>'Team 9'!L51</f>
        <v>000100</v>
      </c>
      <c r="F135" s="823">
        <f>'print 10 lane'!AG$73</f>
        <v>0</v>
      </c>
      <c r="G135" s="821">
        <f>'Team 1'!$D$51</f>
        <v>11</v>
      </c>
      <c r="H135" s="821" t="s">
        <v>4635</v>
      </c>
      <c r="I135" s="821" t="str">
        <f t="shared" si="18"/>
        <v>M,,</v>
      </c>
      <c r="J135" s="821" t="str">
        <f t="shared" si="19"/>
        <v>M,,,0</v>
      </c>
      <c r="K135" s="821" t="str">
        <f t="shared" si="20"/>
        <v>M,,,0,000100</v>
      </c>
      <c r="L135" s="821" t="str">
        <f t="shared" si="21"/>
        <v>M,,,0,000100,000000</v>
      </c>
      <c r="M135" s="821" t="str">
        <f t="shared" si="22"/>
        <v>M,,,0,000100,000000,11</v>
      </c>
      <c r="N135" s="821" t="str">
        <f t="shared" si="23"/>
        <v>M,,,0,000100,000000,11,F</v>
      </c>
      <c r="O135" s="824"/>
      <c r="P135" s="824" t="str">
        <f t="shared" si="24"/>
        <v>00:00.00</v>
      </c>
      <c r="Q135" s="824" t="str">
        <f t="shared" si="25"/>
        <v>000000</v>
      </c>
      <c r="R135" s="825" t="str">
        <f t="shared" si="26"/>
        <v/>
      </c>
      <c r="S135" s="830"/>
      <c r="T135" s="831"/>
      <c r="U135" s="831"/>
      <c r="V135" s="820"/>
    </row>
    <row r="136" spans="1:22" ht="12.75" customHeight="1" x14ac:dyDescent="0.25">
      <c r="A136" s="820"/>
      <c r="B136" s="821" t="s">
        <v>328</v>
      </c>
      <c r="C136" s="821" t="str">
        <f>'Team 9'!J57</f>
        <v>,</v>
      </c>
      <c r="D136" s="821">
        <f>'Gala Setup'!Q$12</f>
        <v>0</v>
      </c>
      <c r="E136" s="822" t="str">
        <f>'Team 9'!L57</f>
        <v>000100</v>
      </c>
      <c r="F136" s="823">
        <f>'print 10 lane'!AG$91</f>
        <v>0</v>
      </c>
      <c r="G136" s="821">
        <f>'Team 1'!$D$57</f>
        <v>11</v>
      </c>
      <c r="H136" s="821" t="s">
        <v>4635</v>
      </c>
      <c r="I136" s="821" t="str">
        <f t="shared" si="18"/>
        <v>M,,</v>
      </c>
      <c r="J136" s="821" t="str">
        <f t="shared" si="19"/>
        <v>M,,,0</v>
      </c>
      <c r="K136" s="821" t="str">
        <f t="shared" si="20"/>
        <v>M,,,0,000100</v>
      </c>
      <c r="L136" s="821" t="str">
        <f t="shared" si="21"/>
        <v>M,,,0,000100,000000</v>
      </c>
      <c r="M136" s="821" t="str">
        <f t="shared" si="22"/>
        <v>M,,,0,000100,000000,11</v>
      </c>
      <c r="N136" s="821" t="str">
        <f t="shared" si="23"/>
        <v>M,,,0,000100,000000,11,F</v>
      </c>
      <c r="O136" s="824"/>
      <c r="P136" s="824" t="str">
        <f t="shared" si="24"/>
        <v>00:00.00</v>
      </c>
      <c r="Q136" s="824" t="str">
        <f t="shared" si="25"/>
        <v>000000</v>
      </c>
      <c r="R136" s="825" t="str">
        <f t="shared" si="26"/>
        <v/>
      </c>
      <c r="S136" s="830"/>
      <c r="T136" s="831"/>
      <c r="U136" s="831"/>
      <c r="V136" s="820"/>
    </row>
    <row r="137" spans="1:22" ht="12.75" customHeight="1" x14ac:dyDescent="0.25">
      <c r="A137" s="820"/>
      <c r="B137" s="826" t="s">
        <v>328</v>
      </c>
      <c r="C137" s="826" t="str">
        <f>'Team 8'!J45</f>
        <v>,</v>
      </c>
      <c r="D137" s="826">
        <f>'Gala Setup'!Q$11</f>
        <v>0</v>
      </c>
      <c r="E137" s="827" t="str">
        <f>'Team 8'!L45</f>
        <v>000100</v>
      </c>
      <c r="F137" s="823">
        <f>'print 10 lane'!AD$55</f>
        <v>0</v>
      </c>
      <c r="G137" s="826">
        <f>'Team 1'!$D$45</f>
        <v>11</v>
      </c>
      <c r="H137" s="826" t="s">
        <v>4635</v>
      </c>
      <c r="I137" s="826" t="str">
        <f t="shared" si="18"/>
        <v>M,,</v>
      </c>
      <c r="J137" s="826" t="str">
        <f t="shared" si="19"/>
        <v>M,,,0</v>
      </c>
      <c r="K137" s="826" t="str">
        <f t="shared" si="20"/>
        <v>M,,,0,000100</v>
      </c>
      <c r="L137" s="821" t="str">
        <f t="shared" si="21"/>
        <v>M,,,0,000100,000000</v>
      </c>
      <c r="M137" s="826" t="str">
        <f t="shared" si="22"/>
        <v>M,,,0,000100,000000,11</v>
      </c>
      <c r="N137" s="826" t="str">
        <f t="shared" si="23"/>
        <v>M,,,0,000100,000000,11,F</v>
      </c>
      <c r="O137" s="824"/>
      <c r="P137" s="824" t="str">
        <f t="shared" si="24"/>
        <v>00:00.00</v>
      </c>
      <c r="Q137" s="824" t="str">
        <f t="shared" si="25"/>
        <v>000000</v>
      </c>
      <c r="R137" s="825" t="str">
        <f t="shared" si="26"/>
        <v/>
      </c>
      <c r="S137" s="830"/>
      <c r="T137" s="831"/>
      <c r="U137" s="831"/>
      <c r="V137" s="820"/>
    </row>
    <row r="138" spans="1:22" ht="12.75" customHeight="1" x14ac:dyDescent="0.25">
      <c r="A138" s="820"/>
      <c r="B138" s="826" t="s">
        <v>328</v>
      </c>
      <c r="C138" s="826" t="str">
        <f>'Team 8'!J51</f>
        <v>,</v>
      </c>
      <c r="D138" s="826">
        <f>'Gala Setup'!Q$11</f>
        <v>0</v>
      </c>
      <c r="E138" s="827" t="str">
        <f>'Team 8'!L51</f>
        <v>000100</v>
      </c>
      <c r="F138" s="823">
        <f>'print 10 lane'!AD$73</f>
        <v>0</v>
      </c>
      <c r="G138" s="826">
        <f>'Team 1'!$D$51</f>
        <v>11</v>
      </c>
      <c r="H138" s="826" t="s">
        <v>4635</v>
      </c>
      <c r="I138" s="826" t="str">
        <f t="shared" si="18"/>
        <v>M,,</v>
      </c>
      <c r="J138" s="826" t="str">
        <f t="shared" si="19"/>
        <v>M,,,0</v>
      </c>
      <c r="K138" s="826" t="str">
        <f t="shared" si="20"/>
        <v>M,,,0,000100</v>
      </c>
      <c r="L138" s="821" t="str">
        <f t="shared" si="21"/>
        <v>M,,,0,000100,000000</v>
      </c>
      <c r="M138" s="826" t="str">
        <f t="shared" si="22"/>
        <v>M,,,0,000100,000000,11</v>
      </c>
      <c r="N138" s="826" t="str">
        <f t="shared" si="23"/>
        <v>M,,,0,000100,000000,11,F</v>
      </c>
      <c r="O138" s="824"/>
      <c r="P138" s="824" t="str">
        <f t="shared" si="24"/>
        <v>00:00.00</v>
      </c>
      <c r="Q138" s="824" t="str">
        <f t="shared" si="25"/>
        <v>000000</v>
      </c>
      <c r="R138" s="825" t="str">
        <f t="shared" si="26"/>
        <v/>
      </c>
      <c r="S138" s="830"/>
      <c r="T138" s="831"/>
      <c r="U138" s="831"/>
      <c r="V138" s="820"/>
    </row>
    <row r="139" spans="1:22" ht="12.75" customHeight="1" x14ac:dyDescent="0.25">
      <c r="A139" s="820"/>
      <c r="B139" s="826" t="s">
        <v>328</v>
      </c>
      <c r="C139" s="826" t="str">
        <f>'Team 8'!J57</f>
        <v>,</v>
      </c>
      <c r="D139" s="826">
        <f>'Gala Setup'!Q$11</f>
        <v>0</v>
      </c>
      <c r="E139" s="827" t="str">
        <f>'Team 8'!L57</f>
        <v>000100</v>
      </c>
      <c r="F139" s="823">
        <f>'print 10 lane'!AD$91</f>
        <v>0</v>
      </c>
      <c r="G139" s="826">
        <f>'Team 1'!$D$57</f>
        <v>11</v>
      </c>
      <c r="H139" s="826" t="s">
        <v>4635</v>
      </c>
      <c r="I139" s="826" t="str">
        <f t="shared" si="18"/>
        <v>M,,</v>
      </c>
      <c r="J139" s="826" t="str">
        <f t="shared" si="19"/>
        <v>M,,,0</v>
      </c>
      <c r="K139" s="826" t="str">
        <f t="shared" si="20"/>
        <v>M,,,0,000100</v>
      </c>
      <c r="L139" s="821" t="str">
        <f t="shared" si="21"/>
        <v>M,,,0,000100,000000</v>
      </c>
      <c r="M139" s="826" t="str">
        <f t="shared" si="22"/>
        <v>M,,,0,000100,000000,11</v>
      </c>
      <c r="N139" s="826" t="str">
        <f t="shared" si="23"/>
        <v>M,,,0,000100,000000,11,F</v>
      </c>
      <c r="O139" s="824"/>
      <c r="P139" s="824" t="str">
        <f t="shared" si="24"/>
        <v>00:00.00</v>
      </c>
      <c r="Q139" s="824" t="str">
        <f t="shared" si="25"/>
        <v>000000</v>
      </c>
      <c r="R139" s="825" t="str">
        <f t="shared" si="26"/>
        <v/>
      </c>
      <c r="S139" s="830"/>
      <c r="T139" s="831"/>
      <c r="U139" s="831"/>
      <c r="V139" s="820"/>
    </row>
    <row r="140" spans="1:22" ht="12.75" customHeight="1" x14ac:dyDescent="0.25">
      <c r="A140" s="820"/>
      <c r="B140" s="821" t="s">
        <v>328</v>
      </c>
      <c r="C140" s="821" t="str">
        <f>'Team 7'!J45</f>
        <v>Treanor,Liam</v>
      </c>
      <c r="D140" s="821" t="str">
        <f>'Gala Setup'!Q$10</f>
        <v>HISL</v>
      </c>
      <c r="E140" s="822" t="str">
        <f>'Team 7'!L45</f>
        <v>150907</v>
      </c>
      <c r="F140" s="823">
        <f>'print 10 lane'!AA$55</f>
        <v>7.53125E-4</v>
      </c>
      <c r="G140" s="821">
        <f>'Team 1'!$D$45</f>
        <v>11</v>
      </c>
      <c r="H140" s="821" t="s">
        <v>4635</v>
      </c>
      <c r="I140" s="821" t="str">
        <f t="shared" si="18"/>
        <v>M,Treanor,Liam</v>
      </c>
      <c r="J140" s="821" t="str">
        <f t="shared" si="19"/>
        <v>M,Treanor,Liam,HISL</v>
      </c>
      <c r="K140" s="821" t="str">
        <f t="shared" si="20"/>
        <v>M,Treanor,Liam,HISL,150907</v>
      </c>
      <c r="L140" s="821" t="str">
        <f t="shared" si="21"/>
        <v>M,Treanor,Liam,HISL,150907,010507</v>
      </c>
      <c r="M140" s="821" t="str">
        <f t="shared" si="22"/>
        <v>M,Treanor,Liam,HISL,150907,010507,11</v>
      </c>
      <c r="N140" s="821" t="str">
        <f t="shared" si="23"/>
        <v>M,Treanor,Liam,HISL,150907,010507,11,F</v>
      </c>
      <c r="O140" s="824"/>
      <c r="P140" s="824" t="str">
        <f t="shared" si="24"/>
        <v>01:05.07</v>
      </c>
      <c r="Q140" s="824" t="str">
        <f t="shared" si="25"/>
        <v>010507</v>
      </c>
      <c r="R140" s="825" t="str">
        <f t="shared" si="26"/>
        <v>M,Treanor,Liam,HISL,150907,010507,11,F</v>
      </c>
      <c r="S140" s="830"/>
      <c r="T140" s="831"/>
      <c r="U140" s="831"/>
      <c r="V140" s="820"/>
    </row>
    <row r="141" spans="1:22" ht="12.75" customHeight="1" x14ac:dyDescent="0.25">
      <c r="A141" s="820"/>
      <c r="B141" s="821" t="s">
        <v>328</v>
      </c>
      <c r="C141" s="821" t="str">
        <f>'Team 7'!J51</f>
        <v>Parmar,Aaran</v>
      </c>
      <c r="D141" s="821" t="str">
        <f>'Gala Setup'!Q$10</f>
        <v>HISL</v>
      </c>
      <c r="E141" s="822" t="str">
        <f>'Team 7'!L51</f>
        <v>040309</v>
      </c>
      <c r="F141" s="823">
        <f>'print 10 lane'!AA$73</f>
        <v>7.9444444444444452E-4</v>
      </c>
      <c r="G141" s="821">
        <f>'Team 1'!$D$51</f>
        <v>11</v>
      </c>
      <c r="H141" s="821" t="s">
        <v>4635</v>
      </c>
      <c r="I141" s="821" t="str">
        <f t="shared" si="18"/>
        <v>M,Parmar,Aaran</v>
      </c>
      <c r="J141" s="821" t="str">
        <f t="shared" si="19"/>
        <v>M,Parmar,Aaran,HISL</v>
      </c>
      <c r="K141" s="821" t="str">
        <f t="shared" si="20"/>
        <v>M,Parmar,Aaran,HISL,040309</v>
      </c>
      <c r="L141" s="821" t="str">
        <f t="shared" si="21"/>
        <v>M,Parmar,Aaran,HISL,040309,010864</v>
      </c>
      <c r="M141" s="821" t="str">
        <f t="shared" si="22"/>
        <v>M,Parmar,Aaran,HISL,040309,010864,11</v>
      </c>
      <c r="N141" s="821" t="str">
        <f t="shared" si="23"/>
        <v>M,Parmar,Aaran,HISL,040309,010864,11,F</v>
      </c>
      <c r="O141" s="824"/>
      <c r="P141" s="824" t="str">
        <f t="shared" si="24"/>
        <v>01:08.64</v>
      </c>
      <c r="Q141" s="824" t="str">
        <f t="shared" si="25"/>
        <v>010864</v>
      </c>
      <c r="R141" s="825" t="str">
        <f t="shared" si="26"/>
        <v>M,Parmar,Aaran,HISL,040309,010864,11,F</v>
      </c>
      <c r="S141" s="830"/>
      <c r="T141" s="831"/>
      <c r="U141" s="831"/>
      <c r="V141" s="820"/>
    </row>
    <row r="142" spans="1:22" ht="12.75" customHeight="1" x14ac:dyDescent="0.25">
      <c r="A142" s="820"/>
      <c r="B142" s="821" t="s">
        <v>328</v>
      </c>
      <c r="C142" s="821" t="str">
        <f>'Team 7'!J57</f>
        <v>Celi,Daniel</v>
      </c>
      <c r="D142" s="821" t="str">
        <f>'Gala Setup'!Q$10</f>
        <v>HISL</v>
      </c>
      <c r="E142" s="822" t="str">
        <f>'Team 7'!L57</f>
        <v>300910</v>
      </c>
      <c r="F142" s="823">
        <f>'print 10 lane'!AA$91</f>
        <v>8.3668981481481474E-4</v>
      </c>
      <c r="G142" s="821">
        <f>'Team 1'!$D$57</f>
        <v>11</v>
      </c>
      <c r="H142" s="821" t="s">
        <v>4635</v>
      </c>
      <c r="I142" s="821" t="str">
        <f t="shared" si="18"/>
        <v>M,Celi,Daniel</v>
      </c>
      <c r="J142" s="821" t="str">
        <f t="shared" si="19"/>
        <v>M,Celi,Daniel,HISL</v>
      </c>
      <c r="K142" s="821" t="str">
        <f t="shared" si="20"/>
        <v>M,Celi,Daniel,HISL,300910</v>
      </c>
      <c r="L142" s="821" t="str">
        <f t="shared" si="21"/>
        <v>M,Celi,Daniel,HISL,300910,011229</v>
      </c>
      <c r="M142" s="821" t="str">
        <f t="shared" si="22"/>
        <v>M,Celi,Daniel,HISL,300910,011229,11</v>
      </c>
      <c r="N142" s="821" t="str">
        <f t="shared" si="23"/>
        <v>M,Celi,Daniel,HISL,300910,011229,11,F</v>
      </c>
      <c r="O142" s="824"/>
      <c r="P142" s="824" t="str">
        <f t="shared" si="24"/>
        <v>01:12.29</v>
      </c>
      <c r="Q142" s="824" t="str">
        <f t="shared" si="25"/>
        <v>011229</v>
      </c>
      <c r="R142" s="825" t="str">
        <f t="shared" si="26"/>
        <v>M,Celi,Daniel,HISL,300910,011229,11,F</v>
      </c>
      <c r="S142" s="830"/>
      <c r="T142" s="831"/>
      <c r="U142" s="831"/>
      <c r="V142" s="820"/>
    </row>
    <row r="143" spans="1:22" ht="12.75" customHeight="1" x14ac:dyDescent="0.25">
      <c r="A143" s="820"/>
      <c r="B143" s="826" t="s">
        <v>328</v>
      </c>
      <c r="C143" s="826" t="str">
        <f>'Team 6'!J57</f>
        <v xml:space="preserve">Iojan,Cosmin Ioan </v>
      </c>
      <c r="D143" s="826" t="str">
        <f>'Gala Setup'!Q$9</f>
        <v>HAWL</v>
      </c>
      <c r="E143" s="827" t="str">
        <f>'Team 6'!L57</f>
        <v>080811</v>
      </c>
      <c r="F143" s="823">
        <f>'print 10 lane'!X$91</f>
        <v>9.4016203703703699E-4</v>
      </c>
      <c r="G143" s="826">
        <f>'Team 1'!$D$57</f>
        <v>11</v>
      </c>
      <c r="H143" s="826" t="s">
        <v>4635</v>
      </c>
      <c r="I143" s="826" t="str">
        <f t="shared" si="18"/>
        <v xml:space="preserve">M,Iojan,Cosmin Ioan </v>
      </c>
      <c r="J143" s="826" t="str">
        <f t="shared" si="19"/>
        <v>M,Iojan,Cosmin Ioan ,HAWL</v>
      </c>
      <c r="K143" s="826" t="str">
        <f t="shared" si="20"/>
        <v>M,Iojan,Cosmin Ioan ,HAWL,080811</v>
      </c>
      <c r="L143" s="821" t="str">
        <f t="shared" si="21"/>
        <v>M,Iojan,Cosmin Ioan ,HAWL,080811,012123</v>
      </c>
      <c r="M143" s="826" t="str">
        <f t="shared" si="22"/>
        <v>M,Iojan,Cosmin Ioan ,HAWL,080811,012123,11</v>
      </c>
      <c r="N143" s="826" t="str">
        <f t="shared" si="23"/>
        <v>M,Iojan,Cosmin Ioan ,HAWL,080811,012123,11,F</v>
      </c>
      <c r="O143" s="824"/>
      <c r="P143" s="824" t="str">
        <f t="shared" si="24"/>
        <v>01:21.23</v>
      </c>
      <c r="Q143" s="824" t="str">
        <f t="shared" si="25"/>
        <v>012123</v>
      </c>
      <c r="R143" s="825" t="str">
        <f t="shared" si="26"/>
        <v>M,Iojan,Cosmin Ioan ,HAWL,080811,012123,11,F</v>
      </c>
      <c r="S143" s="830"/>
      <c r="T143" s="831"/>
      <c r="U143" s="831"/>
      <c r="V143" s="820"/>
    </row>
    <row r="144" spans="1:22" ht="12.75" customHeight="1" x14ac:dyDescent="0.25">
      <c r="A144" s="820"/>
      <c r="B144" s="826" t="s">
        <v>328</v>
      </c>
      <c r="C144" s="826" t="str">
        <f>'Team 6'!J45</f>
        <v>Ramaiya,Shanil</v>
      </c>
      <c r="D144" s="826" t="str">
        <f>'Gala Setup'!Q$9</f>
        <v>HAWL</v>
      </c>
      <c r="E144" s="827" t="str">
        <f>'Team 6'!L45</f>
        <v>101002</v>
      </c>
      <c r="F144" s="823">
        <f>'print 10 lane'!X$55</f>
        <v>7.1388888888888891E-4</v>
      </c>
      <c r="G144" s="826">
        <f>'Team 1'!$D$45</f>
        <v>11</v>
      </c>
      <c r="H144" s="826" t="s">
        <v>4635</v>
      </c>
      <c r="I144" s="826" t="str">
        <f t="shared" si="18"/>
        <v>M,Ramaiya,Shanil</v>
      </c>
      <c r="J144" s="826" t="str">
        <f t="shared" si="19"/>
        <v>M,Ramaiya,Shanil,HAWL</v>
      </c>
      <c r="K144" s="826" t="str">
        <f t="shared" si="20"/>
        <v>M,Ramaiya,Shanil,HAWL,101002</v>
      </c>
      <c r="L144" s="821" t="str">
        <f t="shared" si="21"/>
        <v>M,Ramaiya,Shanil,HAWL,101002,010168</v>
      </c>
      <c r="M144" s="826" t="str">
        <f t="shared" si="22"/>
        <v>M,Ramaiya,Shanil,HAWL,101002,010168,11</v>
      </c>
      <c r="N144" s="826" t="str">
        <f t="shared" si="23"/>
        <v>M,Ramaiya,Shanil,HAWL,101002,010168,11,F</v>
      </c>
      <c r="O144" s="824"/>
      <c r="P144" s="824" t="str">
        <f t="shared" si="24"/>
        <v>01:01.68</v>
      </c>
      <c r="Q144" s="824" t="str">
        <f t="shared" si="25"/>
        <v>010168</v>
      </c>
      <c r="R144" s="825" t="str">
        <f t="shared" si="26"/>
        <v>M,Ramaiya,Shanil,HAWL,101002,010168,11,F</v>
      </c>
      <c r="S144" s="830"/>
      <c r="T144" s="831"/>
      <c r="U144" s="831"/>
      <c r="V144" s="820"/>
    </row>
    <row r="145" spans="1:22" ht="12.75" customHeight="1" x14ac:dyDescent="0.25">
      <c r="A145" s="820"/>
      <c r="B145" s="826" t="s">
        <v>328</v>
      </c>
      <c r="C145" s="826" t="str">
        <f>'Team 6'!J51</f>
        <v xml:space="preserve">Roberts ,Owen </v>
      </c>
      <c r="D145" s="826" t="str">
        <f>'Gala Setup'!Q$9</f>
        <v>HAWL</v>
      </c>
      <c r="E145" s="827" t="str">
        <f>'Team 6'!L51</f>
        <v>020508</v>
      </c>
      <c r="F145" s="823">
        <f>'print 10 lane'!X$73</f>
        <v>7.3865740740740749E-4</v>
      </c>
      <c r="G145" s="826">
        <f>'Team 1'!$D$51</f>
        <v>11</v>
      </c>
      <c r="H145" s="826" t="s">
        <v>4635</v>
      </c>
      <c r="I145" s="826" t="str">
        <f t="shared" si="18"/>
        <v xml:space="preserve">M,Roberts ,Owen </v>
      </c>
      <c r="J145" s="826" t="str">
        <f t="shared" si="19"/>
        <v>M,Roberts ,Owen ,HAWL</v>
      </c>
      <c r="K145" s="826" t="str">
        <f t="shared" si="20"/>
        <v>M,Roberts ,Owen ,HAWL,020508</v>
      </c>
      <c r="L145" s="821" t="str">
        <f t="shared" si="21"/>
        <v>M,Roberts ,Owen ,HAWL,020508,010382</v>
      </c>
      <c r="M145" s="826" t="str">
        <f t="shared" si="22"/>
        <v>M,Roberts ,Owen ,HAWL,020508,010382,11</v>
      </c>
      <c r="N145" s="826" t="str">
        <f t="shared" si="23"/>
        <v>M,Roberts ,Owen ,HAWL,020508,010382,11,F</v>
      </c>
      <c r="O145" s="824"/>
      <c r="P145" s="824" t="str">
        <f t="shared" si="24"/>
        <v>01:03.82</v>
      </c>
      <c r="Q145" s="824" t="str">
        <f t="shared" si="25"/>
        <v>010382</v>
      </c>
      <c r="R145" s="825" t="str">
        <f t="shared" si="26"/>
        <v>M,Roberts ,Owen ,HAWL,020508,010382,11,F</v>
      </c>
      <c r="S145" s="830"/>
      <c r="T145" s="831"/>
      <c r="U145" s="831"/>
      <c r="V145" s="820"/>
    </row>
    <row r="146" spans="1:22" ht="12.75" customHeight="1" x14ac:dyDescent="0.25">
      <c r="A146" s="820"/>
      <c r="B146" s="821" t="s">
        <v>328</v>
      </c>
      <c r="C146" s="821" t="str">
        <f>'Team 1'!J57</f>
        <v>Andrews,Ned Peter</v>
      </c>
      <c r="D146" s="821" t="str">
        <f>'Gala Setup'!Q$4</f>
        <v>HABL</v>
      </c>
      <c r="E146" s="822" t="str">
        <f>'Team 1'!L57</f>
        <v>281011</v>
      </c>
      <c r="F146" s="823">
        <f>'print 10 lane'!I$91</f>
        <v>9.8692129629629629E-4</v>
      </c>
      <c r="G146" s="821">
        <f>'Team 1'!$D$57</f>
        <v>11</v>
      </c>
      <c r="H146" s="821" t="s">
        <v>4635</v>
      </c>
      <c r="I146" s="821" t="str">
        <f t="shared" si="18"/>
        <v>M,Andrews,Ned Peter</v>
      </c>
      <c r="J146" s="821" t="str">
        <f t="shared" si="19"/>
        <v>M,Andrews,Ned Peter,HABL</v>
      </c>
      <c r="K146" s="821" t="str">
        <f t="shared" si="20"/>
        <v>M,Andrews,Ned Peter,HABL,281011</v>
      </c>
      <c r="L146" s="821" t="str">
        <f t="shared" si="21"/>
        <v>M,Andrews,Ned Peter,HABL,281011,012527</v>
      </c>
      <c r="M146" s="821" t="str">
        <f t="shared" si="22"/>
        <v>M,Andrews,Ned Peter,HABL,281011,012527,11</v>
      </c>
      <c r="N146" s="821" t="str">
        <f t="shared" si="23"/>
        <v>M,Andrews,Ned Peter,HABL,281011,012527,11,F</v>
      </c>
      <c r="O146" s="824"/>
      <c r="P146" s="824" t="str">
        <f t="shared" si="24"/>
        <v>01:25.27</v>
      </c>
      <c r="Q146" s="824" t="str">
        <f t="shared" si="25"/>
        <v>012527</v>
      </c>
      <c r="R146" s="825" t="str">
        <f t="shared" si="26"/>
        <v>M,Andrews,Ned Peter,HABL,281011,012527,11,F</v>
      </c>
      <c r="S146" s="830"/>
      <c r="T146" s="831"/>
      <c r="U146" s="831"/>
      <c r="V146" s="820"/>
    </row>
    <row r="147" spans="1:22" ht="12.75" customHeight="1" x14ac:dyDescent="0.25">
      <c r="A147" s="820"/>
      <c r="B147" s="821" t="s">
        <v>328</v>
      </c>
      <c r="C147" s="821" t="str">
        <f>'Team 1'!J51</f>
        <v>,</v>
      </c>
      <c r="D147" s="821" t="str">
        <f>'Gala Setup'!Q$4</f>
        <v>HABL</v>
      </c>
      <c r="E147" s="822" t="str">
        <f>'Team 1'!L51</f>
        <v>000100</v>
      </c>
      <c r="F147" s="823">
        <f>'print 10 lane'!I$73</f>
        <v>0</v>
      </c>
      <c r="G147" s="821">
        <f>'Team 1'!$D$51</f>
        <v>11</v>
      </c>
      <c r="H147" s="821" t="s">
        <v>4635</v>
      </c>
      <c r="I147" s="821" t="str">
        <f t="shared" si="18"/>
        <v>M,,</v>
      </c>
      <c r="J147" s="821" t="str">
        <f t="shared" si="19"/>
        <v>M,,,HABL</v>
      </c>
      <c r="K147" s="821" t="str">
        <f t="shared" si="20"/>
        <v>M,,,HABL,000100</v>
      </c>
      <c r="L147" s="821" t="str">
        <f t="shared" si="21"/>
        <v>M,,,HABL,000100,000000</v>
      </c>
      <c r="M147" s="821" t="str">
        <f t="shared" si="22"/>
        <v>M,,,HABL,000100,000000,11</v>
      </c>
      <c r="N147" s="821" t="str">
        <f t="shared" si="23"/>
        <v>M,,,HABL,000100,000000,11,F</v>
      </c>
      <c r="O147" s="824"/>
      <c r="P147" s="824" t="str">
        <f t="shared" si="24"/>
        <v>00:00.00</v>
      </c>
      <c r="Q147" s="824" t="str">
        <f t="shared" si="25"/>
        <v>000000</v>
      </c>
      <c r="R147" s="825" t="str">
        <f t="shared" si="26"/>
        <v/>
      </c>
      <c r="S147" s="830"/>
      <c r="T147" s="831"/>
      <c r="U147" s="831"/>
      <c r="V147" s="820"/>
    </row>
    <row r="148" spans="1:22" ht="12.75" customHeight="1" x14ac:dyDescent="0.25">
      <c r="A148" s="820"/>
      <c r="B148" s="821" t="s">
        <v>328</v>
      </c>
      <c r="C148" s="821" t="str">
        <f>'Team 1'!J45</f>
        <v>,</v>
      </c>
      <c r="D148" s="821" t="str">
        <f>'Gala Setup'!Q$4</f>
        <v>HABL</v>
      </c>
      <c r="E148" s="822" t="str">
        <f>'Team 1'!L45</f>
        <v>000100</v>
      </c>
      <c r="F148" s="823">
        <f>'print 10 lane'!I$55</f>
        <v>0</v>
      </c>
      <c r="G148" s="821">
        <f>'Team 1'!$D$45</f>
        <v>11</v>
      </c>
      <c r="H148" s="821" t="s">
        <v>4635</v>
      </c>
      <c r="I148" s="821" t="str">
        <f t="shared" si="18"/>
        <v>M,,</v>
      </c>
      <c r="J148" s="821" t="str">
        <f t="shared" si="19"/>
        <v>M,,,HABL</v>
      </c>
      <c r="K148" s="821" t="str">
        <f t="shared" si="20"/>
        <v>M,,,HABL,000100</v>
      </c>
      <c r="L148" s="821" t="str">
        <f t="shared" si="21"/>
        <v>M,,,HABL,000100,000000</v>
      </c>
      <c r="M148" s="821" t="str">
        <f t="shared" si="22"/>
        <v>M,,,HABL,000100,000000,11</v>
      </c>
      <c r="N148" s="821" t="str">
        <f t="shared" si="23"/>
        <v>M,,,HABL,000100,000000,11,F</v>
      </c>
      <c r="O148" s="824"/>
      <c r="P148" s="824" t="str">
        <f t="shared" si="24"/>
        <v>00:00.00</v>
      </c>
      <c r="Q148" s="824" t="str">
        <f t="shared" si="25"/>
        <v>000000</v>
      </c>
      <c r="R148" s="825" t="str">
        <f t="shared" si="26"/>
        <v/>
      </c>
      <c r="S148" s="830"/>
      <c r="T148" s="831"/>
      <c r="U148" s="831"/>
      <c r="V148" s="820"/>
    </row>
    <row r="149" spans="1:22" ht="12.75" customHeight="1" x14ac:dyDescent="0.25">
      <c r="A149" s="820"/>
      <c r="B149" s="821" t="s">
        <v>328</v>
      </c>
      <c r="C149" s="821" t="str">
        <f>'Team 3'!J57</f>
        <v>Zharinov,Mikhail</v>
      </c>
      <c r="D149" s="821" t="str">
        <f>'Gala Setup'!Q$6</f>
        <v>BBST</v>
      </c>
      <c r="E149" s="822" t="str">
        <f>'Team 3'!L57</f>
        <v>280110</v>
      </c>
      <c r="F149" s="823">
        <f>'print 10 lane'!O$91</f>
        <v>9.1284722222222212E-4</v>
      </c>
      <c r="G149" s="821">
        <f>'Team 1'!$D$57</f>
        <v>11</v>
      </c>
      <c r="H149" s="821" t="s">
        <v>4635</v>
      </c>
      <c r="I149" s="821" t="str">
        <f t="shared" si="18"/>
        <v>M,Zharinov,Mikhail</v>
      </c>
      <c r="J149" s="821" t="str">
        <f t="shared" si="19"/>
        <v>M,Zharinov,Mikhail,BBST</v>
      </c>
      <c r="K149" s="821" t="str">
        <f t="shared" si="20"/>
        <v>M,Zharinov,Mikhail,BBST,280110</v>
      </c>
      <c r="L149" s="821" t="str">
        <f t="shared" si="21"/>
        <v>M,Zharinov,Mikhail,BBST,280110,011887</v>
      </c>
      <c r="M149" s="821" t="str">
        <f t="shared" si="22"/>
        <v>M,Zharinov,Mikhail,BBST,280110,011887,11</v>
      </c>
      <c r="N149" s="821" t="str">
        <f t="shared" si="23"/>
        <v>M,Zharinov,Mikhail,BBST,280110,011887,11,F</v>
      </c>
      <c r="O149" s="824"/>
      <c r="P149" s="824" t="str">
        <f t="shared" si="24"/>
        <v>01:18.87</v>
      </c>
      <c r="Q149" s="824" t="str">
        <f t="shared" si="25"/>
        <v>011887</v>
      </c>
      <c r="R149" s="825" t="str">
        <f t="shared" si="26"/>
        <v>M,Zharinov,Mikhail,BBST,280110,011887,11,F</v>
      </c>
      <c r="S149" s="830"/>
      <c r="T149" s="831"/>
      <c r="U149" s="831"/>
      <c r="V149" s="820"/>
    </row>
    <row r="150" spans="1:22" ht="12.75" customHeight="1" x14ac:dyDescent="0.25">
      <c r="A150" s="820"/>
      <c r="B150" s="821" t="s">
        <v>328</v>
      </c>
      <c r="C150" s="821" t="str">
        <f>'Team 3'!J45</f>
        <v>Morley,Luke</v>
      </c>
      <c r="D150" s="821" t="str">
        <f>'Gala Setup'!Q$6</f>
        <v>BBST</v>
      </c>
      <c r="E150" s="822" t="str">
        <f>'Team 3'!L45</f>
        <v>150607</v>
      </c>
      <c r="F150" s="823">
        <f>'print 10 lane'!O$55</f>
        <v>8.0162037037037018E-4</v>
      </c>
      <c r="G150" s="821">
        <f>'Team 1'!$D$45</f>
        <v>11</v>
      </c>
      <c r="H150" s="821" t="s">
        <v>4635</v>
      </c>
      <c r="I150" s="821" t="str">
        <f t="shared" si="18"/>
        <v>M,Morley,Luke</v>
      </c>
      <c r="J150" s="821" t="str">
        <f t="shared" si="19"/>
        <v>M,Morley,Luke,BBST</v>
      </c>
      <c r="K150" s="821" t="str">
        <f t="shared" si="20"/>
        <v>M,Morley,Luke,BBST,150607</v>
      </c>
      <c r="L150" s="821" t="str">
        <f t="shared" si="21"/>
        <v>M,Morley,Luke,BBST,150607,010926</v>
      </c>
      <c r="M150" s="821" t="str">
        <f t="shared" si="22"/>
        <v>M,Morley,Luke,BBST,150607,010926,11</v>
      </c>
      <c r="N150" s="821" t="str">
        <f t="shared" si="23"/>
        <v>M,Morley,Luke,BBST,150607,010926,11,F</v>
      </c>
      <c r="O150" s="824"/>
      <c r="P150" s="824" t="str">
        <f t="shared" si="24"/>
        <v>01:09.26</v>
      </c>
      <c r="Q150" s="824" t="str">
        <f t="shared" si="25"/>
        <v>010926</v>
      </c>
      <c r="R150" s="825" t="str">
        <f t="shared" si="26"/>
        <v>M,Morley,Luke,BBST,150607,010926,11,F</v>
      </c>
      <c r="S150" s="830"/>
      <c r="T150" s="831"/>
      <c r="U150" s="831"/>
      <c r="V150" s="820"/>
    </row>
    <row r="151" spans="1:22" ht="12.75" customHeight="1" x14ac:dyDescent="0.25">
      <c r="A151" s="820"/>
      <c r="B151" s="821" t="s">
        <v>328</v>
      </c>
      <c r="C151" s="821" t="str">
        <f>'Team 3'!J51</f>
        <v>Bullock,Alfie</v>
      </c>
      <c r="D151" s="821" t="str">
        <f>'Gala Setup'!Q$6</f>
        <v>BBST</v>
      </c>
      <c r="E151" s="822" t="str">
        <f>'Team 3'!L51</f>
        <v>250208</v>
      </c>
      <c r="F151" s="823">
        <f>'print 10 lane'!O$73</f>
        <v>8.9733796296296295E-4</v>
      </c>
      <c r="G151" s="821">
        <f>'Team 1'!$D$51</f>
        <v>11</v>
      </c>
      <c r="H151" s="821" t="s">
        <v>4635</v>
      </c>
      <c r="I151" s="821" t="str">
        <f t="shared" si="18"/>
        <v>M,Bullock,Alfie</v>
      </c>
      <c r="J151" s="821" t="str">
        <f t="shared" si="19"/>
        <v>M,Bullock,Alfie,BBST</v>
      </c>
      <c r="K151" s="821" t="str">
        <f t="shared" si="20"/>
        <v>M,Bullock,Alfie,BBST,250208</v>
      </c>
      <c r="L151" s="821" t="str">
        <f t="shared" si="21"/>
        <v>M,Bullock,Alfie,BBST,250208,011753</v>
      </c>
      <c r="M151" s="821" t="str">
        <f t="shared" si="22"/>
        <v>M,Bullock,Alfie,BBST,250208,011753,11</v>
      </c>
      <c r="N151" s="821" t="str">
        <f t="shared" si="23"/>
        <v>M,Bullock,Alfie,BBST,250208,011753,11,F</v>
      </c>
      <c r="O151" s="824"/>
      <c r="P151" s="824" t="str">
        <f t="shared" si="24"/>
        <v>01:17.53</v>
      </c>
      <c r="Q151" s="824" t="str">
        <f t="shared" si="25"/>
        <v>011753</v>
      </c>
      <c r="R151" s="825" t="str">
        <f t="shared" si="26"/>
        <v>M,Bullock,Alfie,BBST,250208,011753,11,F</v>
      </c>
      <c r="S151" s="830"/>
      <c r="T151" s="831"/>
      <c r="U151" s="831"/>
      <c r="V151" s="820"/>
    </row>
    <row r="152" spans="1:22" ht="12.75" customHeight="1" x14ac:dyDescent="0.25">
      <c r="A152" s="820"/>
      <c r="B152" s="826" t="s">
        <v>328</v>
      </c>
      <c r="C152" s="826" t="str">
        <f>'Team 2'!J57</f>
        <v>Tubridy,Oliver</v>
      </c>
      <c r="D152" s="826" t="str">
        <f>'Gala Setup'!$Q$5</f>
        <v>STET</v>
      </c>
      <c r="E152" s="827" t="str">
        <f>'Team 2'!L57</f>
        <v>220910</v>
      </c>
      <c r="F152" s="823">
        <f>'print 10 lane'!L$91</f>
        <v>1.004976851851852E-3</v>
      </c>
      <c r="G152" s="826">
        <f>'Team 1'!$D$57</f>
        <v>11</v>
      </c>
      <c r="H152" s="826" t="s">
        <v>4635</v>
      </c>
      <c r="I152" s="826" t="str">
        <f t="shared" si="18"/>
        <v>M,Tubridy,Oliver</v>
      </c>
      <c r="J152" s="826" t="str">
        <f t="shared" si="19"/>
        <v>M,Tubridy,Oliver,STET</v>
      </c>
      <c r="K152" s="826" t="str">
        <f t="shared" si="20"/>
        <v>M,Tubridy,Oliver,STET,220910</v>
      </c>
      <c r="L152" s="821" t="str">
        <f t="shared" si="21"/>
        <v>M,Tubridy,Oliver,STET,220910,012683</v>
      </c>
      <c r="M152" s="826" t="str">
        <f t="shared" si="22"/>
        <v>M,Tubridy,Oliver,STET,220910,012683,11</v>
      </c>
      <c r="N152" s="826" t="str">
        <f t="shared" si="23"/>
        <v>M,Tubridy,Oliver,STET,220910,012683,11,F</v>
      </c>
      <c r="O152" s="824"/>
      <c r="P152" s="824" t="str">
        <f t="shared" si="24"/>
        <v>01:26.83</v>
      </c>
      <c r="Q152" s="824" t="str">
        <f t="shared" si="25"/>
        <v>012683</v>
      </c>
      <c r="R152" s="825" t="str">
        <f t="shared" si="26"/>
        <v>M,Tubridy,Oliver,STET,220910,012683,11,F</v>
      </c>
      <c r="S152" s="830"/>
      <c r="T152" s="831"/>
      <c r="U152" s="831"/>
      <c r="V152" s="820"/>
    </row>
    <row r="153" spans="1:22" ht="12.75" customHeight="1" x14ac:dyDescent="0.25">
      <c r="A153" s="820"/>
      <c r="B153" s="826" t="s">
        <v>328</v>
      </c>
      <c r="C153" s="826" t="str">
        <f>'Team 2'!J45</f>
        <v>Heraty,Samuel</v>
      </c>
      <c r="D153" s="826" t="str">
        <f>'Gala Setup'!$Q$5</f>
        <v>STET</v>
      </c>
      <c r="E153" s="827" t="str">
        <f>'Team 2'!L45</f>
        <v>120908</v>
      </c>
      <c r="F153" s="823">
        <f>'print 10 lane'!L$55</f>
        <v>1.0456018518518518E-3</v>
      </c>
      <c r="G153" s="826">
        <f>'Team 1'!$D$45</f>
        <v>11</v>
      </c>
      <c r="H153" s="826" t="s">
        <v>4635</v>
      </c>
      <c r="I153" s="826" t="str">
        <f t="shared" si="18"/>
        <v>M,Heraty,Samuel</v>
      </c>
      <c r="J153" s="826" t="str">
        <f t="shared" si="19"/>
        <v>M,Heraty,Samuel,STET</v>
      </c>
      <c r="K153" s="826" t="str">
        <f t="shared" si="20"/>
        <v>M,Heraty,Samuel,STET,120908</v>
      </c>
      <c r="L153" s="821" t="str">
        <f t="shared" si="21"/>
        <v>M,Heraty,Samuel,STET,120908,013034</v>
      </c>
      <c r="M153" s="826" t="str">
        <f t="shared" si="22"/>
        <v>M,Heraty,Samuel,STET,120908,013034,11</v>
      </c>
      <c r="N153" s="826" t="str">
        <f t="shared" si="23"/>
        <v>M,Heraty,Samuel,STET,120908,013034,11,F</v>
      </c>
      <c r="O153" s="824"/>
      <c r="P153" s="824" t="str">
        <f t="shared" si="24"/>
        <v>01:30.34</v>
      </c>
      <c r="Q153" s="824" t="str">
        <f t="shared" si="25"/>
        <v>013034</v>
      </c>
      <c r="R153" s="825" t="str">
        <f t="shared" si="26"/>
        <v>M,Heraty,Samuel,STET,120908,013034,11,F</v>
      </c>
      <c r="S153" s="830"/>
      <c r="T153" s="831"/>
      <c r="U153" s="831"/>
      <c r="V153" s="820"/>
    </row>
    <row r="154" spans="1:22" ht="12.75" customHeight="1" x14ac:dyDescent="0.25">
      <c r="A154" s="820"/>
      <c r="B154" s="826" t="s">
        <v>328</v>
      </c>
      <c r="C154" s="826" t="str">
        <f>'Team 2'!J51</f>
        <v>Tubridy,Oliver</v>
      </c>
      <c r="D154" s="826" t="str">
        <f>'Gala Setup'!$Q$5</f>
        <v>STET</v>
      </c>
      <c r="E154" s="827" t="str">
        <f>'Team 2'!L51</f>
        <v>220910</v>
      </c>
      <c r="F154" s="823">
        <f>'print 10 lane'!L$73</f>
        <v>9.9282407407407414E-4</v>
      </c>
      <c r="G154" s="826">
        <f>'Team 1'!$D$51</f>
        <v>11</v>
      </c>
      <c r="H154" s="826" t="s">
        <v>4635</v>
      </c>
      <c r="I154" s="826" t="str">
        <f t="shared" si="18"/>
        <v>M,Tubridy,Oliver</v>
      </c>
      <c r="J154" s="826" t="str">
        <f t="shared" si="19"/>
        <v>M,Tubridy,Oliver,STET</v>
      </c>
      <c r="K154" s="826" t="str">
        <f t="shared" si="20"/>
        <v>M,Tubridy,Oliver,STET,220910</v>
      </c>
      <c r="L154" s="821" t="str">
        <f t="shared" si="21"/>
        <v>M,Tubridy,Oliver,STET,220910,012578</v>
      </c>
      <c r="M154" s="826" t="str">
        <f t="shared" si="22"/>
        <v>M,Tubridy,Oliver,STET,220910,012578,11</v>
      </c>
      <c r="N154" s="826" t="str">
        <f t="shared" si="23"/>
        <v>M,Tubridy,Oliver,STET,220910,012578,11,F</v>
      </c>
      <c r="O154" s="824"/>
      <c r="P154" s="824" t="str">
        <f t="shared" si="24"/>
        <v>01:25.78</v>
      </c>
      <c r="Q154" s="824" t="str">
        <f t="shared" si="25"/>
        <v>012578</v>
      </c>
      <c r="R154" s="825" t="str">
        <f t="shared" si="26"/>
        <v>M,Tubridy,Oliver,STET,220910,012578,11,F</v>
      </c>
      <c r="S154" s="820"/>
      <c r="T154" s="820"/>
      <c r="U154" s="820"/>
      <c r="V154" s="820"/>
    </row>
    <row r="155" spans="1:22" ht="12.75" customHeight="1" x14ac:dyDescent="0.25">
      <c r="A155" s="820"/>
      <c r="B155" s="826" t="s">
        <v>328</v>
      </c>
      <c r="C155" s="826" t="str">
        <f>'Team 4'!J57</f>
        <v>BUNCE,RILEY</v>
      </c>
      <c r="D155" s="826" t="str">
        <f>'Gala Setup'!Q$7</f>
        <v>AYBS</v>
      </c>
      <c r="E155" s="827" t="str">
        <f>'Team 4'!L57</f>
        <v>270810</v>
      </c>
      <c r="F155" s="823">
        <f>'print 10 lane'!R$91</f>
        <v>1.0731481481481479E-3</v>
      </c>
      <c r="G155" s="826">
        <f>'Team 1'!$D$57</f>
        <v>11</v>
      </c>
      <c r="H155" s="826" t="s">
        <v>4635</v>
      </c>
      <c r="I155" s="826" t="str">
        <f t="shared" si="18"/>
        <v>M,BUNCE,RILEY</v>
      </c>
      <c r="J155" s="826" t="str">
        <f t="shared" si="19"/>
        <v>M,BUNCE,RILEY,AYBS</v>
      </c>
      <c r="K155" s="826" t="str">
        <f t="shared" si="20"/>
        <v>M,BUNCE,RILEY,AYBS,270810</v>
      </c>
      <c r="L155" s="821" t="str">
        <f t="shared" si="21"/>
        <v>M,BUNCE,RILEY,AYBS,270810,013272</v>
      </c>
      <c r="M155" s="826" t="str">
        <f t="shared" si="22"/>
        <v>M,BUNCE,RILEY,AYBS,270810,013272,11</v>
      </c>
      <c r="N155" s="826" t="str">
        <f t="shared" si="23"/>
        <v>M,BUNCE,RILEY,AYBS,270810,013272,11,F</v>
      </c>
      <c r="O155" s="824"/>
      <c r="P155" s="824" t="str">
        <f t="shared" si="24"/>
        <v>01:32.72</v>
      </c>
      <c r="Q155" s="824" t="str">
        <f t="shared" si="25"/>
        <v>013272</v>
      </c>
      <c r="R155" s="825" t="str">
        <f t="shared" si="26"/>
        <v>M,BUNCE,RILEY,AYBS,270810,013272,11,F</v>
      </c>
      <c r="S155" s="820"/>
      <c r="T155" s="820"/>
      <c r="U155" s="820"/>
      <c r="V155" s="820"/>
    </row>
    <row r="156" spans="1:22" ht="12.75" customHeight="1" x14ac:dyDescent="0.25">
      <c r="A156" s="820"/>
      <c r="B156" s="826" t="s">
        <v>328</v>
      </c>
      <c r="C156" s="826" t="str">
        <f>'Team 4'!J45</f>
        <v>BUNCE,ELLIS</v>
      </c>
      <c r="D156" s="826" t="str">
        <f>'Gala Setup'!Q$7</f>
        <v>AYBS</v>
      </c>
      <c r="E156" s="827" t="str">
        <f>'Team 4'!L45</f>
        <v>301007</v>
      </c>
      <c r="F156" s="823">
        <f>'print 10 lane'!R$55</f>
        <v>7.4166666666666662E-4</v>
      </c>
      <c r="G156" s="826">
        <f>'Team 1'!$D$45</f>
        <v>11</v>
      </c>
      <c r="H156" s="826" t="s">
        <v>4635</v>
      </c>
      <c r="I156" s="826" t="str">
        <f t="shared" si="18"/>
        <v>M,BUNCE,ELLIS</v>
      </c>
      <c r="J156" s="826" t="str">
        <f t="shared" si="19"/>
        <v>M,BUNCE,ELLIS,AYBS</v>
      </c>
      <c r="K156" s="826" t="str">
        <f t="shared" si="20"/>
        <v>M,BUNCE,ELLIS,AYBS,301007</v>
      </c>
      <c r="L156" s="821" t="str">
        <f t="shared" si="21"/>
        <v>M,BUNCE,ELLIS,AYBS,301007,010408</v>
      </c>
      <c r="M156" s="826" t="str">
        <f t="shared" si="22"/>
        <v>M,BUNCE,ELLIS,AYBS,301007,010408,11</v>
      </c>
      <c r="N156" s="826" t="str">
        <f t="shared" si="23"/>
        <v>M,BUNCE,ELLIS,AYBS,301007,010408,11,F</v>
      </c>
      <c r="O156" s="824"/>
      <c r="P156" s="824" t="str">
        <f t="shared" si="24"/>
        <v>01:04.08</v>
      </c>
      <c r="Q156" s="824" t="str">
        <f t="shared" si="25"/>
        <v>010408</v>
      </c>
      <c r="R156" s="825" t="str">
        <f t="shared" si="26"/>
        <v>M,BUNCE,ELLIS,AYBS,301007,010408,11,F</v>
      </c>
      <c r="S156" s="820"/>
      <c r="T156" s="820"/>
      <c r="U156" s="820"/>
      <c r="V156" s="820"/>
    </row>
    <row r="157" spans="1:22" ht="12.75" customHeight="1" x14ac:dyDescent="0.25">
      <c r="A157" s="820"/>
      <c r="B157" s="826" t="s">
        <v>328</v>
      </c>
      <c r="C157" s="826" t="str">
        <f>'Team 4'!J51</f>
        <v>GIBSON,RAFI</v>
      </c>
      <c r="D157" s="826" t="str">
        <f>'Gala Setup'!Q$7</f>
        <v>AYBS</v>
      </c>
      <c r="E157" s="827" t="str">
        <f>'Team 4'!L51</f>
        <v>290908</v>
      </c>
      <c r="F157" s="823">
        <f>'print 10 lane'!R$73</f>
        <v>7.7939814814814809E-4</v>
      </c>
      <c r="G157" s="826">
        <f>'Team 1'!$D$51</f>
        <v>11</v>
      </c>
      <c r="H157" s="826" t="s">
        <v>4635</v>
      </c>
      <c r="I157" s="826" t="str">
        <f t="shared" si="18"/>
        <v>M,GIBSON,RAFI</v>
      </c>
      <c r="J157" s="826" t="str">
        <f t="shared" si="19"/>
        <v>M,GIBSON,RAFI,AYBS</v>
      </c>
      <c r="K157" s="826" t="str">
        <f t="shared" si="20"/>
        <v>M,GIBSON,RAFI,AYBS,290908</v>
      </c>
      <c r="L157" s="821" t="str">
        <f t="shared" si="21"/>
        <v>M,GIBSON,RAFI,AYBS,290908,010734</v>
      </c>
      <c r="M157" s="826" t="str">
        <f t="shared" si="22"/>
        <v>M,GIBSON,RAFI,AYBS,290908,010734,11</v>
      </c>
      <c r="N157" s="826" t="str">
        <f t="shared" si="23"/>
        <v>M,GIBSON,RAFI,AYBS,290908,010734,11,F</v>
      </c>
      <c r="O157" s="824"/>
      <c r="P157" s="824" t="str">
        <f t="shared" si="24"/>
        <v>01:07.34</v>
      </c>
      <c r="Q157" s="824" t="str">
        <f t="shared" si="25"/>
        <v>010734</v>
      </c>
      <c r="R157" s="825" t="str">
        <f t="shared" si="26"/>
        <v>M,GIBSON,RAFI,AYBS,290908,010734,11,F</v>
      </c>
      <c r="S157" s="820"/>
      <c r="T157" s="820"/>
      <c r="U157" s="820"/>
      <c r="V157" s="820"/>
    </row>
    <row r="158" spans="1:22" ht="12.75" customHeight="1" x14ac:dyDescent="0.25">
      <c r="A158" s="820"/>
      <c r="B158" s="821" t="s">
        <v>328</v>
      </c>
      <c r="C158" s="821" t="str">
        <f>'Team 5'!J57</f>
        <v>Akbiyik,Poyraz</v>
      </c>
      <c r="D158" s="821" t="str">
        <f>'Gala Setup'!Q$8</f>
        <v>BTRT</v>
      </c>
      <c r="E158" s="822" t="str">
        <f>'Team 5'!L57</f>
        <v>301011</v>
      </c>
      <c r="F158" s="823">
        <f>'print 10 lane'!U$91</f>
        <v>1.2238425925925926E-3</v>
      </c>
      <c r="G158" s="821">
        <f>'Team 1'!$D$57</f>
        <v>11</v>
      </c>
      <c r="H158" s="821" t="s">
        <v>4635</v>
      </c>
      <c r="I158" s="821" t="str">
        <f t="shared" si="18"/>
        <v>M,Akbiyik,Poyraz</v>
      </c>
      <c r="J158" s="821" t="str">
        <f t="shared" si="19"/>
        <v>M,Akbiyik,Poyraz,BTRT</v>
      </c>
      <c r="K158" s="821" t="str">
        <f t="shared" si="20"/>
        <v>M,Akbiyik,Poyraz,BTRT,301011</v>
      </c>
      <c r="L158" s="821" t="str">
        <f t="shared" si="21"/>
        <v>M,Akbiyik,Poyraz,BTRT,301011,014574</v>
      </c>
      <c r="M158" s="821" t="str">
        <f t="shared" si="22"/>
        <v>M,Akbiyik,Poyraz,BTRT,301011,014574,11</v>
      </c>
      <c r="N158" s="821" t="str">
        <f t="shared" si="23"/>
        <v>M,Akbiyik,Poyraz,BTRT,301011,014574,11,F</v>
      </c>
      <c r="O158" s="824"/>
      <c r="P158" s="824" t="str">
        <f t="shared" si="24"/>
        <v>01:45.74</v>
      </c>
      <c r="Q158" s="824" t="str">
        <f t="shared" si="25"/>
        <v>014574</v>
      </c>
      <c r="R158" s="825" t="str">
        <f t="shared" si="26"/>
        <v>M,Akbiyik,Poyraz,BTRT,301011,014574,11,F</v>
      </c>
      <c r="S158" s="820"/>
      <c r="T158" s="820"/>
      <c r="U158" s="820"/>
      <c r="V158" s="820"/>
    </row>
    <row r="159" spans="1:22" ht="12.75" customHeight="1" x14ac:dyDescent="0.25">
      <c r="A159" s="820"/>
      <c r="B159" s="821" t="s">
        <v>328</v>
      </c>
      <c r="C159" s="821" t="str">
        <f>'Team 5'!J51</f>
        <v>Parker,Joshua</v>
      </c>
      <c r="D159" s="821" t="str">
        <f>'Gala Setup'!Q$8</f>
        <v>BTRT</v>
      </c>
      <c r="E159" s="822" t="str">
        <f>'Team 5'!L51</f>
        <v>090109</v>
      </c>
      <c r="F159" s="823">
        <f>'print 10 lane'!U$73</f>
        <v>7.0729166666666672E-4</v>
      </c>
      <c r="G159" s="821">
        <f>'Team 1'!$D$51</f>
        <v>11</v>
      </c>
      <c r="H159" s="821" t="s">
        <v>4635</v>
      </c>
      <c r="I159" s="821" t="str">
        <f t="shared" si="18"/>
        <v>M,Parker,Joshua</v>
      </c>
      <c r="J159" s="821" t="str">
        <f t="shared" si="19"/>
        <v>M,Parker,Joshua,BTRT</v>
      </c>
      <c r="K159" s="821" t="str">
        <f t="shared" si="20"/>
        <v>M,Parker,Joshua,BTRT,090109</v>
      </c>
      <c r="L159" s="821" t="str">
        <f t="shared" si="21"/>
        <v>M,Parker,Joshua,BTRT,090109,010111</v>
      </c>
      <c r="M159" s="821" t="str">
        <f t="shared" si="22"/>
        <v>M,Parker,Joshua,BTRT,090109,010111,11</v>
      </c>
      <c r="N159" s="821" t="str">
        <f t="shared" si="23"/>
        <v>M,Parker,Joshua,BTRT,090109,010111,11,F</v>
      </c>
      <c r="O159" s="824"/>
      <c r="P159" s="824" t="str">
        <f t="shared" si="24"/>
        <v>01:01.11</v>
      </c>
      <c r="Q159" s="824" t="str">
        <f t="shared" si="25"/>
        <v>010111</v>
      </c>
      <c r="R159" s="825" t="str">
        <f t="shared" si="26"/>
        <v>M,Parker,Joshua,BTRT,090109,010111,11,F</v>
      </c>
      <c r="S159" s="820"/>
      <c r="T159" s="820"/>
      <c r="U159" s="820"/>
      <c r="V159" s="820"/>
    </row>
    <row r="160" spans="1:22" ht="12.75" customHeight="1" x14ac:dyDescent="0.25">
      <c r="A160" s="820"/>
      <c r="B160" s="821" t="s">
        <v>328</v>
      </c>
      <c r="C160" s="821" t="str">
        <f>'Team 5'!J45</f>
        <v>Parker,Daniel</v>
      </c>
      <c r="D160" s="821" t="str">
        <f>'Gala Setup'!Q$8</f>
        <v>BTRT</v>
      </c>
      <c r="E160" s="822" t="str">
        <f>'Team 5'!L45</f>
        <v>170406</v>
      </c>
      <c r="F160" s="823">
        <f>'print 10 lane'!U$55</f>
        <v>7.594907407407407E-4</v>
      </c>
      <c r="G160" s="821">
        <f>'Team 1'!$D$45</f>
        <v>11</v>
      </c>
      <c r="H160" s="821" t="s">
        <v>4635</v>
      </c>
      <c r="I160" s="821" t="str">
        <f t="shared" si="18"/>
        <v>M,Parker,Daniel</v>
      </c>
      <c r="J160" s="821" t="str">
        <f t="shared" si="19"/>
        <v>M,Parker,Daniel,BTRT</v>
      </c>
      <c r="K160" s="821" t="str">
        <f t="shared" si="20"/>
        <v>M,Parker,Daniel,BTRT,170406</v>
      </c>
      <c r="L160" s="821" t="str">
        <f t="shared" si="21"/>
        <v>M,Parker,Daniel,BTRT,170406,010562</v>
      </c>
      <c r="M160" s="821" t="str">
        <f t="shared" si="22"/>
        <v>M,Parker,Daniel,BTRT,170406,010562,11</v>
      </c>
      <c r="N160" s="821" t="str">
        <f t="shared" si="23"/>
        <v>M,Parker,Daniel,BTRT,170406,010562,11,F</v>
      </c>
      <c r="O160" s="824"/>
      <c r="P160" s="824" t="str">
        <f t="shared" si="24"/>
        <v>01:05.62</v>
      </c>
      <c r="Q160" s="824" t="str">
        <f t="shared" si="25"/>
        <v>010562</v>
      </c>
      <c r="R160" s="825" t="str">
        <f t="shared" si="26"/>
        <v>M,Parker,Daniel,BTRT,170406,010562,11,F</v>
      </c>
      <c r="S160" s="820"/>
      <c r="T160" s="820"/>
      <c r="U160" s="820"/>
      <c r="V160" s="820"/>
    </row>
    <row r="161" spans="1:22" ht="12.75" customHeight="1" x14ac:dyDescent="0.25">
      <c r="A161" s="820"/>
      <c r="B161" s="821" t="s">
        <v>4635</v>
      </c>
      <c r="C161" s="821" t="str">
        <f>'Team 1'!J46</f>
        <v>Savov,Claudia</v>
      </c>
      <c r="D161" s="821" t="str">
        <f>'Gala Setup'!Q$4</f>
        <v>HABL</v>
      </c>
      <c r="E161" s="822" t="str">
        <f>'Team 1'!L46</f>
        <v>280412</v>
      </c>
      <c r="F161" s="823">
        <f>'print 10 lane'!I$58</f>
        <v>4.4745370370370365E-4</v>
      </c>
      <c r="G161" s="821">
        <f>'Team 1'!$D$46</f>
        <v>10</v>
      </c>
      <c r="H161" s="821" t="s">
        <v>4635</v>
      </c>
      <c r="I161" s="821" t="str">
        <f t="shared" si="18"/>
        <v>F,Savov,Claudia</v>
      </c>
      <c r="J161" s="821" t="str">
        <f t="shared" si="19"/>
        <v>F,Savov,Claudia,HABL</v>
      </c>
      <c r="K161" s="821" t="str">
        <f t="shared" si="20"/>
        <v>F,Savov,Claudia,HABL,280412</v>
      </c>
      <c r="L161" s="821" t="str">
        <f t="shared" si="21"/>
        <v>F,Savov,Claudia,HABL,280412,003866</v>
      </c>
      <c r="M161" s="821" t="str">
        <f t="shared" si="22"/>
        <v>F,Savov,Claudia,HABL,280412,003866,10</v>
      </c>
      <c r="N161" s="821" t="str">
        <f t="shared" si="23"/>
        <v>F,Savov,Claudia,HABL,280412,003866,10,F</v>
      </c>
      <c r="O161" s="824"/>
      <c r="P161" s="824" t="str">
        <f t="shared" si="24"/>
        <v>00:38.66</v>
      </c>
      <c r="Q161" s="824" t="str">
        <f t="shared" si="25"/>
        <v>003866</v>
      </c>
      <c r="R161" s="825" t="str">
        <f t="shared" si="26"/>
        <v>F,Savov,Claudia,HABL,280412,003866,10,F</v>
      </c>
      <c r="S161" s="820"/>
      <c r="T161" s="820"/>
      <c r="U161" s="820"/>
      <c r="V161" s="820"/>
    </row>
    <row r="162" spans="1:22" ht="12.75" customHeight="1" x14ac:dyDescent="0.25">
      <c r="A162" s="820"/>
      <c r="B162" s="826" t="s">
        <v>4635</v>
      </c>
      <c r="C162" s="826" t="str">
        <f>'Team 2'!J46</f>
        <v>Wegner,Maya</v>
      </c>
      <c r="D162" s="826" t="str">
        <f>'Gala Setup'!$Q$5</f>
        <v>STET</v>
      </c>
      <c r="E162" s="827" t="str">
        <f>'Team 2'!L46</f>
        <v>270412</v>
      </c>
      <c r="F162" s="823">
        <f>'print 10 lane'!L$58</f>
        <v>5.0428240740740739E-4</v>
      </c>
      <c r="G162" s="826">
        <f>'Team 1'!$D$46</f>
        <v>10</v>
      </c>
      <c r="H162" s="826" t="s">
        <v>4635</v>
      </c>
      <c r="I162" s="826" t="str">
        <f t="shared" si="18"/>
        <v>F,Wegner,Maya</v>
      </c>
      <c r="J162" s="826" t="str">
        <f t="shared" si="19"/>
        <v>F,Wegner,Maya,STET</v>
      </c>
      <c r="K162" s="826" t="str">
        <f t="shared" si="20"/>
        <v>F,Wegner,Maya,STET,270412</v>
      </c>
      <c r="L162" s="821" t="str">
        <f t="shared" si="21"/>
        <v>F,Wegner,Maya,STET,270412,004357</v>
      </c>
      <c r="M162" s="826" t="str">
        <f t="shared" si="22"/>
        <v>F,Wegner,Maya,STET,270412,004357,10</v>
      </c>
      <c r="N162" s="826" t="str">
        <f t="shared" si="23"/>
        <v>F,Wegner,Maya,STET,270412,004357,10,F</v>
      </c>
      <c r="O162" s="824"/>
      <c r="P162" s="824" t="str">
        <f t="shared" si="24"/>
        <v>00:43.57</v>
      </c>
      <c r="Q162" s="824" t="str">
        <f t="shared" si="25"/>
        <v>004357</v>
      </c>
      <c r="R162" s="825" t="str">
        <f t="shared" si="26"/>
        <v>F,Wegner,Maya,STET,270412,004357,10,F</v>
      </c>
      <c r="S162" s="820"/>
      <c r="T162" s="820"/>
      <c r="U162" s="820"/>
      <c r="V162" s="820"/>
    </row>
    <row r="163" spans="1:22" ht="12.75" customHeight="1" x14ac:dyDescent="0.25">
      <c r="A163" s="820"/>
      <c r="B163" s="821" t="s">
        <v>4635</v>
      </c>
      <c r="C163" s="821" t="str">
        <f>'Team 3'!J46</f>
        <v>Omand,Scarlett</v>
      </c>
      <c r="D163" s="821" t="str">
        <f>'Gala Setup'!Q$6</f>
        <v>BBST</v>
      </c>
      <c r="E163" s="822" t="str">
        <f>'Team 3'!L46</f>
        <v>090913</v>
      </c>
      <c r="F163" s="823">
        <f>'print 10 lane'!O$58</f>
        <v>4.9270833333333339E-4</v>
      </c>
      <c r="G163" s="821">
        <f>'Team 1'!$D$46</f>
        <v>10</v>
      </c>
      <c r="H163" s="821" t="s">
        <v>4635</v>
      </c>
      <c r="I163" s="821" t="str">
        <f t="shared" si="18"/>
        <v>F,Omand,Scarlett</v>
      </c>
      <c r="J163" s="821" t="str">
        <f t="shared" si="19"/>
        <v>F,Omand,Scarlett,BBST</v>
      </c>
      <c r="K163" s="821" t="str">
        <f t="shared" si="20"/>
        <v>F,Omand,Scarlett,BBST,090913</v>
      </c>
      <c r="L163" s="821" t="str">
        <f t="shared" si="21"/>
        <v>F,Omand,Scarlett,BBST,090913,004257</v>
      </c>
      <c r="M163" s="821" t="str">
        <f t="shared" si="22"/>
        <v>F,Omand,Scarlett,BBST,090913,004257,10</v>
      </c>
      <c r="N163" s="821" t="str">
        <f t="shared" si="23"/>
        <v>F,Omand,Scarlett,BBST,090913,004257,10,F</v>
      </c>
      <c r="O163" s="824"/>
      <c r="P163" s="824" t="str">
        <f t="shared" si="24"/>
        <v>00:42.57</v>
      </c>
      <c r="Q163" s="824" t="str">
        <f t="shared" si="25"/>
        <v>004257</v>
      </c>
      <c r="R163" s="825" t="str">
        <f t="shared" si="26"/>
        <v>F,Omand,Scarlett,BBST,090913,004257,10,F</v>
      </c>
      <c r="S163" s="820"/>
      <c r="T163" s="820"/>
      <c r="U163" s="820"/>
      <c r="V163" s="820"/>
    </row>
    <row r="164" spans="1:22" ht="12.75" customHeight="1" x14ac:dyDescent="0.25">
      <c r="A164" s="820"/>
      <c r="B164" s="826" t="s">
        <v>4635</v>
      </c>
      <c r="C164" s="826" t="str">
        <f>'Team 4'!J46</f>
        <v>BROWNBRIDGE,WILLOW</v>
      </c>
      <c r="D164" s="826" t="str">
        <f>'Gala Setup'!Q$7</f>
        <v>AYBS</v>
      </c>
      <c r="E164" s="827" t="str">
        <f>'Team 4'!L46</f>
        <v>190712</v>
      </c>
      <c r="F164" s="823">
        <f>'print 10 lane'!R$58</f>
        <v>5.276620370370371E-4</v>
      </c>
      <c r="G164" s="826">
        <f>'Team 1'!$D$46</f>
        <v>10</v>
      </c>
      <c r="H164" s="826" t="s">
        <v>4635</v>
      </c>
      <c r="I164" s="826" t="str">
        <f t="shared" si="18"/>
        <v>F,BROWNBRIDGE,WILLOW</v>
      </c>
      <c r="J164" s="826" t="str">
        <f t="shared" si="19"/>
        <v>F,BROWNBRIDGE,WILLOW,AYBS</v>
      </c>
      <c r="K164" s="826" t="str">
        <f t="shared" si="20"/>
        <v>F,BROWNBRIDGE,WILLOW,AYBS,190712</v>
      </c>
      <c r="L164" s="821" t="str">
        <f t="shared" si="21"/>
        <v>F,BROWNBRIDGE,WILLOW,AYBS,190712,004559</v>
      </c>
      <c r="M164" s="826" t="str">
        <f t="shared" si="22"/>
        <v>F,BROWNBRIDGE,WILLOW,AYBS,190712,004559,10</v>
      </c>
      <c r="N164" s="826" t="str">
        <f t="shared" si="23"/>
        <v>F,BROWNBRIDGE,WILLOW,AYBS,190712,004559,10,F</v>
      </c>
      <c r="O164" s="824"/>
      <c r="P164" s="824" t="str">
        <f t="shared" si="24"/>
        <v>00:45.59</v>
      </c>
      <c r="Q164" s="824" t="str">
        <f t="shared" si="25"/>
        <v>004559</v>
      </c>
      <c r="R164" s="825" t="str">
        <f t="shared" si="26"/>
        <v>F,BROWNBRIDGE,WILLOW,AYBS,190712,004559,10,F</v>
      </c>
      <c r="S164" s="820"/>
      <c r="T164" s="820"/>
      <c r="U164" s="820"/>
      <c r="V164" s="820"/>
    </row>
    <row r="165" spans="1:22" ht="12.75" customHeight="1" x14ac:dyDescent="0.25">
      <c r="A165" s="820"/>
      <c r="B165" s="821" t="s">
        <v>4635</v>
      </c>
      <c r="C165" s="821" t="str">
        <f>'Team 5'!J46</f>
        <v>Long,Caoife</v>
      </c>
      <c r="D165" s="821" t="str">
        <f>'Gala Setup'!Q$8</f>
        <v>BTRT</v>
      </c>
      <c r="E165" s="822" t="str">
        <f>'Team 5'!L46</f>
        <v>230913</v>
      </c>
      <c r="F165" s="823">
        <f>'print 10 lane'!U$58</f>
        <v>5.4780092592592586E-4</v>
      </c>
      <c r="G165" s="821">
        <f>'Team 1'!$D$46</f>
        <v>10</v>
      </c>
      <c r="H165" s="821" t="s">
        <v>4635</v>
      </c>
      <c r="I165" s="821" t="str">
        <f t="shared" si="18"/>
        <v>F,Long,Caoife</v>
      </c>
      <c r="J165" s="821" t="str">
        <f t="shared" si="19"/>
        <v>F,Long,Caoife,BTRT</v>
      </c>
      <c r="K165" s="821" t="str">
        <f t="shared" si="20"/>
        <v>F,Long,Caoife,BTRT,230913</v>
      </c>
      <c r="L165" s="821" t="str">
        <f t="shared" si="21"/>
        <v>F,Long,Caoife,BTRT,230913,004733</v>
      </c>
      <c r="M165" s="821" t="str">
        <f t="shared" si="22"/>
        <v>F,Long,Caoife,BTRT,230913,004733,10</v>
      </c>
      <c r="N165" s="821" t="str">
        <f t="shared" si="23"/>
        <v>F,Long,Caoife,BTRT,230913,004733,10,F</v>
      </c>
      <c r="O165" s="824"/>
      <c r="P165" s="824" t="str">
        <f t="shared" si="24"/>
        <v>00:47.33</v>
      </c>
      <c r="Q165" s="824" t="str">
        <f t="shared" si="25"/>
        <v>004733</v>
      </c>
      <c r="R165" s="825" t="str">
        <f t="shared" si="26"/>
        <v>F,Long,Caoife,BTRT,230913,004733,10,F</v>
      </c>
      <c r="S165" s="820"/>
      <c r="T165" s="820"/>
      <c r="U165" s="820"/>
      <c r="V165" s="820"/>
    </row>
    <row r="166" spans="1:22" ht="12.75" customHeight="1" x14ac:dyDescent="0.25">
      <c r="A166" s="820"/>
      <c r="B166" s="821" t="s">
        <v>4635</v>
      </c>
      <c r="C166" s="821" t="str">
        <f>'Team 7'!J46</f>
        <v>Jobanputra,Zara</v>
      </c>
      <c r="D166" s="821" t="str">
        <f>'Gala Setup'!Q$10</f>
        <v>HISL</v>
      </c>
      <c r="E166" s="822" t="str">
        <f>'Team 7'!L46</f>
        <v>141012</v>
      </c>
      <c r="F166" s="823">
        <f>'print 10 lane'!AA$58</f>
        <v>5.0543981481481479E-4</v>
      </c>
      <c r="G166" s="821">
        <f>'Team 1'!$D$46</f>
        <v>10</v>
      </c>
      <c r="H166" s="821" t="s">
        <v>4635</v>
      </c>
      <c r="I166" s="821" t="str">
        <f t="shared" si="18"/>
        <v>F,Jobanputra,Zara</v>
      </c>
      <c r="J166" s="821" t="str">
        <f t="shared" si="19"/>
        <v>F,Jobanputra,Zara,HISL</v>
      </c>
      <c r="K166" s="821" t="str">
        <f t="shared" si="20"/>
        <v>F,Jobanputra,Zara,HISL,141012</v>
      </c>
      <c r="L166" s="821" t="str">
        <f t="shared" si="21"/>
        <v>F,Jobanputra,Zara,HISL,141012,004367</v>
      </c>
      <c r="M166" s="821" t="str">
        <f t="shared" si="22"/>
        <v>F,Jobanputra,Zara,HISL,141012,004367,10</v>
      </c>
      <c r="N166" s="821" t="str">
        <f t="shared" si="23"/>
        <v>F,Jobanputra,Zara,HISL,141012,004367,10,F</v>
      </c>
      <c r="O166" s="824"/>
      <c r="P166" s="824" t="str">
        <f t="shared" si="24"/>
        <v>00:43.67</v>
      </c>
      <c r="Q166" s="824" t="str">
        <f t="shared" si="25"/>
        <v>004367</v>
      </c>
      <c r="R166" s="825" t="str">
        <f t="shared" si="26"/>
        <v>F,Jobanputra,Zara,HISL,141012,004367,10,F</v>
      </c>
      <c r="S166" s="820"/>
      <c r="T166" s="820"/>
      <c r="U166" s="820"/>
      <c r="V166" s="820"/>
    </row>
    <row r="167" spans="1:22" ht="12.75" customHeight="1" x14ac:dyDescent="0.25">
      <c r="A167" s="820"/>
      <c r="B167" s="826" t="s">
        <v>4635</v>
      </c>
      <c r="C167" s="826" t="str">
        <f>'Team 6'!J46</f>
        <v xml:space="preserve">Patel,Miraya </v>
      </c>
      <c r="D167" s="826" t="str">
        <f>'Gala Setup'!Q$9</f>
        <v>HAWL</v>
      </c>
      <c r="E167" s="827" t="str">
        <f>'Team 6'!L46</f>
        <v>080512</v>
      </c>
      <c r="F167" s="823">
        <f>'print 10 lane'!X$58</f>
        <v>5.398148148148148E-4</v>
      </c>
      <c r="G167" s="826">
        <f>'Team 1'!$D$46</f>
        <v>10</v>
      </c>
      <c r="H167" s="826" t="s">
        <v>4635</v>
      </c>
      <c r="I167" s="826" t="str">
        <f t="shared" si="18"/>
        <v xml:space="preserve">F,Patel,Miraya </v>
      </c>
      <c r="J167" s="826" t="str">
        <f t="shared" si="19"/>
        <v>F,Patel,Miraya ,HAWL</v>
      </c>
      <c r="K167" s="826" t="str">
        <f t="shared" si="20"/>
        <v>F,Patel,Miraya ,HAWL,080512</v>
      </c>
      <c r="L167" s="821" t="str">
        <f t="shared" si="21"/>
        <v>F,Patel,Miraya ,HAWL,080512,004664</v>
      </c>
      <c r="M167" s="826" t="str">
        <f t="shared" si="22"/>
        <v>F,Patel,Miraya ,HAWL,080512,004664,10</v>
      </c>
      <c r="N167" s="826" t="str">
        <f t="shared" si="23"/>
        <v>F,Patel,Miraya ,HAWL,080512,004664,10,F</v>
      </c>
      <c r="O167" s="824"/>
      <c r="P167" s="824" t="str">
        <f t="shared" si="24"/>
        <v>00:46.64</v>
      </c>
      <c r="Q167" s="824" t="str">
        <f t="shared" si="25"/>
        <v>004664</v>
      </c>
      <c r="R167" s="825" t="str">
        <f t="shared" si="26"/>
        <v>F,Patel,Miraya ,HAWL,080512,004664,10,F</v>
      </c>
      <c r="S167" s="820"/>
      <c r="T167" s="820"/>
      <c r="U167" s="820"/>
      <c r="V167" s="820"/>
    </row>
    <row r="168" spans="1:22" ht="12.75" customHeight="1" x14ac:dyDescent="0.25">
      <c r="A168" s="820"/>
      <c r="B168" s="821" t="s">
        <v>4635</v>
      </c>
      <c r="C168" s="821" t="str">
        <f>'Team 9'!J46</f>
        <v>,</v>
      </c>
      <c r="D168" s="821">
        <f>'Gala Setup'!Q$12</f>
        <v>0</v>
      </c>
      <c r="E168" s="822" t="str">
        <f>'Team 9'!L46</f>
        <v>000100</v>
      </c>
      <c r="F168" s="823">
        <f>'print 10 lane'!AG$58</f>
        <v>0</v>
      </c>
      <c r="G168" s="821">
        <f>'Team 1'!$D$46</f>
        <v>10</v>
      </c>
      <c r="H168" s="821" t="s">
        <v>4635</v>
      </c>
      <c r="I168" s="821" t="str">
        <f t="shared" si="18"/>
        <v>F,,</v>
      </c>
      <c r="J168" s="821" t="str">
        <f t="shared" si="19"/>
        <v>F,,,0</v>
      </c>
      <c r="K168" s="821" t="str">
        <f t="shared" si="20"/>
        <v>F,,,0,000100</v>
      </c>
      <c r="L168" s="821" t="str">
        <f t="shared" si="21"/>
        <v>F,,,0,000100,000000</v>
      </c>
      <c r="M168" s="821" t="str">
        <f t="shared" si="22"/>
        <v>F,,,0,000100,000000,10</v>
      </c>
      <c r="N168" s="821" t="str">
        <f t="shared" si="23"/>
        <v>F,,,0,000100,000000,10,F</v>
      </c>
      <c r="O168" s="824"/>
      <c r="P168" s="824" t="str">
        <f t="shared" si="24"/>
        <v>00:00.00</v>
      </c>
      <c r="Q168" s="824" t="str">
        <f t="shared" si="25"/>
        <v>000000</v>
      </c>
      <c r="R168" s="825" t="str">
        <f t="shared" si="26"/>
        <v/>
      </c>
      <c r="S168" s="820"/>
      <c r="T168" s="820"/>
      <c r="U168" s="820"/>
      <c r="V168" s="820"/>
    </row>
    <row r="169" spans="1:22" ht="12.75" customHeight="1" x14ac:dyDescent="0.25">
      <c r="A169" s="820"/>
      <c r="B169" s="826" t="s">
        <v>4635</v>
      </c>
      <c r="C169" s="826" t="str">
        <f>'Team 10'!J46</f>
        <v>,</v>
      </c>
      <c r="D169" s="826">
        <f>'Gala Setup'!Q$13</f>
        <v>0</v>
      </c>
      <c r="E169" s="827" t="str">
        <f>'Team 10'!L46</f>
        <v>000100</v>
      </c>
      <c r="F169" s="823">
        <f>'print 10 lane'!AJ$58</f>
        <v>0</v>
      </c>
      <c r="G169" s="826">
        <f>'Team 1'!$D$46</f>
        <v>10</v>
      </c>
      <c r="H169" s="826" t="s">
        <v>4635</v>
      </c>
      <c r="I169" s="826" t="str">
        <f t="shared" si="18"/>
        <v>F,,</v>
      </c>
      <c r="J169" s="826" t="str">
        <f t="shared" si="19"/>
        <v>F,,,0</v>
      </c>
      <c r="K169" s="826" t="str">
        <f t="shared" si="20"/>
        <v>F,,,0,000100</v>
      </c>
      <c r="L169" s="821" t="str">
        <f t="shared" si="21"/>
        <v>F,,,0,000100,000000</v>
      </c>
      <c r="M169" s="826" t="str">
        <f t="shared" si="22"/>
        <v>F,,,0,000100,000000,10</v>
      </c>
      <c r="N169" s="826" t="str">
        <f t="shared" si="23"/>
        <v>F,,,0,000100,000000,10,F</v>
      </c>
      <c r="O169" s="824"/>
      <c r="P169" s="824" t="str">
        <f t="shared" si="24"/>
        <v>00:00.00</v>
      </c>
      <c r="Q169" s="824" t="str">
        <f t="shared" si="25"/>
        <v>000000</v>
      </c>
      <c r="R169" s="825" t="str">
        <f t="shared" si="26"/>
        <v/>
      </c>
      <c r="S169" s="820"/>
      <c r="T169" s="820"/>
      <c r="U169" s="820"/>
      <c r="V169" s="820"/>
    </row>
    <row r="170" spans="1:22" ht="12.75" customHeight="1" x14ac:dyDescent="0.25">
      <c r="A170" s="820"/>
      <c r="B170" s="826" t="s">
        <v>328</v>
      </c>
      <c r="C170" s="826" t="str">
        <f>'Team 10'!J47</f>
        <v>,</v>
      </c>
      <c r="D170" s="826">
        <f>'Gala Setup'!Q$13</f>
        <v>0</v>
      </c>
      <c r="E170" s="827" t="str">
        <f>'Team 10'!L47</f>
        <v>000100</v>
      </c>
      <c r="F170" s="823">
        <f>'print 10 lane'!AJ$61</f>
        <v>0</v>
      </c>
      <c r="G170" s="826">
        <f>'Team 1'!$D$47</f>
        <v>10</v>
      </c>
      <c r="H170" s="826" t="s">
        <v>4635</v>
      </c>
      <c r="I170" s="826" t="str">
        <f t="shared" si="18"/>
        <v>M,,</v>
      </c>
      <c r="J170" s="826" t="str">
        <f t="shared" si="19"/>
        <v>M,,,0</v>
      </c>
      <c r="K170" s="826" t="str">
        <f t="shared" si="20"/>
        <v>M,,,0,000100</v>
      </c>
      <c r="L170" s="821" t="str">
        <f t="shared" si="21"/>
        <v>M,,,0,000100,000000</v>
      </c>
      <c r="M170" s="826" t="str">
        <f t="shared" si="22"/>
        <v>M,,,0,000100,000000,10</v>
      </c>
      <c r="N170" s="826" t="str">
        <f t="shared" si="23"/>
        <v>M,,,0,000100,000000,10,F</v>
      </c>
      <c r="O170" s="824"/>
      <c r="P170" s="824" t="str">
        <f t="shared" si="24"/>
        <v>00:00.00</v>
      </c>
      <c r="Q170" s="824" t="str">
        <f t="shared" si="25"/>
        <v>000000</v>
      </c>
      <c r="R170" s="825" t="str">
        <f t="shared" si="26"/>
        <v/>
      </c>
      <c r="S170" s="820"/>
      <c r="T170" s="820"/>
      <c r="U170" s="820"/>
      <c r="V170" s="820"/>
    </row>
    <row r="171" spans="1:22" ht="12.75" customHeight="1" x14ac:dyDescent="0.25">
      <c r="A171" s="820"/>
      <c r="B171" s="821" t="s">
        <v>328</v>
      </c>
      <c r="C171" s="821" t="str">
        <f>'Team 9'!J47</f>
        <v>,</v>
      </c>
      <c r="D171" s="821">
        <f>'Gala Setup'!Q$12</f>
        <v>0</v>
      </c>
      <c r="E171" s="822" t="str">
        <f>'Team 9'!L47</f>
        <v>000100</v>
      </c>
      <c r="F171" s="823">
        <f>'print 10 lane'!AG$61</f>
        <v>0</v>
      </c>
      <c r="G171" s="821">
        <f>'Team 1'!$D$47</f>
        <v>10</v>
      </c>
      <c r="H171" s="821" t="s">
        <v>4635</v>
      </c>
      <c r="I171" s="821" t="str">
        <f t="shared" si="18"/>
        <v>M,,</v>
      </c>
      <c r="J171" s="821" t="str">
        <f t="shared" si="19"/>
        <v>M,,,0</v>
      </c>
      <c r="K171" s="821" t="str">
        <f t="shared" si="20"/>
        <v>M,,,0,000100</v>
      </c>
      <c r="L171" s="821" t="str">
        <f t="shared" si="21"/>
        <v>M,,,0,000100,000000</v>
      </c>
      <c r="M171" s="821" t="str">
        <f t="shared" si="22"/>
        <v>M,,,0,000100,000000,10</v>
      </c>
      <c r="N171" s="821" t="str">
        <f t="shared" si="23"/>
        <v>M,,,0,000100,000000,10,F</v>
      </c>
      <c r="O171" s="824"/>
      <c r="P171" s="824" t="str">
        <f t="shared" si="24"/>
        <v>00:00.00</v>
      </c>
      <c r="Q171" s="824" t="str">
        <f t="shared" si="25"/>
        <v>000000</v>
      </c>
      <c r="R171" s="825" t="str">
        <f t="shared" si="26"/>
        <v/>
      </c>
      <c r="S171" s="820"/>
      <c r="T171" s="820"/>
      <c r="U171" s="820"/>
      <c r="V171" s="820"/>
    </row>
    <row r="172" spans="1:22" ht="12.75" customHeight="1" x14ac:dyDescent="0.25">
      <c r="A172" s="820"/>
      <c r="B172" s="826" t="s">
        <v>4635</v>
      </c>
      <c r="C172" s="826" t="str">
        <f>'Team 8'!J46</f>
        <v>,</v>
      </c>
      <c r="D172" s="826">
        <f>'Gala Setup'!Q$11</f>
        <v>0</v>
      </c>
      <c r="E172" s="827" t="str">
        <f>'Team 8'!L46</f>
        <v>000100</v>
      </c>
      <c r="F172" s="823">
        <f>'print 10 lane'!AD$58</f>
        <v>0</v>
      </c>
      <c r="G172" s="826">
        <f>'Team 1'!$D$46</f>
        <v>10</v>
      </c>
      <c r="H172" s="826" t="s">
        <v>4635</v>
      </c>
      <c r="I172" s="826" t="str">
        <f t="shared" si="18"/>
        <v>F,,</v>
      </c>
      <c r="J172" s="826" t="str">
        <f t="shared" si="19"/>
        <v>F,,,0</v>
      </c>
      <c r="K172" s="826" t="str">
        <f t="shared" si="20"/>
        <v>F,,,0,000100</v>
      </c>
      <c r="L172" s="821" t="str">
        <f t="shared" si="21"/>
        <v>F,,,0,000100,000000</v>
      </c>
      <c r="M172" s="826" t="str">
        <f t="shared" si="22"/>
        <v>F,,,0,000100,000000,10</v>
      </c>
      <c r="N172" s="826" t="str">
        <f t="shared" si="23"/>
        <v>F,,,0,000100,000000,10,F</v>
      </c>
      <c r="O172" s="824"/>
      <c r="P172" s="824" t="str">
        <f t="shared" si="24"/>
        <v>00:00.00</v>
      </c>
      <c r="Q172" s="824" t="str">
        <f t="shared" si="25"/>
        <v>000000</v>
      </c>
      <c r="R172" s="825" t="str">
        <f t="shared" si="26"/>
        <v/>
      </c>
      <c r="S172" s="820"/>
      <c r="T172" s="820"/>
      <c r="U172" s="820"/>
      <c r="V172" s="820"/>
    </row>
    <row r="173" spans="1:22" ht="12.75" customHeight="1" x14ac:dyDescent="0.25">
      <c r="A173" s="820"/>
      <c r="B173" s="826" t="s">
        <v>328</v>
      </c>
      <c r="C173" s="826" t="str">
        <f>'Team 8'!J47</f>
        <v>,</v>
      </c>
      <c r="D173" s="826">
        <f>'Gala Setup'!Q$11</f>
        <v>0</v>
      </c>
      <c r="E173" s="827" t="str">
        <f>'Team 8'!L47</f>
        <v>000100</v>
      </c>
      <c r="F173" s="823">
        <f>'print 10 lane'!AD$61</f>
        <v>0</v>
      </c>
      <c r="G173" s="826">
        <f>'Team 1'!$D$47</f>
        <v>10</v>
      </c>
      <c r="H173" s="826" t="s">
        <v>4635</v>
      </c>
      <c r="I173" s="826" t="str">
        <f t="shared" si="18"/>
        <v>M,,</v>
      </c>
      <c r="J173" s="826" t="str">
        <f t="shared" si="19"/>
        <v>M,,,0</v>
      </c>
      <c r="K173" s="826" t="str">
        <f t="shared" si="20"/>
        <v>M,,,0,000100</v>
      </c>
      <c r="L173" s="821" t="str">
        <f t="shared" si="21"/>
        <v>M,,,0,000100,000000</v>
      </c>
      <c r="M173" s="826" t="str">
        <f t="shared" si="22"/>
        <v>M,,,0,000100,000000,10</v>
      </c>
      <c r="N173" s="826" t="str">
        <f t="shared" si="23"/>
        <v>M,,,0,000100,000000,10,F</v>
      </c>
      <c r="O173" s="824"/>
      <c r="P173" s="824" t="str">
        <f t="shared" si="24"/>
        <v>00:00.00</v>
      </c>
      <c r="Q173" s="824" t="str">
        <f t="shared" si="25"/>
        <v>000000</v>
      </c>
      <c r="R173" s="825" t="str">
        <f t="shared" si="26"/>
        <v/>
      </c>
      <c r="S173" s="820"/>
      <c r="T173" s="820"/>
      <c r="U173" s="820"/>
      <c r="V173" s="820"/>
    </row>
    <row r="174" spans="1:22" ht="12.75" customHeight="1" x14ac:dyDescent="0.25">
      <c r="A174" s="820"/>
      <c r="B174" s="821" t="s">
        <v>328</v>
      </c>
      <c r="C174" s="821" t="str">
        <f>'Team 7'!J47</f>
        <v>Bhuwania,Jai</v>
      </c>
      <c r="D174" s="821" t="str">
        <f>'Gala Setup'!Q$10</f>
        <v>HISL</v>
      </c>
      <c r="E174" s="822" t="str">
        <f>'Team 7'!L47</f>
        <v>010412</v>
      </c>
      <c r="F174" s="823">
        <f>'print 10 lane'!AA$61</f>
        <v>5.8124999999999995E-4</v>
      </c>
      <c r="G174" s="821">
        <f>'Team 1'!$D$47</f>
        <v>10</v>
      </c>
      <c r="H174" s="821" t="s">
        <v>4635</v>
      </c>
      <c r="I174" s="821" t="str">
        <f t="shared" si="18"/>
        <v>M,Bhuwania,Jai</v>
      </c>
      <c r="J174" s="821" t="str">
        <f t="shared" si="19"/>
        <v>M,Bhuwania,Jai,HISL</v>
      </c>
      <c r="K174" s="821" t="str">
        <f t="shared" si="20"/>
        <v>M,Bhuwania,Jai,HISL,010412</v>
      </c>
      <c r="L174" s="821" t="str">
        <f t="shared" si="21"/>
        <v>M,Bhuwania,Jai,HISL,010412,005022</v>
      </c>
      <c r="M174" s="821" t="str">
        <f t="shared" si="22"/>
        <v>M,Bhuwania,Jai,HISL,010412,005022,10</v>
      </c>
      <c r="N174" s="821" t="str">
        <f t="shared" si="23"/>
        <v>M,Bhuwania,Jai,HISL,010412,005022,10,F</v>
      </c>
      <c r="O174" s="824"/>
      <c r="P174" s="824" t="str">
        <f t="shared" si="24"/>
        <v>00:50.22</v>
      </c>
      <c r="Q174" s="824" t="str">
        <f t="shared" si="25"/>
        <v>005022</v>
      </c>
      <c r="R174" s="825" t="str">
        <f t="shared" si="26"/>
        <v>M,Bhuwania,Jai,HISL,010412,005022,10,F</v>
      </c>
      <c r="S174" s="820"/>
      <c r="T174" s="820"/>
      <c r="U174" s="820"/>
      <c r="V174" s="820"/>
    </row>
    <row r="175" spans="1:22" ht="12.75" customHeight="1" x14ac:dyDescent="0.25">
      <c r="A175" s="820"/>
      <c r="B175" s="826" t="s">
        <v>328</v>
      </c>
      <c r="C175" s="826" t="str">
        <f>'Team 6'!J47</f>
        <v>Fedorov,Mikhail</v>
      </c>
      <c r="D175" s="826" t="str">
        <f>'Gala Setup'!Q$9</f>
        <v>HAWL</v>
      </c>
      <c r="E175" s="827" t="str">
        <f>'Team 6'!L47</f>
        <v>140713</v>
      </c>
      <c r="F175" s="823">
        <f>'print 10 lane'!X$61</f>
        <v>4.7685185185185195E-4</v>
      </c>
      <c r="G175" s="826">
        <f>'Team 1'!$D$47</f>
        <v>10</v>
      </c>
      <c r="H175" s="826" t="s">
        <v>4635</v>
      </c>
      <c r="I175" s="826" t="str">
        <f t="shared" si="18"/>
        <v>M,Fedorov,Mikhail</v>
      </c>
      <c r="J175" s="826" t="str">
        <f t="shared" si="19"/>
        <v>M,Fedorov,Mikhail,HAWL</v>
      </c>
      <c r="K175" s="826" t="str">
        <f t="shared" si="20"/>
        <v>M,Fedorov,Mikhail,HAWL,140713</v>
      </c>
      <c r="L175" s="821" t="str">
        <f t="shared" si="21"/>
        <v>M,Fedorov,Mikhail,HAWL,140713,004120</v>
      </c>
      <c r="M175" s="826" t="str">
        <f t="shared" si="22"/>
        <v>M,Fedorov,Mikhail,HAWL,140713,004120,10</v>
      </c>
      <c r="N175" s="826" t="str">
        <f t="shared" si="23"/>
        <v>M,Fedorov,Mikhail,HAWL,140713,004120,10,F</v>
      </c>
      <c r="O175" s="824"/>
      <c r="P175" s="824" t="str">
        <f t="shared" si="24"/>
        <v>00:41.20</v>
      </c>
      <c r="Q175" s="824" t="str">
        <f t="shared" si="25"/>
        <v>004120</v>
      </c>
      <c r="R175" s="825" t="str">
        <f t="shared" si="26"/>
        <v>M,Fedorov,Mikhail,HAWL,140713,004120,10,F</v>
      </c>
      <c r="S175" s="820"/>
      <c r="T175" s="820"/>
      <c r="U175" s="820"/>
      <c r="V175" s="820"/>
    </row>
    <row r="176" spans="1:22" ht="12.75" customHeight="1" x14ac:dyDescent="0.25">
      <c r="A176" s="820"/>
      <c r="B176" s="821" t="s">
        <v>328</v>
      </c>
      <c r="C176" s="821" t="str">
        <f>'Team 5'!J47</f>
        <v>Young,Myron</v>
      </c>
      <c r="D176" s="821" t="str">
        <f>'Gala Setup'!Q$8</f>
        <v>BTRT</v>
      </c>
      <c r="E176" s="822" t="str">
        <f>'Team 5'!L47</f>
        <v>021013</v>
      </c>
      <c r="F176" s="823">
        <f>'print 10 lane'!U$61</f>
        <v>5.807870370370371E-4</v>
      </c>
      <c r="G176" s="821">
        <f>'Team 1'!$D$47</f>
        <v>10</v>
      </c>
      <c r="H176" s="821" t="s">
        <v>4635</v>
      </c>
      <c r="I176" s="821" t="str">
        <f t="shared" si="18"/>
        <v>M,Young,Myron</v>
      </c>
      <c r="J176" s="821" t="str">
        <f t="shared" si="19"/>
        <v>M,Young,Myron,BTRT</v>
      </c>
      <c r="K176" s="821" t="str">
        <f t="shared" si="20"/>
        <v>M,Young,Myron,BTRT,021013</v>
      </c>
      <c r="L176" s="821" t="str">
        <f t="shared" si="21"/>
        <v>M,Young,Myron,BTRT,021013,005018</v>
      </c>
      <c r="M176" s="821" t="str">
        <f t="shared" si="22"/>
        <v>M,Young,Myron,BTRT,021013,005018,10</v>
      </c>
      <c r="N176" s="821" t="str">
        <f t="shared" si="23"/>
        <v>M,Young,Myron,BTRT,021013,005018,10,F</v>
      </c>
      <c r="O176" s="824"/>
      <c r="P176" s="824" t="str">
        <f t="shared" si="24"/>
        <v>00:50.18</v>
      </c>
      <c r="Q176" s="824" t="str">
        <f t="shared" si="25"/>
        <v>005018</v>
      </c>
      <c r="R176" s="825" t="str">
        <f t="shared" si="26"/>
        <v>M,Young,Myron,BTRT,021013,005018,10,F</v>
      </c>
      <c r="S176" s="820"/>
      <c r="T176" s="820"/>
      <c r="U176" s="820"/>
      <c r="V176" s="820"/>
    </row>
    <row r="177" spans="1:22" ht="12.75" customHeight="1" x14ac:dyDescent="0.25">
      <c r="A177" s="820"/>
      <c r="B177" s="826" t="s">
        <v>328</v>
      </c>
      <c r="C177" s="826" t="str">
        <f>'Team 4'!J47</f>
        <v>ROSA,SIMON</v>
      </c>
      <c r="D177" s="826" t="str">
        <f>'Gala Setup'!Q$7</f>
        <v>AYBS</v>
      </c>
      <c r="E177" s="827" t="str">
        <f>'Team 4'!L47</f>
        <v>181112</v>
      </c>
      <c r="F177" s="823">
        <f>'print 10 lane'!R$61</f>
        <v>0</v>
      </c>
      <c r="G177" s="826">
        <f>'Team 1'!$D$47</f>
        <v>10</v>
      </c>
      <c r="H177" s="826" t="s">
        <v>4635</v>
      </c>
      <c r="I177" s="826" t="str">
        <f t="shared" si="18"/>
        <v>M,ROSA,SIMON</v>
      </c>
      <c r="J177" s="826" t="str">
        <f t="shared" si="19"/>
        <v>M,ROSA,SIMON,AYBS</v>
      </c>
      <c r="K177" s="826" t="str">
        <f t="shared" si="20"/>
        <v>M,ROSA,SIMON,AYBS,181112</v>
      </c>
      <c r="L177" s="821" t="str">
        <f t="shared" si="21"/>
        <v>M,ROSA,SIMON,AYBS,181112,000000</v>
      </c>
      <c r="M177" s="826" t="str">
        <f t="shared" si="22"/>
        <v>M,ROSA,SIMON,AYBS,181112,000000,10</v>
      </c>
      <c r="N177" s="826" t="str">
        <f t="shared" si="23"/>
        <v>M,ROSA,SIMON,AYBS,181112,000000,10,F</v>
      </c>
      <c r="O177" s="824"/>
      <c r="P177" s="824" t="str">
        <f t="shared" si="24"/>
        <v>00:00.00</v>
      </c>
      <c r="Q177" s="824" t="str">
        <f t="shared" si="25"/>
        <v>000000</v>
      </c>
      <c r="R177" s="825" t="str">
        <f t="shared" si="26"/>
        <v/>
      </c>
      <c r="S177" s="820"/>
      <c r="T177" s="820"/>
      <c r="U177" s="820"/>
      <c r="V177" s="820"/>
    </row>
    <row r="178" spans="1:22" ht="12.75" customHeight="1" x14ac:dyDescent="0.25">
      <c r="A178" s="820"/>
      <c r="B178" s="821" t="s">
        <v>328</v>
      </c>
      <c r="C178" s="821" t="str">
        <f>'Team 3'!J47</f>
        <v>Croft,Maxwell</v>
      </c>
      <c r="D178" s="821" t="str">
        <f>'Gala Setup'!Q$6</f>
        <v>BBST</v>
      </c>
      <c r="E178" s="822" t="str">
        <f>'Team 3'!L47</f>
        <v>070313</v>
      </c>
      <c r="F178" s="823">
        <f>'print 10 lane'!O$61</f>
        <v>5.5312500000000001E-4</v>
      </c>
      <c r="G178" s="821">
        <f>'Team 1'!$D$47</f>
        <v>10</v>
      </c>
      <c r="H178" s="821" t="s">
        <v>4635</v>
      </c>
      <c r="I178" s="821" t="str">
        <f t="shared" si="18"/>
        <v>M,Croft,Maxwell</v>
      </c>
      <c r="J178" s="821" t="str">
        <f t="shared" si="19"/>
        <v>M,Croft,Maxwell,BBST</v>
      </c>
      <c r="K178" s="821" t="str">
        <f t="shared" si="20"/>
        <v>M,Croft,Maxwell,BBST,070313</v>
      </c>
      <c r="L178" s="821" t="str">
        <f t="shared" si="21"/>
        <v>M,Croft,Maxwell,BBST,070313,004779</v>
      </c>
      <c r="M178" s="821" t="str">
        <f t="shared" si="22"/>
        <v>M,Croft,Maxwell,BBST,070313,004779,10</v>
      </c>
      <c r="N178" s="821" t="str">
        <f t="shared" si="23"/>
        <v>M,Croft,Maxwell,BBST,070313,004779,10,F</v>
      </c>
      <c r="O178" s="824"/>
      <c r="P178" s="824" t="str">
        <f t="shared" si="24"/>
        <v>00:47.79</v>
      </c>
      <c r="Q178" s="824" t="str">
        <f t="shared" si="25"/>
        <v>004779</v>
      </c>
      <c r="R178" s="825" t="str">
        <f t="shared" si="26"/>
        <v>M,Croft,Maxwell,BBST,070313,004779,10,F</v>
      </c>
      <c r="S178" s="820"/>
      <c r="T178" s="820"/>
      <c r="U178" s="820"/>
      <c r="V178" s="820"/>
    </row>
    <row r="179" spans="1:22" ht="12.75" customHeight="1" x14ac:dyDescent="0.25">
      <c r="A179" s="820"/>
      <c r="B179" s="826" t="s">
        <v>328</v>
      </c>
      <c r="C179" s="826" t="str">
        <f>'Team 2'!J47</f>
        <v>Winter,James</v>
      </c>
      <c r="D179" s="826" t="str">
        <f>'Gala Setup'!$Q$5</f>
        <v>STET</v>
      </c>
      <c r="E179" s="827" t="str">
        <f>'Team 2'!L47</f>
        <v>040812</v>
      </c>
      <c r="F179" s="823">
        <f>'print 10 lane'!L$61</f>
        <v>4.5636574074074074E-4</v>
      </c>
      <c r="G179" s="826">
        <f>'Team 1'!$D$47</f>
        <v>10</v>
      </c>
      <c r="H179" s="826" t="s">
        <v>4635</v>
      </c>
      <c r="I179" s="826" t="str">
        <f t="shared" si="18"/>
        <v>M,Winter,James</v>
      </c>
      <c r="J179" s="826" t="str">
        <f t="shared" si="19"/>
        <v>M,Winter,James,STET</v>
      </c>
      <c r="K179" s="826" t="str">
        <f t="shared" si="20"/>
        <v>M,Winter,James,STET,040812</v>
      </c>
      <c r="L179" s="821" t="str">
        <f t="shared" si="21"/>
        <v>M,Winter,James,STET,040812,003943</v>
      </c>
      <c r="M179" s="826" t="str">
        <f t="shared" si="22"/>
        <v>M,Winter,James,STET,040812,003943,10</v>
      </c>
      <c r="N179" s="826" t="str">
        <f t="shared" si="23"/>
        <v>M,Winter,James,STET,040812,003943,10,F</v>
      </c>
      <c r="O179" s="824"/>
      <c r="P179" s="824" t="str">
        <f t="shared" si="24"/>
        <v>00:39.43</v>
      </c>
      <c r="Q179" s="824" t="str">
        <f t="shared" si="25"/>
        <v>003943</v>
      </c>
      <c r="R179" s="825" t="str">
        <f t="shared" si="26"/>
        <v>M,Winter,James,STET,040812,003943,10,F</v>
      </c>
      <c r="S179" s="820"/>
      <c r="T179" s="820"/>
      <c r="U179" s="820"/>
      <c r="V179" s="820"/>
    </row>
    <row r="180" spans="1:22" ht="12.75" customHeight="1" x14ac:dyDescent="0.25">
      <c r="A180" s="820"/>
      <c r="B180" s="821" t="s">
        <v>328</v>
      </c>
      <c r="C180" s="821" t="str">
        <f>'Team 1'!J47</f>
        <v>Kern-Konyar,Kornel</v>
      </c>
      <c r="D180" s="821" t="str">
        <f>'Gala Setup'!Q$4</f>
        <v>HABL</v>
      </c>
      <c r="E180" s="822" t="str">
        <f>'Team 1'!L47</f>
        <v>060513</v>
      </c>
      <c r="F180" s="823">
        <f>'print 10 lane'!I$61</f>
        <v>6.6365740740740751E-4</v>
      </c>
      <c r="G180" s="821">
        <f>'Team 1'!$D$47</f>
        <v>10</v>
      </c>
      <c r="H180" s="821" t="s">
        <v>4635</v>
      </c>
      <c r="I180" s="821" t="str">
        <f t="shared" si="18"/>
        <v>M,Kern-Konyar,Kornel</v>
      </c>
      <c r="J180" s="821" t="str">
        <f t="shared" si="19"/>
        <v>M,Kern-Konyar,Kornel,HABL</v>
      </c>
      <c r="K180" s="821" t="str">
        <f t="shared" si="20"/>
        <v>M,Kern-Konyar,Kornel,HABL,060513</v>
      </c>
      <c r="L180" s="821" t="str">
        <f t="shared" si="21"/>
        <v>M,Kern-Konyar,Kornel,HABL,060513,005734</v>
      </c>
      <c r="M180" s="821" t="str">
        <f t="shared" si="22"/>
        <v>M,Kern-Konyar,Kornel,HABL,060513,005734,10</v>
      </c>
      <c r="N180" s="821" t="str">
        <f t="shared" si="23"/>
        <v>M,Kern-Konyar,Kornel,HABL,060513,005734,10,F</v>
      </c>
      <c r="O180" s="824"/>
      <c r="P180" s="824" t="str">
        <f t="shared" si="24"/>
        <v>00:57.34</v>
      </c>
      <c r="Q180" s="824" t="str">
        <f t="shared" si="25"/>
        <v>005734</v>
      </c>
      <c r="R180" s="825" t="str">
        <f t="shared" si="26"/>
        <v>M,Kern-Konyar,Kornel,HABL,060513,005734,10,F</v>
      </c>
      <c r="S180" s="820"/>
      <c r="T180" s="820"/>
      <c r="U180" s="820"/>
      <c r="V180" s="820"/>
    </row>
    <row r="181" spans="1:22" ht="12.75" customHeight="1" x14ac:dyDescent="0.25">
      <c r="A181" s="820"/>
      <c r="B181" s="821" t="s">
        <v>4635</v>
      </c>
      <c r="C181" s="821" t="str">
        <f>'Team 1'!J40</f>
        <v>Hanson,Amy</v>
      </c>
      <c r="D181" s="821" t="str">
        <f>'Gala Setup'!Q$4</f>
        <v>HABL</v>
      </c>
      <c r="E181" s="822" t="str">
        <f>'Team 1'!L40</f>
        <v>120110</v>
      </c>
      <c r="F181" s="823">
        <f>'print 10 lane'!I$40</f>
        <v>9.4062500000000005E-4</v>
      </c>
      <c r="G181" s="821">
        <f>'Team 1'!$D$40</f>
        <v>8</v>
      </c>
      <c r="H181" s="821" t="s">
        <v>4635</v>
      </c>
      <c r="I181" s="821" t="str">
        <f t="shared" si="18"/>
        <v>F,Hanson,Amy</v>
      </c>
      <c r="J181" s="821" t="str">
        <f t="shared" si="19"/>
        <v>F,Hanson,Amy,HABL</v>
      </c>
      <c r="K181" s="821" t="str">
        <f t="shared" si="20"/>
        <v>F,Hanson,Amy,HABL,120110</v>
      </c>
      <c r="L181" s="821" t="str">
        <f t="shared" si="21"/>
        <v>F,Hanson,Amy,HABL,120110,012127</v>
      </c>
      <c r="M181" s="821" t="str">
        <f t="shared" si="22"/>
        <v>F,Hanson,Amy,HABL,120110,012127,8</v>
      </c>
      <c r="N181" s="821" t="str">
        <f t="shared" si="23"/>
        <v>F,Hanson,Amy,HABL,120110,012127,8,F</v>
      </c>
      <c r="O181" s="824"/>
      <c r="P181" s="824" t="str">
        <f t="shared" si="24"/>
        <v>01:21.27</v>
      </c>
      <c r="Q181" s="824" t="str">
        <f t="shared" si="25"/>
        <v>012127</v>
      </c>
      <c r="R181" s="825" t="str">
        <f t="shared" si="26"/>
        <v>F,Hanson,Amy,HABL,120110,012127,8,F</v>
      </c>
      <c r="S181" s="820"/>
      <c r="T181" s="820"/>
      <c r="U181" s="820"/>
      <c r="V181" s="820"/>
    </row>
    <row r="182" spans="1:22" ht="12.75" customHeight="1" x14ac:dyDescent="0.25">
      <c r="A182" s="820"/>
      <c r="B182" s="821" t="s">
        <v>4635</v>
      </c>
      <c r="C182" s="821" t="str">
        <f>'Team 1'!J60</f>
        <v>Gomez-Velasco,Bianca</v>
      </c>
      <c r="D182" s="821" t="str">
        <f>'Gala Setup'!Q$4</f>
        <v>HABL</v>
      </c>
      <c r="E182" s="822" t="str">
        <f>'Team 1'!L60</f>
        <v>140107</v>
      </c>
      <c r="F182" s="823">
        <f>'print 10 lane'!I$100</f>
        <v>9.0185185185185192E-4</v>
      </c>
      <c r="G182" s="821">
        <f>'Team 1'!$D$60</f>
        <v>8</v>
      </c>
      <c r="H182" s="821" t="s">
        <v>4635</v>
      </c>
      <c r="I182" s="821" t="str">
        <f t="shared" si="18"/>
        <v>F,Gomez-Velasco,Bianca</v>
      </c>
      <c r="J182" s="821" t="str">
        <f t="shared" si="19"/>
        <v>F,Gomez-Velasco,Bianca,HABL</v>
      </c>
      <c r="K182" s="821" t="str">
        <f t="shared" si="20"/>
        <v>F,Gomez-Velasco,Bianca,HABL,140107</v>
      </c>
      <c r="L182" s="821" t="str">
        <f t="shared" si="21"/>
        <v>F,Gomez-Velasco,Bianca,HABL,140107,011792</v>
      </c>
      <c r="M182" s="821" t="str">
        <f t="shared" si="22"/>
        <v>F,Gomez-Velasco,Bianca,HABL,140107,011792,8</v>
      </c>
      <c r="N182" s="821" t="str">
        <f t="shared" si="23"/>
        <v>F,Gomez-Velasco,Bianca,HABL,140107,011792,8,F</v>
      </c>
      <c r="O182" s="824"/>
      <c r="P182" s="824" t="str">
        <f t="shared" si="24"/>
        <v>01:17.92</v>
      </c>
      <c r="Q182" s="824" t="str">
        <f t="shared" si="25"/>
        <v>011792</v>
      </c>
      <c r="R182" s="825" t="str">
        <f t="shared" si="26"/>
        <v>F,Gomez-Velasco,Bianca,HABL,140107,011792,8,F</v>
      </c>
      <c r="S182" s="820"/>
      <c r="T182" s="820"/>
      <c r="U182" s="820"/>
      <c r="V182" s="820"/>
    </row>
    <row r="183" spans="1:22" ht="12.75" customHeight="1" x14ac:dyDescent="0.25">
      <c r="A183" s="820"/>
      <c r="B183" s="821" t="s">
        <v>4635</v>
      </c>
      <c r="C183" s="821" t="str">
        <f>'Team 1'!J66</f>
        <v>Flury,Taisia</v>
      </c>
      <c r="D183" s="821" t="str">
        <f>'Gala Setup'!Q$4</f>
        <v>HABL</v>
      </c>
      <c r="E183" s="822" t="str">
        <f>'Team 1'!L66</f>
        <v>201208</v>
      </c>
      <c r="F183" s="823">
        <f>'print 10 lane'!I$118</f>
        <v>1.0129629629629631E-3</v>
      </c>
      <c r="G183" s="821">
        <f>'Team 1'!$D$66</f>
        <v>8</v>
      </c>
      <c r="H183" s="821" t="s">
        <v>4635</v>
      </c>
      <c r="I183" s="821" t="str">
        <f t="shared" si="18"/>
        <v>F,Flury,Taisia</v>
      </c>
      <c r="J183" s="821" t="str">
        <f t="shared" si="19"/>
        <v>F,Flury,Taisia,HABL</v>
      </c>
      <c r="K183" s="821" t="str">
        <f t="shared" si="20"/>
        <v>F,Flury,Taisia,HABL,201208</v>
      </c>
      <c r="L183" s="821" t="str">
        <f t="shared" si="21"/>
        <v>F,Flury,Taisia,HABL,201208,012752</v>
      </c>
      <c r="M183" s="821" t="str">
        <f t="shared" si="22"/>
        <v>F,Flury,Taisia,HABL,201208,012752,8</v>
      </c>
      <c r="N183" s="821" t="str">
        <f t="shared" si="23"/>
        <v>F,Flury,Taisia,HABL,201208,012752,8,F</v>
      </c>
      <c r="O183" s="824"/>
      <c r="P183" s="824" t="str">
        <f t="shared" si="24"/>
        <v>01:27.52</v>
      </c>
      <c r="Q183" s="824" t="str">
        <f t="shared" si="25"/>
        <v>012752</v>
      </c>
      <c r="R183" s="825" t="str">
        <f t="shared" si="26"/>
        <v>F,Flury,Taisia,HABL,201208,012752,8,F</v>
      </c>
      <c r="S183" s="820"/>
      <c r="T183" s="820"/>
      <c r="U183" s="820"/>
      <c r="V183" s="820"/>
    </row>
    <row r="184" spans="1:22" ht="12.75" customHeight="1" x14ac:dyDescent="0.25">
      <c r="A184" s="820"/>
      <c r="B184" s="826" t="s">
        <v>4635</v>
      </c>
      <c r="C184" s="826" t="str">
        <f>'Team 2'!J40</f>
        <v>Whitby,Ruby</v>
      </c>
      <c r="D184" s="826" t="str">
        <f>'Gala Setup'!$Q$5</f>
        <v>STET</v>
      </c>
      <c r="E184" s="827" t="str">
        <f>'Team 2'!L40</f>
        <v>120211</v>
      </c>
      <c r="F184" s="823">
        <f>'print 10 lane'!L$40</f>
        <v>1.1271990740740741E-3</v>
      </c>
      <c r="G184" s="826">
        <f>'Team 1'!$D$40</f>
        <v>8</v>
      </c>
      <c r="H184" s="826" t="s">
        <v>4635</v>
      </c>
      <c r="I184" s="826" t="str">
        <f t="shared" si="18"/>
        <v>F,Whitby,Ruby</v>
      </c>
      <c r="J184" s="826" t="str">
        <f t="shared" si="19"/>
        <v>F,Whitby,Ruby,STET</v>
      </c>
      <c r="K184" s="826" t="str">
        <f t="shared" si="20"/>
        <v>F,Whitby,Ruby,STET,120211</v>
      </c>
      <c r="L184" s="821" t="str">
        <f t="shared" si="21"/>
        <v>F,Whitby,Ruby,STET,120211,013739</v>
      </c>
      <c r="M184" s="826" t="str">
        <f t="shared" si="22"/>
        <v>F,Whitby,Ruby,STET,120211,013739,8</v>
      </c>
      <c r="N184" s="826" t="str">
        <f t="shared" si="23"/>
        <v>F,Whitby,Ruby,STET,120211,013739,8,F</v>
      </c>
      <c r="O184" s="824"/>
      <c r="P184" s="824" t="str">
        <f t="shared" si="24"/>
        <v>01:37.39</v>
      </c>
      <c r="Q184" s="824" t="str">
        <f t="shared" si="25"/>
        <v>013739</v>
      </c>
      <c r="R184" s="825" t="str">
        <f t="shared" si="26"/>
        <v>F,Whitby,Ruby,STET,120211,013739,8,F</v>
      </c>
      <c r="S184" s="820"/>
      <c r="T184" s="820"/>
      <c r="U184" s="820"/>
      <c r="V184" s="820"/>
    </row>
    <row r="185" spans="1:22" ht="12.75" customHeight="1" x14ac:dyDescent="0.25">
      <c r="A185" s="820"/>
      <c r="B185" s="826" t="s">
        <v>4635</v>
      </c>
      <c r="C185" s="826" t="str">
        <f>'Team 2'!J60</f>
        <v>Lyon,Sophie</v>
      </c>
      <c r="D185" s="826" t="str">
        <f>'Gala Setup'!$Q$5</f>
        <v>STET</v>
      </c>
      <c r="E185" s="827" t="str">
        <f>'Team 2'!L60</f>
        <v>240806</v>
      </c>
      <c r="F185" s="823">
        <f>'print 10 lane'!L$100</f>
        <v>1.0266203703703702E-3</v>
      </c>
      <c r="G185" s="826">
        <f>'Team 1'!$D$60</f>
        <v>8</v>
      </c>
      <c r="H185" s="826" t="s">
        <v>4635</v>
      </c>
      <c r="I185" s="826" t="str">
        <f t="shared" si="18"/>
        <v>F,Lyon,Sophie</v>
      </c>
      <c r="J185" s="826" t="str">
        <f t="shared" si="19"/>
        <v>F,Lyon,Sophie,STET</v>
      </c>
      <c r="K185" s="826" t="str">
        <f t="shared" si="20"/>
        <v>F,Lyon,Sophie,STET,240806</v>
      </c>
      <c r="L185" s="821" t="str">
        <f t="shared" si="21"/>
        <v>F,Lyon,Sophie,STET,240806,012870</v>
      </c>
      <c r="M185" s="826" t="str">
        <f t="shared" si="22"/>
        <v>F,Lyon,Sophie,STET,240806,012870,8</v>
      </c>
      <c r="N185" s="826" t="str">
        <f t="shared" si="23"/>
        <v>F,Lyon,Sophie,STET,240806,012870,8,F</v>
      </c>
      <c r="O185" s="824"/>
      <c r="P185" s="824" t="str">
        <f t="shared" si="24"/>
        <v>01:28.70</v>
      </c>
      <c r="Q185" s="824" t="str">
        <f t="shared" si="25"/>
        <v>012870</v>
      </c>
      <c r="R185" s="825" t="str">
        <f t="shared" si="26"/>
        <v>F,Lyon,Sophie,STET,240806,012870,8,F</v>
      </c>
      <c r="S185" s="820"/>
      <c r="T185" s="820"/>
      <c r="U185" s="820"/>
      <c r="V185" s="820"/>
    </row>
    <row r="186" spans="1:22" ht="12.75" customHeight="1" x14ac:dyDescent="0.25">
      <c r="A186" s="820"/>
      <c r="B186" s="826" t="s">
        <v>4635</v>
      </c>
      <c r="C186" s="826" t="str">
        <f>'Team 2'!J66</f>
        <v>Harradine,Daisy</v>
      </c>
      <c r="D186" s="826" t="str">
        <f>'Gala Setup'!$Q$5</f>
        <v>STET</v>
      </c>
      <c r="E186" s="827" t="str">
        <f>'Team 2'!L66</f>
        <v>030809</v>
      </c>
      <c r="F186" s="823">
        <f>'print 10 lane'!L$118</f>
        <v>1.0931712962962963E-3</v>
      </c>
      <c r="G186" s="826">
        <f>'Team 1'!$D$66</f>
        <v>8</v>
      </c>
      <c r="H186" s="826" t="s">
        <v>4635</v>
      </c>
      <c r="I186" s="826" t="str">
        <f t="shared" si="18"/>
        <v>F,Harradine,Daisy</v>
      </c>
      <c r="J186" s="826" t="str">
        <f t="shared" si="19"/>
        <v>F,Harradine,Daisy,STET</v>
      </c>
      <c r="K186" s="826" t="str">
        <f t="shared" si="20"/>
        <v>F,Harradine,Daisy,STET,030809</v>
      </c>
      <c r="L186" s="821" t="str">
        <f t="shared" si="21"/>
        <v>F,Harradine,Daisy,STET,030809,013445</v>
      </c>
      <c r="M186" s="826" t="str">
        <f t="shared" si="22"/>
        <v>F,Harradine,Daisy,STET,030809,013445,8</v>
      </c>
      <c r="N186" s="826" t="str">
        <f t="shared" si="23"/>
        <v>F,Harradine,Daisy,STET,030809,013445,8,F</v>
      </c>
      <c r="O186" s="824"/>
      <c r="P186" s="824" t="str">
        <f t="shared" si="24"/>
        <v>01:34.45</v>
      </c>
      <c r="Q186" s="824" t="str">
        <f t="shared" si="25"/>
        <v>013445</v>
      </c>
      <c r="R186" s="825" t="str">
        <f t="shared" si="26"/>
        <v>F,Harradine,Daisy,STET,030809,013445,8,F</v>
      </c>
      <c r="S186" s="820"/>
      <c r="T186" s="820"/>
      <c r="U186" s="820"/>
      <c r="V186" s="820"/>
    </row>
    <row r="187" spans="1:22" ht="12.75" customHeight="1" x14ac:dyDescent="0.25">
      <c r="A187" s="820"/>
      <c r="B187" s="821" t="s">
        <v>4635</v>
      </c>
      <c r="C187" s="821" t="str">
        <f>'Team 3'!J40</f>
        <v>Nelson,Mia</v>
      </c>
      <c r="D187" s="821" t="str">
        <f>'Gala Setup'!Q$6</f>
        <v>BBST</v>
      </c>
      <c r="E187" s="822" t="str">
        <f>'Team 3'!L40</f>
        <v>280311</v>
      </c>
      <c r="F187" s="823">
        <f>'print 10 lane'!O$40</f>
        <v>9.5138888888888888E-4</v>
      </c>
      <c r="G187" s="821">
        <f>'Team 1'!$D$40</f>
        <v>8</v>
      </c>
      <c r="H187" s="821" t="s">
        <v>4635</v>
      </c>
      <c r="I187" s="821" t="str">
        <f t="shared" si="18"/>
        <v>F,Nelson,Mia</v>
      </c>
      <c r="J187" s="821" t="str">
        <f t="shared" si="19"/>
        <v>F,Nelson,Mia,BBST</v>
      </c>
      <c r="K187" s="821" t="str">
        <f t="shared" si="20"/>
        <v>F,Nelson,Mia,BBST,280311</v>
      </c>
      <c r="L187" s="821" t="str">
        <f t="shared" si="21"/>
        <v>F,Nelson,Mia,BBST,280311,012220</v>
      </c>
      <c r="M187" s="821" t="str">
        <f t="shared" si="22"/>
        <v>F,Nelson,Mia,BBST,280311,012220,8</v>
      </c>
      <c r="N187" s="821" t="str">
        <f t="shared" si="23"/>
        <v>F,Nelson,Mia,BBST,280311,012220,8,F</v>
      </c>
      <c r="O187" s="824"/>
      <c r="P187" s="824" t="str">
        <f t="shared" si="24"/>
        <v>01:22.20</v>
      </c>
      <c r="Q187" s="824" t="str">
        <f t="shared" si="25"/>
        <v>012220</v>
      </c>
      <c r="R187" s="825" t="str">
        <f t="shared" si="26"/>
        <v>F,Nelson,Mia,BBST,280311,012220,8,F</v>
      </c>
      <c r="S187" s="820"/>
      <c r="T187" s="820"/>
      <c r="U187" s="820"/>
      <c r="V187" s="820"/>
    </row>
    <row r="188" spans="1:22" ht="12.75" customHeight="1" x14ac:dyDescent="0.25">
      <c r="A188" s="820"/>
      <c r="B188" s="826" t="s">
        <v>4635</v>
      </c>
      <c r="C188" s="826" t="str">
        <f>'Team 4'!J40</f>
        <v>STARSMORE,FRANCES</v>
      </c>
      <c r="D188" s="826" t="str">
        <f>'Gala Setup'!Q$7</f>
        <v>AYBS</v>
      </c>
      <c r="E188" s="827" t="str">
        <f>'Team 4'!L40</f>
        <v>280110</v>
      </c>
      <c r="F188" s="823">
        <f>'print 10 lane'!R$40</f>
        <v>1.0512731481481482E-3</v>
      </c>
      <c r="G188" s="826">
        <f>'Team 1'!$D$40</f>
        <v>8</v>
      </c>
      <c r="H188" s="826" t="s">
        <v>4635</v>
      </c>
      <c r="I188" s="826" t="str">
        <f t="shared" si="18"/>
        <v>F,STARSMORE,FRANCES</v>
      </c>
      <c r="J188" s="826" t="str">
        <f t="shared" si="19"/>
        <v>F,STARSMORE,FRANCES,AYBS</v>
      </c>
      <c r="K188" s="826" t="str">
        <f t="shared" si="20"/>
        <v>F,STARSMORE,FRANCES,AYBS,280110</v>
      </c>
      <c r="L188" s="821" t="str">
        <f t="shared" si="21"/>
        <v>F,STARSMORE,FRANCES,AYBS,280110,013083</v>
      </c>
      <c r="M188" s="826" t="str">
        <f t="shared" si="22"/>
        <v>F,STARSMORE,FRANCES,AYBS,280110,013083,8</v>
      </c>
      <c r="N188" s="826" t="str">
        <f t="shared" si="23"/>
        <v>F,STARSMORE,FRANCES,AYBS,280110,013083,8,F</v>
      </c>
      <c r="O188" s="824"/>
      <c r="P188" s="824" t="str">
        <f t="shared" si="24"/>
        <v>01:30.83</v>
      </c>
      <c r="Q188" s="824" t="str">
        <f t="shared" si="25"/>
        <v>013083</v>
      </c>
      <c r="R188" s="825" t="str">
        <f t="shared" si="26"/>
        <v>F,STARSMORE,FRANCES,AYBS,280110,013083,8,F</v>
      </c>
      <c r="S188" s="820"/>
      <c r="T188" s="820"/>
      <c r="U188" s="820"/>
      <c r="V188" s="820"/>
    </row>
    <row r="189" spans="1:22" ht="12.75" customHeight="1" x14ac:dyDescent="0.25">
      <c r="A189" s="820"/>
      <c r="B189" s="821" t="s">
        <v>4635</v>
      </c>
      <c r="C189" s="821" t="str">
        <f>'Team 3'!J60</f>
        <v>Nelson,Mia</v>
      </c>
      <c r="D189" s="821" t="str">
        <f>'Gala Setup'!Q$6</f>
        <v>BBST</v>
      </c>
      <c r="E189" s="822" t="str">
        <f>'Team 3'!L60</f>
        <v>280311</v>
      </c>
      <c r="F189" s="823">
        <f>'print 10 lane'!O$100</f>
        <v>9.638888888888888E-4</v>
      </c>
      <c r="G189" s="821">
        <f>'Team 1'!$D$60</f>
        <v>8</v>
      </c>
      <c r="H189" s="821" t="s">
        <v>4635</v>
      </c>
      <c r="I189" s="821" t="str">
        <f t="shared" si="18"/>
        <v>F,Nelson,Mia</v>
      </c>
      <c r="J189" s="821" t="str">
        <f t="shared" si="19"/>
        <v>F,Nelson,Mia,BBST</v>
      </c>
      <c r="K189" s="821" t="str">
        <f t="shared" si="20"/>
        <v>F,Nelson,Mia,BBST,280311</v>
      </c>
      <c r="L189" s="821" t="str">
        <f t="shared" si="21"/>
        <v>F,Nelson,Mia,BBST,280311,012328</v>
      </c>
      <c r="M189" s="821" t="str">
        <f t="shared" si="22"/>
        <v>F,Nelson,Mia,BBST,280311,012328,8</v>
      </c>
      <c r="N189" s="821" t="str">
        <f t="shared" si="23"/>
        <v>F,Nelson,Mia,BBST,280311,012328,8,F</v>
      </c>
      <c r="O189" s="824"/>
      <c r="P189" s="824" t="str">
        <f t="shared" si="24"/>
        <v>01:23.28</v>
      </c>
      <c r="Q189" s="824" t="str">
        <f t="shared" si="25"/>
        <v>012328</v>
      </c>
      <c r="R189" s="825" t="str">
        <f t="shared" si="26"/>
        <v>F,Nelson,Mia,BBST,280311,012328,8,F</v>
      </c>
      <c r="S189" s="820"/>
      <c r="T189" s="820"/>
      <c r="U189" s="820"/>
      <c r="V189" s="820"/>
    </row>
    <row r="190" spans="1:22" ht="12.75" customHeight="1" x14ac:dyDescent="0.25">
      <c r="A190" s="820"/>
      <c r="B190" s="821" t="s">
        <v>4635</v>
      </c>
      <c r="C190" s="821" t="str">
        <f>'Team 3'!J66</f>
        <v>Bartup,Molly</v>
      </c>
      <c r="D190" s="821" t="str">
        <f>'Gala Setup'!Q$6</f>
        <v>BBST</v>
      </c>
      <c r="E190" s="822" t="str">
        <f>'Team 3'!L66</f>
        <v>060508</v>
      </c>
      <c r="F190" s="823">
        <f>'print 10 lane'!O$118</f>
        <v>9.5104166666666655E-4</v>
      </c>
      <c r="G190" s="821">
        <f>'Team 1'!$D$66</f>
        <v>8</v>
      </c>
      <c r="H190" s="821" t="s">
        <v>4635</v>
      </c>
      <c r="I190" s="821" t="str">
        <f t="shared" si="18"/>
        <v>F,Bartup,Molly</v>
      </c>
      <c r="J190" s="821" t="str">
        <f t="shared" si="19"/>
        <v>F,Bartup,Molly,BBST</v>
      </c>
      <c r="K190" s="821" t="str">
        <f t="shared" si="20"/>
        <v>F,Bartup,Molly,BBST,060508</v>
      </c>
      <c r="L190" s="821" t="str">
        <f t="shared" si="21"/>
        <v>F,Bartup,Molly,BBST,060508,012217</v>
      </c>
      <c r="M190" s="821" t="str">
        <f t="shared" si="22"/>
        <v>F,Bartup,Molly,BBST,060508,012217,8</v>
      </c>
      <c r="N190" s="821" t="str">
        <f t="shared" si="23"/>
        <v>F,Bartup,Molly,BBST,060508,012217,8,F</v>
      </c>
      <c r="O190" s="824"/>
      <c r="P190" s="824" t="str">
        <f t="shared" si="24"/>
        <v>01:22.17</v>
      </c>
      <c r="Q190" s="824" t="str">
        <f t="shared" si="25"/>
        <v>012217</v>
      </c>
      <c r="R190" s="825" t="str">
        <f t="shared" si="26"/>
        <v>F,Bartup,Molly,BBST,060508,012217,8,F</v>
      </c>
      <c r="S190" s="820"/>
      <c r="T190" s="820"/>
      <c r="U190" s="820"/>
      <c r="V190" s="820"/>
    </row>
    <row r="191" spans="1:22" ht="12.75" customHeight="1" x14ac:dyDescent="0.25">
      <c r="A191" s="820"/>
      <c r="B191" s="821" t="s">
        <v>4635</v>
      </c>
      <c r="C191" s="821" t="str">
        <f>'Team 5'!J40</f>
        <v>Reeve,Isabelle</v>
      </c>
      <c r="D191" s="821" t="str">
        <f>'Gala Setup'!Q$8</f>
        <v>BTRT</v>
      </c>
      <c r="E191" s="822" t="str">
        <f>'Team 5'!L40</f>
        <v>070111</v>
      </c>
      <c r="F191" s="823">
        <f>'print 10 lane'!U$40</f>
        <v>1.135185185185185E-3</v>
      </c>
      <c r="G191" s="821">
        <f>'Team 1'!$D$40</f>
        <v>8</v>
      </c>
      <c r="H191" s="821" t="s">
        <v>4635</v>
      </c>
      <c r="I191" s="821" t="str">
        <f t="shared" si="18"/>
        <v>F,Reeve,Isabelle</v>
      </c>
      <c r="J191" s="821" t="str">
        <f t="shared" si="19"/>
        <v>F,Reeve,Isabelle,BTRT</v>
      </c>
      <c r="K191" s="821" t="str">
        <f t="shared" si="20"/>
        <v>F,Reeve,Isabelle,BTRT,070111</v>
      </c>
      <c r="L191" s="821" t="str">
        <f t="shared" si="21"/>
        <v>F,Reeve,Isabelle,BTRT,070111,013808</v>
      </c>
      <c r="M191" s="821" t="str">
        <f t="shared" si="22"/>
        <v>F,Reeve,Isabelle,BTRT,070111,013808,8</v>
      </c>
      <c r="N191" s="821" t="str">
        <f t="shared" si="23"/>
        <v>F,Reeve,Isabelle,BTRT,070111,013808,8,F</v>
      </c>
      <c r="O191" s="824"/>
      <c r="P191" s="824" t="str">
        <f t="shared" si="24"/>
        <v>01:38.08</v>
      </c>
      <c r="Q191" s="824" t="str">
        <f t="shared" si="25"/>
        <v>013808</v>
      </c>
      <c r="R191" s="825" t="str">
        <f t="shared" si="26"/>
        <v>F,Reeve,Isabelle,BTRT,070111,013808,8,F</v>
      </c>
      <c r="S191" s="820"/>
      <c r="T191" s="820"/>
      <c r="U191" s="820"/>
      <c r="V191" s="820"/>
    </row>
    <row r="192" spans="1:22" ht="12.75" customHeight="1" x14ac:dyDescent="0.25">
      <c r="A192" s="820"/>
      <c r="B192" s="826" t="s">
        <v>4635</v>
      </c>
      <c r="C192" s="826" t="str">
        <f>'Team 4'!J66</f>
        <v>WALLER,ZAHRA</v>
      </c>
      <c r="D192" s="826" t="str">
        <f>'Gala Setup'!Q$7</f>
        <v>AYBS</v>
      </c>
      <c r="E192" s="827" t="str">
        <f>'Team 4'!L66</f>
        <v>081108</v>
      </c>
      <c r="F192" s="823">
        <f>'print 10 lane'!R$118</f>
        <v>1.0902777777777779E-3</v>
      </c>
      <c r="G192" s="826">
        <f>'Team 1'!$D$66</f>
        <v>8</v>
      </c>
      <c r="H192" s="826" t="s">
        <v>4635</v>
      </c>
      <c r="I192" s="826" t="str">
        <f t="shared" si="18"/>
        <v>F,WALLER,ZAHRA</v>
      </c>
      <c r="J192" s="826" t="str">
        <f t="shared" si="19"/>
        <v>F,WALLER,ZAHRA,AYBS</v>
      </c>
      <c r="K192" s="826" t="str">
        <f t="shared" si="20"/>
        <v>F,WALLER,ZAHRA,AYBS,081108</v>
      </c>
      <c r="L192" s="821" t="str">
        <f t="shared" si="21"/>
        <v>F,WALLER,ZAHRA,AYBS,081108,013420</v>
      </c>
      <c r="M192" s="826" t="str">
        <f t="shared" si="22"/>
        <v>F,WALLER,ZAHRA,AYBS,081108,013420,8</v>
      </c>
      <c r="N192" s="826" t="str">
        <f t="shared" si="23"/>
        <v>F,WALLER,ZAHRA,AYBS,081108,013420,8,F</v>
      </c>
      <c r="O192" s="824"/>
      <c r="P192" s="824" t="str">
        <f t="shared" si="24"/>
        <v>01:34.20</v>
      </c>
      <c r="Q192" s="824" t="str">
        <f t="shared" si="25"/>
        <v>013420</v>
      </c>
      <c r="R192" s="825" t="str">
        <f t="shared" si="26"/>
        <v>F,WALLER,ZAHRA,AYBS,081108,013420,8,F</v>
      </c>
      <c r="S192" s="820"/>
      <c r="T192" s="820"/>
      <c r="U192" s="820"/>
      <c r="V192" s="820"/>
    </row>
    <row r="193" spans="1:22" ht="12.75" customHeight="1" x14ac:dyDescent="0.25">
      <c r="A193" s="820"/>
      <c r="B193" s="826" t="s">
        <v>4635</v>
      </c>
      <c r="C193" s="826" t="str">
        <f>'Team 4'!J60</f>
        <v>CURTIS,AMBER</v>
      </c>
      <c r="D193" s="826" t="str">
        <f>'Gala Setup'!Q$7</f>
        <v>AYBS</v>
      </c>
      <c r="E193" s="827" t="str">
        <f>'Team 4'!L60</f>
        <v>020107</v>
      </c>
      <c r="F193" s="823">
        <f>'print 10 lane'!R$100</f>
        <v>9.4085648148148143E-4</v>
      </c>
      <c r="G193" s="826">
        <f>'Team 1'!$D$60</f>
        <v>8</v>
      </c>
      <c r="H193" s="826" t="s">
        <v>4635</v>
      </c>
      <c r="I193" s="826" t="str">
        <f t="shared" ref="I193:I256" si="27">CONCATENATE(B193,",",C193)</f>
        <v>F,CURTIS,AMBER</v>
      </c>
      <c r="J193" s="826" t="str">
        <f t="shared" ref="J193:J256" si="28">CONCATENATE(I193,",",D193)</f>
        <v>F,CURTIS,AMBER,AYBS</v>
      </c>
      <c r="K193" s="826" t="str">
        <f t="shared" ref="K193:K256" si="29">CONCATENATE(J193,",",E193)</f>
        <v>F,CURTIS,AMBER,AYBS,020107</v>
      </c>
      <c r="L193" s="821" t="str">
        <f t="shared" ref="L193:L256" si="30">CONCATENATE(K193,",",Q193)</f>
        <v>F,CURTIS,AMBER,AYBS,020107,012129</v>
      </c>
      <c r="M193" s="826" t="str">
        <f t="shared" ref="M193:M256" si="31">CONCATENATE(L193,",",G193)</f>
        <v>F,CURTIS,AMBER,AYBS,020107,012129,8</v>
      </c>
      <c r="N193" s="826" t="str">
        <f t="shared" ref="N193:N256" si="32">CONCATENATE(M193,",",H193)</f>
        <v>F,CURTIS,AMBER,AYBS,020107,012129,8,F</v>
      </c>
      <c r="O193" s="824"/>
      <c r="P193" s="824" t="str">
        <f t="shared" ref="P193:P256" si="33">TEXT(F193,"mm:ss.00")</f>
        <v>01:21.29</v>
      </c>
      <c r="Q193" s="824" t="str">
        <f t="shared" ref="Q193:Q256" si="34">LEFT(P193,2)&amp;MID(P193,4,2)&amp;RIGHT(P193,2)</f>
        <v>012129</v>
      </c>
      <c r="R193" s="825" t="str">
        <f t="shared" ref="R193:R256" si="35">IF(F193=0,"",N193)</f>
        <v>F,CURTIS,AMBER,AYBS,020107,012129,8,F</v>
      </c>
      <c r="S193" s="820"/>
      <c r="T193" s="820"/>
      <c r="U193" s="832"/>
      <c r="V193" s="820"/>
    </row>
    <row r="194" spans="1:22" x14ac:dyDescent="0.25">
      <c r="A194" s="820"/>
      <c r="B194" s="826" t="s">
        <v>4635</v>
      </c>
      <c r="C194" s="826" t="str">
        <f>'Team 6'!J40</f>
        <v>Sum,Emma</v>
      </c>
      <c r="D194" s="826" t="str">
        <f>'Gala Setup'!Q$9</f>
        <v>HAWL</v>
      </c>
      <c r="E194" s="827" t="str">
        <f>'Team 6'!L40</f>
        <v>210410</v>
      </c>
      <c r="F194" s="823">
        <f>'print 10 lane'!X$40</f>
        <v>1.2004629629629631E-3</v>
      </c>
      <c r="G194" s="826">
        <f>'Team 1'!$D$40</f>
        <v>8</v>
      </c>
      <c r="H194" s="826" t="s">
        <v>4635</v>
      </c>
      <c r="I194" s="826" t="str">
        <f t="shared" si="27"/>
        <v>F,Sum,Emma</v>
      </c>
      <c r="J194" s="826" t="str">
        <f t="shared" si="28"/>
        <v>F,Sum,Emma,HAWL</v>
      </c>
      <c r="K194" s="826" t="str">
        <f t="shared" si="29"/>
        <v>F,Sum,Emma,HAWL,210410</v>
      </c>
      <c r="L194" s="821" t="str">
        <f t="shared" si="30"/>
        <v>F,Sum,Emma,HAWL,210410,014372</v>
      </c>
      <c r="M194" s="826" t="str">
        <f t="shared" si="31"/>
        <v>F,Sum,Emma,HAWL,210410,014372,8</v>
      </c>
      <c r="N194" s="826" t="str">
        <f t="shared" si="32"/>
        <v>F,Sum,Emma,HAWL,210410,014372,8,F</v>
      </c>
      <c r="O194" s="824"/>
      <c r="P194" s="824" t="str">
        <f t="shared" si="33"/>
        <v>01:43.72</v>
      </c>
      <c r="Q194" s="824" t="str">
        <f t="shared" si="34"/>
        <v>014372</v>
      </c>
      <c r="R194" s="825" t="str">
        <f t="shared" si="35"/>
        <v>F,Sum,Emma,HAWL,210410,014372,8,F</v>
      </c>
      <c r="S194" s="820"/>
      <c r="T194" s="832"/>
      <c r="U194" s="832"/>
      <c r="V194" s="820"/>
    </row>
    <row r="195" spans="1:22" x14ac:dyDescent="0.25">
      <c r="A195" s="820"/>
      <c r="B195" s="821" t="s">
        <v>4635</v>
      </c>
      <c r="C195" s="821" t="str">
        <f>'Team 5'!J60</f>
        <v>Aley,Marcie</v>
      </c>
      <c r="D195" s="821" t="str">
        <f>'Gala Setup'!Q$8</f>
        <v>BTRT</v>
      </c>
      <c r="E195" s="822" t="str">
        <f>'Team 5'!L60</f>
        <v>020106</v>
      </c>
      <c r="F195" s="823">
        <f>'print 10 lane'!U$100</f>
        <v>9.7719907407407412E-4</v>
      </c>
      <c r="G195" s="821">
        <f>'Team 1'!$D$60</f>
        <v>8</v>
      </c>
      <c r="H195" s="821" t="s">
        <v>4635</v>
      </c>
      <c r="I195" s="821" t="str">
        <f t="shared" si="27"/>
        <v>F,Aley,Marcie</v>
      </c>
      <c r="J195" s="821" t="str">
        <f t="shared" si="28"/>
        <v>F,Aley,Marcie,BTRT</v>
      </c>
      <c r="K195" s="821" t="str">
        <f t="shared" si="29"/>
        <v>F,Aley,Marcie,BTRT,020106</v>
      </c>
      <c r="L195" s="821" t="str">
        <f t="shared" si="30"/>
        <v>F,Aley,Marcie,BTRT,020106,012443</v>
      </c>
      <c r="M195" s="821" t="str">
        <f t="shared" si="31"/>
        <v>F,Aley,Marcie,BTRT,020106,012443,8</v>
      </c>
      <c r="N195" s="821" t="str">
        <f t="shared" si="32"/>
        <v>F,Aley,Marcie,BTRT,020106,012443,8,F</v>
      </c>
      <c r="O195" s="824"/>
      <c r="P195" s="824" t="str">
        <f t="shared" si="33"/>
        <v>01:24.43</v>
      </c>
      <c r="Q195" s="824" t="str">
        <f t="shared" si="34"/>
        <v>012443</v>
      </c>
      <c r="R195" s="825" t="str">
        <f t="shared" si="35"/>
        <v>F,Aley,Marcie,BTRT,020106,012443,8,F</v>
      </c>
      <c r="S195" s="820"/>
      <c r="T195" s="832"/>
      <c r="U195" s="832"/>
      <c r="V195" s="820"/>
    </row>
    <row r="196" spans="1:22" x14ac:dyDescent="0.25">
      <c r="A196" s="820"/>
      <c r="B196" s="821" t="s">
        <v>4635</v>
      </c>
      <c r="C196" s="821" t="str">
        <f>'Team 5'!J66</f>
        <v>Heighes,Hollie</v>
      </c>
      <c r="D196" s="821" t="str">
        <f>'Gala Setup'!Q$8</f>
        <v>BTRT</v>
      </c>
      <c r="E196" s="822" t="str">
        <f>'Team 5'!L66</f>
        <v>290208</v>
      </c>
      <c r="F196" s="823">
        <f>'print 10 lane'!U$118</f>
        <v>9.3217592592592603E-4</v>
      </c>
      <c r="G196" s="821">
        <f>'Team 1'!$D$66</f>
        <v>8</v>
      </c>
      <c r="H196" s="821" t="s">
        <v>4635</v>
      </c>
      <c r="I196" s="821" t="str">
        <f t="shared" si="27"/>
        <v>F,Heighes,Hollie</v>
      </c>
      <c r="J196" s="821" t="str">
        <f t="shared" si="28"/>
        <v>F,Heighes,Hollie,BTRT</v>
      </c>
      <c r="K196" s="821" t="str">
        <f t="shared" si="29"/>
        <v>F,Heighes,Hollie,BTRT,290208</v>
      </c>
      <c r="L196" s="821" t="str">
        <f t="shared" si="30"/>
        <v>F,Heighes,Hollie,BTRT,290208,012054</v>
      </c>
      <c r="M196" s="821" t="str">
        <f t="shared" si="31"/>
        <v>F,Heighes,Hollie,BTRT,290208,012054,8</v>
      </c>
      <c r="N196" s="821" t="str">
        <f t="shared" si="32"/>
        <v>F,Heighes,Hollie,BTRT,290208,012054,8,F</v>
      </c>
      <c r="O196" s="824"/>
      <c r="P196" s="824" t="str">
        <f t="shared" si="33"/>
        <v>01:20.54</v>
      </c>
      <c r="Q196" s="824" t="str">
        <f t="shared" si="34"/>
        <v>012054</v>
      </c>
      <c r="R196" s="825" t="str">
        <f t="shared" si="35"/>
        <v>F,Heighes,Hollie,BTRT,290208,012054,8,F</v>
      </c>
      <c r="S196" s="820"/>
      <c r="T196" s="832"/>
      <c r="U196" s="832"/>
      <c r="V196" s="820"/>
    </row>
    <row r="197" spans="1:22" x14ac:dyDescent="0.25">
      <c r="A197" s="820"/>
      <c r="B197" s="821" t="s">
        <v>4635</v>
      </c>
      <c r="C197" s="821" t="str">
        <f>'Team 7'!J40</f>
        <v>Curle,Mia</v>
      </c>
      <c r="D197" s="821" t="str">
        <f>'Gala Setup'!Q$10</f>
        <v>HISL</v>
      </c>
      <c r="E197" s="822" t="str">
        <f>'Team 7'!L40</f>
        <v>291211</v>
      </c>
      <c r="F197" s="823">
        <f>'print 10 lane'!AA$40</f>
        <v>1.0837962962962962E-3</v>
      </c>
      <c r="G197" s="821">
        <f>'Team 1'!$D$40</f>
        <v>8</v>
      </c>
      <c r="H197" s="821" t="s">
        <v>4635</v>
      </c>
      <c r="I197" s="821" t="str">
        <f t="shared" si="27"/>
        <v>F,Curle,Mia</v>
      </c>
      <c r="J197" s="821" t="str">
        <f t="shared" si="28"/>
        <v>F,Curle,Mia,HISL</v>
      </c>
      <c r="K197" s="821" t="str">
        <f t="shared" si="29"/>
        <v>F,Curle,Mia,HISL,291211</v>
      </c>
      <c r="L197" s="821" t="str">
        <f t="shared" si="30"/>
        <v>F,Curle,Mia,HISL,291211,013364</v>
      </c>
      <c r="M197" s="821" t="str">
        <f t="shared" si="31"/>
        <v>F,Curle,Mia,HISL,291211,013364,8</v>
      </c>
      <c r="N197" s="821" t="str">
        <f t="shared" si="32"/>
        <v>F,Curle,Mia,HISL,291211,013364,8,F</v>
      </c>
      <c r="O197" s="824"/>
      <c r="P197" s="824" t="str">
        <f t="shared" si="33"/>
        <v>01:33.64</v>
      </c>
      <c r="Q197" s="824" t="str">
        <f t="shared" si="34"/>
        <v>013364</v>
      </c>
      <c r="R197" s="825" t="str">
        <f t="shared" si="35"/>
        <v>F,Curle,Mia,HISL,291211,013364,8,F</v>
      </c>
      <c r="S197" s="820"/>
      <c r="T197" s="832"/>
      <c r="U197" s="832"/>
      <c r="V197" s="820"/>
    </row>
    <row r="198" spans="1:22" x14ac:dyDescent="0.25">
      <c r="A198" s="820"/>
      <c r="B198" s="826" t="s">
        <v>4635</v>
      </c>
      <c r="C198" s="826" t="str">
        <f>'Team 6'!J60</f>
        <v xml:space="preserve">Safahe,Mina </v>
      </c>
      <c r="D198" s="826" t="str">
        <f>'Gala Setup'!Q$9</f>
        <v>HAWL</v>
      </c>
      <c r="E198" s="827" t="str">
        <f>'Team 6'!L60</f>
        <v>170109</v>
      </c>
      <c r="F198" s="823">
        <f>'print 10 lane'!X$100</f>
        <v>9.8564814814814804E-4</v>
      </c>
      <c r="G198" s="826">
        <f>'Team 1'!$D$60</f>
        <v>8</v>
      </c>
      <c r="H198" s="826" t="s">
        <v>4635</v>
      </c>
      <c r="I198" s="826" t="str">
        <f t="shared" si="27"/>
        <v xml:space="preserve">F,Safahe,Mina </v>
      </c>
      <c r="J198" s="826" t="str">
        <f t="shared" si="28"/>
        <v>F,Safahe,Mina ,HAWL</v>
      </c>
      <c r="K198" s="826" t="str">
        <f t="shared" si="29"/>
        <v>F,Safahe,Mina ,HAWL,170109</v>
      </c>
      <c r="L198" s="821" t="str">
        <f t="shared" si="30"/>
        <v>F,Safahe,Mina ,HAWL,170109,012516</v>
      </c>
      <c r="M198" s="826" t="str">
        <f t="shared" si="31"/>
        <v>F,Safahe,Mina ,HAWL,170109,012516,8</v>
      </c>
      <c r="N198" s="826" t="str">
        <f t="shared" si="32"/>
        <v>F,Safahe,Mina ,HAWL,170109,012516,8,F</v>
      </c>
      <c r="O198" s="824"/>
      <c r="P198" s="824" t="str">
        <f t="shared" si="33"/>
        <v>01:25.16</v>
      </c>
      <c r="Q198" s="824" t="str">
        <f t="shared" si="34"/>
        <v>012516</v>
      </c>
      <c r="R198" s="825" t="str">
        <f t="shared" si="35"/>
        <v>F,Safahe,Mina ,HAWL,170109,012516,8,F</v>
      </c>
      <c r="S198" s="820"/>
      <c r="T198" s="832"/>
      <c r="U198" s="832"/>
      <c r="V198" s="820"/>
    </row>
    <row r="199" spans="1:22" x14ac:dyDescent="0.25">
      <c r="A199" s="820"/>
      <c r="B199" s="826" t="s">
        <v>4635</v>
      </c>
      <c r="C199" s="826" t="str">
        <f>'Team 6'!J66</f>
        <v>Safahe,Mina</v>
      </c>
      <c r="D199" s="826" t="str">
        <f>'Gala Setup'!Q$9</f>
        <v>HAWL</v>
      </c>
      <c r="E199" s="827" t="str">
        <f>'Team 6'!L66</f>
        <v>170109</v>
      </c>
      <c r="F199" s="823">
        <f>'print 10 lane'!X$118</f>
        <v>9.9178240740740759E-4</v>
      </c>
      <c r="G199" s="826">
        <f>'Team 1'!$D$66</f>
        <v>8</v>
      </c>
      <c r="H199" s="826" t="s">
        <v>4635</v>
      </c>
      <c r="I199" s="826" t="str">
        <f t="shared" si="27"/>
        <v>F,Safahe,Mina</v>
      </c>
      <c r="J199" s="826" t="str">
        <f t="shared" si="28"/>
        <v>F,Safahe,Mina,HAWL</v>
      </c>
      <c r="K199" s="826" t="str">
        <f t="shared" si="29"/>
        <v>F,Safahe,Mina,HAWL,170109</v>
      </c>
      <c r="L199" s="821" t="str">
        <f t="shared" si="30"/>
        <v>F,Safahe,Mina,HAWL,170109,012569</v>
      </c>
      <c r="M199" s="826" t="str">
        <f t="shared" si="31"/>
        <v>F,Safahe,Mina,HAWL,170109,012569,8</v>
      </c>
      <c r="N199" s="826" t="str">
        <f t="shared" si="32"/>
        <v>F,Safahe,Mina,HAWL,170109,012569,8,F</v>
      </c>
      <c r="O199" s="824"/>
      <c r="P199" s="824" t="str">
        <f t="shared" si="33"/>
        <v>01:25.69</v>
      </c>
      <c r="Q199" s="824" t="str">
        <f t="shared" si="34"/>
        <v>012569</v>
      </c>
      <c r="R199" s="825" t="str">
        <f t="shared" si="35"/>
        <v>F,Safahe,Mina,HAWL,170109,012569,8,F</v>
      </c>
      <c r="S199" s="820"/>
      <c r="T199" s="832"/>
      <c r="U199" s="832"/>
      <c r="V199" s="820"/>
    </row>
    <row r="200" spans="1:22" x14ac:dyDescent="0.25">
      <c r="A200" s="820"/>
      <c r="B200" s="821" t="s">
        <v>4635</v>
      </c>
      <c r="C200" s="821" t="str">
        <f>'Team 7'!J60</f>
        <v>Ozen,Julia</v>
      </c>
      <c r="D200" s="821" t="str">
        <f>'Gala Setup'!Q$10</f>
        <v>HISL</v>
      </c>
      <c r="E200" s="822" t="str">
        <f>'Team 7'!L60</f>
        <v>131106</v>
      </c>
      <c r="F200" s="823">
        <f>'print 10 lane'!AA$100</f>
        <v>1.0487268518518519E-3</v>
      </c>
      <c r="G200" s="821">
        <f>'Team 1'!$D$60</f>
        <v>8</v>
      </c>
      <c r="H200" s="821" t="s">
        <v>4635</v>
      </c>
      <c r="I200" s="821" t="str">
        <f t="shared" si="27"/>
        <v>F,Ozen,Julia</v>
      </c>
      <c r="J200" s="821" t="str">
        <f t="shared" si="28"/>
        <v>F,Ozen,Julia,HISL</v>
      </c>
      <c r="K200" s="821" t="str">
        <f t="shared" si="29"/>
        <v>F,Ozen,Julia,HISL,131106</v>
      </c>
      <c r="L200" s="821" t="str">
        <f t="shared" si="30"/>
        <v>F,Ozen,Julia,HISL,131106,013061</v>
      </c>
      <c r="M200" s="821" t="str">
        <f t="shared" si="31"/>
        <v>F,Ozen,Julia,HISL,131106,013061,8</v>
      </c>
      <c r="N200" s="821" t="str">
        <f t="shared" si="32"/>
        <v>F,Ozen,Julia,HISL,131106,013061,8,F</v>
      </c>
      <c r="O200" s="824"/>
      <c r="P200" s="824" t="str">
        <f t="shared" si="33"/>
        <v>01:30.61</v>
      </c>
      <c r="Q200" s="824" t="str">
        <f t="shared" si="34"/>
        <v>013061</v>
      </c>
      <c r="R200" s="825" t="str">
        <f t="shared" si="35"/>
        <v>F,Ozen,Julia,HISL,131106,013061,8,F</v>
      </c>
      <c r="S200" s="820"/>
      <c r="T200" s="832"/>
      <c r="U200" s="832"/>
      <c r="V200" s="820"/>
    </row>
    <row r="201" spans="1:22" x14ac:dyDescent="0.25">
      <c r="A201" s="820"/>
      <c r="B201" s="826" t="s">
        <v>4635</v>
      </c>
      <c r="C201" s="826" t="str">
        <f>'Team 8'!J66</f>
        <v>,</v>
      </c>
      <c r="D201" s="826">
        <f>'Gala Setup'!Q$11</f>
        <v>0</v>
      </c>
      <c r="E201" s="827" t="str">
        <f>'Team 8'!L66</f>
        <v>000100</v>
      </c>
      <c r="F201" s="823">
        <f>'print 10 lane'!AD$118</f>
        <v>0</v>
      </c>
      <c r="G201" s="826">
        <f>'Team 1'!$D$66</f>
        <v>8</v>
      </c>
      <c r="H201" s="826" t="s">
        <v>4635</v>
      </c>
      <c r="I201" s="826" t="str">
        <f t="shared" si="27"/>
        <v>F,,</v>
      </c>
      <c r="J201" s="826" t="str">
        <f t="shared" si="28"/>
        <v>F,,,0</v>
      </c>
      <c r="K201" s="826" t="str">
        <f t="shared" si="29"/>
        <v>F,,,0,000100</v>
      </c>
      <c r="L201" s="821" t="str">
        <f t="shared" si="30"/>
        <v>F,,,0,000100,000000</v>
      </c>
      <c r="M201" s="826" t="str">
        <f t="shared" si="31"/>
        <v>F,,,0,000100,000000,8</v>
      </c>
      <c r="N201" s="826" t="str">
        <f t="shared" si="32"/>
        <v>F,,,0,000100,000000,8,F</v>
      </c>
      <c r="O201" s="824"/>
      <c r="P201" s="824" t="str">
        <f t="shared" si="33"/>
        <v>00:00.00</v>
      </c>
      <c r="Q201" s="824" t="str">
        <f t="shared" si="34"/>
        <v>000000</v>
      </c>
      <c r="R201" s="825" t="str">
        <f t="shared" si="35"/>
        <v/>
      </c>
      <c r="S201" s="820"/>
      <c r="T201" s="832"/>
      <c r="U201" s="832"/>
      <c r="V201" s="820"/>
    </row>
    <row r="202" spans="1:22" x14ac:dyDescent="0.25">
      <c r="A202" s="820"/>
      <c r="B202" s="821" t="s">
        <v>4635</v>
      </c>
      <c r="C202" s="821" t="str">
        <f>'Team 7'!J66</f>
        <v>Brannigan,Keira</v>
      </c>
      <c r="D202" s="821" t="str">
        <f>'Gala Setup'!Q$10</f>
        <v>HISL</v>
      </c>
      <c r="E202" s="822" t="str">
        <f>'Team 7'!L66</f>
        <v>150908</v>
      </c>
      <c r="F202" s="823">
        <f>'print 10 lane'!AA$118</f>
        <v>9.6168981481481485E-4</v>
      </c>
      <c r="G202" s="821">
        <f>'Team 1'!$D$66</f>
        <v>8</v>
      </c>
      <c r="H202" s="821" t="s">
        <v>4635</v>
      </c>
      <c r="I202" s="821" t="str">
        <f t="shared" si="27"/>
        <v>F,Brannigan,Keira</v>
      </c>
      <c r="J202" s="821" t="str">
        <f t="shared" si="28"/>
        <v>F,Brannigan,Keira,HISL</v>
      </c>
      <c r="K202" s="821" t="str">
        <f t="shared" si="29"/>
        <v>F,Brannigan,Keira,HISL,150908</v>
      </c>
      <c r="L202" s="821" t="str">
        <f t="shared" si="30"/>
        <v>F,Brannigan,Keira,HISL,150908,012309</v>
      </c>
      <c r="M202" s="821" t="str">
        <f t="shared" si="31"/>
        <v>F,Brannigan,Keira,HISL,150908,012309,8</v>
      </c>
      <c r="N202" s="821" t="str">
        <f t="shared" si="32"/>
        <v>F,Brannigan,Keira,HISL,150908,012309,8,F</v>
      </c>
      <c r="O202" s="824"/>
      <c r="P202" s="824" t="str">
        <f t="shared" si="33"/>
        <v>01:23.09</v>
      </c>
      <c r="Q202" s="824" t="str">
        <f t="shared" si="34"/>
        <v>012309</v>
      </c>
      <c r="R202" s="825" t="str">
        <f t="shared" si="35"/>
        <v>F,Brannigan,Keira,HISL,150908,012309,8,F</v>
      </c>
      <c r="S202" s="820"/>
      <c r="T202" s="832"/>
      <c r="U202" s="832"/>
      <c r="V202" s="820"/>
    </row>
    <row r="203" spans="1:22" x14ac:dyDescent="0.25">
      <c r="A203" s="820"/>
      <c r="B203" s="826" t="s">
        <v>4635</v>
      </c>
      <c r="C203" s="826" t="str">
        <f>'Team 8'!J60</f>
        <v>,</v>
      </c>
      <c r="D203" s="826">
        <f>'Gala Setup'!Q$11</f>
        <v>0</v>
      </c>
      <c r="E203" s="827" t="str">
        <f>'Team 8'!L60</f>
        <v>000100</v>
      </c>
      <c r="F203" s="823">
        <f>'print 10 lane'!AD$100</f>
        <v>0</v>
      </c>
      <c r="G203" s="826">
        <f>'Team 1'!$D$60</f>
        <v>8</v>
      </c>
      <c r="H203" s="826" t="s">
        <v>4635</v>
      </c>
      <c r="I203" s="826" t="str">
        <f t="shared" si="27"/>
        <v>F,,</v>
      </c>
      <c r="J203" s="826" t="str">
        <f t="shared" si="28"/>
        <v>F,,,0</v>
      </c>
      <c r="K203" s="826" t="str">
        <f t="shared" si="29"/>
        <v>F,,,0,000100</v>
      </c>
      <c r="L203" s="821" t="str">
        <f t="shared" si="30"/>
        <v>F,,,0,000100,000000</v>
      </c>
      <c r="M203" s="826" t="str">
        <f t="shared" si="31"/>
        <v>F,,,0,000100,000000,8</v>
      </c>
      <c r="N203" s="826" t="str">
        <f t="shared" si="32"/>
        <v>F,,,0,000100,000000,8,F</v>
      </c>
      <c r="O203" s="824"/>
      <c r="P203" s="824" t="str">
        <f t="shared" si="33"/>
        <v>00:00.00</v>
      </c>
      <c r="Q203" s="824" t="str">
        <f t="shared" si="34"/>
        <v>000000</v>
      </c>
      <c r="R203" s="825" t="str">
        <f t="shared" si="35"/>
        <v/>
      </c>
      <c r="S203" s="820"/>
      <c r="T203" s="832"/>
      <c r="U203" s="832"/>
      <c r="V203" s="820"/>
    </row>
    <row r="204" spans="1:22" x14ac:dyDescent="0.25">
      <c r="A204" s="820"/>
      <c r="B204" s="826" t="s">
        <v>4635</v>
      </c>
      <c r="C204" s="826" t="str">
        <f>'Team 8'!J40</f>
        <v>,</v>
      </c>
      <c r="D204" s="826">
        <f>'Gala Setup'!Q$11</f>
        <v>0</v>
      </c>
      <c r="E204" s="827" t="str">
        <f>'Team 8'!L40</f>
        <v>000100</v>
      </c>
      <c r="F204" s="823">
        <f>'print 10 lane'!AD$40</f>
        <v>0</v>
      </c>
      <c r="G204" s="826">
        <f>'Team 1'!$D$40</f>
        <v>8</v>
      </c>
      <c r="H204" s="826" t="s">
        <v>4635</v>
      </c>
      <c r="I204" s="826" t="str">
        <f t="shared" si="27"/>
        <v>F,,</v>
      </c>
      <c r="J204" s="826" t="str">
        <f t="shared" si="28"/>
        <v>F,,,0</v>
      </c>
      <c r="K204" s="826" t="str">
        <f t="shared" si="29"/>
        <v>F,,,0,000100</v>
      </c>
      <c r="L204" s="821" t="str">
        <f t="shared" si="30"/>
        <v>F,,,0,000100,000000</v>
      </c>
      <c r="M204" s="826" t="str">
        <f t="shared" si="31"/>
        <v>F,,,0,000100,000000,8</v>
      </c>
      <c r="N204" s="826" t="str">
        <f t="shared" si="32"/>
        <v>F,,,0,000100,000000,8,F</v>
      </c>
      <c r="O204" s="824"/>
      <c r="P204" s="824" t="str">
        <f t="shared" si="33"/>
        <v>00:00.00</v>
      </c>
      <c r="Q204" s="824" t="str">
        <f t="shared" si="34"/>
        <v>000000</v>
      </c>
      <c r="R204" s="825" t="str">
        <f t="shared" si="35"/>
        <v/>
      </c>
      <c r="S204" s="820"/>
      <c r="T204" s="832"/>
      <c r="U204" s="832"/>
      <c r="V204" s="820"/>
    </row>
    <row r="205" spans="1:22" x14ac:dyDescent="0.25">
      <c r="A205" s="820"/>
      <c r="B205" s="821" t="s">
        <v>4635</v>
      </c>
      <c r="C205" s="821" t="str">
        <f>'Team 9'!J66</f>
        <v>,</v>
      </c>
      <c r="D205" s="821">
        <f>'Gala Setup'!Q$12</f>
        <v>0</v>
      </c>
      <c r="E205" s="822" t="str">
        <f>'Team 9'!L66</f>
        <v>000100</v>
      </c>
      <c r="F205" s="823">
        <f>'print 10 lane'!AG$118</f>
        <v>0</v>
      </c>
      <c r="G205" s="821">
        <f>'Team 1'!$D$66</f>
        <v>8</v>
      </c>
      <c r="H205" s="821" t="s">
        <v>4635</v>
      </c>
      <c r="I205" s="821" t="str">
        <f t="shared" si="27"/>
        <v>F,,</v>
      </c>
      <c r="J205" s="821" t="str">
        <f t="shared" si="28"/>
        <v>F,,,0</v>
      </c>
      <c r="K205" s="821" t="str">
        <f t="shared" si="29"/>
        <v>F,,,0,000100</v>
      </c>
      <c r="L205" s="821" t="str">
        <f t="shared" si="30"/>
        <v>F,,,0,000100,000000</v>
      </c>
      <c r="M205" s="821" t="str">
        <f t="shared" si="31"/>
        <v>F,,,0,000100,000000,8</v>
      </c>
      <c r="N205" s="821" t="str">
        <f t="shared" si="32"/>
        <v>F,,,0,000100,000000,8,F</v>
      </c>
      <c r="O205" s="824"/>
      <c r="P205" s="824" t="str">
        <f t="shared" si="33"/>
        <v>00:00.00</v>
      </c>
      <c r="Q205" s="824" t="str">
        <f t="shared" si="34"/>
        <v>000000</v>
      </c>
      <c r="R205" s="825" t="str">
        <f t="shared" si="35"/>
        <v/>
      </c>
      <c r="S205" s="820"/>
      <c r="T205" s="832"/>
      <c r="U205" s="832"/>
      <c r="V205" s="820"/>
    </row>
    <row r="206" spans="1:22" x14ac:dyDescent="0.25">
      <c r="A206" s="820"/>
      <c r="B206" s="821" t="s">
        <v>4635</v>
      </c>
      <c r="C206" s="821" t="str">
        <f>'Team 9'!J40</f>
        <v>,</v>
      </c>
      <c r="D206" s="821">
        <f>'Gala Setup'!Q$12</f>
        <v>0</v>
      </c>
      <c r="E206" s="822" t="str">
        <f>'Team 9'!L40</f>
        <v>000100</v>
      </c>
      <c r="F206" s="823">
        <f>'print 10 lane'!AG$40</f>
        <v>0</v>
      </c>
      <c r="G206" s="821">
        <f>'Team 1'!$D$40</f>
        <v>8</v>
      </c>
      <c r="H206" s="821" t="s">
        <v>4635</v>
      </c>
      <c r="I206" s="821" t="str">
        <f t="shared" si="27"/>
        <v>F,,</v>
      </c>
      <c r="J206" s="821" t="str">
        <f t="shared" si="28"/>
        <v>F,,,0</v>
      </c>
      <c r="K206" s="821" t="str">
        <f t="shared" si="29"/>
        <v>F,,,0,000100</v>
      </c>
      <c r="L206" s="821" t="str">
        <f t="shared" si="30"/>
        <v>F,,,0,000100,000000</v>
      </c>
      <c r="M206" s="821" t="str">
        <f t="shared" si="31"/>
        <v>F,,,0,000100,000000,8</v>
      </c>
      <c r="N206" s="821" t="str">
        <f t="shared" si="32"/>
        <v>F,,,0,000100,000000,8,F</v>
      </c>
      <c r="O206" s="824"/>
      <c r="P206" s="824" t="str">
        <f t="shared" si="33"/>
        <v>00:00.00</v>
      </c>
      <c r="Q206" s="824" t="str">
        <f t="shared" si="34"/>
        <v>000000</v>
      </c>
      <c r="R206" s="825" t="str">
        <f t="shared" si="35"/>
        <v/>
      </c>
      <c r="S206" s="820"/>
      <c r="T206" s="832"/>
      <c r="U206" s="832"/>
      <c r="V206" s="820"/>
    </row>
    <row r="207" spans="1:22" x14ac:dyDescent="0.25">
      <c r="A207" s="820"/>
      <c r="B207" s="821" t="s">
        <v>4635</v>
      </c>
      <c r="C207" s="821" t="str">
        <f>'Team 9'!J60</f>
        <v>,</v>
      </c>
      <c r="D207" s="821">
        <f>'Gala Setup'!Q$12</f>
        <v>0</v>
      </c>
      <c r="E207" s="822" t="str">
        <f>'Team 9'!L60</f>
        <v>000100</v>
      </c>
      <c r="F207" s="823">
        <f>'print 10 lane'!AG$100</f>
        <v>0</v>
      </c>
      <c r="G207" s="821">
        <f>'Team 1'!$D$60</f>
        <v>8</v>
      </c>
      <c r="H207" s="821" t="s">
        <v>4635</v>
      </c>
      <c r="I207" s="821" t="str">
        <f t="shared" si="27"/>
        <v>F,,</v>
      </c>
      <c r="J207" s="821" t="str">
        <f t="shared" si="28"/>
        <v>F,,,0</v>
      </c>
      <c r="K207" s="821" t="str">
        <f t="shared" si="29"/>
        <v>F,,,0,000100</v>
      </c>
      <c r="L207" s="821" t="str">
        <f t="shared" si="30"/>
        <v>F,,,0,000100,000000</v>
      </c>
      <c r="M207" s="821" t="str">
        <f t="shared" si="31"/>
        <v>F,,,0,000100,000000,8</v>
      </c>
      <c r="N207" s="821" t="str">
        <f t="shared" si="32"/>
        <v>F,,,0,000100,000000,8,F</v>
      </c>
      <c r="O207" s="824"/>
      <c r="P207" s="824" t="str">
        <f t="shared" si="33"/>
        <v>00:00.00</v>
      </c>
      <c r="Q207" s="824" t="str">
        <f t="shared" si="34"/>
        <v>000000</v>
      </c>
      <c r="R207" s="825" t="str">
        <f t="shared" si="35"/>
        <v/>
      </c>
      <c r="S207" s="820"/>
      <c r="T207" s="832"/>
      <c r="U207" s="832"/>
      <c r="V207" s="820"/>
    </row>
    <row r="208" spans="1:22" x14ac:dyDescent="0.25">
      <c r="A208" s="820"/>
      <c r="B208" s="826" t="s">
        <v>4635</v>
      </c>
      <c r="C208" s="826" t="str">
        <f>'Team 10'!J66</f>
        <v>,</v>
      </c>
      <c r="D208" s="826">
        <f>'Gala Setup'!Q$13</f>
        <v>0</v>
      </c>
      <c r="E208" s="827" t="str">
        <f>'Team 10'!L66</f>
        <v>000100</v>
      </c>
      <c r="F208" s="823">
        <f>'print 10 lane'!AJ$118</f>
        <v>0</v>
      </c>
      <c r="G208" s="826">
        <f>'Team 1'!$D$66</f>
        <v>8</v>
      </c>
      <c r="H208" s="826" t="s">
        <v>4635</v>
      </c>
      <c r="I208" s="826" t="str">
        <f t="shared" si="27"/>
        <v>F,,</v>
      </c>
      <c r="J208" s="826" t="str">
        <f t="shared" si="28"/>
        <v>F,,,0</v>
      </c>
      <c r="K208" s="826" t="str">
        <f t="shared" si="29"/>
        <v>F,,,0,000100</v>
      </c>
      <c r="L208" s="821" t="str">
        <f t="shared" si="30"/>
        <v>F,,,0,000100,000000</v>
      </c>
      <c r="M208" s="826" t="str">
        <f t="shared" si="31"/>
        <v>F,,,0,000100,000000,8</v>
      </c>
      <c r="N208" s="826" t="str">
        <f t="shared" si="32"/>
        <v>F,,,0,000100,000000,8,F</v>
      </c>
      <c r="O208" s="824"/>
      <c r="P208" s="824" t="str">
        <f t="shared" si="33"/>
        <v>00:00.00</v>
      </c>
      <c r="Q208" s="824" t="str">
        <f t="shared" si="34"/>
        <v>000000</v>
      </c>
      <c r="R208" s="825" t="str">
        <f t="shared" si="35"/>
        <v/>
      </c>
      <c r="S208" s="820"/>
      <c r="T208" s="832"/>
      <c r="U208" s="832"/>
      <c r="V208" s="820"/>
    </row>
    <row r="209" spans="1:22" x14ac:dyDescent="0.25">
      <c r="A209" s="820"/>
      <c r="B209" s="826" t="s">
        <v>4635</v>
      </c>
      <c r="C209" s="826" t="str">
        <f>'Team 10'!J40</f>
        <v>,</v>
      </c>
      <c r="D209" s="826">
        <f>'Gala Setup'!Q$13</f>
        <v>0</v>
      </c>
      <c r="E209" s="827" t="str">
        <f>'Team 10'!L40</f>
        <v>000100</v>
      </c>
      <c r="F209" s="823">
        <f>'print 10 lane'!AJ$40</f>
        <v>0</v>
      </c>
      <c r="G209" s="826">
        <f>'Team 1'!$D$40</f>
        <v>8</v>
      </c>
      <c r="H209" s="826" t="s">
        <v>4635</v>
      </c>
      <c r="I209" s="826" t="str">
        <f t="shared" si="27"/>
        <v>F,,</v>
      </c>
      <c r="J209" s="826" t="str">
        <f t="shared" si="28"/>
        <v>F,,,0</v>
      </c>
      <c r="K209" s="826" t="str">
        <f t="shared" si="29"/>
        <v>F,,,0,000100</v>
      </c>
      <c r="L209" s="821" t="str">
        <f t="shared" si="30"/>
        <v>F,,,0,000100,000000</v>
      </c>
      <c r="M209" s="826" t="str">
        <f t="shared" si="31"/>
        <v>F,,,0,000100,000000,8</v>
      </c>
      <c r="N209" s="826" t="str">
        <f t="shared" si="32"/>
        <v>F,,,0,000100,000000,8,F</v>
      </c>
      <c r="O209" s="824"/>
      <c r="P209" s="824" t="str">
        <f t="shared" si="33"/>
        <v>00:00.00</v>
      </c>
      <c r="Q209" s="824" t="str">
        <f t="shared" si="34"/>
        <v>000000</v>
      </c>
      <c r="R209" s="825" t="str">
        <f t="shared" si="35"/>
        <v/>
      </c>
      <c r="S209" s="820"/>
      <c r="T209" s="832"/>
      <c r="U209" s="832"/>
      <c r="V209" s="820"/>
    </row>
    <row r="210" spans="1:22" x14ac:dyDescent="0.25">
      <c r="A210" s="820"/>
      <c r="B210" s="826" t="s">
        <v>4635</v>
      </c>
      <c r="C210" s="826" t="str">
        <f>'Team 10'!J60</f>
        <v>,</v>
      </c>
      <c r="D210" s="826">
        <f>'Gala Setup'!Q$13</f>
        <v>0</v>
      </c>
      <c r="E210" s="827" t="str">
        <f>'Team 10'!L60</f>
        <v>000100</v>
      </c>
      <c r="F210" s="823">
        <f>'print 10 lane'!AJ$100</f>
        <v>0</v>
      </c>
      <c r="G210" s="826">
        <f>'Team 1'!$D$60</f>
        <v>8</v>
      </c>
      <c r="H210" s="826" t="s">
        <v>4635</v>
      </c>
      <c r="I210" s="826" t="str">
        <f t="shared" si="27"/>
        <v>F,,</v>
      </c>
      <c r="J210" s="826" t="str">
        <f t="shared" si="28"/>
        <v>F,,,0</v>
      </c>
      <c r="K210" s="826" t="str">
        <f t="shared" si="29"/>
        <v>F,,,0,000100</v>
      </c>
      <c r="L210" s="821" t="str">
        <f t="shared" si="30"/>
        <v>F,,,0,000100,000000</v>
      </c>
      <c r="M210" s="826" t="str">
        <f t="shared" si="31"/>
        <v>F,,,0,000100,000000,8</v>
      </c>
      <c r="N210" s="826" t="str">
        <f t="shared" si="32"/>
        <v>F,,,0,000100,000000,8,F</v>
      </c>
      <c r="O210" s="824"/>
      <c r="P210" s="824" t="str">
        <f t="shared" si="33"/>
        <v>00:00.00</v>
      </c>
      <c r="Q210" s="824" t="str">
        <f t="shared" si="34"/>
        <v>000000</v>
      </c>
      <c r="R210" s="825" t="str">
        <f t="shared" si="35"/>
        <v/>
      </c>
      <c r="S210" s="820"/>
      <c r="T210" s="832"/>
      <c r="U210" s="832"/>
      <c r="V210" s="820"/>
    </row>
    <row r="211" spans="1:22" x14ac:dyDescent="0.25">
      <c r="A211" s="820"/>
      <c r="B211" s="821" t="s">
        <v>328</v>
      </c>
      <c r="C211" s="821" t="str">
        <f>'Team 9'!J61</f>
        <v>,</v>
      </c>
      <c r="D211" s="821">
        <f>'Gala Setup'!Q$12</f>
        <v>0</v>
      </c>
      <c r="E211" s="822" t="str">
        <f>'Team 9'!L61</f>
        <v>000100</v>
      </c>
      <c r="F211" s="823">
        <f>'print 10 lane'!AG$103</f>
        <v>0</v>
      </c>
      <c r="G211" s="821">
        <f>'Team 1'!$D$61</f>
        <v>8</v>
      </c>
      <c r="H211" s="821" t="s">
        <v>4635</v>
      </c>
      <c r="I211" s="821" t="str">
        <f t="shared" si="27"/>
        <v>M,,</v>
      </c>
      <c r="J211" s="821" t="str">
        <f t="shared" si="28"/>
        <v>M,,,0</v>
      </c>
      <c r="K211" s="821" t="str">
        <f t="shared" si="29"/>
        <v>M,,,0,000100</v>
      </c>
      <c r="L211" s="821" t="str">
        <f t="shared" si="30"/>
        <v>M,,,0,000100,000000</v>
      </c>
      <c r="M211" s="821" t="str">
        <f t="shared" si="31"/>
        <v>M,,,0,000100,000000,8</v>
      </c>
      <c r="N211" s="821" t="str">
        <f t="shared" si="32"/>
        <v>M,,,0,000100,000000,8,F</v>
      </c>
      <c r="O211" s="824"/>
      <c r="P211" s="824" t="str">
        <f t="shared" si="33"/>
        <v>00:00.00</v>
      </c>
      <c r="Q211" s="824" t="str">
        <f t="shared" si="34"/>
        <v>000000</v>
      </c>
      <c r="R211" s="825" t="str">
        <f t="shared" si="35"/>
        <v/>
      </c>
      <c r="S211" s="820"/>
      <c r="T211" s="832"/>
      <c r="U211" s="832"/>
      <c r="V211" s="820"/>
    </row>
    <row r="212" spans="1:22" x14ac:dyDescent="0.25">
      <c r="A212" s="820"/>
      <c r="B212" s="821" t="s">
        <v>328</v>
      </c>
      <c r="C212" s="821" t="str">
        <f>'Team 9'!J67</f>
        <v>,</v>
      </c>
      <c r="D212" s="821">
        <f>'Gala Setup'!Q$12</f>
        <v>0</v>
      </c>
      <c r="E212" s="822" t="str">
        <f>'Team 9'!L67</f>
        <v>000100</v>
      </c>
      <c r="F212" s="823">
        <f>'print 10 lane'!AG$121</f>
        <v>0</v>
      </c>
      <c r="G212" s="821">
        <f>'Team 1'!$D$67</f>
        <v>8</v>
      </c>
      <c r="H212" s="821" t="s">
        <v>4635</v>
      </c>
      <c r="I212" s="821" t="str">
        <f t="shared" si="27"/>
        <v>M,,</v>
      </c>
      <c r="J212" s="821" t="str">
        <f t="shared" si="28"/>
        <v>M,,,0</v>
      </c>
      <c r="K212" s="821" t="str">
        <f t="shared" si="29"/>
        <v>M,,,0,000100</v>
      </c>
      <c r="L212" s="821" t="str">
        <f t="shared" si="30"/>
        <v>M,,,0,000100,000000</v>
      </c>
      <c r="M212" s="821" t="str">
        <f t="shared" si="31"/>
        <v>M,,,0,000100,000000,8</v>
      </c>
      <c r="N212" s="821" t="str">
        <f t="shared" si="32"/>
        <v>M,,,0,000100,000000,8,F</v>
      </c>
      <c r="O212" s="824"/>
      <c r="P212" s="824" t="str">
        <f t="shared" si="33"/>
        <v>00:00.00</v>
      </c>
      <c r="Q212" s="824" t="str">
        <f t="shared" si="34"/>
        <v>000000</v>
      </c>
      <c r="R212" s="825" t="str">
        <f t="shared" si="35"/>
        <v/>
      </c>
      <c r="S212" s="820"/>
      <c r="T212" s="832"/>
      <c r="U212" s="832"/>
      <c r="V212" s="820"/>
    </row>
    <row r="213" spans="1:22" x14ac:dyDescent="0.25">
      <c r="A213" s="820"/>
      <c r="B213" s="821" t="s">
        <v>328</v>
      </c>
      <c r="C213" s="821" t="str">
        <f>'Team 9'!J41</f>
        <v>,</v>
      </c>
      <c r="D213" s="821">
        <f>'Gala Setup'!Q$12</f>
        <v>0</v>
      </c>
      <c r="E213" s="822" t="str">
        <f>'Team 9'!L41</f>
        <v>000100</v>
      </c>
      <c r="F213" s="823">
        <f>'print 10 lane'!AG$43</f>
        <v>0</v>
      </c>
      <c r="G213" s="821">
        <f>'Team 1'!$D$41</f>
        <v>8</v>
      </c>
      <c r="H213" s="821" t="s">
        <v>4635</v>
      </c>
      <c r="I213" s="821" t="str">
        <f t="shared" si="27"/>
        <v>M,,</v>
      </c>
      <c r="J213" s="821" t="str">
        <f t="shared" si="28"/>
        <v>M,,,0</v>
      </c>
      <c r="K213" s="821" t="str">
        <f t="shared" si="29"/>
        <v>M,,,0,000100</v>
      </c>
      <c r="L213" s="821" t="str">
        <f t="shared" si="30"/>
        <v>M,,,0,000100,000000</v>
      </c>
      <c r="M213" s="821" t="str">
        <f t="shared" si="31"/>
        <v>M,,,0,000100,000000,8</v>
      </c>
      <c r="N213" s="821" t="str">
        <f t="shared" si="32"/>
        <v>M,,,0,000100,000000,8,F</v>
      </c>
      <c r="O213" s="824"/>
      <c r="P213" s="824" t="str">
        <f t="shared" si="33"/>
        <v>00:00.00</v>
      </c>
      <c r="Q213" s="824" t="str">
        <f t="shared" si="34"/>
        <v>000000</v>
      </c>
      <c r="R213" s="825" t="str">
        <f t="shared" si="35"/>
        <v/>
      </c>
      <c r="S213" s="820"/>
      <c r="T213" s="832"/>
      <c r="U213" s="832"/>
      <c r="V213" s="820"/>
    </row>
    <row r="214" spans="1:22" x14ac:dyDescent="0.25">
      <c r="A214" s="820"/>
      <c r="B214" s="826" t="s">
        <v>328</v>
      </c>
      <c r="C214" s="826" t="str">
        <f>'Team 10'!J61</f>
        <v>,</v>
      </c>
      <c r="D214" s="826">
        <f>'Gala Setup'!Q$13</f>
        <v>0</v>
      </c>
      <c r="E214" s="827" t="str">
        <f>'Team 10'!L61</f>
        <v>000100</v>
      </c>
      <c r="F214" s="823">
        <f>'print 10 lane'!AJ$103</f>
        <v>0</v>
      </c>
      <c r="G214" s="826">
        <f>'Team 1'!$D$61</f>
        <v>8</v>
      </c>
      <c r="H214" s="826" t="s">
        <v>4635</v>
      </c>
      <c r="I214" s="826" t="str">
        <f t="shared" si="27"/>
        <v>M,,</v>
      </c>
      <c r="J214" s="826" t="str">
        <f t="shared" si="28"/>
        <v>M,,,0</v>
      </c>
      <c r="K214" s="826" t="str">
        <f t="shared" si="29"/>
        <v>M,,,0,000100</v>
      </c>
      <c r="L214" s="821" t="str">
        <f t="shared" si="30"/>
        <v>M,,,0,000100,000000</v>
      </c>
      <c r="M214" s="826" t="str">
        <f t="shared" si="31"/>
        <v>M,,,0,000100,000000,8</v>
      </c>
      <c r="N214" s="826" t="str">
        <f t="shared" si="32"/>
        <v>M,,,0,000100,000000,8,F</v>
      </c>
      <c r="O214" s="824"/>
      <c r="P214" s="824" t="str">
        <f t="shared" si="33"/>
        <v>00:00.00</v>
      </c>
      <c r="Q214" s="824" t="str">
        <f t="shared" si="34"/>
        <v>000000</v>
      </c>
      <c r="R214" s="825" t="str">
        <f t="shared" si="35"/>
        <v/>
      </c>
      <c r="S214" s="820"/>
      <c r="T214" s="832"/>
      <c r="U214" s="832"/>
      <c r="V214" s="820"/>
    </row>
    <row r="215" spans="1:22" x14ac:dyDescent="0.25">
      <c r="A215" s="820"/>
      <c r="B215" s="826" t="s">
        <v>328</v>
      </c>
      <c r="C215" s="826" t="str">
        <f>'Team 10'!J41</f>
        <v>,</v>
      </c>
      <c r="D215" s="826">
        <f>'Gala Setup'!Q$13</f>
        <v>0</v>
      </c>
      <c r="E215" s="827" t="str">
        <f>'Team 10'!L41</f>
        <v>000100</v>
      </c>
      <c r="F215" s="823">
        <f>'print 10 lane'!AJ$43</f>
        <v>0</v>
      </c>
      <c r="G215" s="826">
        <f>'Team 1'!$D$41</f>
        <v>8</v>
      </c>
      <c r="H215" s="826" t="s">
        <v>4635</v>
      </c>
      <c r="I215" s="826" t="str">
        <f t="shared" si="27"/>
        <v>M,,</v>
      </c>
      <c r="J215" s="826" t="str">
        <f t="shared" si="28"/>
        <v>M,,,0</v>
      </c>
      <c r="K215" s="826" t="str">
        <f t="shared" si="29"/>
        <v>M,,,0,000100</v>
      </c>
      <c r="L215" s="821" t="str">
        <f t="shared" si="30"/>
        <v>M,,,0,000100,000000</v>
      </c>
      <c r="M215" s="826" t="str">
        <f t="shared" si="31"/>
        <v>M,,,0,000100,000000,8</v>
      </c>
      <c r="N215" s="826" t="str">
        <f t="shared" si="32"/>
        <v>M,,,0,000100,000000,8,F</v>
      </c>
      <c r="O215" s="824"/>
      <c r="P215" s="824" t="str">
        <f t="shared" si="33"/>
        <v>00:00.00</v>
      </c>
      <c r="Q215" s="824" t="str">
        <f t="shared" si="34"/>
        <v>000000</v>
      </c>
      <c r="R215" s="825" t="str">
        <f t="shared" si="35"/>
        <v/>
      </c>
      <c r="S215" s="820"/>
      <c r="T215" s="832"/>
      <c r="U215" s="832"/>
      <c r="V215" s="820"/>
    </row>
    <row r="216" spans="1:22" x14ac:dyDescent="0.25">
      <c r="A216" s="820"/>
      <c r="B216" s="826" t="s">
        <v>328</v>
      </c>
      <c r="C216" s="826" t="str">
        <f>'Team 10'!J67</f>
        <v>,</v>
      </c>
      <c r="D216" s="826">
        <f>'Gala Setup'!Q$13</f>
        <v>0</v>
      </c>
      <c r="E216" s="827" t="str">
        <f>'Team 10'!L67</f>
        <v>000100</v>
      </c>
      <c r="F216" s="823">
        <f>'print 10 lane'!AJ$121</f>
        <v>0</v>
      </c>
      <c r="G216" s="826">
        <f>'Team 1'!$D$67</f>
        <v>8</v>
      </c>
      <c r="H216" s="826" t="s">
        <v>4635</v>
      </c>
      <c r="I216" s="826" t="str">
        <f t="shared" si="27"/>
        <v>M,,</v>
      </c>
      <c r="J216" s="826" t="str">
        <f t="shared" si="28"/>
        <v>M,,,0</v>
      </c>
      <c r="K216" s="826" t="str">
        <f t="shared" si="29"/>
        <v>M,,,0,000100</v>
      </c>
      <c r="L216" s="821" t="str">
        <f t="shared" si="30"/>
        <v>M,,,0,000100,000000</v>
      </c>
      <c r="M216" s="826" t="str">
        <f t="shared" si="31"/>
        <v>M,,,0,000100,000000,8</v>
      </c>
      <c r="N216" s="826" t="str">
        <f t="shared" si="32"/>
        <v>M,,,0,000100,000000,8,F</v>
      </c>
      <c r="O216" s="824"/>
      <c r="P216" s="824" t="str">
        <f t="shared" si="33"/>
        <v>00:00.00</v>
      </c>
      <c r="Q216" s="824" t="str">
        <f t="shared" si="34"/>
        <v>000000</v>
      </c>
      <c r="R216" s="825" t="str">
        <f t="shared" si="35"/>
        <v/>
      </c>
      <c r="S216" s="820"/>
      <c r="T216" s="832"/>
      <c r="U216" s="832"/>
      <c r="V216" s="820"/>
    </row>
    <row r="217" spans="1:22" x14ac:dyDescent="0.25">
      <c r="A217" s="820"/>
      <c r="B217" s="826" t="s">
        <v>328</v>
      </c>
      <c r="C217" s="826" t="str">
        <f>'Team 8'!J41</f>
        <v>,</v>
      </c>
      <c r="D217" s="826">
        <f>'Gala Setup'!Q$11</f>
        <v>0</v>
      </c>
      <c r="E217" s="827" t="str">
        <f>'Team 8'!L41</f>
        <v>000100</v>
      </c>
      <c r="F217" s="823">
        <f>'print 10 lane'!AD$43</f>
        <v>0</v>
      </c>
      <c r="G217" s="826">
        <f>'Team 1'!$D$41</f>
        <v>8</v>
      </c>
      <c r="H217" s="826" t="s">
        <v>4635</v>
      </c>
      <c r="I217" s="826" t="str">
        <f t="shared" si="27"/>
        <v>M,,</v>
      </c>
      <c r="J217" s="826" t="str">
        <f t="shared" si="28"/>
        <v>M,,,0</v>
      </c>
      <c r="K217" s="826" t="str">
        <f t="shared" si="29"/>
        <v>M,,,0,000100</v>
      </c>
      <c r="L217" s="821" t="str">
        <f t="shared" si="30"/>
        <v>M,,,0,000100,000000</v>
      </c>
      <c r="M217" s="826" t="str">
        <f t="shared" si="31"/>
        <v>M,,,0,000100,000000,8</v>
      </c>
      <c r="N217" s="826" t="str">
        <f t="shared" si="32"/>
        <v>M,,,0,000100,000000,8,F</v>
      </c>
      <c r="O217" s="824"/>
      <c r="P217" s="824" t="str">
        <f t="shared" si="33"/>
        <v>00:00.00</v>
      </c>
      <c r="Q217" s="824" t="str">
        <f t="shared" si="34"/>
        <v>000000</v>
      </c>
      <c r="R217" s="825" t="str">
        <f t="shared" si="35"/>
        <v/>
      </c>
      <c r="S217" s="820"/>
      <c r="T217" s="832"/>
      <c r="U217" s="832"/>
      <c r="V217" s="820"/>
    </row>
    <row r="218" spans="1:22" x14ac:dyDescent="0.25">
      <c r="A218" s="820"/>
      <c r="B218" s="821" t="s">
        <v>328</v>
      </c>
      <c r="C218" s="821" t="str">
        <f>'Team 7'!J67</f>
        <v>Bhatia,Advay</v>
      </c>
      <c r="D218" s="821" t="str">
        <f>'Gala Setup'!Q$10</f>
        <v>HISL</v>
      </c>
      <c r="E218" s="822" t="str">
        <f>'Team 7'!L67</f>
        <v>100910</v>
      </c>
      <c r="F218" s="823">
        <f>'print 10 lane'!AA$121</f>
        <v>9.109953703703705E-4</v>
      </c>
      <c r="G218" s="821">
        <f>'Team 1'!$D$67</f>
        <v>8</v>
      </c>
      <c r="H218" s="821" t="s">
        <v>4635</v>
      </c>
      <c r="I218" s="821" t="str">
        <f t="shared" si="27"/>
        <v>M,Bhatia,Advay</v>
      </c>
      <c r="J218" s="821" t="str">
        <f t="shared" si="28"/>
        <v>M,Bhatia,Advay,HISL</v>
      </c>
      <c r="K218" s="821" t="str">
        <f t="shared" si="29"/>
        <v>M,Bhatia,Advay,HISL,100910</v>
      </c>
      <c r="L218" s="821" t="str">
        <f t="shared" si="30"/>
        <v>M,Bhatia,Advay,HISL,100910,011871</v>
      </c>
      <c r="M218" s="821" t="str">
        <f t="shared" si="31"/>
        <v>M,Bhatia,Advay,HISL,100910,011871,8</v>
      </c>
      <c r="N218" s="821" t="str">
        <f t="shared" si="32"/>
        <v>M,Bhatia,Advay,HISL,100910,011871,8,F</v>
      </c>
      <c r="O218" s="824"/>
      <c r="P218" s="824" t="str">
        <f t="shared" si="33"/>
        <v>01:18.71</v>
      </c>
      <c r="Q218" s="824" t="str">
        <f t="shared" si="34"/>
        <v>011871</v>
      </c>
      <c r="R218" s="825" t="str">
        <f t="shared" si="35"/>
        <v>M,Bhatia,Advay,HISL,100910,011871,8,F</v>
      </c>
      <c r="S218" s="820"/>
      <c r="T218" s="832"/>
      <c r="U218" s="832"/>
      <c r="V218" s="820"/>
    </row>
    <row r="219" spans="1:22" x14ac:dyDescent="0.25">
      <c r="A219" s="820"/>
      <c r="B219" s="821" t="s">
        <v>328</v>
      </c>
      <c r="C219" s="821" t="str">
        <f>'Team 7'!J61</f>
        <v>May,Andrew</v>
      </c>
      <c r="D219" s="821" t="str">
        <f>'Gala Setup'!Q$10</f>
        <v>HISL</v>
      </c>
      <c r="E219" s="822" t="str">
        <f>'Team 7'!L61</f>
        <v>230207</v>
      </c>
      <c r="F219" s="823">
        <f>'print 10 lane'!AA$103</f>
        <v>9.0115740740740748E-4</v>
      </c>
      <c r="G219" s="821">
        <f>'Team 1'!$D$61</f>
        <v>8</v>
      </c>
      <c r="H219" s="821" t="s">
        <v>4635</v>
      </c>
      <c r="I219" s="821" t="str">
        <f t="shared" si="27"/>
        <v>M,May,Andrew</v>
      </c>
      <c r="J219" s="821" t="str">
        <f t="shared" si="28"/>
        <v>M,May,Andrew,HISL</v>
      </c>
      <c r="K219" s="821" t="str">
        <f t="shared" si="29"/>
        <v>M,May,Andrew,HISL,230207</v>
      </c>
      <c r="L219" s="821" t="str">
        <f t="shared" si="30"/>
        <v>M,May,Andrew,HISL,230207,011786</v>
      </c>
      <c r="M219" s="821" t="str">
        <f t="shared" si="31"/>
        <v>M,May,Andrew,HISL,230207,011786,8</v>
      </c>
      <c r="N219" s="821" t="str">
        <f t="shared" si="32"/>
        <v>M,May,Andrew,HISL,230207,011786,8,F</v>
      </c>
      <c r="O219" s="824"/>
      <c r="P219" s="824" t="str">
        <f t="shared" si="33"/>
        <v>01:17.86</v>
      </c>
      <c r="Q219" s="824" t="str">
        <f t="shared" si="34"/>
        <v>011786</v>
      </c>
      <c r="R219" s="825" t="str">
        <f t="shared" si="35"/>
        <v>M,May,Andrew,HISL,230207,011786,8,F</v>
      </c>
      <c r="S219" s="820"/>
      <c r="T219" s="832"/>
      <c r="U219" s="832"/>
      <c r="V219" s="820"/>
    </row>
    <row r="220" spans="1:22" x14ac:dyDescent="0.25">
      <c r="A220" s="820"/>
      <c r="B220" s="826" t="s">
        <v>328</v>
      </c>
      <c r="C220" s="826" t="str">
        <f>'Team 8'!J67</f>
        <v>,</v>
      </c>
      <c r="D220" s="826">
        <f>'Gala Setup'!Q$11</f>
        <v>0</v>
      </c>
      <c r="E220" s="827" t="str">
        <f>'Team 8'!L67</f>
        <v>000100</v>
      </c>
      <c r="F220" s="823">
        <f>'print 10 lane'!AD$121</f>
        <v>0</v>
      </c>
      <c r="G220" s="826">
        <f>'Team 1'!$D$67</f>
        <v>8</v>
      </c>
      <c r="H220" s="826" t="s">
        <v>4635</v>
      </c>
      <c r="I220" s="826" t="str">
        <f t="shared" si="27"/>
        <v>M,,</v>
      </c>
      <c r="J220" s="826" t="str">
        <f t="shared" si="28"/>
        <v>M,,,0</v>
      </c>
      <c r="K220" s="826" t="str">
        <f t="shared" si="29"/>
        <v>M,,,0,000100</v>
      </c>
      <c r="L220" s="821" t="str">
        <f t="shared" si="30"/>
        <v>M,,,0,000100,000000</v>
      </c>
      <c r="M220" s="826" t="str">
        <f t="shared" si="31"/>
        <v>M,,,0,000100,000000,8</v>
      </c>
      <c r="N220" s="826" t="str">
        <f t="shared" si="32"/>
        <v>M,,,0,000100,000000,8,F</v>
      </c>
      <c r="O220" s="824"/>
      <c r="P220" s="824" t="str">
        <f t="shared" si="33"/>
        <v>00:00.00</v>
      </c>
      <c r="Q220" s="824" t="str">
        <f t="shared" si="34"/>
        <v>000000</v>
      </c>
      <c r="R220" s="825" t="str">
        <f t="shared" si="35"/>
        <v/>
      </c>
      <c r="S220" s="820"/>
      <c r="T220" s="832"/>
      <c r="U220" s="832"/>
      <c r="V220" s="820"/>
    </row>
    <row r="221" spans="1:22" x14ac:dyDescent="0.25">
      <c r="A221" s="820"/>
      <c r="B221" s="826" t="s">
        <v>328</v>
      </c>
      <c r="C221" s="826" t="str">
        <f>'Team 8'!J61</f>
        <v>,</v>
      </c>
      <c r="D221" s="826">
        <f>'Gala Setup'!Q$11</f>
        <v>0</v>
      </c>
      <c r="E221" s="827" t="str">
        <f>'Team 8'!L61</f>
        <v>000100</v>
      </c>
      <c r="F221" s="823">
        <f>'print 10 lane'!AD$103</f>
        <v>0</v>
      </c>
      <c r="G221" s="826">
        <f>'Team 1'!$D$61</f>
        <v>8</v>
      </c>
      <c r="H221" s="826" t="s">
        <v>4635</v>
      </c>
      <c r="I221" s="826" t="str">
        <f t="shared" si="27"/>
        <v>M,,</v>
      </c>
      <c r="J221" s="826" t="str">
        <f t="shared" si="28"/>
        <v>M,,,0</v>
      </c>
      <c r="K221" s="826" t="str">
        <f t="shared" si="29"/>
        <v>M,,,0,000100</v>
      </c>
      <c r="L221" s="821" t="str">
        <f t="shared" si="30"/>
        <v>M,,,0,000100,000000</v>
      </c>
      <c r="M221" s="826" t="str">
        <f t="shared" si="31"/>
        <v>M,,,0,000100,000000,8</v>
      </c>
      <c r="N221" s="826" t="str">
        <f t="shared" si="32"/>
        <v>M,,,0,000100,000000,8,F</v>
      </c>
      <c r="O221" s="824"/>
      <c r="P221" s="824" t="str">
        <f t="shared" si="33"/>
        <v>00:00.00</v>
      </c>
      <c r="Q221" s="824" t="str">
        <f t="shared" si="34"/>
        <v>000000</v>
      </c>
      <c r="R221" s="825" t="str">
        <f t="shared" si="35"/>
        <v/>
      </c>
      <c r="S221" s="820"/>
      <c r="T221" s="832"/>
      <c r="U221" s="832"/>
      <c r="V221" s="820"/>
    </row>
    <row r="222" spans="1:22" x14ac:dyDescent="0.25">
      <c r="A222" s="820"/>
      <c r="B222" s="826" t="s">
        <v>328</v>
      </c>
      <c r="C222" s="826" t="str">
        <f>'Team 6'!J67</f>
        <v>Rebelo,Gabriel</v>
      </c>
      <c r="D222" s="826" t="str">
        <f>'Gala Setup'!Q$9</f>
        <v>HAWL</v>
      </c>
      <c r="E222" s="827" t="str">
        <f>'Team 6'!L67</f>
        <v>250709</v>
      </c>
      <c r="F222" s="823">
        <f>'print 10 lane'!X$121</f>
        <v>9.1944444444444452E-4</v>
      </c>
      <c r="G222" s="826">
        <f>'Team 1'!$D$67</f>
        <v>8</v>
      </c>
      <c r="H222" s="826" t="s">
        <v>4635</v>
      </c>
      <c r="I222" s="826" t="str">
        <f t="shared" si="27"/>
        <v>M,Rebelo,Gabriel</v>
      </c>
      <c r="J222" s="826" t="str">
        <f t="shared" si="28"/>
        <v>M,Rebelo,Gabriel,HAWL</v>
      </c>
      <c r="K222" s="826" t="str">
        <f t="shared" si="29"/>
        <v>M,Rebelo,Gabriel,HAWL,250709</v>
      </c>
      <c r="L222" s="821" t="str">
        <f t="shared" si="30"/>
        <v>M,Rebelo,Gabriel,HAWL,250709,011944</v>
      </c>
      <c r="M222" s="826" t="str">
        <f t="shared" si="31"/>
        <v>M,Rebelo,Gabriel,HAWL,250709,011944,8</v>
      </c>
      <c r="N222" s="826" t="str">
        <f t="shared" si="32"/>
        <v>M,Rebelo,Gabriel,HAWL,250709,011944,8,F</v>
      </c>
      <c r="O222" s="824"/>
      <c r="P222" s="824" t="str">
        <f t="shared" si="33"/>
        <v>01:19.44</v>
      </c>
      <c r="Q222" s="824" t="str">
        <f t="shared" si="34"/>
        <v>011944</v>
      </c>
      <c r="R222" s="825" t="str">
        <f t="shared" si="35"/>
        <v>M,Rebelo,Gabriel,HAWL,250709,011944,8,F</v>
      </c>
      <c r="S222" s="820"/>
      <c r="T222" s="832"/>
      <c r="U222" s="832"/>
      <c r="V222" s="820"/>
    </row>
    <row r="223" spans="1:22" x14ac:dyDescent="0.25">
      <c r="A223" s="820"/>
      <c r="B223" s="826" t="s">
        <v>328</v>
      </c>
      <c r="C223" s="826" t="str">
        <f>'Team 6'!J61</f>
        <v xml:space="preserve">Brejnak,Wiktor </v>
      </c>
      <c r="D223" s="826" t="str">
        <f>'Gala Setup'!Q$9</f>
        <v>HAWL</v>
      </c>
      <c r="E223" s="827" t="str">
        <f>'Team 6'!L61</f>
        <v>050706</v>
      </c>
      <c r="F223" s="823">
        <f>'print 10 lane'!X$103</f>
        <v>8.2638888888888877E-4</v>
      </c>
      <c r="G223" s="826">
        <f>'Team 1'!$D$61</f>
        <v>8</v>
      </c>
      <c r="H223" s="826" t="s">
        <v>4635</v>
      </c>
      <c r="I223" s="826" t="str">
        <f t="shared" si="27"/>
        <v xml:space="preserve">M,Brejnak,Wiktor </v>
      </c>
      <c r="J223" s="826" t="str">
        <f t="shared" si="28"/>
        <v>M,Brejnak,Wiktor ,HAWL</v>
      </c>
      <c r="K223" s="826" t="str">
        <f t="shared" si="29"/>
        <v>M,Brejnak,Wiktor ,HAWL,050706</v>
      </c>
      <c r="L223" s="821" t="str">
        <f t="shared" si="30"/>
        <v>M,Brejnak,Wiktor ,HAWL,050706,011140</v>
      </c>
      <c r="M223" s="826" t="str">
        <f t="shared" si="31"/>
        <v>M,Brejnak,Wiktor ,HAWL,050706,011140,8</v>
      </c>
      <c r="N223" s="826" t="str">
        <f t="shared" si="32"/>
        <v>M,Brejnak,Wiktor ,HAWL,050706,011140,8,F</v>
      </c>
      <c r="O223" s="824"/>
      <c r="P223" s="824" t="str">
        <f t="shared" si="33"/>
        <v>01:11.40</v>
      </c>
      <c r="Q223" s="824" t="str">
        <f t="shared" si="34"/>
        <v>011140</v>
      </c>
      <c r="R223" s="825" t="str">
        <f t="shared" si="35"/>
        <v>M,Brejnak,Wiktor ,HAWL,050706,011140,8,F</v>
      </c>
      <c r="S223" s="820"/>
      <c r="T223" s="832"/>
      <c r="U223" s="832"/>
      <c r="V223" s="820"/>
    </row>
    <row r="224" spans="1:22" x14ac:dyDescent="0.25">
      <c r="A224" s="820"/>
      <c r="B224" s="821" t="s">
        <v>328</v>
      </c>
      <c r="C224" s="821" t="str">
        <f>'Team 7'!J41</f>
        <v>Bhatia,Advay</v>
      </c>
      <c r="D224" s="821" t="str">
        <f>'Gala Setup'!Q$10</f>
        <v>HISL</v>
      </c>
      <c r="E224" s="822" t="str">
        <f>'Team 7'!L41</f>
        <v>100910</v>
      </c>
      <c r="F224" s="823">
        <f>'print 10 lane'!AA$43</f>
        <v>8.9733796296296295E-4</v>
      </c>
      <c r="G224" s="821">
        <f>'Team 1'!$D$41</f>
        <v>8</v>
      </c>
      <c r="H224" s="821" t="s">
        <v>4635</v>
      </c>
      <c r="I224" s="821" t="str">
        <f t="shared" si="27"/>
        <v>M,Bhatia,Advay</v>
      </c>
      <c r="J224" s="821" t="str">
        <f t="shared" si="28"/>
        <v>M,Bhatia,Advay,HISL</v>
      </c>
      <c r="K224" s="821" t="str">
        <f t="shared" si="29"/>
        <v>M,Bhatia,Advay,HISL,100910</v>
      </c>
      <c r="L224" s="821" t="str">
        <f t="shared" si="30"/>
        <v>M,Bhatia,Advay,HISL,100910,011753</v>
      </c>
      <c r="M224" s="821" t="str">
        <f t="shared" si="31"/>
        <v>M,Bhatia,Advay,HISL,100910,011753,8</v>
      </c>
      <c r="N224" s="821" t="str">
        <f t="shared" si="32"/>
        <v>M,Bhatia,Advay,HISL,100910,011753,8,F</v>
      </c>
      <c r="O224" s="824"/>
      <c r="P224" s="824" t="str">
        <f t="shared" si="33"/>
        <v>01:17.53</v>
      </c>
      <c r="Q224" s="824" t="str">
        <f t="shared" si="34"/>
        <v>011753</v>
      </c>
      <c r="R224" s="825" t="str">
        <f t="shared" si="35"/>
        <v>M,Bhatia,Advay,HISL,100910,011753,8,F</v>
      </c>
      <c r="S224" s="820"/>
      <c r="T224" s="832"/>
      <c r="U224" s="832"/>
      <c r="V224" s="820"/>
    </row>
    <row r="225" spans="1:22" x14ac:dyDescent="0.25">
      <c r="A225" s="820"/>
      <c r="B225" s="821" t="s">
        <v>328</v>
      </c>
      <c r="C225" s="821" t="str">
        <f>'Team 5'!J67</f>
        <v>Coburn,Nathaniel</v>
      </c>
      <c r="D225" s="821" t="str">
        <f>'Gala Setup'!Q$8</f>
        <v>BTRT</v>
      </c>
      <c r="E225" s="822" t="str">
        <f>'Team 5'!L67</f>
        <v>050208</v>
      </c>
      <c r="F225" s="823">
        <f>'print 10 lane'!U$121</f>
        <v>9.0636574074074068E-4</v>
      </c>
      <c r="G225" s="821">
        <f>'Team 1'!$D$67</f>
        <v>8</v>
      </c>
      <c r="H225" s="821" t="s">
        <v>4635</v>
      </c>
      <c r="I225" s="821" t="str">
        <f t="shared" si="27"/>
        <v>M,Coburn,Nathaniel</v>
      </c>
      <c r="J225" s="821" t="str">
        <f t="shared" si="28"/>
        <v>M,Coburn,Nathaniel,BTRT</v>
      </c>
      <c r="K225" s="821" t="str">
        <f t="shared" si="29"/>
        <v>M,Coburn,Nathaniel,BTRT,050208</v>
      </c>
      <c r="L225" s="821" t="str">
        <f t="shared" si="30"/>
        <v>M,Coburn,Nathaniel,BTRT,050208,011831</v>
      </c>
      <c r="M225" s="821" t="str">
        <f t="shared" si="31"/>
        <v>M,Coburn,Nathaniel,BTRT,050208,011831,8</v>
      </c>
      <c r="N225" s="821" t="str">
        <f t="shared" si="32"/>
        <v>M,Coburn,Nathaniel,BTRT,050208,011831,8,F</v>
      </c>
      <c r="O225" s="824"/>
      <c r="P225" s="824" t="str">
        <f t="shared" si="33"/>
        <v>01:18.31</v>
      </c>
      <c r="Q225" s="824" t="str">
        <f t="shared" si="34"/>
        <v>011831</v>
      </c>
      <c r="R225" s="825" t="str">
        <f t="shared" si="35"/>
        <v>M,Coburn,Nathaniel,BTRT,050208,011831,8,F</v>
      </c>
      <c r="S225" s="820"/>
      <c r="T225" s="832"/>
      <c r="U225" s="832"/>
      <c r="V225" s="820"/>
    </row>
    <row r="226" spans="1:22" x14ac:dyDescent="0.25">
      <c r="A226" s="820"/>
      <c r="B226" s="821" t="s">
        <v>328</v>
      </c>
      <c r="C226" s="821" t="str">
        <f>'Team 5'!J61</f>
        <v>Elliston,Robert</v>
      </c>
      <c r="D226" s="821" t="str">
        <f>'Gala Setup'!Q$8</f>
        <v>BTRT</v>
      </c>
      <c r="E226" s="822" t="str">
        <f>'Team 5'!L61</f>
        <v>021106</v>
      </c>
      <c r="F226" s="823">
        <f>'print 10 lane'!U$103</f>
        <v>8.2581018518518518E-4</v>
      </c>
      <c r="G226" s="821">
        <f>'Team 1'!$D$61</f>
        <v>8</v>
      </c>
      <c r="H226" s="821" t="s">
        <v>4635</v>
      </c>
      <c r="I226" s="821" t="str">
        <f t="shared" si="27"/>
        <v>M,Elliston,Robert</v>
      </c>
      <c r="J226" s="821" t="str">
        <f t="shared" si="28"/>
        <v>M,Elliston,Robert,BTRT</v>
      </c>
      <c r="K226" s="821" t="str">
        <f t="shared" si="29"/>
        <v>M,Elliston,Robert,BTRT,021106</v>
      </c>
      <c r="L226" s="821" t="str">
        <f t="shared" si="30"/>
        <v>M,Elliston,Robert,BTRT,021106,011135</v>
      </c>
      <c r="M226" s="821" t="str">
        <f t="shared" si="31"/>
        <v>M,Elliston,Robert,BTRT,021106,011135,8</v>
      </c>
      <c r="N226" s="821" t="str">
        <f t="shared" si="32"/>
        <v>M,Elliston,Robert,BTRT,021106,011135,8,F</v>
      </c>
      <c r="O226" s="824"/>
      <c r="P226" s="824" t="str">
        <f t="shared" si="33"/>
        <v>01:11.35</v>
      </c>
      <c r="Q226" s="824" t="str">
        <f t="shared" si="34"/>
        <v>011135</v>
      </c>
      <c r="R226" s="825" t="str">
        <f t="shared" si="35"/>
        <v>M,Elliston,Robert,BTRT,021106,011135,8,F</v>
      </c>
      <c r="S226" s="820"/>
      <c r="T226" s="832"/>
      <c r="U226" s="832"/>
      <c r="V226" s="820"/>
    </row>
    <row r="227" spans="1:22" x14ac:dyDescent="0.25">
      <c r="A227" s="820"/>
      <c r="B227" s="826" t="s">
        <v>328</v>
      </c>
      <c r="C227" s="826" t="str">
        <f>'Team 6'!J41</f>
        <v>Roberts,Dylan</v>
      </c>
      <c r="D227" s="826" t="str">
        <f>'Gala Setup'!Q$9</f>
        <v>HAWL</v>
      </c>
      <c r="E227" s="827" t="str">
        <f>'Team 6'!L41</f>
        <v>211010</v>
      </c>
      <c r="F227" s="823">
        <f>'print 10 lane'!X$43</f>
        <v>1.0557870370370372E-3</v>
      </c>
      <c r="G227" s="826">
        <f>'Team 1'!$D$41</f>
        <v>8</v>
      </c>
      <c r="H227" s="826" t="s">
        <v>4635</v>
      </c>
      <c r="I227" s="826" t="str">
        <f t="shared" si="27"/>
        <v>M,Roberts,Dylan</v>
      </c>
      <c r="J227" s="826" t="str">
        <f t="shared" si="28"/>
        <v>M,Roberts,Dylan,HAWL</v>
      </c>
      <c r="K227" s="826" t="str">
        <f t="shared" si="29"/>
        <v>M,Roberts,Dylan,HAWL,211010</v>
      </c>
      <c r="L227" s="821" t="str">
        <f t="shared" si="30"/>
        <v>M,Roberts,Dylan,HAWL,211010,013122</v>
      </c>
      <c r="M227" s="826" t="str">
        <f t="shared" si="31"/>
        <v>M,Roberts,Dylan,HAWL,211010,013122,8</v>
      </c>
      <c r="N227" s="826" t="str">
        <f t="shared" si="32"/>
        <v>M,Roberts,Dylan,HAWL,211010,013122,8,F</v>
      </c>
      <c r="O227" s="824"/>
      <c r="P227" s="824" t="str">
        <f t="shared" si="33"/>
        <v>01:31.22</v>
      </c>
      <c r="Q227" s="824" t="str">
        <f t="shared" si="34"/>
        <v>013122</v>
      </c>
      <c r="R227" s="825" t="str">
        <f t="shared" si="35"/>
        <v>M,Roberts,Dylan,HAWL,211010,013122,8,F</v>
      </c>
      <c r="S227" s="820"/>
      <c r="T227" s="832"/>
      <c r="U227" s="832"/>
      <c r="V227" s="820"/>
    </row>
    <row r="228" spans="1:22" x14ac:dyDescent="0.25">
      <c r="A228" s="820"/>
      <c r="B228" s="826" t="s">
        <v>328</v>
      </c>
      <c r="C228" s="826" t="str">
        <f>'Team 4'!J61</f>
        <v>WALLER,MAX</v>
      </c>
      <c r="D228" s="826" t="str">
        <f>'Gala Setup'!Q$7</f>
        <v>AYBS</v>
      </c>
      <c r="E228" s="827" t="str">
        <f>'Team 4'!L61</f>
        <v>250206</v>
      </c>
      <c r="F228" s="823">
        <f>'print 10 lane'!R$103</f>
        <v>8.902777777777777E-4</v>
      </c>
      <c r="G228" s="826">
        <f>'Team 1'!$D$61</f>
        <v>8</v>
      </c>
      <c r="H228" s="826" t="s">
        <v>4635</v>
      </c>
      <c r="I228" s="826" t="str">
        <f t="shared" si="27"/>
        <v>M,WALLER,MAX</v>
      </c>
      <c r="J228" s="826" t="str">
        <f t="shared" si="28"/>
        <v>M,WALLER,MAX,AYBS</v>
      </c>
      <c r="K228" s="826" t="str">
        <f t="shared" si="29"/>
        <v>M,WALLER,MAX,AYBS,250206</v>
      </c>
      <c r="L228" s="821" t="str">
        <f t="shared" si="30"/>
        <v>M,WALLER,MAX,AYBS,250206,011692</v>
      </c>
      <c r="M228" s="826" t="str">
        <f t="shared" si="31"/>
        <v>M,WALLER,MAX,AYBS,250206,011692,8</v>
      </c>
      <c r="N228" s="826" t="str">
        <f t="shared" si="32"/>
        <v>M,WALLER,MAX,AYBS,250206,011692,8,F</v>
      </c>
      <c r="O228" s="824"/>
      <c r="P228" s="824" t="str">
        <f t="shared" si="33"/>
        <v>01:16.92</v>
      </c>
      <c r="Q228" s="824" t="str">
        <f t="shared" si="34"/>
        <v>011692</v>
      </c>
      <c r="R228" s="825" t="str">
        <f t="shared" si="35"/>
        <v>M,WALLER,MAX,AYBS,250206,011692,8,F</v>
      </c>
      <c r="S228" s="820"/>
      <c r="T228" s="832"/>
      <c r="U228" s="832"/>
      <c r="V228" s="820"/>
    </row>
    <row r="229" spans="1:22" x14ac:dyDescent="0.25">
      <c r="A229" s="820"/>
      <c r="B229" s="826" t="s">
        <v>328</v>
      </c>
      <c r="C229" s="826" t="str">
        <f>'Team 4'!J67</f>
        <v>GIBSON,RAFI</v>
      </c>
      <c r="D229" s="826" t="str">
        <f>'Gala Setup'!Q$7</f>
        <v>AYBS</v>
      </c>
      <c r="E229" s="827" t="str">
        <f>'Team 4'!L67</f>
        <v>290908</v>
      </c>
      <c r="F229" s="823">
        <f>'print 10 lane'!R$121</f>
        <v>9.0567129629629635E-4</v>
      </c>
      <c r="G229" s="826">
        <f>'Team 1'!$D$67</f>
        <v>8</v>
      </c>
      <c r="H229" s="826" t="s">
        <v>4635</v>
      </c>
      <c r="I229" s="826" t="str">
        <f t="shared" si="27"/>
        <v>M,GIBSON,RAFI</v>
      </c>
      <c r="J229" s="826" t="str">
        <f t="shared" si="28"/>
        <v>M,GIBSON,RAFI,AYBS</v>
      </c>
      <c r="K229" s="826" t="str">
        <f t="shared" si="29"/>
        <v>M,GIBSON,RAFI,AYBS,290908</v>
      </c>
      <c r="L229" s="821" t="str">
        <f t="shared" si="30"/>
        <v>M,GIBSON,RAFI,AYBS,290908,011825</v>
      </c>
      <c r="M229" s="826" t="str">
        <f t="shared" si="31"/>
        <v>M,GIBSON,RAFI,AYBS,290908,011825,8</v>
      </c>
      <c r="N229" s="826" t="str">
        <f t="shared" si="32"/>
        <v>M,GIBSON,RAFI,AYBS,290908,011825,8,F</v>
      </c>
      <c r="O229" s="824"/>
      <c r="P229" s="824" t="str">
        <f t="shared" si="33"/>
        <v>01:18.25</v>
      </c>
      <c r="Q229" s="824" t="str">
        <f t="shared" si="34"/>
        <v>011825</v>
      </c>
      <c r="R229" s="825" t="str">
        <f t="shared" si="35"/>
        <v>M,GIBSON,RAFI,AYBS,290908,011825,8,F</v>
      </c>
      <c r="S229" s="820"/>
      <c r="T229" s="832"/>
      <c r="U229" s="832"/>
      <c r="V229" s="820"/>
    </row>
    <row r="230" spans="1:22" x14ac:dyDescent="0.25">
      <c r="A230" s="820"/>
      <c r="B230" s="821" t="s">
        <v>328</v>
      </c>
      <c r="C230" s="821" t="str">
        <f>'Team 5'!J41</f>
        <v>Rawlinson,Bradley</v>
      </c>
      <c r="D230" s="821" t="str">
        <f>'Gala Setup'!Q$8</f>
        <v>BTRT</v>
      </c>
      <c r="E230" s="822" t="str">
        <f>'Team 5'!L41</f>
        <v>160311</v>
      </c>
      <c r="F230" s="823">
        <f>'print 10 lane'!U$43</f>
        <v>1.0450231481481482E-3</v>
      </c>
      <c r="G230" s="821">
        <f>'Team 1'!$D$41</f>
        <v>8</v>
      </c>
      <c r="H230" s="821" t="s">
        <v>4635</v>
      </c>
      <c r="I230" s="821" t="str">
        <f t="shared" si="27"/>
        <v>M,Rawlinson,Bradley</v>
      </c>
      <c r="J230" s="821" t="str">
        <f t="shared" si="28"/>
        <v>M,Rawlinson,Bradley,BTRT</v>
      </c>
      <c r="K230" s="821" t="str">
        <f t="shared" si="29"/>
        <v>M,Rawlinson,Bradley,BTRT,160311</v>
      </c>
      <c r="L230" s="821" t="str">
        <f t="shared" si="30"/>
        <v>M,Rawlinson,Bradley,BTRT,160311,013029</v>
      </c>
      <c r="M230" s="821" t="str">
        <f t="shared" si="31"/>
        <v>M,Rawlinson,Bradley,BTRT,160311,013029,8</v>
      </c>
      <c r="N230" s="821" t="str">
        <f t="shared" si="32"/>
        <v>M,Rawlinson,Bradley,BTRT,160311,013029,8,F</v>
      </c>
      <c r="O230" s="824"/>
      <c r="P230" s="824" t="str">
        <f t="shared" si="33"/>
        <v>01:30.29</v>
      </c>
      <c r="Q230" s="824" t="str">
        <f t="shared" si="34"/>
        <v>013029</v>
      </c>
      <c r="R230" s="825" t="str">
        <f t="shared" si="35"/>
        <v>M,Rawlinson,Bradley,BTRT,160311,013029,8,F</v>
      </c>
      <c r="S230" s="820"/>
      <c r="T230" s="832"/>
      <c r="U230" s="832"/>
      <c r="V230" s="820"/>
    </row>
    <row r="231" spans="1:22" x14ac:dyDescent="0.25">
      <c r="A231" s="820"/>
      <c r="B231" s="821" t="s">
        <v>328</v>
      </c>
      <c r="C231" s="821" t="str">
        <f>'Team 3'!J67</f>
        <v>Smith,Theo</v>
      </c>
      <c r="D231" s="821" t="str">
        <f>'Gala Setup'!Q$6</f>
        <v>BBST</v>
      </c>
      <c r="E231" s="822" t="str">
        <f>'Team 3'!L67</f>
        <v>210109</v>
      </c>
      <c r="F231" s="823">
        <f>'print 10 lane'!O$121</f>
        <v>9.0844907407407411E-4</v>
      </c>
      <c r="G231" s="821">
        <f>'Team 1'!$D$67</f>
        <v>8</v>
      </c>
      <c r="H231" s="821" t="s">
        <v>4635</v>
      </c>
      <c r="I231" s="821" t="str">
        <f t="shared" si="27"/>
        <v>M,Smith,Theo</v>
      </c>
      <c r="J231" s="821" t="str">
        <f t="shared" si="28"/>
        <v>M,Smith,Theo,BBST</v>
      </c>
      <c r="K231" s="821" t="str">
        <f t="shared" si="29"/>
        <v>M,Smith,Theo,BBST,210109</v>
      </c>
      <c r="L231" s="821" t="str">
        <f t="shared" si="30"/>
        <v>M,Smith,Theo,BBST,210109,011849</v>
      </c>
      <c r="M231" s="821" t="str">
        <f t="shared" si="31"/>
        <v>M,Smith,Theo,BBST,210109,011849,8</v>
      </c>
      <c r="N231" s="821" t="str">
        <f t="shared" si="32"/>
        <v>M,Smith,Theo,BBST,210109,011849,8,F</v>
      </c>
      <c r="O231" s="824"/>
      <c r="P231" s="824" t="str">
        <f t="shared" si="33"/>
        <v>01:18.49</v>
      </c>
      <c r="Q231" s="824" t="str">
        <f t="shared" si="34"/>
        <v>011849</v>
      </c>
      <c r="R231" s="825" t="str">
        <f t="shared" si="35"/>
        <v>M,Smith,Theo,BBST,210109,011849,8,F</v>
      </c>
      <c r="S231" s="820"/>
      <c r="T231" s="832"/>
      <c r="U231" s="832"/>
      <c r="V231" s="820"/>
    </row>
    <row r="232" spans="1:22" x14ac:dyDescent="0.25">
      <c r="A232" s="820"/>
      <c r="B232" s="821" t="s">
        <v>328</v>
      </c>
      <c r="C232" s="821" t="str">
        <f>'Team 3'!J61</f>
        <v>Lovelock,George</v>
      </c>
      <c r="D232" s="821" t="str">
        <f>'Gala Setup'!Q$6</f>
        <v>BBST</v>
      </c>
      <c r="E232" s="822" t="str">
        <f>'Team 3'!L61</f>
        <v>291005</v>
      </c>
      <c r="F232" s="823">
        <f>'print 10 lane'!O$103</f>
        <v>8.0763888888888888E-4</v>
      </c>
      <c r="G232" s="821">
        <f>'Team 1'!$D$61</f>
        <v>8</v>
      </c>
      <c r="H232" s="821" t="s">
        <v>4635</v>
      </c>
      <c r="I232" s="821" t="str">
        <f t="shared" si="27"/>
        <v>M,Lovelock,George</v>
      </c>
      <c r="J232" s="821" t="str">
        <f t="shared" si="28"/>
        <v>M,Lovelock,George,BBST</v>
      </c>
      <c r="K232" s="821" t="str">
        <f t="shared" si="29"/>
        <v>M,Lovelock,George,BBST,291005</v>
      </c>
      <c r="L232" s="821" t="str">
        <f t="shared" si="30"/>
        <v>M,Lovelock,George,BBST,291005,010978</v>
      </c>
      <c r="M232" s="821" t="str">
        <f t="shared" si="31"/>
        <v>M,Lovelock,George,BBST,291005,010978,8</v>
      </c>
      <c r="N232" s="821" t="str">
        <f t="shared" si="32"/>
        <v>M,Lovelock,George,BBST,291005,010978,8,F</v>
      </c>
      <c r="O232" s="824"/>
      <c r="P232" s="824" t="str">
        <f t="shared" si="33"/>
        <v>01:09.78</v>
      </c>
      <c r="Q232" s="824" t="str">
        <f t="shared" si="34"/>
        <v>010978</v>
      </c>
      <c r="R232" s="825" t="str">
        <f t="shared" si="35"/>
        <v>M,Lovelock,George,BBST,291005,010978,8,F</v>
      </c>
      <c r="S232" s="820"/>
      <c r="T232" s="832"/>
      <c r="U232" s="832"/>
      <c r="V232" s="820"/>
    </row>
    <row r="233" spans="1:22" x14ac:dyDescent="0.25">
      <c r="A233" s="820"/>
      <c r="B233" s="826" t="s">
        <v>328</v>
      </c>
      <c r="C233" s="826" t="str">
        <f>'Team 4'!J41</f>
        <v>Rosa,Samuel</v>
      </c>
      <c r="D233" s="826" t="str">
        <f>'Gala Setup'!Q$7</f>
        <v>AYBS</v>
      </c>
      <c r="E233" s="827" t="str">
        <f>'Team 4'!L41</f>
        <v>170310</v>
      </c>
      <c r="F233" s="823">
        <f>'print 10 lane'!R$43</f>
        <v>1.1608796296296295E-3</v>
      </c>
      <c r="G233" s="826">
        <f>'Team 1'!$D$41</f>
        <v>8</v>
      </c>
      <c r="H233" s="826" t="s">
        <v>4635</v>
      </c>
      <c r="I233" s="826" t="str">
        <f t="shared" si="27"/>
        <v>M,Rosa,Samuel</v>
      </c>
      <c r="J233" s="826" t="str">
        <f t="shared" si="28"/>
        <v>M,Rosa,Samuel,AYBS</v>
      </c>
      <c r="K233" s="826" t="str">
        <f t="shared" si="29"/>
        <v>M,Rosa,Samuel,AYBS,170310</v>
      </c>
      <c r="L233" s="821" t="str">
        <f t="shared" si="30"/>
        <v>M,Rosa,Samuel,AYBS,170310,014030</v>
      </c>
      <c r="M233" s="826" t="str">
        <f t="shared" si="31"/>
        <v>M,Rosa,Samuel,AYBS,170310,014030,8</v>
      </c>
      <c r="N233" s="826" t="str">
        <f t="shared" si="32"/>
        <v>M,Rosa,Samuel,AYBS,170310,014030,8,F</v>
      </c>
      <c r="O233" s="824"/>
      <c r="P233" s="824" t="str">
        <f t="shared" si="33"/>
        <v>01:40.30</v>
      </c>
      <c r="Q233" s="824" t="str">
        <f t="shared" si="34"/>
        <v>014030</v>
      </c>
      <c r="R233" s="825" t="str">
        <f t="shared" si="35"/>
        <v>M,Rosa,Samuel,AYBS,170310,014030,8,F</v>
      </c>
      <c r="S233" s="820"/>
      <c r="T233" s="832"/>
      <c r="U233" s="832"/>
      <c r="V233" s="820"/>
    </row>
    <row r="234" spans="1:22" x14ac:dyDescent="0.25">
      <c r="A234" s="820"/>
      <c r="B234" s="821" t="s">
        <v>328</v>
      </c>
      <c r="C234" s="821" t="str">
        <f>'Team 3'!J41</f>
        <v>Wimpenny,Ryan</v>
      </c>
      <c r="D234" s="821" t="str">
        <f>'Gala Setup'!Q$6</f>
        <v>BBST</v>
      </c>
      <c r="E234" s="822" t="str">
        <f>'Team 3'!L41</f>
        <v>040410</v>
      </c>
      <c r="F234" s="823">
        <f>'print 10 lane'!O$43</f>
        <v>1.0501157407407408E-3</v>
      </c>
      <c r="G234" s="821">
        <f>'Team 1'!$D$41</f>
        <v>8</v>
      </c>
      <c r="H234" s="821" t="s">
        <v>4635</v>
      </c>
      <c r="I234" s="821" t="str">
        <f t="shared" si="27"/>
        <v>M,Wimpenny,Ryan</v>
      </c>
      <c r="J234" s="821" t="str">
        <f t="shared" si="28"/>
        <v>M,Wimpenny,Ryan,BBST</v>
      </c>
      <c r="K234" s="821" t="str">
        <f t="shared" si="29"/>
        <v>M,Wimpenny,Ryan,BBST,040410</v>
      </c>
      <c r="L234" s="821" t="str">
        <f t="shared" si="30"/>
        <v>M,Wimpenny,Ryan,BBST,040410,013073</v>
      </c>
      <c r="M234" s="821" t="str">
        <f t="shared" si="31"/>
        <v>M,Wimpenny,Ryan,BBST,040410,013073,8</v>
      </c>
      <c r="N234" s="821" t="str">
        <f t="shared" si="32"/>
        <v>M,Wimpenny,Ryan,BBST,040410,013073,8,F</v>
      </c>
      <c r="O234" s="824"/>
      <c r="P234" s="824" t="str">
        <f t="shared" si="33"/>
        <v>01:30.73</v>
      </c>
      <c r="Q234" s="824" t="str">
        <f t="shared" si="34"/>
        <v>013073</v>
      </c>
      <c r="R234" s="825" t="str">
        <f t="shared" si="35"/>
        <v>M,Wimpenny,Ryan,BBST,040410,013073,8,F</v>
      </c>
      <c r="S234" s="820"/>
      <c r="T234" s="832"/>
      <c r="U234" s="832"/>
      <c r="V234" s="820"/>
    </row>
    <row r="235" spans="1:22" x14ac:dyDescent="0.25">
      <c r="A235" s="820"/>
      <c r="B235" s="826" t="s">
        <v>328</v>
      </c>
      <c r="C235" s="826" t="str">
        <f>'Team 2'!J67</f>
        <v>Heraty,Samuel</v>
      </c>
      <c r="D235" s="826" t="str">
        <f>'Gala Setup'!$Q$5</f>
        <v>STET</v>
      </c>
      <c r="E235" s="827" t="str">
        <f>'Team 2'!L67</f>
        <v>120908</v>
      </c>
      <c r="F235" s="823">
        <f>'print 10 lane'!L$121</f>
        <v>9.3819444444444451E-4</v>
      </c>
      <c r="G235" s="826">
        <f>'Team 1'!$D$67</f>
        <v>8</v>
      </c>
      <c r="H235" s="826" t="s">
        <v>4635</v>
      </c>
      <c r="I235" s="826" t="str">
        <f t="shared" si="27"/>
        <v>M,Heraty,Samuel</v>
      </c>
      <c r="J235" s="826" t="str">
        <f t="shared" si="28"/>
        <v>M,Heraty,Samuel,STET</v>
      </c>
      <c r="K235" s="826" t="str">
        <f t="shared" si="29"/>
        <v>M,Heraty,Samuel,STET,120908</v>
      </c>
      <c r="L235" s="821" t="str">
        <f t="shared" si="30"/>
        <v>M,Heraty,Samuel,STET,120908,012106</v>
      </c>
      <c r="M235" s="826" t="str">
        <f t="shared" si="31"/>
        <v>M,Heraty,Samuel,STET,120908,012106,8</v>
      </c>
      <c r="N235" s="826" t="str">
        <f t="shared" si="32"/>
        <v>M,Heraty,Samuel,STET,120908,012106,8,F</v>
      </c>
      <c r="O235" s="824"/>
      <c r="P235" s="824" t="str">
        <f t="shared" si="33"/>
        <v>01:21.06</v>
      </c>
      <c r="Q235" s="824" t="str">
        <f t="shared" si="34"/>
        <v>012106</v>
      </c>
      <c r="R235" s="825" t="str">
        <f t="shared" si="35"/>
        <v>M,Heraty,Samuel,STET,120908,012106,8,F</v>
      </c>
      <c r="S235" s="832"/>
      <c r="T235" s="832"/>
      <c r="U235" s="832"/>
      <c r="V235" s="820"/>
    </row>
    <row r="236" spans="1:22" x14ac:dyDescent="0.25">
      <c r="A236" s="820"/>
      <c r="B236" s="826" t="s">
        <v>328</v>
      </c>
      <c r="C236" s="826" t="str">
        <f>'Team 2'!J61</f>
        <v>Humphreys,Daniel</v>
      </c>
      <c r="D236" s="826" t="str">
        <f>'Gala Setup'!$Q$5</f>
        <v>STET</v>
      </c>
      <c r="E236" s="827" t="str">
        <f>'Team 2'!L61</f>
        <v>150609</v>
      </c>
      <c r="F236" s="823">
        <f>'print 10 lane'!L$103</f>
        <v>1.0325231481481481E-3</v>
      </c>
      <c r="G236" s="826">
        <f>'Team 1'!$D$61</f>
        <v>8</v>
      </c>
      <c r="H236" s="826" t="s">
        <v>4635</v>
      </c>
      <c r="I236" s="826" t="str">
        <f t="shared" si="27"/>
        <v>M,Humphreys,Daniel</v>
      </c>
      <c r="J236" s="826" t="str">
        <f t="shared" si="28"/>
        <v>M,Humphreys,Daniel,STET</v>
      </c>
      <c r="K236" s="826" t="str">
        <f t="shared" si="29"/>
        <v>M,Humphreys,Daniel,STET,150609</v>
      </c>
      <c r="L236" s="821" t="str">
        <f t="shared" si="30"/>
        <v>M,Humphreys,Daniel,STET,150609,012921</v>
      </c>
      <c r="M236" s="826" t="str">
        <f t="shared" si="31"/>
        <v>M,Humphreys,Daniel,STET,150609,012921,8</v>
      </c>
      <c r="N236" s="826" t="str">
        <f t="shared" si="32"/>
        <v>M,Humphreys,Daniel,STET,150609,012921,8,F</v>
      </c>
      <c r="O236" s="824"/>
      <c r="P236" s="824" t="str">
        <f t="shared" si="33"/>
        <v>01:29.21</v>
      </c>
      <c r="Q236" s="824" t="str">
        <f t="shared" si="34"/>
        <v>012921</v>
      </c>
      <c r="R236" s="825" t="str">
        <f t="shared" si="35"/>
        <v>M,Humphreys,Daniel,STET,150609,012921,8,F</v>
      </c>
      <c r="S236" s="832"/>
      <c r="T236" s="832"/>
      <c r="U236" s="832"/>
      <c r="V236" s="820"/>
    </row>
    <row r="237" spans="1:22" x14ac:dyDescent="0.25">
      <c r="A237" s="820"/>
      <c r="B237" s="826" t="s">
        <v>328</v>
      </c>
      <c r="C237" s="826" t="str">
        <f>'Team 2'!J41</f>
        <v>Cheung,Kai Jun Wai</v>
      </c>
      <c r="D237" s="826" t="str">
        <f>'Gala Setup'!$Q$5</f>
        <v>STET</v>
      </c>
      <c r="E237" s="827" t="str">
        <f>'Team 2'!L41</f>
        <v>240712</v>
      </c>
      <c r="F237" s="823">
        <f>'print 10 lane'!L$43</f>
        <v>1.0996527777777777E-3</v>
      </c>
      <c r="G237" s="826">
        <f>'Team 1'!$D$41</f>
        <v>8</v>
      </c>
      <c r="H237" s="826" t="s">
        <v>4635</v>
      </c>
      <c r="I237" s="826" t="str">
        <f t="shared" si="27"/>
        <v>M,Cheung,Kai Jun Wai</v>
      </c>
      <c r="J237" s="826" t="str">
        <f t="shared" si="28"/>
        <v>M,Cheung,Kai Jun Wai,STET</v>
      </c>
      <c r="K237" s="826" t="str">
        <f t="shared" si="29"/>
        <v>M,Cheung,Kai Jun Wai,STET,240712</v>
      </c>
      <c r="L237" s="821" t="str">
        <f t="shared" si="30"/>
        <v>M,Cheung,Kai Jun Wai,STET,240712,013501</v>
      </c>
      <c r="M237" s="826" t="str">
        <f t="shared" si="31"/>
        <v>M,Cheung,Kai Jun Wai,STET,240712,013501,8</v>
      </c>
      <c r="N237" s="826" t="str">
        <f t="shared" si="32"/>
        <v>M,Cheung,Kai Jun Wai,STET,240712,013501,8,F</v>
      </c>
      <c r="O237" s="824"/>
      <c r="P237" s="824" t="str">
        <f t="shared" si="33"/>
        <v>01:35.01</v>
      </c>
      <c r="Q237" s="824" t="str">
        <f t="shared" si="34"/>
        <v>013501</v>
      </c>
      <c r="R237" s="825" t="str">
        <f t="shared" si="35"/>
        <v>M,Cheung,Kai Jun Wai,STET,240712,013501,8,F</v>
      </c>
      <c r="S237" s="832"/>
      <c r="T237" s="832"/>
      <c r="U237" s="832"/>
      <c r="V237" s="820"/>
    </row>
    <row r="238" spans="1:22" x14ac:dyDescent="0.25">
      <c r="A238" s="820"/>
      <c r="B238" s="821" t="s">
        <v>328</v>
      </c>
      <c r="C238" s="821" t="str">
        <f>'Team 1'!J67</f>
        <v>Manassero,Michael</v>
      </c>
      <c r="D238" s="821" t="str">
        <f>'Gala Setup'!Q$4</f>
        <v>HABL</v>
      </c>
      <c r="E238" s="822" t="str">
        <f>'Team 1'!L67</f>
        <v>030608</v>
      </c>
      <c r="F238" s="823">
        <f>'print 10 lane'!I$121</f>
        <v>1.0069444444444444E-3</v>
      </c>
      <c r="G238" s="821">
        <f>'Team 1'!$D$67</f>
        <v>8</v>
      </c>
      <c r="H238" s="821" t="s">
        <v>4635</v>
      </c>
      <c r="I238" s="821" t="str">
        <f t="shared" si="27"/>
        <v>M,Manassero,Michael</v>
      </c>
      <c r="J238" s="821" t="str">
        <f t="shared" si="28"/>
        <v>M,Manassero,Michael,HABL</v>
      </c>
      <c r="K238" s="821" t="str">
        <f t="shared" si="29"/>
        <v>M,Manassero,Michael,HABL,030608</v>
      </c>
      <c r="L238" s="821" t="str">
        <f t="shared" si="30"/>
        <v>M,Manassero,Michael,HABL,030608,012700</v>
      </c>
      <c r="M238" s="821" t="str">
        <f t="shared" si="31"/>
        <v>M,Manassero,Michael,HABL,030608,012700,8</v>
      </c>
      <c r="N238" s="821" t="str">
        <f t="shared" si="32"/>
        <v>M,Manassero,Michael,HABL,030608,012700,8,F</v>
      </c>
      <c r="O238" s="824"/>
      <c r="P238" s="824" t="str">
        <f t="shared" si="33"/>
        <v>01:27.00</v>
      </c>
      <c r="Q238" s="824" t="str">
        <f t="shared" si="34"/>
        <v>012700</v>
      </c>
      <c r="R238" s="825" t="str">
        <f t="shared" si="35"/>
        <v>M,Manassero,Michael,HABL,030608,012700,8,F</v>
      </c>
      <c r="S238" s="832"/>
      <c r="T238" s="832"/>
      <c r="U238" s="832"/>
      <c r="V238" s="820"/>
    </row>
    <row r="239" spans="1:22" x14ac:dyDescent="0.25">
      <c r="A239" s="820"/>
      <c r="B239" s="821" t="s">
        <v>328</v>
      </c>
      <c r="C239" s="821" t="str">
        <f>'Team 1'!J41</f>
        <v>Nezha,Albert</v>
      </c>
      <c r="D239" s="821" t="str">
        <f>'Gala Setup'!Q$4</f>
        <v>HABL</v>
      </c>
      <c r="E239" s="822" t="str">
        <f>'Team 1'!L41</f>
        <v>141011</v>
      </c>
      <c r="F239" s="823">
        <f>'print 10 lane'!I$43</f>
        <v>1.1857638888888888E-3</v>
      </c>
      <c r="G239" s="821">
        <f>'Team 1'!$D$41</f>
        <v>8</v>
      </c>
      <c r="H239" s="821" t="s">
        <v>4635</v>
      </c>
      <c r="I239" s="821" t="str">
        <f t="shared" si="27"/>
        <v>M,Nezha,Albert</v>
      </c>
      <c r="J239" s="821" t="str">
        <f t="shared" si="28"/>
        <v>M,Nezha,Albert,HABL</v>
      </c>
      <c r="K239" s="821" t="str">
        <f t="shared" si="29"/>
        <v>M,Nezha,Albert,HABL,141011</v>
      </c>
      <c r="L239" s="821" t="str">
        <f t="shared" si="30"/>
        <v>M,Nezha,Albert,HABL,141011,014245</v>
      </c>
      <c r="M239" s="821" t="str">
        <f t="shared" si="31"/>
        <v>M,Nezha,Albert,HABL,141011,014245,8</v>
      </c>
      <c r="N239" s="821" t="str">
        <f t="shared" si="32"/>
        <v>M,Nezha,Albert,HABL,141011,014245,8,F</v>
      </c>
      <c r="O239" s="824"/>
      <c r="P239" s="824" t="str">
        <f t="shared" si="33"/>
        <v>01:42.45</v>
      </c>
      <c r="Q239" s="824" t="str">
        <f t="shared" si="34"/>
        <v>014245</v>
      </c>
      <c r="R239" s="825" t="str">
        <f t="shared" si="35"/>
        <v>M,Nezha,Albert,HABL,141011,014245,8,F</v>
      </c>
      <c r="S239" s="832"/>
      <c r="T239" s="832"/>
      <c r="U239" s="832"/>
      <c r="V239" s="820"/>
    </row>
    <row r="240" spans="1:22" x14ac:dyDescent="0.25">
      <c r="A240" s="820"/>
      <c r="B240" s="821" t="s">
        <v>328</v>
      </c>
      <c r="C240" s="821" t="str">
        <f>'Team 1'!J61</f>
        <v>Bhonsle,Gabriel</v>
      </c>
      <c r="D240" s="821" t="str">
        <f>'Gala Setup'!Q$4</f>
        <v>HABL</v>
      </c>
      <c r="E240" s="822" t="str">
        <f>'Team 1'!L61</f>
        <v>190806</v>
      </c>
      <c r="F240" s="823">
        <f>'print 10 lane'!I$103</f>
        <v>9.3692129629629627E-4</v>
      </c>
      <c r="G240" s="821">
        <f>'Team 1'!$D$61</f>
        <v>8</v>
      </c>
      <c r="H240" s="821" t="s">
        <v>4635</v>
      </c>
      <c r="I240" s="821" t="str">
        <f t="shared" si="27"/>
        <v>M,Bhonsle,Gabriel</v>
      </c>
      <c r="J240" s="821" t="str">
        <f t="shared" si="28"/>
        <v>M,Bhonsle,Gabriel,HABL</v>
      </c>
      <c r="K240" s="821" t="str">
        <f t="shared" si="29"/>
        <v>M,Bhonsle,Gabriel,HABL,190806</v>
      </c>
      <c r="L240" s="821" t="str">
        <f t="shared" si="30"/>
        <v>M,Bhonsle,Gabriel,HABL,190806,012095</v>
      </c>
      <c r="M240" s="821" t="str">
        <f t="shared" si="31"/>
        <v>M,Bhonsle,Gabriel,HABL,190806,012095,8</v>
      </c>
      <c r="N240" s="821" t="str">
        <f t="shared" si="32"/>
        <v>M,Bhonsle,Gabriel,HABL,190806,012095,8,F</v>
      </c>
      <c r="O240" s="824"/>
      <c r="P240" s="824" t="str">
        <f t="shared" si="33"/>
        <v>01:20.95</v>
      </c>
      <c r="Q240" s="824" t="str">
        <f t="shared" si="34"/>
        <v>012095</v>
      </c>
      <c r="R240" s="825" t="str">
        <f t="shared" si="35"/>
        <v>M,Bhonsle,Gabriel,HABL,190806,012095,8,F</v>
      </c>
      <c r="S240" s="832"/>
      <c r="T240" s="832"/>
      <c r="U240" s="832"/>
      <c r="V240" s="820"/>
    </row>
    <row r="241" spans="1:22" x14ac:dyDescent="0.25">
      <c r="A241" s="820"/>
      <c r="B241" s="821" t="s">
        <v>4635</v>
      </c>
      <c r="C241" s="821" t="str">
        <f>'Team 1'!J54</f>
        <v>Puente,Ines</v>
      </c>
      <c r="D241" s="821" t="str">
        <f>'Gala Setup'!Q$4</f>
        <v>HABL</v>
      </c>
      <c r="E241" s="822" t="str">
        <f>'Team 1'!L54</f>
        <v>270112</v>
      </c>
      <c r="F241" s="823">
        <f>'print 10 lane'!I$82</f>
        <v>5.8287037037037042E-4</v>
      </c>
      <c r="G241" s="821">
        <f>'Team 1'!$D$54</f>
        <v>7</v>
      </c>
      <c r="H241" s="821" t="s">
        <v>4635</v>
      </c>
      <c r="I241" s="821" t="str">
        <f t="shared" si="27"/>
        <v>F,Puente,Ines</v>
      </c>
      <c r="J241" s="821" t="str">
        <f t="shared" si="28"/>
        <v>F,Puente,Ines,HABL</v>
      </c>
      <c r="K241" s="821" t="str">
        <f t="shared" si="29"/>
        <v>F,Puente,Ines,HABL,270112</v>
      </c>
      <c r="L241" s="821" t="str">
        <f t="shared" si="30"/>
        <v>F,Puente,Ines,HABL,270112,005036</v>
      </c>
      <c r="M241" s="821" t="str">
        <f t="shared" si="31"/>
        <v>F,Puente,Ines,HABL,270112,005036,7</v>
      </c>
      <c r="N241" s="821" t="str">
        <f t="shared" si="32"/>
        <v>F,Puente,Ines,HABL,270112,005036,7,F</v>
      </c>
      <c r="O241" s="824"/>
      <c r="P241" s="824" t="str">
        <f t="shared" si="33"/>
        <v>00:50.36</v>
      </c>
      <c r="Q241" s="824" t="str">
        <f t="shared" si="34"/>
        <v>005036</v>
      </c>
      <c r="R241" s="825" t="str">
        <f t="shared" si="35"/>
        <v>F,Puente,Ines,HABL,270112,005036,7,F</v>
      </c>
      <c r="S241" s="832"/>
      <c r="T241" s="832"/>
      <c r="U241" s="832"/>
      <c r="V241" s="820"/>
    </row>
    <row r="242" spans="1:22" x14ac:dyDescent="0.25">
      <c r="A242" s="820"/>
      <c r="B242" s="821" t="s">
        <v>4635</v>
      </c>
      <c r="C242" s="821" t="str">
        <f>'Team 3'!J54</f>
        <v>Jounor,Hannah</v>
      </c>
      <c r="D242" s="821" t="str">
        <f>'Gala Setup'!Q$6</f>
        <v>BBST</v>
      </c>
      <c r="E242" s="822" t="str">
        <f>'Team 3'!L54</f>
        <v>250512</v>
      </c>
      <c r="F242" s="823">
        <f>'print 10 lane'!O$82</f>
        <v>0</v>
      </c>
      <c r="G242" s="821">
        <f>'Team 1'!$D$54</f>
        <v>7</v>
      </c>
      <c r="H242" s="821" t="s">
        <v>4635</v>
      </c>
      <c r="I242" s="821" t="str">
        <f t="shared" si="27"/>
        <v>F,Jounor,Hannah</v>
      </c>
      <c r="J242" s="821" t="str">
        <f t="shared" si="28"/>
        <v>F,Jounor,Hannah,BBST</v>
      </c>
      <c r="K242" s="821" t="str">
        <f t="shared" si="29"/>
        <v>F,Jounor,Hannah,BBST,250512</v>
      </c>
      <c r="L242" s="821" t="str">
        <f t="shared" si="30"/>
        <v>F,Jounor,Hannah,BBST,250512,000000</v>
      </c>
      <c r="M242" s="821" t="str">
        <f t="shared" si="31"/>
        <v>F,Jounor,Hannah,BBST,250512,000000,7</v>
      </c>
      <c r="N242" s="821" t="str">
        <f t="shared" si="32"/>
        <v>F,Jounor,Hannah,BBST,250512,000000,7,F</v>
      </c>
      <c r="O242" s="824"/>
      <c r="P242" s="824" t="str">
        <f t="shared" si="33"/>
        <v>00:00.00</v>
      </c>
      <c r="Q242" s="824" t="str">
        <f t="shared" si="34"/>
        <v>000000</v>
      </c>
      <c r="R242" s="825" t="str">
        <f t="shared" si="35"/>
        <v/>
      </c>
      <c r="S242" s="832"/>
      <c r="T242" s="832"/>
      <c r="U242" s="832"/>
      <c r="V242" s="820"/>
    </row>
    <row r="243" spans="1:22" x14ac:dyDescent="0.25">
      <c r="A243" s="820"/>
      <c r="B243" s="826" t="s">
        <v>4635</v>
      </c>
      <c r="C243" s="826" t="str">
        <f>'Team 2'!J54</f>
        <v>Cooper,Seren</v>
      </c>
      <c r="D243" s="826" t="str">
        <f>'Gala Setup'!$Q$5</f>
        <v>STET</v>
      </c>
      <c r="E243" s="827" t="str">
        <f>'Team 2'!L54</f>
        <v>230613</v>
      </c>
      <c r="F243" s="823">
        <f>'print 10 lane'!L$82</f>
        <v>6.0682870370370372E-4</v>
      </c>
      <c r="G243" s="826">
        <f>'Team 1'!$D$54</f>
        <v>7</v>
      </c>
      <c r="H243" s="826" t="s">
        <v>4635</v>
      </c>
      <c r="I243" s="826" t="str">
        <f t="shared" si="27"/>
        <v>F,Cooper,Seren</v>
      </c>
      <c r="J243" s="826" t="str">
        <f t="shared" si="28"/>
        <v>F,Cooper,Seren,STET</v>
      </c>
      <c r="K243" s="826" t="str">
        <f t="shared" si="29"/>
        <v>F,Cooper,Seren,STET,230613</v>
      </c>
      <c r="L243" s="821" t="str">
        <f t="shared" si="30"/>
        <v>F,Cooper,Seren,STET,230613,005243</v>
      </c>
      <c r="M243" s="826" t="str">
        <f t="shared" si="31"/>
        <v>F,Cooper,Seren,STET,230613,005243,7</v>
      </c>
      <c r="N243" s="826" t="str">
        <f t="shared" si="32"/>
        <v>F,Cooper,Seren,STET,230613,005243,7,F</v>
      </c>
      <c r="O243" s="824"/>
      <c r="P243" s="824" t="str">
        <f t="shared" si="33"/>
        <v>00:52.43</v>
      </c>
      <c r="Q243" s="824" t="str">
        <f t="shared" si="34"/>
        <v>005243</v>
      </c>
      <c r="R243" s="825" t="str">
        <f t="shared" si="35"/>
        <v>F,Cooper,Seren,STET,230613,005243,7,F</v>
      </c>
      <c r="S243" s="832"/>
      <c r="T243" s="832"/>
      <c r="U243" s="832"/>
      <c r="V243" s="820"/>
    </row>
    <row r="244" spans="1:22" x14ac:dyDescent="0.25">
      <c r="A244" s="820"/>
      <c r="B244" s="826" t="s">
        <v>4635</v>
      </c>
      <c r="C244" s="826" t="str">
        <f>'Team 4'!J54</f>
        <v>ZUBCEVIC,MIA</v>
      </c>
      <c r="D244" s="826" t="str">
        <f>'Gala Setup'!Q$7</f>
        <v>AYBS</v>
      </c>
      <c r="E244" s="827" t="str">
        <f>'Team 4'!L54</f>
        <v>170412</v>
      </c>
      <c r="F244" s="823">
        <f>'print 10 lane'!R$82</f>
        <v>5.7696759259259257E-4</v>
      </c>
      <c r="G244" s="826">
        <f>'Team 1'!$D$54</f>
        <v>7</v>
      </c>
      <c r="H244" s="826" t="s">
        <v>4635</v>
      </c>
      <c r="I244" s="826" t="str">
        <f t="shared" si="27"/>
        <v>F,ZUBCEVIC,MIA</v>
      </c>
      <c r="J244" s="826" t="str">
        <f t="shared" si="28"/>
        <v>F,ZUBCEVIC,MIA,AYBS</v>
      </c>
      <c r="K244" s="826" t="str">
        <f t="shared" si="29"/>
        <v>F,ZUBCEVIC,MIA,AYBS,170412</v>
      </c>
      <c r="L244" s="821" t="str">
        <f t="shared" si="30"/>
        <v>F,ZUBCEVIC,MIA,AYBS,170412,004985</v>
      </c>
      <c r="M244" s="826" t="str">
        <f t="shared" si="31"/>
        <v>F,ZUBCEVIC,MIA,AYBS,170412,004985,7</v>
      </c>
      <c r="N244" s="826" t="str">
        <f t="shared" si="32"/>
        <v>F,ZUBCEVIC,MIA,AYBS,170412,004985,7,F</v>
      </c>
      <c r="O244" s="824"/>
      <c r="P244" s="824" t="str">
        <f t="shared" si="33"/>
        <v>00:49.85</v>
      </c>
      <c r="Q244" s="824" t="str">
        <f t="shared" si="34"/>
        <v>004985</v>
      </c>
      <c r="R244" s="825" t="str">
        <f t="shared" si="35"/>
        <v>F,ZUBCEVIC,MIA,AYBS,170412,004985,7,F</v>
      </c>
      <c r="S244" s="832"/>
      <c r="T244" s="832"/>
      <c r="U244" s="832"/>
      <c r="V244" s="820"/>
    </row>
    <row r="245" spans="1:22" x14ac:dyDescent="0.25">
      <c r="A245" s="820"/>
      <c r="B245" s="821" t="s">
        <v>4635</v>
      </c>
      <c r="C245" s="821" t="str">
        <f>'Team 5'!J54</f>
        <v>Long,Caoife</v>
      </c>
      <c r="D245" s="821" t="str">
        <f>'Gala Setup'!Q$8</f>
        <v>BTRT</v>
      </c>
      <c r="E245" s="822" t="str">
        <f>'Team 5'!L54</f>
        <v>230913</v>
      </c>
      <c r="F245" s="823">
        <f>'print 10 lane'!U$82</f>
        <v>5.8101851851851858E-4</v>
      </c>
      <c r="G245" s="821">
        <f>'Team 1'!$D$54</f>
        <v>7</v>
      </c>
      <c r="H245" s="821" t="s">
        <v>4635</v>
      </c>
      <c r="I245" s="821" t="str">
        <f t="shared" si="27"/>
        <v>F,Long,Caoife</v>
      </c>
      <c r="J245" s="821" t="str">
        <f t="shared" si="28"/>
        <v>F,Long,Caoife,BTRT</v>
      </c>
      <c r="K245" s="821" t="str">
        <f t="shared" si="29"/>
        <v>F,Long,Caoife,BTRT,230913</v>
      </c>
      <c r="L245" s="821" t="str">
        <f t="shared" si="30"/>
        <v>F,Long,Caoife,BTRT,230913,005020</v>
      </c>
      <c r="M245" s="821" t="str">
        <f t="shared" si="31"/>
        <v>F,Long,Caoife,BTRT,230913,005020,7</v>
      </c>
      <c r="N245" s="821" t="str">
        <f t="shared" si="32"/>
        <v>F,Long,Caoife,BTRT,230913,005020,7,F</v>
      </c>
      <c r="O245" s="824"/>
      <c r="P245" s="824" t="str">
        <f t="shared" si="33"/>
        <v>00:50.20</v>
      </c>
      <c r="Q245" s="824" t="str">
        <f t="shared" si="34"/>
        <v>005020</v>
      </c>
      <c r="R245" s="825" t="str">
        <f t="shared" si="35"/>
        <v>F,Long,Caoife,BTRT,230913,005020,7,F</v>
      </c>
      <c r="S245" s="832"/>
      <c r="T245" s="832"/>
      <c r="U245" s="832"/>
      <c r="V245" s="820"/>
    </row>
    <row r="246" spans="1:22" x14ac:dyDescent="0.25">
      <c r="A246" s="820"/>
      <c r="B246" s="826" t="s">
        <v>4635</v>
      </c>
      <c r="C246" s="826" t="str">
        <f>'Team 6'!J54</f>
        <v xml:space="preserve">Patel,Miraya </v>
      </c>
      <c r="D246" s="826" t="str">
        <f>'Gala Setup'!Q$9</f>
        <v>HAWL</v>
      </c>
      <c r="E246" s="827" t="str">
        <f>'Team 6'!L54</f>
        <v>080512</v>
      </c>
      <c r="F246" s="823">
        <f>'print 10 lane'!X$82</f>
        <v>5.8090277777777773E-4</v>
      </c>
      <c r="G246" s="826">
        <f>'Team 1'!$D$54</f>
        <v>7</v>
      </c>
      <c r="H246" s="826" t="s">
        <v>4635</v>
      </c>
      <c r="I246" s="826" t="str">
        <f t="shared" si="27"/>
        <v xml:space="preserve">F,Patel,Miraya </v>
      </c>
      <c r="J246" s="826" t="str">
        <f t="shared" si="28"/>
        <v>F,Patel,Miraya ,HAWL</v>
      </c>
      <c r="K246" s="826" t="str">
        <f t="shared" si="29"/>
        <v>F,Patel,Miraya ,HAWL,080512</v>
      </c>
      <c r="L246" s="821" t="str">
        <f t="shared" si="30"/>
        <v>F,Patel,Miraya ,HAWL,080512,005019</v>
      </c>
      <c r="M246" s="826" t="str">
        <f t="shared" si="31"/>
        <v>F,Patel,Miraya ,HAWL,080512,005019,7</v>
      </c>
      <c r="N246" s="826" t="str">
        <f t="shared" si="32"/>
        <v>F,Patel,Miraya ,HAWL,080512,005019,7,F</v>
      </c>
      <c r="O246" s="824"/>
      <c r="P246" s="824" t="str">
        <f t="shared" si="33"/>
        <v>00:50.19</v>
      </c>
      <c r="Q246" s="824" t="str">
        <f t="shared" si="34"/>
        <v>005019</v>
      </c>
      <c r="R246" s="825" t="str">
        <f t="shared" si="35"/>
        <v>F,Patel,Miraya ,HAWL,080512,005019,7,F</v>
      </c>
      <c r="S246" s="832"/>
      <c r="T246" s="832"/>
      <c r="U246" s="832"/>
      <c r="V246" s="820"/>
    </row>
    <row r="247" spans="1:22" x14ac:dyDescent="0.25">
      <c r="A247" s="820"/>
      <c r="B247" s="821" t="s">
        <v>4635</v>
      </c>
      <c r="C247" s="821" t="str">
        <f>'Team 7'!J54</f>
        <v>Shah,Lara</v>
      </c>
      <c r="D247" s="821" t="str">
        <f>'Gala Setup'!Q$10</f>
        <v>HISL</v>
      </c>
      <c r="E247" s="822" t="str">
        <f>'Team 7'!L54</f>
        <v>260112</v>
      </c>
      <c r="F247" s="823">
        <f>'print 10 lane'!AA$82</f>
        <v>5.8032407407407414E-4</v>
      </c>
      <c r="G247" s="821">
        <f>'Team 1'!$D$54</f>
        <v>7</v>
      </c>
      <c r="H247" s="821" t="s">
        <v>4635</v>
      </c>
      <c r="I247" s="821" t="str">
        <f t="shared" si="27"/>
        <v>F,Shah,Lara</v>
      </c>
      <c r="J247" s="821" t="str">
        <f t="shared" si="28"/>
        <v>F,Shah,Lara,HISL</v>
      </c>
      <c r="K247" s="821" t="str">
        <f t="shared" si="29"/>
        <v>F,Shah,Lara,HISL,260112</v>
      </c>
      <c r="L247" s="821" t="str">
        <f t="shared" si="30"/>
        <v>F,Shah,Lara,HISL,260112,005014</v>
      </c>
      <c r="M247" s="821" t="str">
        <f t="shared" si="31"/>
        <v>F,Shah,Lara,HISL,260112,005014,7</v>
      </c>
      <c r="N247" s="821" t="str">
        <f t="shared" si="32"/>
        <v>F,Shah,Lara,HISL,260112,005014,7,F</v>
      </c>
      <c r="O247" s="824"/>
      <c r="P247" s="824" t="str">
        <f t="shared" si="33"/>
        <v>00:50.14</v>
      </c>
      <c r="Q247" s="824" t="str">
        <f t="shared" si="34"/>
        <v>005014</v>
      </c>
      <c r="R247" s="825" t="str">
        <f t="shared" si="35"/>
        <v>F,Shah,Lara,HISL,260112,005014,7,F</v>
      </c>
      <c r="S247" s="832"/>
      <c r="T247" s="832"/>
      <c r="U247" s="832"/>
      <c r="V247" s="820"/>
    </row>
    <row r="248" spans="1:22" x14ac:dyDescent="0.25">
      <c r="A248" s="820"/>
      <c r="B248" s="821" t="s">
        <v>4635</v>
      </c>
      <c r="C248" s="821" t="str">
        <f>'Team 9'!J54</f>
        <v>,</v>
      </c>
      <c r="D248" s="821">
        <f>'Gala Setup'!Q$12</f>
        <v>0</v>
      </c>
      <c r="E248" s="822" t="str">
        <f>'Team 9'!L54</f>
        <v>000100</v>
      </c>
      <c r="F248" s="823">
        <f>'print 10 lane'!AG$82</f>
        <v>0</v>
      </c>
      <c r="G248" s="821">
        <f>'Team 1'!$D$54</f>
        <v>7</v>
      </c>
      <c r="H248" s="821" t="s">
        <v>4635</v>
      </c>
      <c r="I248" s="821" t="str">
        <f t="shared" si="27"/>
        <v>F,,</v>
      </c>
      <c r="J248" s="821" t="str">
        <f t="shared" si="28"/>
        <v>F,,,0</v>
      </c>
      <c r="K248" s="821" t="str">
        <f t="shared" si="29"/>
        <v>F,,,0,000100</v>
      </c>
      <c r="L248" s="821" t="str">
        <f t="shared" si="30"/>
        <v>F,,,0,000100,000000</v>
      </c>
      <c r="M248" s="821" t="str">
        <f t="shared" si="31"/>
        <v>F,,,0,000100,000000,7</v>
      </c>
      <c r="N248" s="821" t="str">
        <f t="shared" si="32"/>
        <v>F,,,0,000100,000000,7,F</v>
      </c>
      <c r="O248" s="824"/>
      <c r="P248" s="824" t="str">
        <f t="shared" si="33"/>
        <v>00:00.00</v>
      </c>
      <c r="Q248" s="824" t="str">
        <f t="shared" si="34"/>
        <v>000000</v>
      </c>
      <c r="R248" s="825" t="str">
        <f t="shared" si="35"/>
        <v/>
      </c>
      <c r="S248" s="832"/>
      <c r="T248" s="832"/>
      <c r="U248" s="832"/>
      <c r="V248" s="820"/>
    </row>
    <row r="249" spans="1:22" x14ac:dyDescent="0.25">
      <c r="A249" s="820"/>
      <c r="B249" s="826" t="s">
        <v>4635</v>
      </c>
      <c r="C249" s="826" t="str">
        <f>'Team 8'!J54</f>
        <v>,</v>
      </c>
      <c r="D249" s="826">
        <f>'Gala Setup'!Q$11</f>
        <v>0</v>
      </c>
      <c r="E249" s="827" t="str">
        <f>'Team 8'!L54</f>
        <v>000100</v>
      </c>
      <c r="F249" s="823">
        <f>'print 10 lane'!AD$82</f>
        <v>0</v>
      </c>
      <c r="G249" s="826">
        <f>'Team 1'!$D$54</f>
        <v>7</v>
      </c>
      <c r="H249" s="826" t="s">
        <v>4635</v>
      </c>
      <c r="I249" s="826" t="str">
        <f t="shared" si="27"/>
        <v>F,,</v>
      </c>
      <c r="J249" s="826" t="str">
        <f t="shared" si="28"/>
        <v>F,,,0</v>
      </c>
      <c r="K249" s="826" t="str">
        <f t="shared" si="29"/>
        <v>F,,,0,000100</v>
      </c>
      <c r="L249" s="821" t="str">
        <f t="shared" si="30"/>
        <v>F,,,0,000100,000000</v>
      </c>
      <c r="M249" s="826" t="str">
        <f t="shared" si="31"/>
        <v>F,,,0,000100,000000,7</v>
      </c>
      <c r="N249" s="826" t="str">
        <f t="shared" si="32"/>
        <v>F,,,0,000100,000000,7,F</v>
      </c>
      <c r="O249" s="824"/>
      <c r="P249" s="824" t="str">
        <f t="shared" si="33"/>
        <v>00:00.00</v>
      </c>
      <c r="Q249" s="824" t="str">
        <f t="shared" si="34"/>
        <v>000000</v>
      </c>
      <c r="R249" s="825" t="str">
        <f t="shared" si="35"/>
        <v/>
      </c>
      <c r="S249" s="832"/>
      <c r="T249" s="832"/>
      <c r="U249" s="832"/>
      <c r="V249" s="820"/>
    </row>
    <row r="250" spans="1:22" x14ac:dyDescent="0.25">
      <c r="A250" s="820"/>
      <c r="B250" s="826" t="s">
        <v>4635</v>
      </c>
      <c r="C250" s="826" t="str">
        <f>'Team 10'!J54</f>
        <v>,</v>
      </c>
      <c r="D250" s="826">
        <f>'Gala Setup'!Q$13</f>
        <v>0</v>
      </c>
      <c r="E250" s="827" t="str">
        <f>'Team 10'!L54</f>
        <v>000100</v>
      </c>
      <c r="F250" s="823">
        <f>'print 10 lane'!AJ$82</f>
        <v>0</v>
      </c>
      <c r="G250" s="826">
        <f>'Team 1'!$D$54</f>
        <v>7</v>
      </c>
      <c r="H250" s="826" t="s">
        <v>4635</v>
      </c>
      <c r="I250" s="826" t="str">
        <f t="shared" si="27"/>
        <v>F,,</v>
      </c>
      <c r="J250" s="826" t="str">
        <f t="shared" si="28"/>
        <v>F,,,0</v>
      </c>
      <c r="K250" s="826" t="str">
        <f t="shared" si="29"/>
        <v>F,,,0,000100</v>
      </c>
      <c r="L250" s="821" t="str">
        <f t="shared" si="30"/>
        <v>F,,,0,000100,000000</v>
      </c>
      <c r="M250" s="826" t="str">
        <f t="shared" si="31"/>
        <v>F,,,0,000100,000000,7</v>
      </c>
      <c r="N250" s="826" t="str">
        <f t="shared" si="32"/>
        <v>F,,,0,000100,000000,7,F</v>
      </c>
      <c r="O250" s="824"/>
      <c r="P250" s="824" t="str">
        <f t="shared" si="33"/>
        <v>00:00.00</v>
      </c>
      <c r="Q250" s="824" t="str">
        <f t="shared" si="34"/>
        <v>000000</v>
      </c>
      <c r="R250" s="825" t="str">
        <f t="shared" si="35"/>
        <v/>
      </c>
      <c r="S250" s="832"/>
      <c r="T250" s="832"/>
      <c r="U250" s="832"/>
      <c r="V250" s="820"/>
    </row>
    <row r="251" spans="1:22" x14ac:dyDescent="0.25">
      <c r="A251" s="820"/>
      <c r="B251" s="826" t="s">
        <v>328</v>
      </c>
      <c r="C251" s="826" t="str">
        <f>'Team 10'!J55</f>
        <v>,</v>
      </c>
      <c r="D251" s="826">
        <f>'Gala Setup'!Q$13</f>
        <v>0</v>
      </c>
      <c r="E251" s="827" t="str">
        <f>'Team 10'!L55</f>
        <v>000100</v>
      </c>
      <c r="F251" s="823">
        <f>'print 10 lane'!AJ$85</f>
        <v>0</v>
      </c>
      <c r="G251" s="826">
        <f>'Team 1'!$D$55</f>
        <v>7</v>
      </c>
      <c r="H251" s="826" t="s">
        <v>4635</v>
      </c>
      <c r="I251" s="826" t="str">
        <f t="shared" si="27"/>
        <v>M,,</v>
      </c>
      <c r="J251" s="826" t="str">
        <f t="shared" si="28"/>
        <v>M,,,0</v>
      </c>
      <c r="K251" s="826" t="str">
        <f t="shared" si="29"/>
        <v>M,,,0,000100</v>
      </c>
      <c r="L251" s="821" t="str">
        <f t="shared" si="30"/>
        <v>M,,,0,000100,000000</v>
      </c>
      <c r="M251" s="826" t="str">
        <f t="shared" si="31"/>
        <v>M,,,0,000100,000000,7</v>
      </c>
      <c r="N251" s="826" t="str">
        <f t="shared" si="32"/>
        <v>M,,,0,000100,000000,7,F</v>
      </c>
      <c r="O251" s="824"/>
      <c r="P251" s="824" t="str">
        <f t="shared" si="33"/>
        <v>00:00.00</v>
      </c>
      <c r="Q251" s="824" t="str">
        <f t="shared" si="34"/>
        <v>000000</v>
      </c>
      <c r="R251" s="825" t="str">
        <f t="shared" si="35"/>
        <v/>
      </c>
      <c r="S251" s="832"/>
      <c r="T251" s="832"/>
      <c r="U251" s="832"/>
      <c r="V251" s="820"/>
    </row>
    <row r="252" spans="1:22" x14ac:dyDescent="0.25">
      <c r="A252" s="820"/>
      <c r="B252" s="821" t="s">
        <v>328</v>
      </c>
      <c r="C252" s="821" t="str">
        <f>'Team 9'!J55</f>
        <v>,</v>
      </c>
      <c r="D252" s="821">
        <f>'Gala Setup'!Q$12</f>
        <v>0</v>
      </c>
      <c r="E252" s="822" t="str">
        <f>'Team 9'!L55</f>
        <v>000100</v>
      </c>
      <c r="F252" s="823">
        <f>'print 10 lane'!AG$85</f>
        <v>0</v>
      </c>
      <c r="G252" s="821">
        <f>'Team 1'!$D$55</f>
        <v>7</v>
      </c>
      <c r="H252" s="821" t="s">
        <v>4635</v>
      </c>
      <c r="I252" s="821" t="str">
        <f t="shared" si="27"/>
        <v>M,,</v>
      </c>
      <c r="J252" s="821" t="str">
        <f t="shared" si="28"/>
        <v>M,,,0</v>
      </c>
      <c r="K252" s="821" t="str">
        <f t="shared" si="29"/>
        <v>M,,,0,000100</v>
      </c>
      <c r="L252" s="821" t="str">
        <f t="shared" si="30"/>
        <v>M,,,0,000100,000000</v>
      </c>
      <c r="M252" s="821" t="str">
        <f t="shared" si="31"/>
        <v>M,,,0,000100,000000,7</v>
      </c>
      <c r="N252" s="821" t="str">
        <f t="shared" si="32"/>
        <v>M,,,0,000100,000000,7,F</v>
      </c>
      <c r="O252" s="824"/>
      <c r="P252" s="824" t="str">
        <f t="shared" si="33"/>
        <v>00:00.00</v>
      </c>
      <c r="Q252" s="824" t="str">
        <f t="shared" si="34"/>
        <v>000000</v>
      </c>
      <c r="R252" s="825" t="str">
        <f t="shared" si="35"/>
        <v/>
      </c>
      <c r="S252" s="832"/>
      <c r="T252" s="832"/>
      <c r="U252" s="832"/>
      <c r="V252" s="820"/>
    </row>
    <row r="253" spans="1:22" x14ac:dyDescent="0.25">
      <c r="A253" s="820"/>
      <c r="B253" s="826" t="s">
        <v>328</v>
      </c>
      <c r="C253" s="826" t="str">
        <f>'Team 8'!J55</f>
        <v>,</v>
      </c>
      <c r="D253" s="826">
        <f>'Gala Setup'!Q$11</f>
        <v>0</v>
      </c>
      <c r="E253" s="827" t="str">
        <f>'Team 8'!L55</f>
        <v>000100</v>
      </c>
      <c r="F253" s="823">
        <f>'print 10 lane'!AD$85</f>
        <v>0</v>
      </c>
      <c r="G253" s="826">
        <f>'Team 1'!$D$55</f>
        <v>7</v>
      </c>
      <c r="H253" s="826" t="s">
        <v>4635</v>
      </c>
      <c r="I253" s="826" t="str">
        <f t="shared" si="27"/>
        <v>M,,</v>
      </c>
      <c r="J253" s="826" t="str">
        <f t="shared" si="28"/>
        <v>M,,,0</v>
      </c>
      <c r="K253" s="826" t="str">
        <f t="shared" si="29"/>
        <v>M,,,0,000100</v>
      </c>
      <c r="L253" s="821" t="str">
        <f t="shared" si="30"/>
        <v>M,,,0,000100,000000</v>
      </c>
      <c r="M253" s="826" t="str">
        <f t="shared" si="31"/>
        <v>M,,,0,000100,000000,7</v>
      </c>
      <c r="N253" s="826" t="str">
        <f t="shared" si="32"/>
        <v>M,,,0,000100,000000,7,F</v>
      </c>
      <c r="O253" s="824"/>
      <c r="P253" s="824" t="str">
        <f t="shared" si="33"/>
        <v>00:00.00</v>
      </c>
      <c r="Q253" s="824" t="str">
        <f t="shared" si="34"/>
        <v>000000</v>
      </c>
      <c r="R253" s="825" t="str">
        <f t="shared" si="35"/>
        <v/>
      </c>
      <c r="S253" s="832"/>
      <c r="T253" s="832"/>
      <c r="U253" s="832"/>
      <c r="V253" s="820"/>
    </row>
    <row r="254" spans="1:22" x14ac:dyDescent="0.25">
      <c r="A254" s="820"/>
      <c r="B254" s="826" t="s">
        <v>328</v>
      </c>
      <c r="C254" s="826" t="str">
        <f>'Team 6'!J55</f>
        <v>Roberts,Macsen</v>
      </c>
      <c r="D254" s="826" t="str">
        <f>'Gala Setup'!Q$9</f>
        <v>HAWL</v>
      </c>
      <c r="E254" s="827" t="str">
        <f>'Team 6'!L55</f>
        <v>181012</v>
      </c>
      <c r="F254" s="823">
        <f>'print 10 lane'!X$85</f>
        <v>5.7083333333333324E-4</v>
      </c>
      <c r="G254" s="826">
        <f>'Team 1'!$D$55</f>
        <v>7</v>
      </c>
      <c r="H254" s="826" t="s">
        <v>4635</v>
      </c>
      <c r="I254" s="826" t="str">
        <f t="shared" si="27"/>
        <v>M,Roberts,Macsen</v>
      </c>
      <c r="J254" s="826" t="str">
        <f t="shared" si="28"/>
        <v>M,Roberts,Macsen,HAWL</v>
      </c>
      <c r="K254" s="826" t="str">
        <f t="shared" si="29"/>
        <v>M,Roberts,Macsen,HAWL,181012</v>
      </c>
      <c r="L254" s="821" t="str">
        <f t="shared" si="30"/>
        <v>M,Roberts,Macsen,HAWL,181012,004932</v>
      </c>
      <c r="M254" s="826" t="str">
        <f t="shared" si="31"/>
        <v>M,Roberts,Macsen,HAWL,181012,004932,7</v>
      </c>
      <c r="N254" s="826" t="str">
        <f t="shared" si="32"/>
        <v>M,Roberts,Macsen,HAWL,181012,004932,7,F</v>
      </c>
      <c r="O254" s="824"/>
      <c r="P254" s="824" t="str">
        <f t="shared" si="33"/>
        <v>00:49.32</v>
      </c>
      <c r="Q254" s="824" t="str">
        <f t="shared" si="34"/>
        <v>004932</v>
      </c>
      <c r="R254" s="825" t="str">
        <f t="shared" si="35"/>
        <v>M,Roberts,Macsen,HAWL,181012,004932,7,F</v>
      </c>
      <c r="S254" s="832"/>
      <c r="T254" s="832"/>
      <c r="U254" s="832"/>
      <c r="V254" s="820"/>
    </row>
    <row r="255" spans="1:22" x14ac:dyDescent="0.25">
      <c r="A255" s="820"/>
      <c r="B255" s="821" t="s">
        <v>328</v>
      </c>
      <c r="C255" s="821" t="str">
        <f>'Team 7'!J55</f>
        <v>Li Mow Ching,Christopher</v>
      </c>
      <c r="D255" s="821" t="str">
        <f>'Gala Setup'!Q$10</f>
        <v>HISL</v>
      </c>
      <c r="E255" s="822" t="str">
        <f>'Team 7'!L55</f>
        <v>101212</v>
      </c>
      <c r="F255" s="823">
        <f>'print 10 lane'!AA$85</f>
        <v>6.1990740740740745E-4</v>
      </c>
      <c r="G255" s="821">
        <f>'Team 1'!$D$55</f>
        <v>7</v>
      </c>
      <c r="H255" s="821" t="s">
        <v>4635</v>
      </c>
      <c r="I255" s="821" t="str">
        <f t="shared" si="27"/>
        <v>M,Li Mow Ching,Christopher</v>
      </c>
      <c r="J255" s="821" t="str">
        <f t="shared" si="28"/>
        <v>M,Li Mow Ching,Christopher,HISL</v>
      </c>
      <c r="K255" s="821" t="str">
        <f t="shared" si="29"/>
        <v>M,Li Mow Ching,Christopher,HISL,101212</v>
      </c>
      <c r="L255" s="821" t="str">
        <f t="shared" si="30"/>
        <v>M,Li Mow Ching,Christopher,HISL,101212,005356</v>
      </c>
      <c r="M255" s="821" t="str">
        <f t="shared" si="31"/>
        <v>M,Li Mow Ching,Christopher,HISL,101212,005356,7</v>
      </c>
      <c r="N255" s="821" t="str">
        <f t="shared" si="32"/>
        <v>M,Li Mow Ching,Christopher,HISL,101212,005356,7,F</v>
      </c>
      <c r="O255" s="824"/>
      <c r="P255" s="824" t="str">
        <f t="shared" si="33"/>
        <v>00:53.56</v>
      </c>
      <c r="Q255" s="824" t="str">
        <f t="shared" si="34"/>
        <v>005356</v>
      </c>
      <c r="R255" s="825" t="str">
        <f t="shared" si="35"/>
        <v>M,Li Mow Ching,Christopher,HISL,101212,005356,7,F</v>
      </c>
      <c r="S255" s="832"/>
      <c r="T255" s="832"/>
      <c r="U255" s="832"/>
      <c r="V255" s="820"/>
    </row>
    <row r="256" spans="1:22" x14ac:dyDescent="0.25">
      <c r="A256" s="820"/>
      <c r="B256" s="821" t="s">
        <v>328</v>
      </c>
      <c r="C256" s="821" t="str">
        <f>'Team 5'!J55</f>
        <v>Barnacle,Braden</v>
      </c>
      <c r="D256" s="821" t="str">
        <f>'Gala Setup'!Q$8</f>
        <v>BTRT</v>
      </c>
      <c r="E256" s="822" t="str">
        <f>'Team 5'!L55</f>
        <v>150512</v>
      </c>
      <c r="F256" s="823">
        <f>'print 10 lane'!U$85</f>
        <v>5.1655092592592594E-4</v>
      </c>
      <c r="G256" s="821">
        <f>'Team 1'!$D$55</f>
        <v>7</v>
      </c>
      <c r="H256" s="821" t="s">
        <v>4635</v>
      </c>
      <c r="I256" s="821" t="str">
        <f t="shared" si="27"/>
        <v>M,Barnacle,Braden</v>
      </c>
      <c r="J256" s="821" t="str">
        <f t="shared" si="28"/>
        <v>M,Barnacle,Braden,BTRT</v>
      </c>
      <c r="K256" s="821" t="str">
        <f t="shared" si="29"/>
        <v>M,Barnacle,Braden,BTRT,150512</v>
      </c>
      <c r="L256" s="821" t="str">
        <f t="shared" si="30"/>
        <v>M,Barnacle,Braden,BTRT,150512,004463</v>
      </c>
      <c r="M256" s="821" t="str">
        <f t="shared" si="31"/>
        <v>M,Barnacle,Braden,BTRT,150512,004463,7</v>
      </c>
      <c r="N256" s="821" t="str">
        <f t="shared" si="32"/>
        <v>M,Barnacle,Braden,BTRT,150512,004463,7,F</v>
      </c>
      <c r="O256" s="824"/>
      <c r="P256" s="824" t="str">
        <f t="shared" si="33"/>
        <v>00:44.63</v>
      </c>
      <c r="Q256" s="824" t="str">
        <f t="shared" si="34"/>
        <v>004463</v>
      </c>
      <c r="R256" s="825" t="str">
        <f t="shared" si="35"/>
        <v>M,Barnacle,Braden,BTRT,150512,004463,7,F</v>
      </c>
      <c r="S256" s="832"/>
      <c r="T256" s="832"/>
      <c r="U256" s="832"/>
      <c r="V256" s="820"/>
    </row>
    <row r="257" spans="1:22" x14ac:dyDescent="0.25">
      <c r="A257" s="820"/>
      <c r="B257" s="826" t="s">
        <v>328</v>
      </c>
      <c r="C257" s="826" t="str">
        <f>'Team 4'!J55</f>
        <v>MOHAMMED,JAMES</v>
      </c>
      <c r="D257" s="826" t="str">
        <f>'Gala Setup'!Q$7</f>
        <v>AYBS</v>
      </c>
      <c r="E257" s="827" t="str">
        <f>'Team 4'!L55</f>
        <v>071012</v>
      </c>
      <c r="F257" s="823">
        <f>'print 10 lane'!R$85</f>
        <v>5.7210648148148149E-4</v>
      </c>
      <c r="G257" s="826">
        <f>'Team 1'!$D$55</f>
        <v>7</v>
      </c>
      <c r="H257" s="826" t="s">
        <v>4635</v>
      </c>
      <c r="I257" s="826" t="str">
        <f t="shared" ref="I257:I320" si="36">CONCATENATE(B257,",",C257)</f>
        <v>M,MOHAMMED,JAMES</v>
      </c>
      <c r="J257" s="826" t="str">
        <f t="shared" ref="J257:J320" si="37">CONCATENATE(I257,",",D257)</f>
        <v>M,MOHAMMED,JAMES,AYBS</v>
      </c>
      <c r="K257" s="826" t="str">
        <f t="shared" ref="K257:K320" si="38">CONCATENATE(J257,",",E257)</f>
        <v>M,MOHAMMED,JAMES,AYBS,071012</v>
      </c>
      <c r="L257" s="821" t="str">
        <f t="shared" ref="L257:L320" si="39">CONCATENATE(K257,",",Q257)</f>
        <v>M,MOHAMMED,JAMES,AYBS,071012,004943</v>
      </c>
      <c r="M257" s="826" t="str">
        <f t="shared" ref="M257:M320" si="40">CONCATENATE(L257,",",G257)</f>
        <v>M,MOHAMMED,JAMES,AYBS,071012,004943,7</v>
      </c>
      <c r="N257" s="826" t="str">
        <f t="shared" ref="N257:N320" si="41">CONCATENATE(M257,",",H257)</f>
        <v>M,MOHAMMED,JAMES,AYBS,071012,004943,7,F</v>
      </c>
      <c r="O257" s="824"/>
      <c r="P257" s="824" t="str">
        <f t="shared" ref="P257:P320" si="42">TEXT(F257,"mm:ss.00")</f>
        <v>00:49.43</v>
      </c>
      <c r="Q257" s="824" t="str">
        <f t="shared" ref="Q257:Q320" si="43">LEFT(P257,2)&amp;MID(P257,4,2)&amp;RIGHT(P257,2)</f>
        <v>004943</v>
      </c>
      <c r="R257" s="825" t="str">
        <f t="shared" ref="R257:R320" si="44">IF(F257=0,"",N257)</f>
        <v>M,MOHAMMED,JAMES,AYBS,071012,004943,7,F</v>
      </c>
      <c r="S257" s="832"/>
      <c r="T257" s="832"/>
      <c r="U257" s="832"/>
      <c r="V257" s="820"/>
    </row>
    <row r="258" spans="1:22" x14ac:dyDescent="0.25">
      <c r="A258" s="820"/>
      <c r="B258" s="826" t="s">
        <v>328</v>
      </c>
      <c r="C258" s="826" t="str">
        <f>'Team 2'!J55</f>
        <v>Cheung,Kai Jun Wai</v>
      </c>
      <c r="D258" s="826" t="str">
        <f>'Gala Setup'!$Q$5</f>
        <v>STET</v>
      </c>
      <c r="E258" s="827" t="str">
        <f>'Team 2'!L55</f>
        <v>240712</v>
      </c>
      <c r="F258" s="823">
        <f>'print 10 lane'!L$85</f>
        <v>4.9606481481481485E-4</v>
      </c>
      <c r="G258" s="826">
        <f>'Team 1'!$D$55</f>
        <v>7</v>
      </c>
      <c r="H258" s="826" t="s">
        <v>4635</v>
      </c>
      <c r="I258" s="826" t="str">
        <f t="shared" si="36"/>
        <v>M,Cheung,Kai Jun Wai</v>
      </c>
      <c r="J258" s="826" t="str">
        <f t="shared" si="37"/>
        <v>M,Cheung,Kai Jun Wai,STET</v>
      </c>
      <c r="K258" s="826" t="str">
        <f t="shared" si="38"/>
        <v>M,Cheung,Kai Jun Wai,STET,240712</v>
      </c>
      <c r="L258" s="821" t="str">
        <f t="shared" si="39"/>
        <v>M,Cheung,Kai Jun Wai,STET,240712,004286</v>
      </c>
      <c r="M258" s="826" t="str">
        <f t="shared" si="40"/>
        <v>M,Cheung,Kai Jun Wai,STET,240712,004286,7</v>
      </c>
      <c r="N258" s="826" t="str">
        <f t="shared" si="41"/>
        <v>M,Cheung,Kai Jun Wai,STET,240712,004286,7,F</v>
      </c>
      <c r="O258" s="824"/>
      <c r="P258" s="824" t="str">
        <f t="shared" si="42"/>
        <v>00:42.86</v>
      </c>
      <c r="Q258" s="824" t="str">
        <f t="shared" si="43"/>
        <v>004286</v>
      </c>
      <c r="R258" s="825" t="str">
        <f t="shared" si="44"/>
        <v>M,Cheung,Kai Jun Wai,STET,240712,004286,7,F</v>
      </c>
      <c r="S258" s="832"/>
      <c r="T258" s="832"/>
      <c r="U258" s="832"/>
      <c r="V258" s="820"/>
    </row>
    <row r="259" spans="1:22" x14ac:dyDescent="0.25">
      <c r="A259" s="820"/>
      <c r="B259" s="821" t="s">
        <v>328</v>
      </c>
      <c r="C259" s="821" t="str">
        <f>'Team 1'!J55</f>
        <v>Goad,Leonardo</v>
      </c>
      <c r="D259" s="821" t="str">
        <f>'Gala Setup'!Q$4</f>
        <v>HABL</v>
      </c>
      <c r="E259" s="822" t="str">
        <f>'Team 1'!L55</f>
        <v>100613</v>
      </c>
      <c r="F259" s="823">
        <f>'print 10 lane'!I$85</f>
        <v>0</v>
      </c>
      <c r="G259" s="821">
        <f>'Team 1'!$D$55</f>
        <v>7</v>
      </c>
      <c r="H259" s="821" t="s">
        <v>4635</v>
      </c>
      <c r="I259" s="821" t="str">
        <f t="shared" si="36"/>
        <v>M,Goad,Leonardo</v>
      </c>
      <c r="J259" s="821" t="str">
        <f t="shared" si="37"/>
        <v>M,Goad,Leonardo,HABL</v>
      </c>
      <c r="K259" s="821" t="str">
        <f t="shared" si="38"/>
        <v>M,Goad,Leonardo,HABL,100613</v>
      </c>
      <c r="L259" s="821" t="str">
        <f t="shared" si="39"/>
        <v>M,Goad,Leonardo,HABL,100613,000000</v>
      </c>
      <c r="M259" s="821" t="str">
        <f t="shared" si="40"/>
        <v>M,Goad,Leonardo,HABL,100613,000000,7</v>
      </c>
      <c r="N259" s="821" t="str">
        <f t="shared" si="41"/>
        <v>M,Goad,Leonardo,HABL,100613,000000,7,F</v>
      </c>
      <c r="O259" s="824"/>
      <c r="P259" s="824" t="str">
        <f t="shared" si="42"/>
        <v>00:00.00</v>
      </c>
      <c r="Q259" s="824" t="str">
        <f t="shared" si="43"/>
        <v>000000</v>
      </c>
      <c r="R259" s="825" t="str">
        <f t="shared" si="44"/>
        <v/>
      </c>
      <c r="S259" s="832"/>
      <c r="T259" s="832"/>
      <c r="U259" s="832"/>
      <c r="V259" s="820"/>
    </row>
    <row r="260" spans="1:22" x14ac:dyDescent="0.25">
      <c r="A260" s="820"/>
      <c r="B260" s="821" t="s">
        <v>328</v>
      </c>
      <c r="C260" s="821" t="str">
        <f>'Team 3'!J55</f>
        <v>Lythgoe,Harry</v>
      </c>
      <c r="D260" s="821" t="str">
        <f>'Gala Setup'!Q$6</f>
        <v>BBST</v>
      </c>
      <c r="E260" s="822" t="str">
        <f>'Team 3'!L55</f>
        <v>260612</v>
      </c>
      <c r="F260" s="823">
        <f>'print 10 lane'!O$85</f>
        <v>6.1481481481481478E-4</v>
      </c>
      <c r="G260" s="821">
        <f>'Team 1'!$D$55</f>
        <v>7</v>
      </c>
      <c r="H260" s="821" t="s">
        <v>4635</v>
      </c>
      <c r="I260" s="821" t="str">
        <f t="shared" si="36"/>
        <v>M,Lythgoe,Harry</v>
      </c>
      <c r="J260" s="821" t="str">
        <f t="shared" si="37"/>
        <v>M,Lythgoe,Harry,BBST</v>
      </c>
      <c r="K260" s="821" t="str">
        <f t="shared" si="38"/>
        <v>M,Lythgoe,Harry,BBST,260612</v>
      </c>
      <c r="L260" s="821" t="str">
        <f t="shared" si="39"/>
        <v>M,Lythgoe,Harry,BBST,260612,005312</v>
      </c>
      <c r="M260" s="821" t="str">
        <f t="shared" si="40"/>
        <v>M,Lythgoe,Harry,BBST,260612,005312,7</v>
      </c>
      <c r="N260" s="821" t="str">
        <f t="shared" si="41"/>
        <v>M,Lythgoe,Harry,BBST,260612,005312,7,F</v>
      </c>
      <c r="O260" s="824"/>
      <c r="P260" s="824" t="str">
        <f t="shared" si="42"/>
        <v>00:53.12</v>
      </c>
      <c r="Q260" s="824" t="str">
        <f t="shared" si="43"/>
        <v>005312</v>
      </c>
      <c r="R260" s="825" t="str">
        <f t="shared" si="44"/>
        <v>M,Lythgoe,Harry,BBST,260612,005312,7,F</v>
      </c>
      <c r="S260" s="832"/>
      <c r="T260" s="832"/>
      <c r="U260" s="832"/>
      <c r="V260" s="820"/>
    </row>
    <row r="261" spans="1:22" x14ac:dyDescent="0.25">
      <c r="A261" s="820"/>
      <c r="B261" s="821" t="s">
        <v>4635</v>
      </c>
      <c r="C261" s="821" t="str">
        <f>'Team 1'!J58</f>
        <v>Hudszky,Emily</v>
      </c>
      <c r="D261" s="821" t="str">
        <f>'Gala Setup'!Q$4</f>
        <v>HABL</v>
      </c>
      <c r="E261" s="822" t="str">
        <f>'Team 1'!L58</f>
        <v>220409</v>
      </c>
      <c r="F261" s="823">
        <f>'print 10 lane'!I$94</f>
        <v>8.273148148148149E-4</v>
      </c>
      <c r="G261" s="821">
        <f>'Team 1'!$D$58</f>
        <v>2</v>
      </c>
      <c r="H261" s="821" t="s">
        <v>4635</v>
      </c>
      <c r="I261" s="821" t="str">
        <f t="shared" si="36"/>
        <v>F,Hudszky,Emily</v>
      </c>
      <c r="J261" s="821" t="str">
        <f t="shared" si="37"/>
        <v>F,Hudszky,Emily,HABL</v>
      </c>
      <c r="K261" s="821" t="str">
        <f t="shared" si="38"/>
        <v>F,Hudszky,Emily,HABL,220409</v>
      </c>
      <c r="L261" s="821" t="str">
        <f t="shared" si="39"/>
        <v>F,Hudszky,Emily,HABL,220409,011148</v>
      </c>
      <c r="M261" s="821" t="str">
        <f t="shared" si="40"/>
        <v>F,Hudszky,Emily,HABL,220409,011148,2</v>
      </c>
      <c r="N261" s="821" t="str">
        <f t="shared" si="41"/>
        <v>F,Hudszky,Emily,HABL,220409,011148,2,F</v>
      </c>
      <c r="O261" s="824"/>
      <c r="P261" s="824" t="str">
        <f t="shared" si="42"/>
        <v>01:11.48</v>
      </c>
      <c r="Q261" s="824" t="str">
        <f t="shared" si="43"/>
        <v>011148</v>
      </c>
      <c r="R261" s="825" t="str">
        <f t="shared" si="44"/>
        <v>F,Hudszky,Emily,HABL,220409,011148,2,F</v>
      </c>
      <c r="S261" s="832"/>
      <c r="T261" s="832"/>
      <c r="U261" s="832"/>
      <c r="V261" s="820"/>
    </row>
    <row r="262" spans="1:22" x14ac:dyDescent="0.25">
      <c r="A262" s="820"/>
      <c r="B262" s="821" t="s">
        <v>4635</v>
      </c>
      <c r="C262" s="821" t="str">
        <f>'Team 1'!J68</f>
        <v>Grzybek,Maja</v>
      </c>
      <c r="D262" s="821" t="str">
        <f>'Gala Setup'!Q$4</f>
        <v>HABL</v>
      </c>
      <c r="E262" s="822" t="str">
        <f>'Team 1'!L68</f>
        <v>250507</v>
      </c>
      <c r="F262" s="823">
        <f>'print 10 lane'!I$124</f>
        <v>7.4201388888888884E-4</v>
      </c>
      <c r="G262" s="821">
        <f>'Team 1'!$D$68</f>
        <v>2</v>
      </c>
      <c r="H262" s="821" t="s">
        <v>4635</v>
      </c>
      <c r="I262" s="821" t="str">
        <f t="shared" si="36"/>
        <v>F,Grzybek,Maja</v>
      </c>
      <c r="J262" s="821" t="str">
        <f t="shared" si="37"/>
        <v>F,Grzybek,Maja,HABL</v>
      </c>
      <c r="K262" s="821" t="str">
        <f t="shared" si="38"/>
        <v>F,Grzybek,Maja,HABL,250507</v>
      </c>
      <c r="L262" s="821" t="str">
        <f t="shared" si="39"/>
        <v>F,Grzybek,Maja,HABL,250507,010411</v>
      </c>
      <c r="M262" s="821" t="str">
        <f t="shared" si="40"/>
        <v>F,Grzybek,Maja,HABL,250507,010411,2</v>
      </c>
      <c r="N262" s="821" t="str">
        <f t="shared" si="41"/>
        <v>F,Grzybek,Maja,HABL,250507,010411,2,F</v>
      </c>
      <c r="O262" s="824"/>
      <c r="P262" s="824" t="str">
        <f t="shared" si="42"/>
        <v>01:04.11</v>
      </c>
      <c r="Q262" s="824" t="str">
        <f t="shared" si="43"/>
        <v>010411</v>
      </c>
      <c r="R262" s="825" t="str">
        <f t="shared" si="44"/>
        <v>F,Grzybek,Maja,HABL,250507,010411,2,F</v>
      </c>
      <c r="S262" s="832"/>
      <c r="T262" s="832"/>
      <c r="U262" s="832"/>
      <c r="V262" s="820"/>
    </row>
    <row r="263" spans="1:22" x14ac:dyDescent="0.25">
      <c r="A263" s="820"/>
      <c r="B263" s="821" t="s">
        <v>4635</v>
      </c>
      <c r="C263" s="821" t="str">
        <f>'Team 1'!J64</f>
        <v>Hanson,Amy</v>
      </c>
      <c r="D263" s="821" t="str">
        <f>'Gala Setup'!Q$4</f>
        <v>HABL</v>
      </c>
      <c r="E263" s="822" t="str">
        <f>'Team 1'!L64</f>
        <v>120110</v>
      </c>
      <c r="F263" s="823">
        <f>'print 10 lane'!I$112</f>
        <v>8.0532407407407408E-4</v>
      </c>
      <c r="G263" s="821">
        <f>'Team 1'!$D$64</f>
        <v>2</v>
      </c>
      <c r="H263" s="821" t="s">
        <v>4635</v>
      </c>
      <c r="I263" s="821" t="str">
        <f t="shared" si="36"/>
        <v>F,Hanson,Amy</v>
      </c>
      <c r="J263" s="821" t="str">
        <f t="shared" si="37"/>
        <v>F,Hanson,Amy,HABL</v>
      </c>
      <c r="K263" s="821" t="str">
        <f t="shared" si="38"/>
        <v>F,Hanson,Amy,HABL,120110</v>
      </c>
      <c r="L263" s="821" t="str">
        <f t="shared" si="39"/>
        <v>F,Hanson,Amy,HABL,120110,010958</v>
      </c>
      <c r="M263" s="821" t="str">
        <f t="shared" si="40"/>
        <v>F,Hanson,Amy,HABL,120110,010958,2</v>
      </c>
      <c r="N263" s="821" t="str">
        <f t="shared" si="41"/>
        <v>F,Hanson,Amy,HABL,120110,010958,2,F</v>
      </c>
      <c r="O263" s="824"/>
      <c r="P263" s="824" t="str">
        <f t="shared" si="42"/>
        <v>01:09.58</v>
      </c>
      <c r="Q263" s="824" t="str">
        <f t="shared" si="43"/>
        <v>010958</v>
      </c>
      <c r="R263" s="825" t="str">
        <f t="shared" si="44"/>
        <v>F,Hanson,Amy,HABL,120110,010958,2,F</v>
      </c>
      <c r="S263" s="832"/>
      <c r="T263" s="832"/>
      <c r="U263" s="832"/>
      <c r="V263" s="820"/>
    </row>
    <row r="264" spans="1:22" x14ac:dyDescent="0.25">
      <c r="A264" s="820"/>
      <c r="B264" s="826" t="s">
        <v>4635</v>
      </c>
      <c r="C264" s="826" t="str">
        <f>'Team 2'!J58</f>
        <v>Stelmach,Sophie</v>
      </c>
      <c r="D264" s="826" t="str">
        <f>'Gala Setup'!$Q$5</f>
        <v>STET</v>
      </c>
      <c r="E264" s="827" t="str">
        <f>'Team 2'!L58</f>
        <v>270709</v>
      </c>
      <c r="F264" s="823">
        <f>'print 10 lane'!L$94</f>
        <v>7.3935185185185182E-4</v>
      </c>
      <c r="G264" s="826">
        <f>'Team 1'!$D$58</f>
        <v>2</v>
      </c>
      <c r="H264" s="826" t="s">
        <v>4635</v>
      </c>
      <c r="I264" s="826" t="str">
        <f t="shared" si="36"/>
        <v>F,Stelmach,Sophie</v>
      </c>
      <c r="J264" s="826" t="str">
        <f t="shared" si="37"/>
        <v>F,Stelmach,Sophie,STET</v>
      </c>
      <c r="K264" s="826" t="str">
        <f t="shared" si="38"/>
        <v>F,Stelmach,Sophie,STET,270709</v>
      </c>
      <c r="L264" s="821" t="str">
        <f t="shared" si="39"/>
        <v>F,Stelmach,Sophie,STET,270709,010388</v>
      </c>
      <c r="M264" s="826" t="str">
        <f t="shared" si="40"/>
        <v>F,Stelmach,Sophie,STET,270709,010388,2</v>
      </c>
      <c r="N264" s="826" t="str">
        <f t="shared" si="41"/>
        <v>F,Stelmach,Sophie,STET,270709,010388,2,F</v>
      </c>
      <c r="O264" s="824"/>
      <c r="P264" s="824" t="str">
        <f t="shared" si="42"/>
        <v>01:03.88</v>
      </c>
      <c r="Q264" s="824" t="str">
        <f t="shared" si="43"/>
        <v>010388</v>
      </c>
      <c r="R264" s="825" t="str">
        <f t="shared" si="44"/>
        <v>F,Stelmach,Sophie,STET,270709,010388,2,F</v>
      </c>
      <c r="S264" s="832"/>
      <c r="T264" s="832"/>
      <c r="U264" s="832"/>
      <c r="V264" s="820"/>
    </row>
    <row r="265" spans="1:22" x14ac:dyDescent="0.25">
      <c r="A265" s="820"/>
      <c r="B265" s="826" t="s">
        <v>4635</v>
      </c>
      <c r="C265" s="826" t="str">
        <f>'Team 2'!J64</f>
        <v>Fleming-Jacobs,Gracie</v>
      </c>
      <c r="D265" s="826" t="str">
        <f>'Gala Setup'!$Q$5</f>
        <v>STET</v>
      </c>
      <c r="E265" s="827" t="str">
        <f>'Team 2'!L64</f>
        <v>301010</v>
      </c>
      <c r="F265" s="823">
        <f>'print 10 lane'!L$112</f>
        <v>8.2650462962962962E-4</v>
      </c>
      <c r="G265" s="826">
        <f>'Team 1'!$D$64</f>
        <v>2</v>
      </c>
      <c r="H265" s="826" t="s">
        <v>4635</v>
      </c>
      <c r="I265" s="826" t="str">
        <f t="shared" si="36"/>
        <v>F,Fleming-Jacobs,Gracie</v>
      </c>
      <c r="J265" s="826" t="str">
        <f t="shared" si="37"/>
        <v>F,Fleming-Jacobs,Gracie,STET</v>
      </c>
      <c r="K265" s="826" t="str">
        <f t="shared" si="38"/>
        <v>F,Fleming-Jacobs,Gracie,STET,301010</v>
      </c>
      <c r="L265" s="821" t="str">
        <f t="shared" si="39"/>
        <v>F,Fleming-Jacobs,Gracie,STET,301010,011141</v>
      </c>
      <c r="M265" s="826" t="str">
        <f t="shared" si="40"/>
        <v>F,Fleming-Jacobs,Gracie,STET,301010,011141,2</v>
      </c>
      <c r="N265" s="826" t="str">
        <f t="shared" si="41"/>
        <v>F,Fleming-Jacobs,Gracie,STET,301010,011141,2,F</v>
      </c>
      <c r="O265" s="824"/>
      <c r="P265" s="824" t="str">
        <f t="shared" si="42"/>
        <v>01:11.41</v>
      </c>
      <c r="Q265" s="824" t="str">
        <f t="shared" si="43"/>
        <v>011141</v>
      </c>
      <c r="R265" s="825" t="str">
        <f t="shared" si="44"/>
        <v>F,Fleming-Jacobs,Gracie,STET,301010,011141,2,F</v>
      </c>
      <c r="S265" s="832"/>
      <c r="T265" s="832"/>
      <c r="U265" s="832"/>
      <c r="V265" s="820"/>
    </row>
    <row r="266" spans="1:22" x14ac:dyDescent="0.25">
      <c r="A266" s="820"/>
      <c r="B266" s="826" t="s">
        <v>4635</v>
      </c>
      <c r="C266" s="826" t="str">
        <f>'Team 2'!J68</f>
        <v>Bailiss,Madeleine</v>
      </c>
      <c r="D266" s="826" t="str">
        <f>'Gala Setup'!$Q$5</f>
        <v>STET</v>
      </c>
      <c r="E266" s="827" t="str">
        <f>'Team 2'!L68</f>
        <v>021205</v>
      </c>
      <c r="F266" s="823">
        <f>'print 10 lane'!L$124</f>
        <v>7.799768518518519E-4</v>
      </c>
      <c r="G266" s="826">
        <f>'Team 1'!$D$68</f>
        <v>2</v>
      </c>
      <c r="H266" s="826" t="s">
        <v>4635</v>
      </c>
      <c r="I266" s="826" t="str">
        <f t="shared" si="36"/>
        <v>F,Bailiss,Madeleine</v>
      </c>
      <c r="J266" s="826" t="str">
        <f t="shared" si="37"/>
        <v>F,Bailiss,Madeleine,STET</v>
      </c>
      <c r="K266" s="826" t="str">
        <f t="shared" si="38"/>
        <v>F,Bailiss,Madeleine,STET,021205</v>
      </c>
      <c r="L266" s="821" t="str">
        <f t="shared" si="39"/>
        <v>F,Bailiss,Madeleine,STET,021205,010739</v>
      </c>
      <c r="M266" s="826" t="str">
        <f t="shared" si="40"/>
        <v>F,Bailiss,Madeleine,STET,021205,010739,2</v>
      </c>
      <c r="N266" s="826" t="str">
        <f t="shared" si="41"/>
        <v>F,Bailiss,Madeleine,STET,021205,010739,2,F</v>
      </c>
      <c r="O266" s="824"/>
      <c r="P266" s="824" t="str">
        <f t="shared" si="42"/>
        <v>01:07.39</v>
      </c>
      <c r="Q266" s="824" t="str">
        <f t="shared" si="43"/>
        <v>010739</v>
      </c>
      <c r="R266" s="825" t="str">
        <f t="shared" si="44"/>
        <v>F,Bailiss,Madeleine,STET,021205,010739,2,F</v>
      </c>
      <c r="S266" s="832"/>
      <c r="T266" s="832"/>
      <c r="U266" s="832"/>
      <c r="V266" s="820"/>
    </row>
    <row r="267" spans="1:22" x14ac:dyDescent="0.25">
      <c r="A267" s="820"/>
      <c r="B267" s="821" t="s">
        <v>4635</v>
      </c>
      <c r="C267" s="821" t="str">
        <f>'Team 3'!J58</f>
        <v>Mullings,Isabel</v>
      </c>
      <c r="D267" s="821" t="str">
        <f>'Gala Setup'!Q$6</f>
        <v>BBST</v>
      </c>
      <c r="E267" s="822" t="str">
        <f>'Team 3'!L58</f>
        <v>290808</v>
      </c>
      <c r="F267" s="823">
        <f>'print 10 lane'!O$94</f>
        <v>7.7731481481481477E-4</v>
      </c>
      <c r="G267" s="821">
        <f>'Team 1'!$D$58</f>
        <v>2</v>
      </c>
      <c r="H267" s="821" t="s">
        <v>4635</v>
      </c>
      <c r="I267" s="821" t="str">
        <f t="shared" si="36"/>
        <v>F,Mullings,Isabel</v>
      </c>
      <c r="J267" s="821" t="str">
        <f t="shared" si="37"/>
        <v>F,Mullings,Isabel,BBST</v>
      </c>
      <c r="K267" s="821" t="str">
        <f t="shared" si="38"/>
        <v>F,Mullings,Isabel,BBST,290808</v>
      </c>
      <c r="L267" s="821" t="str">
        <f t="shared" si="39"/>
        <v>F,Mullings,Isabel,BBST,290808,010716</v>
      </c>
      <c r="M267" s="821" t="str">
        <f t="shared" si="40"/>
        <v>F,Mullings,Isabel,BBST,290808,010716,2</v>
      </c>
      <c r="N267" s="821" t="str">
        <f t="shared" si="41"/>
        <v>F,Mullings,Isabel,BBST,290808,010716,2,F</v>
      </c>
      <c r="O267" s="824"/>
      <c r="P267" s="824" t="str">
        <f t="shared" si="42"/>
        <v>01:07.16</v>
      </c>
      <c r="Q267" s="824" t="str">
        <f t="shared" si="43"/>
        <v>010716</v>
      </c>
      <c r="R267" s="825" t="str">
        <f t="shared" si="44"/>
        <v>F,Mullings,Isabel,BBST,290808,010716,2,F</v>
      </c>
      <c r="S267" s="832"/>
      <c r="T267" s="832"/>
      <c r="U267" s="832"/>
      <c r="V267" s="820"/>
    </row>
    <row r="268" spans="1:22" x14ac:dyDescent="0.25">
      <c r="A268" s="820"/>
      <c r="B268" s="821" t="s">
        <v>4635</v>
      </c>
      <c r="C268" s="821" t="str">
        <f>'Team 3'!J64</f>
        <v>Nelson,Mia</v>
      </c>
      <c r="D268" s="821" t="str">
        <f>'Gala Setup'!Q$6</f>
        <v>BBST</v>
      </c>
      <c r="E268" s="822" t="str">
        <f>'Team 3'!L64</f>
        <v>280311</v>
      </c>
      <c r="F268" s="823">
        <f>'print 10 lane'!O$112</f>
        <v>7.6724537037037039E-4</v>
      </c>
      <c r="G268" s="821">
        <f>'Team 1'!$D$64</f>
        <v>2</v>
      </c>
      <c r="H268" s="821" t="s">
        <v>4635</v>
      </c>
      <c r="I268" s="821" t="str">
        <f t="shared" si="36"/>
        <v>F,Nelson,Mia</v>
      </c>
      <c r="J268" s="821" t="str">
        <f t="shared" si="37"/>
        <v>F,Nelson,Mia,BBST</v>
      </c>
      <c r="K268" s="821" t="str">
        <f t="shared" si="38"/>
        <v>F,Nelson,Mia,BBST,280311</v>
      </c>
      <c r="L268" s="821" t="str">
        <f t="shared" si="39"/>
        <v>F,Nelson,Mia,BBST,280311,010629</v>
      </c>
      <c r="M268" s="821" t="str">
        <f t="shared" si="40"/>
        <v>F,Nelson,Mia,BBST,280311,010629,2</v>
      </c>
      <c r="N268" s="821" t="str">
        <f t="shared" si="41"/>
        <v>F,Nelson,Mia,BBST,280311,010629,2,F</v>
      </c>
      <c r="O268" s="824"/>
      <c r="P268" s="824" t="str">
        <f t="shared" si="42"/>
        <v>01:06.29</v>
      </c>
      <c r="Q268" s="824" t="str">
        <f t="shared" si="43"/>
        <v>010629</v>
      </c>
      <c r="R268" s="825" t="str">
        <f t="shared" si="44"/>
        <v>F,Nelson,Mia,BBST,280311,010629,2,F</v>
      </c>
      <c r="S268" s="832"/>
      <c r="T268" s="832"/>
      <c r="U268" s="832"/>
      <c r="V268" s="820"/>
    </row>
    <row r="269" spans="1:22" x14ac:dyDescent="0.25">
      <c r="A269" s="820"/>
      <c r="B269" s="821" t="s">
        <v>4635</v>
      </c>
      <c r="C269" s="821" t="str">
        <f>'Team 3'!J68</f>
        <v>Brakenbury,Charlotte</v>
      </c>
      <c r="D269" s="821" t="str">
        <f>'Gala Setup'!Q$6</f>
        <v>BBST</v>
      </c>
      <c r="E269" s="822" t="str">
        <f>'Team 3'!L68</f>
        <v>081107</v>
      </c>
      <c r="F269" s="823">
        <f>'print 10 lane'!O$124</f>
        <v>7.7418981481481479E-4</v>
      </c>
      <c r="G269" s="821">
        <f>'Team 1'!$D$68</f>
        <v>2</v>
      </c>
      <c r="H269" s="821" t="s">
        <v>4635</v>
      </c>
      <c r="I269" s="821" t="str">
        <f t="shared" si="36"/>
        <v>F,Brakenbury,Charlotte</v>
      </c>
      <c r="J269" s="821" t="str">
        <f t="shared" si="37"/>
        <v>F,Brakenbury,Charlotte,BBST</v>
      </c>
      <c r="K269" s="821" t="str">
        <f t="shared" si="38"/>
        <v>F,Brakenbury,Charlotte,BBST,081107</v>
      </c>
      <c r="L269" s="821" t="str">
        <f t="shared" si="39"/>
        <v>F,Brakenbury,Charlotte,BBST,081107,010689</v>
      </c>
      <c r="M269" s="821" t="str">
        <f t="shared" si="40"/>
        <v>F,Brakenbury,Charlotte,BBST,081107,010689,2</v>
      </c>
      <c r="N269" s="821" t="str">
        <f t="shared" si="41"/>
        <v>F,Brakenbury,Charlotte,BBST,081107,010689,2,F</v>
      </c>
      <c r="O269" s="824"/>
      <c r="P269" s="824" t="str">
        <f t="shared" si="42"/>
        <v>01:06.89</v>
      </c>
      <c r="Q269" s="824" t="str">
        <f t="shared" si="43"/>
        <v>010689</v>
      </c>
      <c r="R269" s="825" t="str">
        <f t="shared" si="44"/>
        <v>F,Brakenbury,Charlotte,BBST,081107,010689,2,F</v>
      </c>
      <c r="S269" s="832"/>
      <c r="T269" s="832"/>
      <c r="U269" s="832"/>
      <c r="V269" s="820"/>
    </row>
    <row r="270" spans="1:22" x14ac:dyDescent="0.25">
      <c r="A270" s="820"/>
      <c r="B270" s="826" t="s">
        <v>4635</v>
      </c>
      <c r="C270" s="826" t="str">
        <f>'Team 4'!J58</f>
        <v>JOHNSON,ABIGAIL</v>
      </c>
      <c r="D270" s="826" t="str">
        <f>'Gala Setup'!Q$7</f>
        <v>AYBS</v>
      </c>
      <c r="E270" s="827" t="str">
        <f>'Team 4'!L58</f>
        <v>060708</v>
      </c>
      <c r="F270" s="823">
        <f>'print 10 lane'!R$94</f>
        <v>7.6041666666666662E-4</v>
      </c>
      <c r="G270" s="826">
        <f>'Team 1'!$D$58</f>
        <v>2</v>
      </c>
      <c r="H270" s="826" t="s">
        <v>4635</v>
      </c>
      <c r="I270" s="826" t="str">
        <f t="shared" si="36"/>
        <v>F,JOHNSON,ABIGAIL</v>
      </c>
      <c r="J270" s="826" t="str">
        <f t="shared" si="37"/>
        <v>F,JOHNSON,ABIGAIL,AYBS</v>
      </c>
      <c r="K270" s="826" t="str">
        <f t="shared" si="38"/>
        <v>F,JOHNSON,ABIGAIL,AYBS,060708</v>
      </c>
      <c r="L270" s="821" t="str">
        <f t="shared" si="39"/>
        <v>F,JOHNSON,ABIGAIL,AYBS,060708,010570</v>
      </c>
      <c r="M270" s="826" t="str">
        <f t="shared" si="40"/>
        <v>F,JOHNSON,ABIGAIL,AYBS,060708,010570,2</v>
      </c>
      <c r="N270" s="826" t="str">
        <f t="shared" si="41"/>
        <v>F,JOHNSON,ABIGAIL,AYBS,060708,010570,2,F</v>
      </c>
      <c r="O270" s="824"/>
      <c r="P270" s="824" t="str">
        <f t="shared" si="42"/>
        <v>01:05.70</v>
      </c>
      <c r="Q270" s="824" t="str">
        <f t="shared" si="43"/>
        <v>010570</v>
      </c>
      <c r="R270" s="825" t="str">
        <f t="shared" si="44"/>
        <v>F,JOHNSON,ABIGAIL,AYBS,060708,010570,2,F</v>
      </c>
      <c r="S270" s="832"/>
      <c r="T270" s="832"/>
      <c r="U270" s="832"/>
      <c r="V270" s="820"/>
    </row>
    <row r="271" spans="1:22" x14ac:dyDescent="0.25">
      <c r="A271" s="820"/>
      <c r="B271" s="826" t="s">
        <v>4635</v>
      </c>
      <c r="C271" s="826" t="str">
        <f>'Team 4'!J64</f>
        <v>COJEEN,ANNABELLA</v>
      </c>
      <c r="D271" s="826" t="str">
        <f>'Gala Setup'!Q$7</f>
        <v>AYBS</v>
      </c>
      <c r="E271" s="827" t="str">
        <f>'Team 4'!L64</f>
        <v>151210</v>
      </c>
      <c r="F271" s="823">
        <f>'print 10 lane'!R$112</f>
        <v>7.6041666666666662E-4</v>
      </c>
      <c r="G271" s="826">
        <f>'Team 1'!$D$64</f>
        <v>2</v>
      </c>
      <c r="H271" s="826" t="s">
        <v>4635</v>
      </c>
      <c r="I271" s="826" t="str">
        <f t="shared" si="36"/>
        <v>F,COJEEN,ANNABELLA</v>
      </c>
      <c r="J271" s="826" t="str">
        <f t="shared" si="37"/>
        <v>F,COJEEN,ANNABELLA,AYBS</v>
      </c>
      <c r="K271" s="826" t="str">
        <f t="shared" si="38"/>
        <v>F,COJEEN,ANNABELLA,AYBS,151210</v>
      </c>
      <c r="L271" s="821" t="str">
        <f t="shared" si="39"/>
        <v>F,COJEEN,ANNABELLA,AYBS,151210,010570</v>
      </c>
      <c r="M271" s="826" t="str">
        <f t="shared" si="40"/>
        <v>F,COJEEN,ANNABELLA,AYBS,151210,010570,2</v>
      </c>
      <c r="N271" s="826" t="str">
        <f t="shared" si="41"/>
        <v>F,COJEEN,ANNABELLA,AYBS,151210,010570,2,F</v>
      </c>
      <c r="O271" s="824"/>
      <c r="P271" s="824" t="str">
        <f t="shared" si="42"/>
        <v>01:05.70</v>
      </c>
      <c r="Q271" s="824" t="str">
        <f t="shared" si="43"/>
        <v>010570</v>
      </c>
      <c r="R271" s="825" t="str">
        <f t="shared" si="44"/>
        <v>F,COJEEN,ANNABELLA,AYBS,151210,010570,2,F</v>
      </c>
      <c r="S271" s="832"/>
      <c r="T271" s="832"/>
      <c r="U271" s="832"/>
      <c r="V271" s="820"/>
    </row>
    <row r="272" spans="1:22" x14ac:dyDescent="0.25">
      <c r="A272" s="820"/>
      <c r="B272" s="826" t="s">
        <v>4635</v>
      </c>
      <c r="C272" s="826" t="str">
        <f>'Team 4'!J68</f>
        <v>BURNHAM,LUCY</v>
      </c>
      <c r="D272" s="826" t="str">
        <f>'Gala Setup'!Q$7</f>
        <v>AYBS</v>
      </c>
      <c r="E272" s="827" t="str">
        <f>'Team 4'!L68</f>
        <v>060307</v>
      </c>
      <c r="F272" s="823">
        <f>'print 10 lane'!R$124</f>
        <v>7.6076388888888884E-4</v>
      </c>
      <c r="G272" s="826">
        <f>'Team 1'!$D$68</f>
        <v>2</v>
      </c>
      <c r="H272" s="826" t="s">
        <v>4635</v>
      </c>
      <c r="I272" s="826" t="str">
        <f t="shared" si="36"/>
        <v>F,BURNHAM,LUCY</v>
      </c>
      <c r="J272" s="826" t="str">
        <f t="shared" si="37"/>
        <v>F,BURNHAM,LUCY,AYBS</v>
      </c>
      <c r="K272" s="826" t="str">
        <f t="shared" si="38"/>
        <v>F,BURNHAM,LUCY,AYBS,060307</v>
      </c>
      <c r="L272" s="821" t="str">
        <f t="shared" si="39"/>
        <v>F,BURNHAM,LUCY,AYBS,060307,010573</v>
      </c>
      <c r="M272" s="826" t="str">
        <f t="shared" si="40"/>
        <v>F,BURNHAM,LUCY,AYBS,060307,010573,2</v>
      </c>
      <c r="N272" s="826" t="str">
        <f t="shared" si="41"/>
        <v>F,BURNHAM,LUCY,AYBS,060307,010573,2,F</v>
      </c>
      <c r="O272" s="824"/>
      <c r="P272" s="824" t="str">
        <f t="shared" si="42"/>
        <v>01:05.73</v>
      </c>
      <c r="Q272" s="824" t="str">
        <f t="shared" si="43"/>
        <v>010573</v>
      </c>
      <c r="R272" s="825" t="str">
        <f t="shared" si="44"/>
        <v>F,BURNHAM,LUCY,AYBS,060307,010573,2,F</v>
      </c>
      <c r="S272" s="832"/>
      <c r="T272" s="832"/>
      <c r="U272" s="832"/>
      <c r="V272" s="820"/>
    </row>
    <row r="273" spans="1:22" x14ac:dyDescent="0.25">
      <c r="A273" s="820"/>
      <c r="B273" s="821" t="s">
        <v>4635</v>
      </c>
      <c r="C273" s="821" t="str">
        <f>'Team 5'!J58</f>
        <v>Macklin,Mia</v>
      </c>
      <c r="D273" s="821" t="str">
        <f>'Gala Setup'!Q$8</f>
        <v>BTRT</v>
      </c>
      <c r="E273" s="822" t="str">
        <f>'Team 5'!L58</f>
        <v>280508</v>
      </c>
      <c r="F273" s="823">
        <f>'print 10 lane'!U$94</f>
        <v>7.3888888888888886E-4</v>
      </c>
      <c r="G273" s="821">
        <f>'Team 1'!$D$58</f>
        <v>2</v>
      </c>
      <c r="H273" s="821" t="s">
        <v>4635</v>
      </c>
      <c r="I273" s="821" t="str">
        <f t="shared" si="36"/>
        <v>F,Macklin,Mia</v>
      </c>
      <c r="J273" s="821" t="str">
        <f t="shared" si="37"/>
        <v>F,Macklin,Mia,BTRT</v>
      </c>
      <c r="K273" s="821" t="str">
        <f t="shared" si="38"/>
        <v>F,Macklin,Mia,BTRT,280508</v>
      </c>
      <c r="L273" s="821" t="str">
        <f t="shared" si="39"/>
        <v>F,Macklin,Mia,BTRT,280508,010384</v>
      </c>
      <c r="M273" s="821" t="str">
        <f t="shared" si="40"/>
        <v>F,Macklin,Mia,BTRT,280508,010384,2</v>
      </c>
      <c r="N273" s="821" t="str">
        <f t="shared" si="41"/>
        <v>F,Macklin,Mia,BTRT,280508,010384,2,F</v>
      </c>
      <c r="O273" s="824"/>
      <c r="P273" s="824" t="str">
        <f t="shared" si="42"/>
        <v>01:03.84</v>
      </c>
      <c r="Q273" s="824" t="str">
        <f t="shared" si="43"/>
        <v>010384</v>
      </c>
      <c r="R273" s="825" t="str">
        <f t="shared" si="44"/>
        <v>F,Macklin,Mia,BTRT,280508,010384,2,F</v>
      </c>
      <c r="S273" s="832"/>
      <c r="T273" s="832"/>
      <c r="U273" s="832"/>
      <c r="V273" s="820"/>
    </row>
    <row r="274" spans="1:22" x14ac:dyDescent="0.25">
      <c r="A274" s="820"/>
      <c r="B274" s="821" t="s">
        <v>4635</v>
      </c>
      <c r="C274" s="821" t="str">
        <f>'Team 5'!J64</f>
        <v>Baker,Aimee</v>
      </c>
      <c r="D274" s="821" t="str">
        <f>'Gala Setup'!Q$8</f>
        <v>BTRT</v>
      </c>
      <c r="E274" s="822" t="str">
        <f>'Team 5'!L64</f>
        <v>250910</v>
      </c>
      <c r="F274" s="823">
        <f>'print 10 lane'!U$112</f>
        <v>8.0844907407407395E-4</v>
      </c>
      <c r="G274" s="821">
        <f>'Team 1'!$D$64</f>
        <v>2</v>
      </c>
      <c r="H274" s="821" t="s">
        <v>4635</v>
      </c>
      <c r="I274" s="821" t="str">
        <f t="shared" si="36"/>
        <v>F,Baker,Aimee</v>
      </c>
      <c r="J274" s="821" t="str">
        <f t="shared" si="37"/>
        <v>F,Baker,Aimee,BTRT</v>
      </c>
      <c r="K274" s="821" t="str">
        <f t="shared" si="38"/>
        <v>F,Baker,Aimee,BTRT,250910</v>
      </c>
      <c r="L274" s="821" t="str">
        <f t="shared" si="39"/>
        <v>F,Baker,Aimee,BTRT,250910,010985</v>
      </c>
      <c r="M274" s="821" t="str">
        <f t="shared" si="40"/>
        <v>F,Baker,Aimee,BTRT,250910,010985,2</v>
      </c>
      <c r="N274" s="821" t="str">
        <f t="shared" si="41"/>
        <v>F,Baker,Aimee,BTRT,250910,010985,2,F</v>
      </c>
      <c r="O274" s="824"/>
      <c r="P274" s="824" t="str">
        <f t="shared" si="42"/>
        <v>01:09.85</v>
      </c>
      <c r="Q274" s="824" t="str">
        <f t="shared" si="43"/>
        <v>010985</v>
      </c>
      <c r="R274" s="825" t="str">
        <f t="shared" si="44"/>
        <v>F,Baker,Aimee,BTRT,250910,010985,2,F</v>
      </c>
      <c r="S274" s="832"/>
      <c r="T274" s="832"/>
      <c r="U274" s="832"/>
      <c r="V274" s="820"/>
    </row>
    <row r="275" spans="1:22" x14ac:dyDescent="0.25">
      <c r="A275" s="820"/>
      <c r="B275" s="821" t="s">
        <v>4635</v>
      </c>
      <c r="C275" s="821" t="str">
        <f>'Team 5'!J68</f>
        <v>Threadgold,Lily</v>
      </c>
      <c r="D275" s="821" t="str">
        <f>'Gala Setup'!Q$8</f>
        <v>BTRT</v>
      </c>
      <c r="E275" s="822" t="str">
        <f>'Team 5'!L68</f>
        <v>150905</v>
      </c>
      <c r="F275" s="823">
        <f>'print 10 lane'!U$124</f>
        <v>7.618055555555555E-4</v>
      </c>
      <c r="G275" s="821">
        <f>'Team 1'!$D$68</f>
        <v>2</v>
      </c>
      <c r="H275" s="821" t="s">
        <v>4635</v>
      </c>
      <c r="I275" s="821" t="str">
        <f t="shared" si="36"/>
        <v>F,Threadgold,Lily</v>
      </c>
      <c r="J275" s="821" t="str">
        <f t="shared" si="37"/>
        <v>F,Threadgold,Lily,BTRT</v>
      </c>
      <c r="K275" s="821" t="str">
        <f t="shared" si="38"/>
        <v>F,Threadgold,Lily,BTRT,150905</v>
      </c>
      <c r="L275" s="821" t="str">
        <f t="shared" si="39"/>
        <v>F,Threadgold,Lily,BTRT,150905,010582</v>
      </c>
      <c r="M275" s="821" t="str">
        <f t="shared" si="40"/>
        <v>F,Threadgold,Lily,BTRT,150905,010582,2</v>
      </c>
      <c r="N275" s="821" t="str">
        <f t="shared" si="41"/>
        <v>F,Threadgold,Lily,BTRT,150905,010582,2,F</v>
      </c>
      <c r="O275" s="824"/>
      <c r="P275" s="824" t="str">
        <f t="shared" si="42"/>
        <v>01:05.82</v>
      </c>
      <c r="Q275" s="824" t="str">
        <f t="shared" si="43"/>
        <v>010582</v>
      </c>
      <c r="R275" s="825" t="str">
        <f t="shared" si="44"/>
        <v>F,Threadgold,Lily,BTRT,150905,010582,2,F</v>
      </c>
      <c r="S275" s="832"/>
      <c r="T275" s="832"/>
      <c r="U275" s="832"/>
      <c r="V275" s="820"/>
    </row>
    <row r="276" spans="1:22" x14ac:dyDescent="0.25">
      <c r="A276" s="820"/>
      <c r="B276" s="826" t="s">
        <v>4635</v>
      </c>
      <c r="C276" s="826" t="str">
        <f>'Team 6'!J58</f>
        <v xml:space="preserve">Sharrock,Alice </v>
      </c>
      <c r="D276" s="826" t="str">
        <f>'Gala Setup'!Q$9</f>
        <v>HAWL</v>
      </c>
      <c r="E276" s="827" t="str">
        <f>'Team 6'!L58</f>
        <v>301109</v>
      </c>
      <c r="F276" s="823">
        <f>'print 10 lane'!X$94</f>
        <v>7.5868055555555552E-4</v>
      </c>
      <c r="G276" s="826">
        <f>'Team 1'!$D$58</f>
        <v>2</v>
      </c>
      <c r="H276" s="826" t="s">
        <v>4635</v>
      </c>
      <c r="I276" s="826" t="str">
        <f t="shared" si="36"/>
        <v xml:space="preserve">F,Sharrock,Alice </v>
      </c>
      <c r="J276" s="826" t="str">
        <f t="shared" si="37"/>
        <v>F,Sharrock,Alice ,HAWL</v>
      </c>
      <c r="K276" s="826" t="str">
        <f t="shared" si="38"/>
        <v>F,Sharrock,Alice ,HAWL,301109</v>
      </c>
      <c r="L276" s="821" t="str">
        <f t="shared" si="39"/>
        <v>F,Sharrock,Alice ,HAWL,301109,010555</v>
      </c>
      <c r="M276" s="826" t="str">
        <f t="shared" si="40"/>
        <v>F,Sharrock,Alice ,HAWL,301109,010555,2</v>
      </c>
      <c r="N276" s="826" t="str">
        <f t="shared" si="41"/>
        <v>F,Sharrock,Alice ,HAWL,301109,010555,2,F</v>
      </c>
      <c r="O276" s="824"/>
      <c r="P276" s="824" t="str">
        <f t="shared" si="42"/>
        <v>01:05.55</v>
      </c>
      <c r="Q276" s="824" t="str">
        <f t="shared" si="43"/>
        <v>010555</v>
      </c>
      <c r="R276" s="825" t="str">
        <f t="shared" si="44"/>
        <v>F,Sharrock,Alice ,HAWL,301109,010555,2,F</v>
      </c>
      <c r="S276" s="832"/>
      <c r="T276" s="832"/>
      <c r="U276" s="832"/>
      <c r="V276" s="820"/>
    </row>
    <row r="277" spans="1:22" x14ac:dyDescent="0.25">
      <c r="A277" s="820"/>
      <c r="B277" s="826" t="s">
        <v>4635</v>
      </c>
      <c r="C277" s="826" t="str">
        <f>'Team 6'!J64</f>
        <v>Fedorova,Polina</v>
      </c>
      <c r="D277" s="826" t="str">
        <f>'Gala Setup'!Q$9</f>
        <v>HAWL</v>
      </c>
      <c r="E277" s="827" t="str">
        <f>'Team 6'!L64</f>
        <v>290910</v>
      </c>
      <c r="F277" s="823">
        <f>'print 10 lane'!X$112</f>
        <v>8.0833333333333321E-4</v>
      </c>
      <c r="G277" s="826">
        <f>'Team 1'!$D$64</f>
        <v>2</v>
      </c>
      <c r="H277" s="826" t="s">
        <v>4635</v>
      </c>
      <c r="I277" s="826" t="str">
        <f t="shared" si="36"/>
        <v>F,Fedorova,Polina</v>
      </c>
      <c r="J277" s="826" t="str">
        <f t="shared" si="37"/>
        <v>F,Fedorova,Polina,HAWL</v>
      </c>
      <c r="K277" s="826" t="str">
        <f t="shared" si="38"/>
        <v>F,Fedorova,Polina,HAWL,290910</v>
      </c>
      <c r="L277" s="821" t="str">
        <f t="shared" si="39"/>
        <v>F,Fedorova,Polina,HAWL,290910,010984</v>
      </c>
      <c r="M277" s="826" t="str">
        <f t="shared" si="40"/>
        <v>F,Fedorova,Polina,HAWL,290910,010984,2</v>
      </c>
      <c r="N277" s="826" t="str">
        <f t="shared" si="41"/>
        <v>F,Fedorova,Polina,HAWL,290910,010984,2,F</v>
      </c>
      <c r="O277" s="824"/>
      <c r="P277" s="824" t="str">
        <f t="shared" si="42"/>
        <v>01:09.84</v>
      </c>
      <c r="Q277" s="824" t="str">
        <f t="shared" si="43"/>
        <v>010984</v>
      </c>
      <c r="R277" s="825" t="str">
        <f t="shared" si="44"/>
        <v>F,Fedorova,Polina,HAWL,290910,010984,2,F</v>
      </c>
      <c r="S277" s="832"/>
      <c r="T277" s="832"/>
      <c r="U277" s="832"/>
      <c r="V277" s="820"/>
    </row>
    <row r="278" spans="1:22" x14ac:dyDescent="0.25">
      <c r="A278" s="820"/>
      <c r="B278" s="821" t="s">
        <v>4635</v>
      </c>
      <c r="C278" s="821" t="str">
        <f>'Team 7'!J68</f>
        <v>Hibberd,Laura</v>
      </c>
      <c r="D278" s="821" t="str">
        <f>'Gala Setup'!Q$10</f>
        <v>HISL</v>
      </c>
      <c r="E278" s="822" t="str">
        <f>'Team 7'!L68</f>
        <v>020590</v>
      </c>
      <c r="F278" s="823">
        <f>'print 10 lane'!AA$124</f>
        <v>7.361111111111111E-4</v>
      </c>
      <c r="G278" s="821">
        <f>'Team 1'!$D$68</f>
        <v>2</v>
      </c>
      <c r="H278" s="821" t="s">
        <v>4635</v>
      </c>
      <c r="I278" s="821" t="str">
        <f t="shared" si="36"/>
        <v>F,Hibberd,Laura</v>
      </c>
      <c r="J278" s="821" t="str">
        <f t="shared" si="37"/>
        <v>F,Hibberd,Laura,HISL</v>
      </c>
      <c r="K278" s="821" t="str">
        <f t="shared" si="38"/>
        <v>F,Hibberd,Laura,HISL,020590</v>
      </c>
      <c r="L278" s="821" t="str">
        <f t="shared" si="39"/>
        <v>F,Hibberd,Laura,HISL,020590,010360</v>
      </c>
      <c r="M278" s="821" t="str">
        <f t="shared" si="40"/>
        <v>F,Hibberd,Laura,HISL,020590,010360,2</v>
      </c>
      <c r="N278" s="821" t="str">
        <f t="shared" si="41"/>
        <v>F,Hibberd,Laura,HISL,020590,010360,2,F</v>
      </c>
      <c r="O278" s="824"/>
      <c r="P278" s="824" t="str">
        <f t="shared" si="42"/>
        <v>01:03.60</v>
      </c>
      <c r="Q278" s="824" t="str">
        <f t="shared" si="43"/>
        <v>010360</v>
      </c>
      <c r="R278" s="825" t="str">
        <f t="shared" si="44"/>
        <v>F,Hibberd,Laura,HISL,020590,010360,2,F</v>
      </c>
      <c r="S278" s="832"/>
      <c r="T278" s="832"/>
      <c r="U278" s="832"/>
      <c r="V278" s="820"/>
    </row>
    <row r="279" spans="1:22" x14ac:dyDescent="0.25">
      <c r="A279" s="820"/>
      <c r="B279" s="821" t="s">
        <v>4635</v>
      </c>
      <c r="C279" s="821" t="str">
        <f>'Team 7'!J64</f>
        <v>Mepani,Vaari</v>
      </c>
      <c r="D279" s="821" t="str">
        <f>'Gala Setup'!Q$10</f>
        <v>HISL</v>
      </c>
      <c r="E279" s="822" t="str">
        <f>'Team 7'!L64</f>
        <v>290910</v>
      </c>
      <c r="F279" s="823">
        <f>'print 10 lane'!AA$112</f>
        <v>8.1724537037037041E-4</v>
      </c>
      <c r="G279" s="821">
        <f>'Team 1'!$D$64</f>
        <v>2</v>
      </c>
      <c r="H279" s="821" t="s">
        <v>4635</v>
      </c>
      <c r="I279" s="821" t="str">
        <f t="shared" si="36"/>
        <v>F,Mepani,Vaari</v>
      </c>
      <c r="J279" s="821" t="str">
        <f t="shared" si="37"/>
        <v>F,Mepani,Vaari,HISL</v>
      </c>
      <c r="K279" s="821" t="str">
        <f t="shared" si="38"/>
        <v>F,Mepani,Vaari,HISL,290910</v>
      </c>
      <c r="L279" s="821" t="str">
        <f t="shared" si="39"/>
        <v>F,Mepani,Vaari,HISL,290910,011061</v>
      </c>
      <c r="M279" s="821" t="str">
        <f t="shared" si="40"/>
        <v>F,Mepani,Vaari,HISL,290910,011061,2</v>
      </c>
      <c r="N279" s="821" t="str">
        <f t="shared" si="41"/>
        <v>F,Mepani,Vaari,HISL,290910,011061,2,F</v>
      </c>
      <c r="O279" s="824"/>
      <c r="P279" s="824" t="str">
        <f t="shared" si="42"/>
        <v>01:10.61</v>
      </c>
      <c r="Q279" s="824" t="str">
        <f t="shared" si="43"/>
        <v>011061</v>
      </c>
      <c r="R279" s="825" t="str">
        <f t="shared" si="44"/>
        <v>F,Mepani,Vaari,HISL,290910,011061,2,F</v>
      </c>
      <c r="S279" s="832"/>
      <c r="T279" s="832"/>
      <c r="U279" s="832"/>
      <c r="V279" s="820"/>
    </row>
    <row r="280" spans="1:22" x14ac:dyDescent="0.25">
      <c r="A280" s="820"/>
      <c r="B280" s="821" t="s">
        <v>4635</v>
      </c>
      <c r="C280" s="821" t="str">
        <f>'Team 7'!J58</f>
        <v>Sharp,Jessica</v>
      </c>
      <c r="D280" s="821" t="str">
        <f>'Gala Setup'!Q$10</f>
        <v>HISL</v>
      </c>
      <c r="E280" s="822" t="str">
        <f>'Team 7'!L58</f>
        <v>160508</v>
      </c>
      <c r="F280" s="823">
        <f>'print 10 lane'!AA$94</f>
        <v>8.0636574074074074E-4</v>
      </c>
      <c r="G280" s="821">
        <f>'Team 1'!$D$58</f>
        <v>2</v>
      </c>
      <c r="H280" s="821" t="s">
        <v>4635</v>
      </c>
      <c r="I280" s="821" t="str">
        <f t="shared" si="36"/>
        <v>F,Sharp,Jessica</v>
      </c>
      <c r="J280" s="821" t="str">
        <f t="shared" si="37"/>
        <v>F,Sharp,Jessica,HISL</v>
      </c>
      <c r="K280" s="821" t="str">
        <f t="shared" si="38"/>
        <v>F,Sharp,Jessica,HISL,160508</v>
      </c>
      <c r="L280" s="821" t="str">
        <f t="shared" si="39"/>
        <v>F,Sharp,Jessica,HISL,160508,010967</v>
      </c>
      <c r="M280" s="821" t="str">
        <f t="shared" si="40"/>
        <v>F,Sharp,Jessica,HISL,160508,010967,2</v>
      </c>
      <c r="N280" s="821" t="str">
        <f t="shared" si="41"/>
        <v>F,Sharp,Jessica,HISL,160508,010967,2,F</v>
      </c>
      <c r="O280" s="824"/>
      <c r="P280" s="824" t="str">
        <f t="shared" si="42"/>
        <v>01:09.67</v>
      </c>
      <c r="Q280" s="824" t="str">
        <f t="shared" si="43"/>
        <v>010967</v>
      </c>
      <c r="R280" s="825" t="str">
        <f t="shared" si="44"/>
        <v>F,Sharp,Jessica,HISL,160508,010967,2,F</v>
      </c>
      <c r="S280" s="832"/>
      <c r="T280" s="832"/>
      <c r="U280" s="832"/>
      <c r="V280" s="820"/>
    </row>
    <row r="281" spans="1:22" x14ac:dyDescent="0.25">
      <c r="A281" s="820"/>
      <c r="B281" s="826" t="s">
        <v>4635</v>
      </c>
      <c r="C281" s="826" t="str">
        <f>'Team 6'!J68</f>
        <v xml:space="preserve">Sharrock,Alice </v>
      </c>
      <c r="D281" s="826" t="str">
        <f>'Gala Setup'!Q$9</f>
        <v>HAWL</v>
      </c>
      <c r="E281" s="827" t="str">
        <f>'Team 6'!L68</f>
        <v>301109</v>
      </c>
      <c r="F281" s="823">
        <f>'print 10 lane'!X$124</f>
        <v>7.6412037037037041E-4</v>
      </c>
      <c r="G281" s="826">
        <f>'Team 1'!$D$68</f>
        <v>2</v>
      </c>
      <c r="H281" s="826" t="s">
        <v>4635</v>
      </c>
      <c r="I281" s="826" t="str">
        <f t="shared" si="36"/>
        <v xml:space="preserve">F,Sharrock,Alice </v>
      </c>
      <c r="J281" s="826" t="str">
        <f t="shared" si="37"/>
        <v>F,Sharrock,Alice ,HAWL</v>
      </c>
      <c r="K281" s="826" t="str">
        <f t="shared" si="38"/>
        <v>F,Sharrock,Alice ,HAWL,301109</v>
      </c>
      <c r="L281" s="821" t="str">
        <f t="shared" si="39"/>
        <v>F,Sharrock,Alice ,HAWL,301109,010602</v>
      </c>
      <c r="M281" s="826" t="str">
        <f t="shared" si="40"/>
        <v>F,Sharrock,Alice ,HAWL,301109,010602,2</v>
      </c>
      <c r="N281" s="826" t="str">
        <f t="shared" si="41"/>
        <v>F,Sharrock,Alice ,HAWL,301109,010602,2,F</v>
      </c>
      <c r="O281" s="824"/>
      <c r="P281" s="824" t="str">
        <f t="shared" si="42"/>
        <v>01:06.02</v>
      </c>
      <c r="Q281" s="824" t="str">
        <f t="shared" si="43"/>
        <v>010602</v>
      </c>
      <c r="R281" s="825" t="str">
        <f t="shared" si="44"/>
        <v>F,Sharrock,Alice ,HAWL,301109,010602,2,F</v>
      </c>
      <c r="S281" s="832"/>
      <c r="T281" s="832"/>
      <c r="U281" s="832"/>
      <c r="V281" s="820"/>
    </row>
    <row r="282" spans="1:22" x14ac:dyDescent="0.25">
      <c r="A282" s="820"/>
      <c r="B282" s="826" t="s">
        <v>4635</v>
      </c>
      <c r="C282" s="826" t="str">
        <f>'Team 8'!J58</f>
        <v>,</v>
      </c>
      <c r="D282" s="826">
        <f>'Gala Setup'!Q$11</f>
        <v>0</v>
      </c>
      <c r="E282" s="827" t="str">
        <f>'Team 8'!L58</f>
        <v>000100</v>
      </c>
      <c r="F282" s="823">
        <f>'print 10 lane'!AD$94</f>
        <v>0</v>
      </c>
      <c r="G282" s="826">
        <f>'Team 1'!$D$58</f>
        <v>2</v>
      </c>
      <c r="H282" s="826" t="s">
        <v>4635</v>
      </c>
      <c r="I282" s="826" t="str">
        <f t="shared" si="36"/>
        <v>F,,</v>
      </c>
      <c r="J282" s="826" t="str">
        <f t="shared" si="37"/>
        <v>F,,,0</v>
      </c>
      <c r="K282" s="826" t="str">
        <f t="shared" si="38"/>
        <v>F,,,0,000100</v>
      </c>
      <c r="L282" s="821" t="str">
        <f t="shared" si="39"/>
        <v>F,,,0,000100,000000</v>
      </c>
      <c r="M282" s="826" t="str">
        <f t="shared" si="40"/>
        <v>F,,,0,000100,000000,2</v>
      </c>
      <c r="N282" s="826" t="str">
        <f t="shared" si="41"/>
        <v>F,,,0,000100,000000,2,F</v>
      </c>
      <c r="O282" s="824"/>
      <c r="P282" s="824" t="str">
        <f t="shared" si="42"/>
        <v>00:00.00</v>
      </c>
      <c r="Q282" s="824" t="str">
        <f t="shared" si="43"/>
        <v>000000</v>
      </c>
      <c r="R282" s="825" t="str">
        <f t="shared" si="44"/>
        <v/>
      </c>
      <c r="S282" s="832"/>
      <c r="T282" s="832"/>
      <c r="U282" s="832"/>
      <c r="V282" s="820"/>
    </row>
    <row r="283" spans="1:22" x14ac:dyDescent="0.25">
      <c r="A283" s="820"/>
      <c r="B283" s="821" t="s">
        <v>4635</v>
      </c>
      <c r="C283" s="821" t="str">
        <f>'Team 9'!J58</f>
        <v>,</v>
      </c>
      <c r="D283" s="821">
        <f>'Gala Setup'!Q$12</f>
        <v>0</v>
      </c>
      <c r="E283" s="822" t="str">
        <f>'Team 9'!L58</f>
        <v>000100</v>
      </c>
      <c r="F283" s="823">
        <f>'print 10 lane'!AG$94</f>
        <v>0</v>
      </c>
      <c r="G283" s="821">
        <f>'Team 1'!$D$58</f>
        <v>2</v>
      </c>
      <c r="H283" s="821" t="s">
        <v>4635</v>
      </c>
      <c r="I283" s="821" t="str">
        <f t="shared" si="36"/>
        <v>F,,</v>
      </c>
      <c r="J283" s="821" t="str">
        <f t="shared" si="37"/>
        <v>F,,,0</v>
      </c>
      <c r="K283" s="821" t="str">
        <f t="shared" si="38"/>
        <v>F,,,0,000100</v>
      </c>
      <c r="L283" s="821" t="str">
        <f t="shared" si="39"/>
        <v>F,,,0,000100,000000</v>
      </c>
      <c r="M283" s="821" t="str">
        <f t="shared" si="40"/>
        <v>F,,,0,000100,000000,2</v>
      </c>
      <c r="N283" s="821" t="str">
        <f t="shared" si="41"/>
        <v>F,,,0,000100,000000,2,F</v>
      </c>
      <c r="O283" s="824"/>
      <c r="P283" s="824" t="str">
        <f t="shared" si="42"/>
        <v>00:00.00</v>
      </c>
      <c r="Q283" s="824" t="str">
        <f t="shared" si="43"/>
        <v>000000</v>
      </c>
      <c r="R283" s="825" t="str">
        <f t="shared" si="44"/>
        <v/>
      </c>
      <c r="S283" s="832"/>
      <c r="T283" s="832"/>
      <c r="U283" s="832"/>
      <c r="V283" s="820"/>
    </row>
    <row r="284" spans="1:22" x14ac:dyDescent="0.25">
      <c r="A284" s="820"/>
      <c r="B284" s="826" t="s">
        <v>4635</v>
      </c>
      <c r="C284" s="826" t="str">
        <f>'Team 8'!J64</f>
        <v>,</v>
      </c>
      <c r="D284" s="826">
        <f>'Gala Setup'!Q$11</f>
        <v>0</v>
      </c>
      <c r="E284" s="827" t="str">
        <f>'Team 8'!L64</f>
        <v>000100</v>
      </c>
      <c r="F284" s="823">
        <f>'print 10 lane'!AD$112</f>
        <v>0</v>
      </c>
      <c r="G284" s="826">
        <f>'Team 1'!$D$64</f>
        <v>2</v>
      </c>
      <c r="H284" s="826" t="s">
        <v>4635</v>
      </c>
      <c r="I284" s="826" t="str">
        <f t="shared" si="36"/>
        <v>F,,</v>
      </c>
      <c r="J284" s="826" t="str">
        <f t="shared" si="37"/>
        <v>F,,,0</v>
      </c>
      <c r="K284" s="826" t="str">
        <f t="shared" si="38"/>
        <v>F,,,0,000100</v>
      </c>
      <c r="L284" s="821" t="str">
        <f t="shared" si="39"/>
        <v>F,,,0,000100,000000</v>
      </c>
      <c r="M284" s="826" t="str">
        <f t="shared" si="40"/>
        <v>F,,,0,000100,000000,2</v>
      </c>
      <c r="N284" s="826" t="str">
        <f t="shared" si="41"/>
        <v>F,,,0,000100,000000,2,F</v>
      </c>
      <c r="O284" s="824"/>
      <c r="P284" s="824" t="str">
        <f t="shared" si="42"/>
        <v>00:00.00</v>
      </c>
      <c r="Q284" s="824" t="str">
        <f t="shared" si="43"/>
        <v>000000</v>
      </c>
      <c r="R284" s="825" t="str">
        <f t="shared" si="44"/>
        <v/>
      </c>
      <c r="S284" s="832"/>
      <c r="T284" s="832"/>
      <c r="U284" s="832"/>
      <c r="V284" s="820"/>
    </row>
    <row r="285" spans="1:22" x14ac:dyDescent="0.25">
      <c r="A285" s="820"/>
      <c r="B285" s="826" t="s">
        <v>4635</v>
      </c>
      <c r="C285" s="826" t="str">
        <f>'Team 8'!J68</f>
        <v>,</v>
      </c>
      <c r="D285" s="826">
        <f>'Gala Setup'!Q$11</f>
        <v>0</v>
      </c>
      <c r="E285" s="827" t="str">
        <f>'Team 8'!L68</f>
        <v>000100</v>
      </c>
      <c r="F285" s="823">
        <f>'print 10 lane'!AD$124</f>
        <v>0</v>
      </c>
      <c r="G285" s="826">
        <f>'Team 1'!$D$68</f>
        <v>2</v>
      </c>
      <c r="H285" s="826" t="s">
        <v>4635</v>
      </c>
      <c r="I285" s="826" t="str">
        <f t="shared" si="36"/>
        <v>F,,</v>
      </c>
      <c r="J285" s="826" t="str">
        <f t="shared" si="37"/>
        <v>F,,,0</v>
      </c>
      <c r="K285" s="826" t="str">
        <f t="shared" si="38"/>
        <v>F,,,0,000100</v>
      </c>
      <c r="L285" s="821" t="str">
        <f t="shared" si="39"/>
        <v>F,,,0,000100,000000</v>
      </c>
      <c r="M285" s="826" t="str">
        <f t="shared" si="40"/>
        <v>F,,,0,000100,000000,2</v>
      </c>
      <c r="N285" s="826" t="str">
        <f t="shared" si="41"/>
        <v>F,,,0,000100,000000,2,F</v>
      </c>
      <c r="O285" s="824"/>
      <c r="P285" s="824" t="str">
        <f t="shared" si="42"/>
        <v>00:00.00</v>
      </c>
      <c r="Q285" s="824" t="str">
        <f t="shared" si="43"/>
        <v>000000</v>
      </c>
      <c r="R285" s="825" t="str">
        <f t="shared" si="44"/>
        <v/>
      </c>
      <c r="S285" s="832"/>
      <c r="T285" s="832"/>
      <c r="U285" s="832"/>
      <c r="V285" s="820"/>
    </row>
    <row r="286" spans="1:22" x14ac:dyDescent="0.25">
      <c r="A286" s="820"/>
      <c r="B286" s="826" t="s">
        <v>4635</v>
      </c>
      <c r="C286" s="826" t="str">
        <f>'Team 10'!J58</f>
        <v>,</v>
      </c>
      <c r="D286" s="826">
        <f>'Gala Setup'!Q$13</f>
        <v>0</v>
      </c>
      <c r="E286" s="827" t="str">
        <f>'Team 10'!L58</f>
        <v>000100</v>
      </c>
      <c r="F286" s="823">
        <f>'print 10 lane'!AJ$94</f>
        <v>0</v>
      </c>
      <c r="G286" s="826">
        <f>'Team 1'!$D$58</f>
        <v>2</v>
      </c>
      <c r="H286" s="826" t="s">
        <v>4635</v>
      </c>
      <c r="I286" s="826" t="str">
        <f t="shared" si="36"/>
        <v>F,,</v>
      </c>
      <c r="J286" s="826" t="str">
        <f t="shared" si="37"/>
        <v>F,,,0</v>
      </c>
      <c r="K286" s="826" t="str">
        <f t="shared" si="38"/>
        <v>F,,,0,000100</v>
      </c>
      <c r="L286" s="821" t="str">
        <f t="shared" si="39"/>
        <v>F,,,0,000100,000000</v>
      </c>
      <c r="M286" s="826" t="str">
        <f t="shared" si="40"/>
        <v>F,,,0,000100,000000,2</v>
      </c>
      <c r="N286" s="826" t="str">
        <f t="shared" si="41"/>
        <v>F,,,0,000100,000000,2,F</v>
      </c>
      <c r="O286" s="824"/>
      <c r="P286" s="824" t="str">
        <f t="shared" si="42"/>
        <v>00:00.00</v>
      </c>
      <c r="Q286" s="824" t="str">
        <f t="shared" si="43"/>
        <v>000000</v>
      </c>
      <c r="R286" s="825" t="str">
        <f t="shared" si="44"/>
        <v/>
      </c>
      <c r="S286" s="832"/>
      <c r="T286" s="832"/>
      <c r="U286" s="832"/>
      <c r="V286" s="820"/>
    </row>
    <row r="287" spans="1:22" x14ac:dyDescent="0.25">
      <c r="A287" s="820"/>
      <c r="B287" s="826" t="s">
        <v>4635</v>
      </c>
      <c r="C287" s="826" t="str">
        <f>'Team 10'!J64</f>
        <v>,</v>
      </c>
      <c r="D287" s="826">
        <f>'Gala Setup'!Q$13</f>
        <v>0</v>
      </c>
      <c r="E287" s="827" t="str">
        <f>'Team 10'!L64</f>
        <v>000100</v>
      </c>
      <c r="F287" s="823">
        <f>'print 10 lane'!AJ$112</f>
        <v>0</v>
      </c>
      <c r="G287" s="826">
        <f>'Team 1'!$D$64</f>
        <v>2</v>
      </c>
      <c r="H287" s="826" t="s">
        <v>4635</v>
      </c>
      <c r="I287" s="826" t="str">
        <f t="shared" si="36"/>
        <v>F,,</v>
      </c>
      <c r="J287" s="826" t="str">
        <f t="shared" si="37"/>
        <v>F,,,0</v>
      </c>
      <c r="K287" s="826" t="str">
        <f t="shared" si="38"/>
        <v>F,,,0,000100</v>
      </c>
      <c r="L287" s="821" t="str">
        <f t="shared" si="39"/>
        <v>F,,,0,000100,000000</v>
      </c>
      <c r="M287" s="826" t="str">
        <f t="shared" si="40"/>
        <v>F,,,0,000100,000000,2</v>
      </c>
      <c r="N287" s="826" t="str">
        <f t="shared" si="41"/>
        <v>F,,,0,000100,000000,2,F</v>
      </c>
      <c r="O287" s="824"/>
      <c r="P287" s="824" t="str">
        <f t="shared" si="42"/>
        <v>00:00.00</v>
      </c>
      <c r="Q287" s="824" t="str">
        <f t="shared" si="43"/>
        <v>000000</v>
      </c>
      <c r="R287" s="825" t="str">
        <f t="shared" si="44"/>
        <v/>
      </c>
      <c r="S287" s="832"/>
      <c r="T287" s="832"/>
      <c r="U287" s="832"/>
      <c r="V287" s="820"/>
    </row>
    <row r="288" spans="1:22" x14ac:dyDescent="0.25">
      <c r="A288" s="820"/>
      <c r="B288" s="826" t="s">
        <v>4635</v>
      </c>
      <c r="C288" s="826" t="str">
        <f>'Team 10'!J68</f>
        <v>,</v>
      </c>
      <c r="D288" s="826">
        <f>'Gala Setup'!Q$13</f>
        <v>0</v>
      </c>
      <c r="E288" s="827" t="str">
        <f>'Team 10'!L68</f>
        <v>000100</v>
      </c>
      <c r="F288" s="823">
        <f>'print 10 lane'!AJ$124</f>
        <v>0</v>
      </c>
      <c r="G288" s="826">
        <f>'Team 1'!$D$68</f>
        <v>2</v>
      </c>
      <c r="H288" s="826" t="s">
        <v>4635</v>
      </c>
      <c r="I288" s="826" t="str">
        <f t="shared" si="36"/>
        <v>F,,</v>
      </c>
      <c r="J288" s="826" t="str">
        <f t="shared" si="37"/>
        <v>F,,,0</v>
      </c>
      <c r="K288" s="826" t="str">
        <f t="shared" si="38"/>
        <v>F,,,0,000100</v>
      </c>
      <c r="L288" s="821" t="str">
        <f t="shared" si="39"/>
        <v>F,,,0,000100,000000</v>
      </c>
      <c r="M288" s="826" t="str">
        <f t="shared" si="40"/>
        <v>F,,,0,000100,000000,2</v>
      </c>
      <c r="N288" s="826" t="str">
        <f t="shared" si="41"/>
        <v>F,,,0,000100,000000,2,F</v>
      </c>
      <c r="O288" s="824"/>
      <c r="P288" s="824" t="str">
        <f t="shared" si="42"/>
        <v>00:00.00</v>
      </c>
      <c r="Q288" s="824" t="str">
        <f t="shared" si="43"/>
        <v>000000</v>
      </c>
      <c r="R288" s="825" t="str">
        <f t="shared" si="44"/>
        <v/>
      </c>
      <c r="S288" s="832"/>
      <c r="T288" s="832"/>
      <c r="U288" s="832"/>
      <c r="V288" s="820"/>
    </row>
    <row r="289" spans="1:22" x14ac:dyDescent="0.25">
      <c r="A289" s="820"/>
      <c r="B289" s="821" t="s">
        <v>4635</v>
      </c>
      <c r="C289" s="821" t="str">
        <f>'Team 9'!J68</f>
        <v>,</v>
      </c>
      <c r="D289" s="821">
        <f>'Gala Setup'!Q$12</f>
        <v>0</v>
      </c>
      <c r="E289" s="822" t="str">
        <f>'Team 9'!L68</f>
        <v>000100</v>
      </c>
      <c r="F289" s="823">
        <f>'print 10 lane'!AG$124</f>
        <v>0</v>
      </c>
      <c r="G289" s="821">
        <f>'Team 1'!$D$68</f>
        <v>2</v>
      </c>
      <c r="H289" s="821" t="s">
        <v>4635</v>
      </c>
      <c r="I289" s="821" t="str">
        <f t="shared" si="36"/>
        <v>F,,</v>
      </c>
      <c r="J289" s="821" t="str">
        <f t="shared" si="37"/>
        <v>F,,,0</v>
      </c>
      <c r="K289" s="821" t="str">
        <f t="shared" si="38"/>
        <v>F,,,0,000100</v>
      </c>
      <c r="L289" s="821" t="str">
        <f t="shared" si="39"/>
        <v>F,,,0,000100,000000</v>
      </c>
      <c r="M289" s="821" t="str">
        <f t="shared" si="40"/>
        <v>F,,,0,000100,000000,2</v>
      </c>
      <c r="N289" s="821" t="str">
        <f t="shared" si="41"/>
        <v>F,,,0,000100,000000,2,F</v>
      </c>
      <c r="O289" s="824"/>
      <c r="P289" s="824" t="str">
        <f t="shared" si="42"/>
        <v>00:00.00</v>
      </c>
      <c r="Q289" s="824" t="str">
        <f t="shared" si="43"/>
        <v>000000</v>
      </c>
      <c r="R289" s="825" t="str">
        <f t="shared" si="44"/>
        <v/>
      </c>
      <c r="S289" s="832"/>
      <c r="T289" s="832"/>
      <c r="U289" s="832"/>
      <c r="V289" s="820"/>
    </row>
    <row r="290" spans="1:22" x14ac:dyDescent="0.25">
      <c r="A290" s="820"/>
      <c r="B290" s="821" t="s">
        <v>4635</v>
      </c>
      <c r="C290" s="821" t="str">
        <f>'Team 9'!J64</f>
        <v>,</v>
      </c>
      <c r="D290" s="821">
        <f>'Gala Setup'!Q$12</f>
        <v>0</v>
      </c>
      <c r="E290" s="822" t="str">
        <f>'Team 9'!L64</f>
        <v>000100</v>
      </c>
      <c r="F290" s="823">
        <f>'print 10 lane'!AG$112</f>
        <v>0</v>
      </c>
      <c r="G290" s="821">
        <f>'Team 1'!$D$64</f>
        <v>2</v>
      </c>
      <c r="H290" s="821" t="s">
        <v>4635</v>
      </c>
      <c r="I290" s="821" t="str">
        <f t="shared" si="36"/>
        <v>F,,</v>
      </c>
      <c r="J290" s="821" t="str">
        <f t="shared" si="37"/>
        <v>F,,,0</v>
      </c>
      <c r="K290" s="821" t="str">
        <f t="shared" si="38"/>
        <v>F,,,0,000100</v>
      </c>
      <c r="L290" s="821" t="str">
        <f t="shared" si="39"/>
        <v>F,,,0,000100,000000</v>
      </c>
      <c r="M290" s="821" t="str">
        <f t="shared" si="40"/>
        <v>F,,,0,000100,000000,2</v>
      </c>
      <c r="N290" s="821" t="str">
        <f t="shared" si="41"/>
        <v>F,,,0,000100,000000,2,F</v>
      </c>
      <c r="O290" s="824"/>
      <c r="P290" s="824" t="str">
        <f t="shared" si="42"/>
        <v>00:00.00</v>
      </c>
      <c r="Q290" s="824" t="str">
        <f t="shared" si="43"/>
        <v>000000</v>
      </c>
      <c r="R290" s="825" t="str">
        <f t="shared" si="44"/>
        <v/>
      </c>
      <c r="S290" s="832"/>
      <c r="T290" s="832"/>
      <c r="U290" s="832"/>
      <c r="V290" s="820"/>
    </row>
    <row r="291" spans="1:22" x14ac:dyDescent="0.25">
      <c r="A291" s="820"/>
      <c r="B291" s="826" t="s">
        <v>328</v>
      </c>
      <c r="C291" s="826" t="str">
        <f>'Team 8'!J69</f>
        <v>,</v>
      </c>
      <c r="D291" s="826">
        <f>'Gala Setup'!Q$11</f>
        <v>0</v>
      </c>
      <c r="E291" s="827" t="str">
        <f>'Team 8'!L69</f>
        <v>000100</v>
      </c>
      <c r="F291" s="823">
        <f>'print 10 lane'!AD$127</f>
        <v>0</v>
      </c>
      <c r="G291" s="826">
        <f>'Team 1'!$D$69</f>
        <v>2</v>
      </c>
      <c r="H291" s="826" t="s">
        <v>4635</v>
      </c>
      <c r="I291" s="826" t="str">
        <f t="shared" si="36"/>
        <v>M,,</v>
      </c>
      <c r="J291" s="826" t="str">
        <f t="shared" si="37"/>
        <v>M,,,0</v>
      </c>
      <c r="K291" s="826" t="str">
        <f t="shared" si="38"/>
        <v>M,,,0,000100</v>
      </c>
      <c r="L291" s="821" t="str">
        <f t="shared" si="39"/>
        <v>M,,,0,000100,000000</v>
      </c>
      <c r="M291" s="826" t="str">
        <f t="shared" si="40"/>
        <v>M,,,0,000100,000000,2</v>
      </c>
      <c r="N291" s="826" t="str">
        <f t="shared" si="41"/>
        <v>M,,,0,000100,000000,2,F</v>
      </c>
      <c r="O291" s="824"/>
      <c r="P291" s="824" t="str">
        <f t="shared" si="42"/>
        <v>00:00.00</v>
      </c>
      <c r="Q291" s="824" t="str">
        <f t="shared" si="43"/>
        <v>000000</v>
      </c>
      <c r="R291" s="825" t="str">
        <f t="shared" si="44"/>
        <v/>
      </c>
      <c r="S291" s="832"/>
      <c r="T291" s="832"/>
      <c r="U291" s="832"/>
      <c r="V291" s="820"/>
    </row>
    <row r="292" spans="1:22" x14ac:dyDescent="0.25">
      <c r="A292" s="820"/>
      <c r="B292" s="826" t="s">
        <v>328</v>
      </c>
      <c r="C292" s="826" t="str">
        <f>'Team 8'!J65</f>
        <v>,</v>
      </c>
      <c r="D292" s="826">
        <f>'Gala Setup'!Q$11</f>
        <v>0</v>
      </c>
      <c r="E292" s="827" t="str">
        <f>'Team 8'!L65</f>
        <v>000100</v>
      </c>
      <c r="F292" s="823">
        <f>'print 10 lane'!AD$115</f>
        <v>0</v>
      </c>
      <c r="G292" s="826">
        <f>'Team 1'!$D$65</f>
        <v>2</v>
      </c>
      <c r="H292" s="826" t="s">
        <v>4635</v>
      </c>
      <c r="I292" s="826" t="str">
        <f t="shared" si="36"/>
        <v>M,,</v>
      </c>
      <c r="J292" s="826" t="str">
        <f t="shared" si="37"/>
        <v>M,,,0</v>
      </c>
      <c r="K292" s="826" t="str">
        <f t="shared" si="38"/>
        <v>M,,,0,000100</v>
      </c>
      <c r="L292" s="821" t="str">
        <f t="shared" si="39"/>
        <v>M,,,0,000100,000000</v>
      </c>
      <c r="M292" s="826" t="str">
        <f t="shared" si="40"/>
        <v>M,,,0,000100,000000,2</v>
      </c>
      <c r="N292" s="826" t="str">
        <f t="shared" si="41"/>
        <v>M,,,0,000100,000000,2,F</v>
      </c>
      <c r="O292" s="824"/>
      <c r="P292" s="824" t="str">
        <f t="shared" si="42"/>
        <v>00:00.00</v>
      </c>
      <c r="Q292" s="824" t="str">
        <f t="shared" si="43"/>
        <v>000000</v>
      </c>
      <c r="R292" s="825" t="str">
        <f t="shared" si="44"/>
        <v/>
      </c>
      <c r="S292" s="832"/>
      <c r="T292" s="832"/>
      <c r="U292" s="832"/>
      <c r="V292" s="820"/>
    </row>
    <row r="293" spans="1:22" x14ac:dyDescent="0.25">
      <c r="A293" s="820"/>
      <c r="B293" s="821" t="s">
        <v>328</v>
      </c>
      <c r="C293" s="821" t="str">
        <f>'Team 9'!J59</f>
        <v>,</v>
      </c>
      <c r="D293" s="821">
        <f>'Gala Setup'!Q$12</f>
        <v>0</v>
      </c>
      <c r="E293" s="822" t="str">
        <f>'Team 9'!L59</f>
        <v>000100</v>
      </c>
      <c r="F293" s="823">
        <f>'print 10 lane'!AG$97</f>
        <v>0</v>
      </c>
      <c r="G293" s="821">
        <f>'Team 1'!$D$59</f>
        <v>2</v>
      </c>
      <c r="H293" s="821" t="s">
        <v>4635</v>
      </c>
      <c r="I293" s="821" t="str">
        <f t="shared" si="36"/>
        <v>M,,</v>
      </c>
      <c r="J293" s="821" t="str">
        <f t="shared" si="37"/>
        <v>M,,,0</v>
      </c>
      <c r="K293" s="821" t="str">
        <f t="shared" si="38"/>
        <v>M,,,0,000100</v>
      </c>
      <c r="L293" s="821" t="str">
        <f t="shared" si="39"/>
        <v>M,,,0,000100,000000</v>
      </c>
      <c r="M293" s="821" t="str">
        <f t="shared" si="40"/>
        <v>M,,,0,000100,000000,2</v>
      </c>
      <c r="N293" s="821" t="str">
        <f t="shared" si="41"/>
        <v>M,,,0,000100,000000,2,F</v>
      </c>
      <c r="O293" s="824"/>
      <c r="P293" s="824" t="str">
        <f t="shared" si="42"/>
        <v>00:00.00</v>
      </c>
      <c r="Q293" s="824" t="str">
        <f t="shared" si="43"/>
        <v>000000</v>
      </c>
      <c r="R293" s="825" t="str">
        <f t="shared" si="44"/>
        <v/>
      </c>
      <c r="S293" s="832"/>
      <c r="T293" s="832"/>
      <c r="U293" s="832"/>
      <c r="V293" s="820"/>
    </row>
    <row r="294" spans="1:22" x14ac:dyDescent="0.25">
      <c r="A294" s="820"/>
      <c r="B294" s="826" t="s">
        <v>328</v>
      </c>
      <c r="C294" s="826" t="str">
        <f>'Team 8'!J59</f>
        <v>,</v>
      </c>
      <c r="D294" s="826">
        <f>'Gala Setup'!Q$11</f>
        <v>0</v>
      </c>
      <c r="E294" s="827" t="str">
        <f>'Team 8'!L59</f>
        <v>000100</v>
      </c>
      <c r="F294" s="823">
        <f>'print 10 lane'!AD$97</f>
        <v>0</v>
      </c>
      <c r="G294" s="826">
        <f>'Team 1'!$D$59</f>
        <v>2</v>
      </c>
      <c r="H294" s="826" t="s">
        <v>4635</v>
      </c>
      <c r="I294" s="826" t="str">
        <f t="shared" si="36"/>
        <v>M,,</v>
      </c>
      <c r="J294" s="826" t="str">
        <f t="shared" si="37"/>
        <v>M,,,0</v>
      </c>
      <c r="K294" s="826" t="str">
        <f t="shared" si="38"/>
        <v>M,,,0,000100</v>
      </c>
      <c r="L294" s="821" t="str">
        <f t="shared" si="39"/>
        <v>M,,,0,000100,000000</v>
      </c>
      <c r="M294" s="826" t="str">
        <f t="shared" si="40"/>
        <v>M,,,0,000100,000000,2</v>
      </c>
      <c r="N294" s="826" t="str">
        <f t="shared" si="41"/>
        <v>M,,,0,000100,000000,2,F</v>
      </c>
      <c r="O294" s="824"/>
      <c r="P294" s="824" t="str">
        <f t="shared" si="42"/>
        <v>00:00.00</v>
      </c>
      <c r="Q294" s="824" t="str">
        <f t="shared" si="43"/>
        <v>000000</v>
      </c>
      <c r="R294" s="825" t="str">
        <f t="shared" si="44"/>
        <v/>
      </c>
      <c r="S294" s="832"/>
      <c r="T294" s="832"/>
      <c r="U294" s="832"/>
      <c r="V294" s="820"/>
    </row>
    <row r="295" spans="1:22" x14ac:dyDescent="0.25">
      <c r="A295" s="820"/>
      <c r="B295" s="826" t="s">
        <v>328</v>
      </c>
      <c r="C295" s="826" t="str">
        <f>'Team 6'!J69</f>
        <v>Lembac,Razvan</v>
      </c>
      <c r="D295" s="826" t="str">
        <f>'Gala Setup'!Q$9</f>
        <v>HAWL</v>
      </c>
      <c r="E295" s="827" t="str">
        <f>'Team 6'!L69</f>
        <v>141207</v>
      </c>
      <c r="F295" s="823">
        <f>'print 10 lane'!X$127</f>
        <v>6.4444444444444445E-4</v>
      </c>
      <c r="G295" s="826">
        <f>'Team 1'!$D$69</f>
        <v>2</v>
      </c>
      <c r="H295" s="826" t="s">
        <v>4635</v>
      </c>
      <c r="I295" s="826" t="str">
        <f t="shared" si="36"/>
        <v>M,Lembac,Razvan</v>
      </c>
      <c r="J295" s="826" t="str">
        <f t="shared" si="37"/>
        <v>M,Lembac,Razvan,HAWL</v>
      </c>
      <c r="K295" s="826" t="str">
        <f t="shared" si="38"/>
        <v>M,Lembac,Razvan,HAWL,141207</v>
      </c>
      <c r="L295" s="821" t="str">
        <f t="shared" si="39"/>
        <v>M,Lembac,Razvan,HAWL,141207,005568</v>
      </c>
      <c r="M295" s="826" t="str">
        <f t="shared" si="40"/>
        <v>M,Lembac,Razvan,HAWL,141207,005568,2</v>
      </c>
      <c r="N295" s="826" t="str">
        <f t="shared" si="41"/>
        <v>M,Lembac,Razvan,HAWL,141207,005568,2,F</v>
      </c>
      <c r="O295" s="824"/>
      <c r="P295" s="824" t="str">
        <f t="shared" si="42"/>
        <v>00:55.68</v>
      </c>
      <c r="Q295" s="824" t="str">
        <f t="shared" si="43"/>
        <v>005568</v>
      </c>
      <c r="R295" s="825" t="str">
        <f t="shared" si="44"/>
        <v>M,Lembac,Razvan,HAWL,141207,005568,2,F</v>
      </c>
      <c r="S295" s="832"/>
      <c r="T295" s="832"/>
      <c r="U295" s="832"/>
      <c r="V295" s="820"/>
    </row>
    <row r="296" spans="1:22" x14ac:dyDescent="0.25">
      <c r="A296" s="820"/>
      <c r="B296" s="821" t="s">
        <v>328</v>
      </c>
      <c r="C296" s="821" t="str">
        <f>'Team 7'!J65</f>
        <v>Celi,Daniel</v>
      </c>
      <c r="D296" s="821" t="str">
        <f>'Gala Setup'!Q$10</f>
        <v>HISL</v>
      </c>
      <c r="E296" s="822" t="str">
        <f>'Team 7'!L65</f>
        <v>300910</v>
      </c>
      <c r="F296" s="823">
        <f>'print 10 lane'!AA$115</f>
        <v>7.4050925925925933E-4</v>
      </c>
      <c r="G296" s="821">
        <f>'Team 1'!$D$65</f>
        <v>2</v>
      </c>
      <c r="H296" s="821" t="s">
        <v>4635</v>
      </c>
      <c r="I296" s="821" t="str">
        <f t="shared" si="36"/>
        <v>M,Celi,Daniel</v>
      </c>
      <c r="J296" s="821" t="str">
        <f t="shared" si="37"/>
        <v>M,Celi,Daniel,HISL</v>
      </c>
      <c r="K296" s="821" t="str">
        <f t="shared" si="38"/>
        <v>M,Celi,Daniel,HISL,300910</v>
      </c>
      <c r="L296" s="821" t="str">
        <f t="shared" si="39"/>
        <v>M,Celi,Daniel,HISL,300910,010398</v>
      </c>
      <c r="M296" s="821" t="str">
        <f t="shared" si="40"/>
        <v>M,Celi,Daniel,HISL,300910,010398,2</v>
      </c>
      <c r="N296" s="821" t="str">
        <f t="shared" si="41"/>
        <v>M,Celi,Daniel,HISL,300910,010398,2,F</v>
      </c>
      <c r="O296" s="824"/>
      <c r="P296" s="824" t="str">
        <f t="shared" si="42"/>
        <v>01:03.98</v>
      </c>
      <c r="Q296" s="824" t="str">
        <f t="shared" si="43"/>
        <v>010398</v>
      </c>
      <c r="R296" s="825" t="str">
        <f t="shared" si="44"/>
        <v>M,Celi,Daniel,HISL,300910,010398,2,F</v>
      </c>
      <c r="S296" s="832"/>
      <c r="T296" s="832"/>
      <c r="U296" s="832"/>
      <c r="V296" s="820"/>
    </row>
    <row r="297" spans="1:22" x14ac:dyDescent="0.25">
      <c r="A297" s="820"/>
      <c r="B297" s="821" t="s">
        <v>328</v>
      </c>
      <c r="C297" s="821" t="str">
        <f>'Team 7'!J59</f>
        <v>Parmar,Aaran</v>
      </c>
      <c r="D297" s="821" t="str">
        <f>'Gala Setup'!Q$10</f>
        <v>HISL</v>
      </c>
      <c r="E297" s="822" t="str">
        <f>'Team 7'!L59</f>
        <v>040309</v>
      </c>
      <c r="F297" s="823">
        <f>'print 10 lane'!AA$97</f>
        <v>7.2546296296296291E-4</v>
      </c>
      <c r="G297" s="821">
        <f>'Team 1'!$D$59</f>
        <v>2</v>
      </c>
      <c r="H297" s="821" t="s">
        <v>4635</v>
      </c>
      <c r="I297" s="821" t="str">
        <f t="shared" si="36"/>
        <v>M,Parmar,Aaran</v>
      </c>
      <c r="J297" s="821" t="str">
        <f t="shared" si="37"/>
        <v>M,Parmar,Aaran,HISL</v>
      </c>
      <c r="K297" s="821" t="str">
        <f t="shared" si="38"/>
        <v>M,Parmar,Aaran,HISL,040309</v>
      </c>
      <c r="L297" s="821" t="str">
        <f t="shared" si="39"/>
        <v>M,Parmar,Aaran,HISL,040309,010268</v>
      </c>
      <c r="M297" s="821" t="str">
        <f t="shared" si="40"/>
        <v>M,Parmar,Aaran,HISL,040309,010268,2</v>
      </c>
      <c r="N297" s="821" t="str">
        <f t="shared" si="41"/>
        <v>M,Parmar,Aaran,HISL,040309,010268,2,F</v>
      </c>
      <c r="O297" s="824"/>
      <c r="P297" s="824" t="str">
        <f t="shared" si="42"/>
        <v>01:02.68</v>
      </c>
      <c r="Q297" s="824" t="str">
        <f t="shared" si="43"/>
        <v>010268</v>
      </c>
      <c r="R297" s="825" t="str">
        <f t="shared" si="44"/>
        <v>M,Parmar,Aaran,HISL,040309,010268,2,F</v>
      </c>
      <c r="S297" s="832"/>
      <c r="T297" s="832"/>
      <c r="U297" s="832"/>
      <c r="V297" s="820"/>
    </row>
    <row r="298" spans="1:22" x14ac:dyDescent="0.25">
      <c r="A298" s="820"/>
      <c r="B298" s="821" t="s">
        <v>328</v>
      </c>
      <c r="C298" s="821" t="str">
        <f>'Team 7'!J69</f>
        <v>Treanor,Liam</v>
      </c>
      <c r="D298" s="821" t="str">
        <f>'Gala Setup'!Q$10</f>
        <v>HISL</v>
      </c>
      <c r="E298" s="822" t="str">
        <f>'Team 7'!L69</f>
        <v>150907</v>
      </c>
      <c r="F298" s="823">
        <f>'print 10 lane'!AA$127</f>
        <v>6.8449074074074072E-4</v>
      </c>
      <c r="G298" s="821">
        <f>'Team 1'!$D$69</f>
        <v>2</v>
      </c>
      <c r="H298" s="821" t="s">
        <v>4635</v>
      </c>
      <c r="I298" s="821" t="str">
        <f t="shared" si="36"/>
        <v>M,Treanor,Liam</v>
      </c>
      <c r="J298" s="821" t="str">
        <f t="shared" si="37"/>
        <v>M,Treanor,Liam,HISL</v>
      </c>
      <c r="K298" s="821" t="str">
        <f t="shared" si="38"/>
        <v>M,Treanor,Liam,HISL,150907</v>
      </c>
      <c r="L298" s="821" t="str">
        <f t="shared" si="39"/>
        <v>M,Treanor,Liam,HISL,150907,005914</v>
      </c>
      <c r="M298" s="821" t="str">
        <f t="shared" si="40"/>
        <v>M,Treanor,Liam,HISL,150907,005914,2</v>
      </c>
      <c r="N298" s="821" t="str">
        <f t="shared" si="41"/>
        <v>M,Treanor,Liam,HISL,150907,005914,2,F</v>
      </c>
      <c r="O298" s="824"/>
      <c r="P298" s="824" t="str">
        <f t="shared" si="42"/>
        <v>00:59.14</v>
      </c>
      <c r="Q298" s="824" t="str">
        <f t="shared" si="43"/>
        <v>005914</v>
      </c>
      <c r="R298" s="825" t="str">
        <f t="shared" si="44"/>
        <v>M,Treanor,Liam,HISL,150907,005914,2,F</v>
      </c>
      <c r="S298" s="832"/>
      <c r="T298" s="832"/>
      <c r="U298" s="832"/>
      <c r="V298" s="820"/>
    </row>
    <row r="299" spans="1:22" x14ac:dyDescent="0.25">
      <c r="A299" s="820"/>
      <c r="B299" s="826" t="s">
        <v>328</v>
      </c>
      <c r="C299" s="826" t="str">
        <f>'Team 6'!J65</f>
        <v xml:space="preserve">Zeqiri,Gert </v>
      </c>
      <c r="D299" s="826" t="str">
        <f>'Gala Setup'!Q$9</f>
        <v>HAWL</v>
      </c>
      <c r="E299" s="827" t="str">
        <f>'Team 6'!L65</f>
        <v>270510</v>
      </c>
      <c r="F299" s="823">
        <f>'print 10 lane'!X$115</f>
        <v>7.1898148148148158E-4</v>
      </c>
      <c r="G299" s="826">
        <f>'Team 1'!$D$65</f>
        <v>2</v>
      </c>
      <c r="H299" s="826" t="s">
        <v>4635</v>
      </c>
      <c r="I299" s="826" t="str">
        <f t="shared" si="36"/>
        <v xml:space="preserve">M,Zeqiri,Gert </v>
      </c>
      <c r="J299" s="826" t="str">
        <f t="shared" si="37"/>
        <v>M,Zeqiri,Gert ,HAWL</v>
      </c>
      <c r="K299" s="826" t="str">
        <f t="shared" si="38"/>
        <v>M,Zeqiri,Gert ,HAWL,270510</v>
      </c>
      <c r="L299" s="821" t="str">
        <f t="shared" si="39"/>
        <v>M,Zeqiri,Gert ,HAWL,270510,010212</v>
      </c>
      <c r="M299" s="826" t="str">
        <f t="shared" si="40"/>
        <v>M,Zeqiri,Gert ,HAWL,270510,010212,2</v>
      </c>
      <c r="N299" s="826" t="str">
        <f t="shared" si="41"/>
        <v>M,Zeqiri,Gert ,HAWL,270510,010212,2,F</v>
      </c>
      <c r="O299" s="824"/>
      <c r="P299" s="824" t="str">
        <f t="shared" si="42"/>
        <v>01:02.12</v>
      </c>
      <c r="Q299" s="824" t="str">
        <f t="shared" si="43"/>
        <v>010212</v>
      </c>
      <c r="R299" s="825" t="str">
        <f t="shared" si="44"/>
        <v>M,Zeqiri,Gert ,HAWL,270510,010212,2,F</v>
      </c>
      <c r="S299" s="832"/>
      <c r="T299" s="832"/>
      <c r="U299" s="832"/>
      <c r="V299" s="820"/>
    </row>
    <row r="300" spans="1:22" x14ac:dyDescent="0.25">
      <c r="A300" s="820"/>
      <c r="B300" s="826" t="s">
        <v>328</v>
      </c>
      <c r="C300" s="826" t="str">
        <f>'Team 4'!J69</f>
        <v>MASTERS,MATTHEW</v>
      </c>
      <c r="D300" s="826" t="str">
        <f>'Gala Setup'!Q$7</f>
        <v>AYBS</v>
      </c>
      <c r="E300" s="827" t="str">
        <f>'Team 4'!L69</f>
        <v>311094</v>
      </c>
      <c r="F300" s="823">
        <f>'print 10 lane'!R$127</f>
        <v>6.5474537037037031E-4</v>
      </c>
      <c r="G300" s="826">
        <f>'Team 1'!$D$69</f>
        <v>2</v>
      </c>
      <c r="H300" s="826" t="s">
        <v>4635</v>
      </c>
      <c r="I300" s="826" t="str">
        <f t="shared" si="36"/>
        <v>M,MASTERS,MATTHEW</v>
      </c>
      <c r="J300" s="826" t="str">
        <f t="shared" si="37"/>
        <v>M,MASTERS,MATTHEW,AYBS</v>
      </c>
      <c r="K300" s="826" t="str">
        <f t="shared" si="38"/>
        <v>M,MASTERS,MATTHEW,AYBS,311094</v>
      </c>
      <c r="L300" s="821" t="str">
        <f t="shared" si="39"/>
        <v>M,MASTERS,MATTHEW,AYBS,311094,005657</v>
      </c>
      <c r="M300" s="826" t="str">
        <f t="shared" si="40"/>
        <v>M,MASTERS,MATTHEW,AYBS,311094,005657,2</v>
      </c>
      <c r="N300" s="826" t="str">
        <f t="shared" si="41"/>
        <v>M,MASTERS,MATTHEW,AYBS,311094,005657,2,F</v>
      </c>
      <c r="O300" s="824"/>
      <c r="P300" s="824" t="str">
        <f t="shared" si="42"/>
        <v>00:56.57</v>
      </c>
      <c r="Q300" s="824" t="str">
        <f t="shared" si="43"/>
        <v>005657</v>
      </c>
      <c r="R300" s="825" t="str">
        <f t="shared" si="44"/>
        <v>M,MASTERS,MATTHEW,AYBS,311094,005657,2,F</v>
      </c>
      <c r="S300" s="832"/>
      <c r="T300" s="832"/>
      <c r="U300" s="832"/>
      <c r="V300" s="820"/>
    </row>
    <row r="301" spans="1:22" x14ac:dyDescent="0.25">
      <c r="A301" s="820"/>
      <c r="B301" s="826" t="s">
        <v>328</v>
      </c>
      <c r="C301" s="826" t="str">
        <f>'Team 4'!J65</f>
        <v>BUNCE,RILEY</v>
      </c>
      <c r="D301" s="826" t="str">
        <f>'Gala Setup'!Q$7</f>
        <v>AYBS</v>
      </c>
      <c r="E301" s="827" t="str">
        <f>'Team 4'!L65</f>
        <v>270810</v>
      </c>
      <c r="F301" s="823">
        <f>'print 10 lane'!R$115</f>
        <v>8.0902777777777787E-4</v>
      </c>
      <c r="G301" s="826">
        <f>'Team 1'!$D$65</f>
        <v>2</v>
      </c>
      <c r="H301" s="826" t="s">
        <v>4635</v>
      </c>
      <c r="I301" s="826" t="str">
        <f t="shared" si="36"/>
        <v>M,BUNCE,RILEY</v>
      </c>
      <c r="J301" s="826" t="str">
        <f t="shared" si="37"/>
        <v>M,BUNCE,RILEY,AYBS</v>
      </c>
      <c r="K301" s="826" t="str">
        <f t="shared" si="38"/>
        <v>M,BUNCE,RILEY,AYBS,270810</v>
      </c>
      <c r="L301" s="821" t="str">
        <f t="shared" si="39"/>
        <v>M,BUNCE,RILEY,AYBS,270810,010990</v>
      </c>
      <c r="M301" s="826" t="str">
        <f t="shared" si="40"/>
        <v>M,BUNCE,RILEY,AYBS,270810,010990,2</v>
      </c>
      <c r="N301" s="826" t="str">
        <f t="shared" si="41"/>
        <v>M,BUNCE,RILEY,AYBS,270810,010990,2,F</v>
      </c>
      <c r="O301" s="824"/>
      <c r="P301" s="824" t="str">
        <f t="shared" si="42"/>
        <v>01:09.90</v>
      </c>
      <c r="Q301" s="824" t="str">
        <f t="shared" si="43"/>
        <v>010990</v>
      </c>
      <c r="R301" s="825" t="str">
        <f t="shared" si="44"/>
        <v>M,BUNCE,RILEY,AYBS,270810,010990,2,F</v>
      </c>
      <c r="S301" s="832"/>
      <c r="T301" s="832"/>
      <c r="U301" s="832"/>
      <c r="V301" s="820"/>
    </row>
    <row r="302" spans="1:22" x14ac:dyDescent="0.25">
      <c r="A302" s="820"/>
      <c r="B302" s="826" t="s">
        <v>328</v>
      </c>
      <c r="C302" s="826" t="str">
        <f>'Team 4'!J59</f>
        <v>RAINES,CHARLES</v>
      </c>
      <c r="D302" s="826" t="str">
        <f>'Gala Setup'!Q$7</f>
        <v>AYBS</v>
      </c>
      <c r="E302" s="827" t="str">
        <f>'Team 4'!L59</f>
        <v>130208</v>
      </c>
      <c r="F302" s="823">
        <f>'print 10 lane'!R$97</f>
        <v>6.8576388888888897E-4</v>
      </c>
      <c r="G302" s="826">
        <f>'Team 1'!$D$59</f>
        <v>2</v>
      </c>
      <c r="H302" s="826" t="s">
        <v>4635</v>
      </c>
      <c r="I302" s="826" t="str">
        <f t="shared" si="36"/>
        <v>M,RAINES,CHARLES</v>
      </c>
      <c r="J302" s="826" t="str">
        <f t="shared" si="37"/>
        <v>M,RAINES,CHARLES,AYBS</v>
      </c>
      <c r="K302" s="826" t="str">
        <f t="shared" si="38"/>
        <v>M,RAINES,CHARLES,AYBS,130208</v>
      </c>
      <c r="L302" s="821" t="str">
        <f t="shared" si="39"/>
        <v>M,RAINES,CHARLES,AYBS,130208,005925</v>
      </c>
      <c r="M302" s="826" t="str">
        <f t="shared" si="40"/>
        <v>M,RAINES,CHARLES,AYBS,130208,005925,2</v>
      </c>
      <c r="N302" s="826" t="str">
        <f t="shared" si="41"/>
        <v>M,RAINES,CHARLES,AYBS,130208,005925,2,F</v>
      </c>
      <c r="O302" s="824"/>
      <c r="P302" s="824" t="str">
        <f t="shared" si="42"/>
        <v>00:59.25</v>
      </c>
      <c r="Q302" s="824" t="str">
        <f t="shared" si="43"/>
        <v>005925</v>
      </c>
      <c r="R302" s="825" t="str">
        <f t="shared" si="44"/>
        <v>M,RAINES,CHARLES,AYBS,130208,005925,2,F</v>
      </c>
      <c r="S302" s="820"/>
      <c r="T302" s="832"/>
      <c r="U302" s="832"/>
      <c r="V302" s="820"/>
    </row>
    <row r="303" spans="1:22" x14ac:dyDescent="0.25">
      <c r="A303" s="820"/>
      <c r="B303" s="821" t="s">
        <v>328</v>
      </c>
      <c r="C303" s="821" t="str">
        <f>'Team 3'!J69</f>
        <v>Morley,Luke</v>
      </c>
      <c r="D303" s="821" t="str">
        <f>'Gala Setup'!Q$6</f>
        <v>BBST</v>
      </c>
      <c r="E303" s="822" t="str">
        <f>'Team 3'!L69</f>
        <v>150607</v>
      </c>
      <c r="F303" s="823">
        <f>'print 10 lane'!O$127</f>
        <v>7.0335648148148145E-4</v>
      </c>
      <c r="G303" s="821">
        <f>'Team 1'!$D$69</f>
        <v>2</v>
      </c>
      <c r="H303" s="821" t="s">
        <v>4635</v>
      </c>
      <c r="I303" s="821" t="str">
        <f t="shared" si="36"/>
        <v>M,Morley,Luke</v>
      </c>
      <c r="J303" s="821" t="str">
        <f t="shared" si="37"/>
        <v>M,Morley,Luke,BBST</v>
      </c>
      <c r="K303" s="821" t="str">
        <f t="shared" si="38"/>
        <v>M,Morley,Luke,BBST,150607</v>
      </c>
      <c r="L303" s="821" t="str">
        <f t="shared" si="39"/>
        <v>M,Morley,Luke,BBST,150607,010077</v>
      </c>
      <c r="M303" s="821" t="str">
        <f t="shared" si="40"/>
        <v>M,Morley,Luke,BBST,150607,010077,2</v>
      </c>
      <c r="N303" s="821" t="str">
        <f t="shared" si="41"/>
        <v>M,Morley,Luke,BBST,150607,010077,2,F</v>
      </c>
      <c r="O303" s="824"/>
      <c r="P303" s="824" t="str">
        <f t="shared" si="42"/>
        <v>01:00.77</v>
      </c>
      <c r="Q303" s="824" t="str">
        <f t="shared" si="43"/>
        <v>010077</v>
      </c>
      <c r="R303" s="825" t="str">
        <f t="shared" si="44"/>
        <v>M,Morley,Luke,BBST,150607,010077,2,F</v>
      </c>
      <c r="S303" s="832"/>
      <c r="T303" s="832"/>
      <c r="U303" s="832"/>
      <c r="V303" s="820"/>
    </row>
    <row r="304" spans="1:22" x14ac:dyDescent="0.25">
      <c r="A304" s="820"/>
      <c r="B304" s="821" t="s">
        <v>328</v>
      </c>
      <c r="C304" s="821" t="str">
        <f>'Team 3'!J65</f>
        <v>Zharinov,Mikhail</v>
      </c>
      <c r="D304" s="821" t="str">
        <f>'Gala Setup'!Q$6</f>
        <v>BBST</v>
      </c>
      <c r="E304" s="822" t="str">
        <f>'Team 3'!L65</f>
        <v>280110</v>
      </c>
      <c r="F304" s="823">
        <f>'print 10 lane'!O$115</f>
        <v>7.693287037037036E-4</v>
      </c>
      <c r="G304" s="821">
        <f>'Team 1'!$D$65</f>
        <v>2</v>
      </c>
      <c r="H304" s="821" t="s">
        <v>4635</v>
      </c>
      <c r="I304" s="821" t="str">
        <f t="shared" si="36"/>
        <v>M,Zharinov,Mikhail</v>
      </c>
      <c r="J304" s="821" t="str">
        <f t="shared" si="37"/>
        <v>M,Zharinov,Mikhail,BBST</v>
      </c>
      <c r="K304" s="821" t="str">
        <f t="shared" si="38"/>
        <v>M,Zharinov,Mikhail,BBST,280110</v>
      </c>
      <c r="L304" s="821" t="str">
        <f t="shared" si="39"/>
        <v>M,Zharinov,Mikhail,BBST,280110,010647</v>
      </c>
      <c r="M304" s="821" t="str">
        <f t="shared" si="40"/>
        <v>M,Zharinov,Mikhail,BBST,280110,010647,2</v>
      </c>
      <c r="N304" s="821" t="str">
        <f t="shared" si="41"/>
        <v>M,Zharinov,Mikhail,BBST,280110,010647,2,F</v>
      </c>
      <c r="O304" s="824"/>
      <c r="P304" s="824" t="str">
        <f t="shared" si="42"/>
        <v>01:06.47</v>
      </c>
      <c r="Q304" s="824" t="str">
        <f t="shared" si="43"/>
        <v>010647</v>
      </c>
      <c r="R304" s="825" t="str">
        <f t="shared" si="44"/>
        <v>M,Zharinov,Mikhail,BBST,280110,010647,2,F</v>
      </c>
      <c r="S304" s="832"/>
      <c r="T304" s="832"/>
      <c r="U304" s="832"/>
      <c r="V304" s="820"/>
    </row>
    <row r="305" spans="1:22" x14ac:dyDescent="0.25">
      <c r="A305" s="820"/>
      <c r="B305" s="821" t="s">
        <v>328</v>
      </c>
      <c r="C305" s="821" t="str">
        <f>'Team 3'!J59</f>
        <v>Thompson,Ewan</v>
      </c>
      <c r="D305" s="821" t="str">
        <f>'Gala Setup'!Q$6</f>
        <v>BBST</v>
      </c>
      <c r="E305" s="822" t="str">
        <f>'Team 3'!L59</f>
        <v>240111</v>
      </c>
      <c r="F305" s="823">
        <f>'print 10 lane'!O$97</f>
        <v>7.6770833333333335E-4</v>
      </c>
      <c r="G305" s="821">
        <f>'Team 1'!$D$59</f>
        <v>2</v>
      </c>
      <c r="H305" s="821" t="s">
        <v>4635</v>
      </c>
      <c r="I305" s="821" t="str">
        <f t="shared" si="36"/>
        <v>M,Thompson,Ewan</v>
      </c>
      <c r="J305" s="821" t="str">
        <f t="shared" si="37"/>
        <v>M,Thompson,Ewan,BBST</v>
      </c>
      <c r="K305" s="821" t="str">
        <f t="shared" si="38"/>
        <v>M,Thompson,Ewan,BBST,240111</v>
      </c>
      <c r="L305" s="821" t="str">
        <f t="shared" si="39"/>
        <v>M,Thompson,Ewan,BBST,240111,010633</v>
      </c>
      <c r="M305" s="821" t="str">
        <f t="shared" si="40"/>
        <v>M,Thompson,Ewan,BBST,240111,010633,2</v>
      </c>
      <c r="N305" s="821" t="str">
        <f t="shared" si="41"/>
        <v>M,Thompson,Ewan,BBST,240111,010633,2,F</v>
      </c>
      <c r="O305" s="824"/>
      <c r="P305" s="824" t="str">
        <f t="shared" si="42"/>
        <v>01:06.33</v>
      </c>
      <c r="Q305" s="824" t="str">
        <f t="shared" si="43"/>
        <v>010633</v>
      </c>
      <c r="R305" s="825" t="str">
        <f t="shared" si="44"/>
        <v>M,Thompson,Ewan,BBST,240111,010633,2,F</v>
      </c>
      <c r="S305" s="832"/>
      <c r="T305" s="832"/>
      <c r="U305" s="832"/>
      <c r="V305" s="820"/>
    </row>
    <row r="306" spans="1:22" x14ac:dyDescent="0.25">
      <c r="A306" s="820"/>
      <c r="B306" s="826" t="s">
        <v>328</v>
      </c>
      <c r="C306" s="826" t="str">
        <f>'Team 2'!J69</f>
        <v>Chapman,Harry</v>
      </c>
      <c r="D306" s="826" t="str">
        <f>'Gala Setup'!$Q$5</f>
        <v>STET</v>
      </c>
      <c r="E306" s="827" t="str">
        <f>'Team 2'!L69</f>
        <v>170307</v>
      </c>
      <c r="F306" s="823">
        <f>'print 10 lane'!L$127</f>
        <v>7.1099537037037041E-4</v>
      </c>
      <c r="G306" s="826">
        <f>'Team 1'!$D$69</f>
        <v>2</v>
      </c>
      <c r="H306" s="826" t="s">
        <v>4635</v>
      </c>
      <c r="I306" s="826" t="str">
        <f t="shared" si="36"/>
        <v>M,Chapman,Harry</v>
      </c>
      <c r="J306" s="826" t="str">
        <f t="shared" si="37"/>
        <v>M,Chapman,Harry,STET</v>
      </c>
      <c r="K306" s="826" t="str">
        <f t="shared" si="38"/>
        <v>M,Chapman,Harry,STET,170307</v>
      </c>
      <c r="L306" s="821" t="str">
        <f t="shared" si="39"/>
        <v>M,Chapman,Harry,STET,170307,010143</v>
      </c>
      <c r="M306" s="826" t="str">
        <f t="shared" si="40"/>
        <v>M,Chapman,Harry,STET,170307,010143,2</v>
      </c>
      <c r="N306" s="826" t="str">
        <f t="shared" si="41"/>
        <v>M,Chapman,Harry,STET,170307,010143,2,F</v>
      </c>
      <c r="O306" s="824"/>
      <c r="P306" s="824" t="str">
        <f t="shared" si="42"/>
        <v>01:01.43</v>
      </c>
      <c r="Q306" s="824" t="str">
        <f t="shared" si="43"/>
        <v>010143</v>
      </c>
      <c r="R306" s="825" t="str">
        <f t="shared" si="44"/>
        <v>M,Chapman,Harry,STET,170307,010143,2,F</v>
      </c>
      <c r="S306" s="832"/>
      <c r="T306" s="832"/>
      <c r="U306" s="832"/>
      <c r="V306" s="820"/>
    </row>
    <row r="307" spans="1:22" x14ac:dyDescent="0.25">
      <c r="A307" s="820"/>
      <c r="B307" s="821" t="s">
        <v>328</v>
      </c>
      <c r="C307" s="821" t="str">
        <f>'Team 1'!J65</f>
        <v>Ilhan,Yigit</v>
      </c>
      <c r="D307" s="821" t="str">
        <f>'Gala Setup'!Q$4</f>
        <v>HABL</v>
      </c>
      <c r="E307" s="822" t="str">
        <f>'Team 1'!L65</f>
        <v>170210</v>
      </c>
      <c r="F307" s="823">
        <f>'print 10 lane'!I$115</f>
        <v>7.5578703703703702E-4</v>
      </c>
      <c r="G307" s="821">
        <f>'Team 1'!$D$65</f>
        <v>2</v>
      </c>
      <c r="H307" s="821" t="s">
        <v>4635</v>
      </c>
      <c r="I307" s="821" t="str">
        <f t="shared" si="36"/>
        <v>M,Ilhan,Yigit</v>
      </c>
      <c r="J307" s="821" t="str">
        <f t="shared" si="37"/>
        <v>M,Ilhan,Yigit,HABL</v>
      </c>
      <c r="K307" s="821" t="str">
        <f t="shared" si="38"/>
        <v>M,Ilhan,Yigit,HABL,170210</v>
      </c>
      <c r="L307" s="821" t="str">
        <f t="shared" si="39"/>
        <v>M,Ilhan,Yigit,HABL,170210,010530</v>
      </c>
      <c r="M307" s="821" t="str">
        <f t="shared" si="40"/>
        <v>M,Ilhan,Yigit,HABL,170210,010530,2</v>
      </c>
      <c r="N307" s="821" t="str">
        <f t="shared" si="41"/>
        <v>M,Ilhan,Yigit,HABL,170210,010530,2,F</v>
      </c>
      <c r="O307" s="824"/>
      <c r="P307" s="824" t="str">
        <f t="shared" si="42"/>
        <v>01:05.30</v>
      </c>
      <c r="Q307" s="824" t="str">
        <f t="shared" si="43"/>
        <v>010530</v>
      </c>
      <c r="R307" s="825" t="str">
        <f t="shared" si="44"/>
        <v>M,Ilhan,Yigit,HABL,170210,010530,2,F</v>
      </c>
      <c r="S307" s="832"/>
      <c r="T307" s="832"/>
      <c r="U307" s="832"/>
      <c r="V307" s="820"/>
    </row>
    <row r="308" spans="1:22" x14ac:dyDescent="0.25">
      <c r="A308" s="820"/>
      <c r="B308" s="821" t="s">
        <v>328</v>
      </c>
      <c r="C308" s="821" t="str">
        <f>'Team 1'!J59</f>
        <v>Tornay,Zalan</v>
      </c>
      <c r="D308" s="821" t="str">
        <f>'Gala Setup'!Q$4</f>
        <v>HABL</v>
      </c>
      <c r="E308" s="822" t="str">
        <f>'Team 1'!L59</f>
        <v>090609</v>
      </c>
      <c r="F308" s="823">
        <f>'print 10 lane'!I$97</f>
        <v>7.817129629629629E-4</v>
      </c>
      <c r="G308" s="821">
        <f>'Team 1'!$D$59</f>
        <v>2</v>
      </c>
      <c r="H308" s="821" t="s">
        <v>4635</v>
      </c>
      <c r="I308" s="821" t="str">
        <f t="shared" si="36"/>
        <v>M,Tornay,Zalan</v>
      </c>
      <c r="J308" s="821" t="str">
        <f t="shared" si="37"/>
        <v>M,Tornay,Zalan,HABL</v>
      </c>
      <c r="K308" s="821" t="str">
        <f t="shared" si="38"/>
        <v>M,Tornay,Zalan,HABL,090609</v>
      </c>
      <c r="L308" s="821" t="str">
        <f t="shared" si="39"/>
        <v>M,Tornay,Zalan,HABL,090609,010754</v>
      </c>
      <c r="M308" s="821" t="str">
        <f t="shared" si="40"/>
        <v>M,Tornay,Zalan,HABL,090609,010754,2</v>
      </c>
      <c r="N308" s="821" t="str">
        <f t="shared" si="41"/>
        <v>M,Tornay,Zalan,HABL,090609,010754,2,F</v>
      </c>
      <c r="O308" s="824"/>
      <c r="P308" s="824" t="str">
        <f t="shared" si="42"/>
        <v>01:07.54</v>
      </c>
      <c r="Q308" s="824" t="str">
        <f t="shared" si="43"/>
        <v>010754</v>
      </c>
      <c r="R308" s="825" t="str">
        <f t="shared" si="44"/>
        <v>M,Tornay,Zalan,HABL,090609,010754,2,F</v>
      </c>
      <c r="S308" s="832"/>
      <c r="T308" s="832"/>
      <c r="U308" s="832"/>
      <c r="V308" s="820"/>
    </row>
    <row r="309" spans="1:22" x14ac:dyDescent="0.25">
      <c r="A309" s="820"/>
      <c r="B309" s="826" t="s">
        <v>328</v>
      </c>
      <c r="C309" s="826" t="str">
        <f>'Team 2'!J59</f>
        <v>Humphreys,Daniel</v>
      </c>
      <c r="D309" s="826" t="str">
        <f>'Gala Setup'!$Q$5</f>
        <v>STET</v>
      </c>
      <c r="E309" s="827" t="str">
        <f>'Team 2'!L59</f>
        <v>150609</v>
      </c>
      <c r="F309" s="823">
        <f>'print 10 lane'!L$97</f>
        <v>7.4780092592592595E-4</v>
      </c>
      <c r="G309" s="826">
        <f>'Team 1'!$D$59</f>
        <v>2</v>
      </c>
      <c r="H309" s="826" t="s">
        <v>4635</v>
      </c>
      <c r="I309" s="826" t="str">
        <f t="shared" si="36"/>
        <v>M,Humphreys,Daniel</v>
      </c>
      <c r="J309" s="826" t="str">
        <f t="shared" si="37"/>
        <v>M,Humphreys,Daniel,STET</v>
      </c>
      <c r="K309" s="826" t="str">
        <f t="shared" si="38"/>
        <v>M,Humphreys,Daniel,STET,150609</v>
      </c>
      <c r="L309" s="821" t="str">
        <f t="shared" si="39"/>
        <v>M,Humphreys,Daniel,STET,150609,010461</v>
      </c>
      <c r="M309" s="826" t="str">
        <f t="shared" si="40"/>
        <v>M,Humphreys,Daniel,STET,150609,010461,2</v>
      </c>
      <c r="N309" s="826" t="str">
        <f t="shared" si="41"/>
        <v>M,Humphreys,Daniel,STET,150609,010461,2,F</v>
      </c>
      <c r="O309" s="824"/>
      <c r="P309" s="824" t="str">
        <f t="shared" si="42"/>
        <v>01:04.61</v>
      </c>
      <c r="Q309" s="824" t="str">
        <f t="shared" si="43"/>
        <v>010461</v>
      </c>
      <c r="R309" s="825" t="str">
        <f t="shared" si="44"/>
        <v>M,Humphreys,Daniel,STET,150609,010461,2,F</v>
      </c>
      <c r="S309" s="832"/>
      <c r="T309" s="832"/>
      <c r="U309" s="832"/>
      <c r="V309" s="820"/>
    </row>
    <row r="310" spans="1:22" x14ac:dyDescent="0.25">
      <c r="A310" s="820"/>
      <c r="B310" s="826" t="s">
        <v>328</v>
      </c>
      <c r="C310" s="826" t="str">
        <f>'Team 2'!J65</f>
        <v>Bagshaw,Joseph</v>
      </c>
      <c r="D310" s="826" t="str">
        <f>'Gala Setup'!$Q$5</f>
        <v>STET</v>
      </c>
      <c r="E310" s="827" t="str">
        <f>'Team 2'!L65</f>
        <v>240110</v>
      </c>
      <c r="F310" s="823">
        <f>'print 10 lane'!L$115</f>
        <v>7.6261574074074079E-4</v>
      </c>
      <c r="G310" s="826">
        <f>'Team 1'!$D$65</f>
        <v>2</v>
      </c>
      <c r="H310" s="826" t="s">
        <v>4635</v>
      </c>
      <c r="I310" s="826" t="str">
        <f t="shared" si="36"/>
        <v>M,Bagshaw,Joseph</v>
      </c>
      <c r="J310" s="826" t="str">
        <f t="shared" si="37"/>
        <v>M,Bagshaw,Joseph,STET</v>
      </c>
      <c r="K310" s="826" t="str">
        <f t="shared" si="38"/>
        <v>M,Bagshaw,Joseph,STET,240110</v>
      </c>
      <c r="L310" s="821" t="str">
        <f t="shared" si="39"/>
        <v>M,Bagshaw,Joseph,STET,240110,010589</v>
      </c>
      <c r="M310" s="826" t="str">
        <f t="shared" si="40"/>
        <v>M,Bagshaw,Joseph,STET,240110,010589,2</v>
      </c>
      <c r="N310" s="826" t="str">
        <f t="shared" si="41"/>
        <v>M,Bagshaw,Joseph,STET,240110,010589,2,F</v>
      </c>
      <c r="O310" s="824"/>
      <c r="P310" s="824" t="str">
        <f t="shared" si="42"/>
        <v>01:05.89</v>
      </c>
      <c r="Q310" s="824" t="str">
        <f t="shared" si="43"/>
        <v>010589</v>
      </c>
      <c r="R310" s="825" t="str">
        <f t="shared" si="44"/>
        <v>M,Bagshaw,Joseph,STET,240110,010589,2,F</v>
      </c>
      <c r="S310" s="832"/>
      <c r="T310" s="832"/>
      <c r="U310" s="832"/>
      <c r="V310" s="820"/>
    </row>
    <row r="311" spans="1:22" x14ac:dyDescent="0.25">
      <c r="A311" s="820"/>
      <c r="B311" s="821" t="s">
        <v>328</v>
      </c>
      <c r="C311" s="821" t="str">
        <f>'Team 1'!J69</f>
        <v>Smeaton,James</v>
      </c>
      <c r="D311" s="821" t="str">
        <f>'Gala Setup'!Q$4</f>
        <v>HABL</v>
      </c>
      <c r="E311" s="822" t="str">
        <f>'Team 1'!L69</f>
        <v>171007</v>
      </c>
      <c r="F311" s="823">
        <f>'print 10 lane'!I$127</f>
        <v>7.2094907407407405E-4</v>
      </c>
      <c r="G311" s="821">
        <f>'Team 1'!$D$69</f>
        <v>2</v>
      </c>
      <c r="H311" s="821" t="s">
        <v>4635</v>
      </c>
      <c r="I311" s="821" t="str">
        <f t="shared" si="36"/>
        <v>M,Smeaton,James</v>
      </c>
      <c r="J311" s="821" t="str">
        <f t="shared" si="37"/>
        <v>M,Smeaton,James,HABL</v>
      </c>
      <c r="K311" s="821" t="str">
        <f t="shared" si="38"/>
        <v>M,Smeaton,James,HABL,171007</v>
      </c>
      <c r="L311" s="821" t="str">
        <f t="shared" si="39"/>
        <v>M,Smeaton,James,HABL,171007,010229</v>
      </c>
      <c r="M311" s="821" t="str">
        <f t="shared" si="40"/>
        <v>M,Smeaton,James,HABL,171007,010229,2</v>
      </c>
      <c r="N311" s="821" t="str">
        <f t="shared" si="41"/>
        <v>M,Smeaton,James,HABL,171007,010229,2,F</v>
      </c>
      <c r="O311" s="824"/>
      <c r="P311" s="824" t="str">
        <f t="shared" si="42"/>
        <v>01:02.29</v>
      </c>
      <c r="Q311" s="824" t="str">
        <f t="shared" si="43"/>
        <v>010229</v>
      </c>
      <c r="R311" s="825" t="str">
        <f t="shared" si="44"/>
        <v>M,Smeaton,James,HABL,171007,010229,2,F</v>
      </c>
      <c r="S311" s="832"/>
      <c r="T311" s="832"/>
      <c r="U311" s="832"/>
      <c r="V311" s="820"/>
    </row>
    <row r="312" spans="1:22" x14ac:dyDescent="0.25">
      <c r="A312" s="820"/>
      <c r="B312" s="826" t="s">
        <v>328</v>
      </c>
      <c r="C312" s="826" t="str">
        <f>'Team 6'!J59</f>
        <v>,</v>
      </c>
      <c r="D312" s="826" t="str">
        <f>'Gala Setup'!Q$9</f>
        <v>HAWL</v>
      </c>
      <c r="E312" s="827" t="str">
        <f>'Team 6'!L59</f>
        <v>000100</v>
      </c>
      <c r="F312" s="823">
        <f>'print 10 lane'!X$97</f>
        <v>0</v>
      </c>
      <c r="G312" s="826">
        <f>'Team 1'!$D$59</f>
        <v>2</v>
      </c>
      <c r="H312" s="826" t="s">
        <v>4635</v>
      </c>
      <c r="I312" s="826" t="str">
        <f t="shared" si="36"/>
        <v>M,,</v>
      </c>
      <c r="J312" s="826" t="str">
        <f t="shared" si="37"/>
        <v>M,,,HAWL</v>
      </c>
      <c r="K312" s="826" t="str">
        <f t="shared" si="38"/>
        <v>M,,,HAWL,000100</v>
      </c>
      <c r="L312" s="821" t="str">
        <f t="shared" si="39"/>
        <v>M,,,HAWL,000100,000000</v>
      </c>
      <c r="M312" s="826" t="str">
        <f t="shared" si="40"/>
        <v>M,,,HAWL,000100,000000,2</v>
      </c>
      <c r="N312" s="826" t="str">
        <f t="shared" si="41"/>
        <v>M,,,HAWL,000100,000000,2,F</v>
      </c>
      <c r="O312" s="824"/>
      <c r="P312" s="824" t="str">
        <f t="shared" si="42"/>
        <v>00:00.00</v>
      </c>
      <c r="Q312" s="824" t="str">
        <f t="shared" si="43"/>
        <v>000000</v>
      </c>
      <c r="R312" s="825" t="str">
        <f t="shared" si="44"/>
        <v/>
      </c>
      <c r="S312" s="832"/>
      <c r="T312" s="832"/>
      <c r="U312" s="832"/>
      <c r="V312" s="820"/>
    </row>
    <row r="313" spans="1:22" x14ac:dyDescent="0.25">
      <c r="A313" s="820"/>
      <c r="B313" s="821" t="s">
        <v>328</v>
      </c>
      <c r="C313" s="821" t="str">
        <f>'Team 5'!J69</f>
        <v>Elliston,Robert</v>
      </c>
      <c r="D313" s="821" t="str">
        <f>'Gala Setup'!Q$8</f>
        <v>BTRT</v>
      </c>
      <c r="E313" s="822" t="str">
        <f>'Team 5'!L69</f>
        <v>021106</v>
      </c>
      <c r="F313" s="823">
        <f>'print 10 lane'!U$127</f>
        <v>6.7881944444444446E-4</v>
      </c>
      <c r="G313" s="821">
        <f>'Team 1'!$D$69</f>
        <v>2</v>
      </c>
      <c r="H313" s="821" t="s">
        <v>4635</v>
      </c>
      <c r="I313" s="821" t="str">
        <f t="shared" si="36"/>
        <v>M,Elliston,Robert</v>
      </c>
      <c r="J313" s="821" t="str">
        <f t="shared" si="37"/>
        <v>M,Elliston,Robert,BTRT</v>
      </c>
      <c r="K313" s="821" t="str">
        <f t="shared" si="38"/>
        <v>M,Elliston,Robert,BTRT,021106</v>
      </c>
      <c r="L313" s="821" t="str">
        <f t="shared" si="39"/>
        <v>M,Elliston,Robert,BTRT,021106,005865</v>
      </c>
      <c r="M313" s="821" t="str">
        <f t="shared" si="40"/>
        <v>M,Elliston,Robert,BTRT,021106,005865,2</v>
      </c>
      <c r="N313" s="821" t="str">
        <f t="shared" si="41"/>
        <v>M,Elliston,Robert,BTRT,021106,005865,2,F</v>
      </c>
      <c r="O313" s="824"/>
      <c r="P313" s="824" t="str">
        <f t="shared" si="42"/>
        <v>00:58.65</v>
      </c>
      <c r="Q313" s="824" t="str">
        <f t="shared" si="43"/>
        <v>005865</v>
      </c>
      <c r="R313" s="825" t="str">
        <f t="shared" si="44"/>
        <v>M,Elliston,Robert,BTRT,021106,005865,2,F</v>
      </c>
      <c r="S313" s="832"/>
      <c r="T313" s="832"/>
      <c r="U313" s="832"/>
      <c r="V313" s="820"/>
    </row>
    <row r="314" spans="1:22" x14ac:dyDescent="0.25">
      <c r="A314" s="820"/>
      <c r="B314" s="821" t="s">
        <v>328</v>
      </c>
      <c r="C314" s="821" t="str">
        <f>'Team 5'!J65</f>
        <v>Malek,Mohammed</v>
      </c>
      <c r="D314" s="821" t="str">
        <f>'Gala Setup'!Q$8</f>
        <v>BTRT</v>
      </c>
      <c r="E314" s="822" t="str">
        <f>'Team 5'!L65</f>
        <v>090412</v>
      </c>
      <c r="F314" s="823">
        <f>'print 10 lane'!U$115</f>
        <v>9.4976851851851852E-4</v>
      </c>
      <c r="G314" s="821">
        <f>'Team 1'!$D$65</f>
        <v>2</v>
      </c>
      <c r="H314" s="821" t="s">
        <v>4635</v>
      </c>
      <c r="I314" s="821" t="str">
        <f t="shared" si="36"/>
        <v>M,Malek,Mohammed</v>
      </c>
      <c r="J314" s="821" t="str">
        <f t="shared" si="37"/>
        <v>M,Malek,Mohammed,BTRT</v>
      </c>
      <c r="K314" s="821" t="str">
        <f t="shared" si="38"/>
        <v>M,Malek,Mohammed,BTRT,090412</v>
      </c>
      <c r="L314" s="821" t="str">
        <f t="shared" si="39"/>
        <v>M,Malek,Mohammed,BTRT,090412,012206</v>
      </c>
      <c r="M314" s="821" t="str">
        <f t="shared" si="40"/>
        <v>M,Malek,Mohammed,BTRT,090412,012206,2</v>
      </c>
      <c r="N314" s="821" t="str">
        <f t="shared" si="41"/>
        <v>M,Malek,Mohammed,BTRT,090412,012206,2,F</v>
      </c>
      <c r="O314" s="824"/>
      <c r="P314" s="824" t="str">
        <f t="shared" si="42"/>
        <v>01:22.06</v>
      </c>
      <c r="Q314" s="824" t="str">
        <f t="shared" si="43"/>
        <v>012206</v>
      </c>
      <c r="R314" s="825" t="str">
        <f t="shared" si="44"/>
        <v>M,Malek,Mohammed,BTRT,090412,012206,2,F</v>
      </c>
      <c r="S314" s="832"/>
      <c r="T314" s="832"/>
      <c r="U314" s="832"/>
      <c r="V314" s="820"/>
    </row>
    <row r="315" spans="1:22" x14ac:dyDescent="0.25">
      <c r="A315" s="820"/>
      <c r="B315" s="821" t="s">
        <v>328</v>
      </c>
      <c r="C315" s="821" t="str">
        <f>'Team 5'!J59</f>
        <v>Parker,Joshua</v>
      </c>
      <c r="D315" s="821" t="str">
        <f>'Gala Setup'!Q$8</f>
        <v>BTRT</v>
      </c>
      <c r="E315" s="822" t="str">
        <f>'Team 5'!L59</f>
        <v>090109</v>
      </c>
      <c r="F315" s="823">
        <f>'print 10 lane'!U$97</f>
        <v>6.3321759259259266E-4</v>
      </c>
      <c r="G315" s="821">
        <f>'Team 1'!$D$59</f>
        <v>2</v>
      </c>
      <c r="H315" s="821" t="s">
        <v>4635</v>
      </c>
      <c r="I315" s="821" t="str">
        <f t="shared" si="36"/>
        <v>M,Parker,Joshua</v>
      </c>
      <c r="J315" s="821" t="str">
        <f t="shared" si="37"/>
        <v>M,Parker,Joshua,BTRT</v>
      </c>
      <c r="K315" s="821" t="str">
        <f t="shared" si="38"/>
        <v>M,Parker,Joshua,BTRT,090109</v>
      </c>
      <c r="L315" s="821" t="str">
        <f t="shared" si="39"/>
        <v>M,Parker,Joshua,BTRT,090109,005471</v>
      </c>
      <c r="M315" s="821" t="str">
        <f t="shared" si="40"/>
        <v>M,Parker,Joshua,BTRT,090109,005471,2</v>
      </c>
      <c r="N315" s="821" t="str">
        <f t="shared" si="41"/>
        <v>M,Parker,Joshua,BTRT,090109,005471,2,F</v>
      </c>
      <c r="O315" s="824"/>
      <c r="P315" s="824" t="str">
        <f t="shared" si="42"/>
        <v>00:54.71</v>
      </c>
      <c r="Q315" s="824" t="str">
        <f t="shared" si="43"/>
        <v>005471</v>
      </c>
      <c r="R315" s="825" t="str">
        <f t="shared" si="44"/>
        <v>M,Parker,Joshua,BTRT,090109,005471,2,F</v>
      </c>
      <c r="S315" s="832"/>
      <c r="T315" s="832"/>
      <c r="U315" s="832"/>
      <c r="V315" s="820"/>
    </row>
    <row r="316" spans="1:22" x14ac:dyDescent="0.25">
      <c r="A316" s="820"/>
      <c r="B316" s="821" t="s">
        <v>328</v>
      </c>
      <c r="C316" s="821" t="str">
        <f>'Team 9'!J69</f>
        <v>,</v>
      </c>
      <c r="D316" s="821">
        <f>'Gala Setup'!Q$12</f>
        <v>0</v>
      </c>
      <c r="E316" s="822" t="str">
        <f>'Team 9'!L69</f>
        <v>000100</v>
      </c>
      <c r="F316" s="823">
        <f>'print 10 lane'!AG$127</f>
        <v>0</v>
      </c>
      <c r="G316" s="821">
        <f>'Team 1'!$D$69</f>
        <v>2</v>
      </c>
      <c r="H316" s="821" t="s">
        <v>4635</v>
      </c>
      <c r="I316" s="821" t="str">
        <f t="shared" si="36"/>
        <v>M,,</v>
      </c>
      <c r="J316" s="821" t="str">
        <f t="shared" si="37"/>
        <v>M,,,0</v>
      </c>
      <c r="K316" s="821" t="str">
        <f t="shared" si="38"/>
        <v>M,,,0,000100</v>
      </c>
      <c r="L316" s="821" t="str">
        <f t="shared" si="39"/>
        <v>M,,,0,000100,000000</v>
      </c>
      <c r="M316" s="821" t="str">
        <f t="shared" si="40"/>
        <v>M,,,0,000100,000000,2</v>
      </c>
      <c r="N316" s="821" t="str">
        <f t="shared" si="41"/>
        <v>M,,,0,000100,000000,2,F</v>
      </c>
      <c r="O316" s="824"/>
      <c r="P316" s="824" t="str">
        <f t="shared" si="42"/>
        <v>00:00.00</v>
      </c>
      <c r="Q316" s="824" t="str">
        <f t="shared" si="43"/>
        <v>000000</v>
      </c>
      <c r="R316" s="825" t="str">
        <f t="shared" si="44"/>
        <v/>
      </c>
      <c r="S316" s="832"/>
      <c r="T316" s="832"/>
      <c r="U316" s="832"/>
      <c r="V316" s="820"/>
    </row>
    <row r="317" spans="1:22" x14ac:dyDescent="0.25">
      <c r="A317" s="820"/>
      <c r="B317" s="821" t="s">
        <v>328</v>
      </c>
      <c r="C317" s="821" t="str">
        <f>'Team 9'!J65</f>
        <v>,</v>
      </c>
      <c r="D317" s="821">
        <f>'Gala Setup'!Q$12</f>
        <v>0</v>
      </c>
      <c r="E317" s="822" t="str">
        <f>'Team 9'!L65</f>
        <v>000100</v>
      </c>
      <c r="F317" s="823">
        <f>'print 10 lane'!AG$115</f>
        <v>0</v>
      </c>
      <c r="G317" s="821">
        <f>'Team 1'!$D$65</f>
        <v>2</v>
      </c>
      <c r="H317" s="821" t="s">
        <v>4635</v>
      </c>
      <c r="I317" s="821" t="str">
        <f t="shared" si="36"/>
        <v>M,,</v>
      </c>
      <c r="J317" s="821" t="str">
        <f t="shared" si="37"/>
        <v>M,,,0</v>
      </c>
      <c r="K317" s="821" t="str">
        <f t="shared" si="38"/>
        <v>M,,,0,000100</v>
      </c>
      <c r="L317" s="821" t="str">
        <f t="shared" si="39"/>
        <v>M,,,0,000100,000000</v>
      </c>
      <c r="M317" s="821" t="str">
        <f t="shared" si="40"/>
        <v>M,,,0,000100,000000,2</v>
      </c>
      <c r="N317" s="821" t="str">
        <f t="shared" si="41"/>
        <v>M,,,0,000100,000000,2,F</v>
      </c>
      <c r="O317" s="824"/>
      <c r="P317" s="824" t="str">
        <f t="shared" si="42"/>
        <v>00:00.00</v>
      </c>
      <c r="Q317" s="824" t="str">
        <f t="shared" si="43"/>
        <v>000000</v>
      </c>
      <c r="R317" s="825" t="str">
        <f t="shared" si="44"/>
        <v/>
      </c>
      <c r="S317" s="832"/>
      <c r="T317" s="832"/>
      <c r="U317" s="832"/>
      <c r="V317" s="820"/>
    </row>
    <row r="318" spans="1:22" x14ac:dyDescent="0.25">
      <c r="A318" s="820"/>
      <c r="B318" s="826" t="s">
        <v>328</v>
      </c>
      <c r="C318" s="826" t="str">
        <f>'Team 10'!J59</f>
        <v>,</v>
      </c>
      <c r="D318" s="826">
        <f>'Gala Setup'!Q$13</f>
        <v>0</v>
      </c>
      <c r="E318" s="827" t="str">
        <f>'Team 10'!L59</f>
        <v>000100</v>
      </c>
      <c r="F318" s="823">
        <f>'print 10 lane'!AJ$97</f>
        <v>0</v>
      </c>
      <c r="G318" s="826">
        <f>'Team 1'!$D$59</f>
        <v>2</v>
      </c>
      <c r="H318" s="826" t="s">
        <v>4635</v>
      </c>
      <c r="I318" s="826" t="str">
        <f t="shared" si="36"/>
        <v>M,,</v>
      </c>
      <c r="J318" s="826" t="str">
        <f t="shared" si="37"/>
        <v>M,,,0</v>
      </c>
      <c r="K318" s="826" t="str">
        <f t="shared" si="38"/>
        <v>M,,,0,000100</v>
      </c>
      <c r="L318" s="821" t="str">
        <f t="shared" si="39"/>
        <v>M,,,0,000100,000000</v>
      </c>
      <c r="M318" s="826" t="str">
        <f t="shared" si="40"/>
        <v>M,,,0,000100,000000,2</v>
      </c>
      <c r="N318" s="826" t="str">
        <f t="shared" si="41"/>
        <v>M,,,0,000100,000000,2,F</v>
      </c>
      <c r="O318" s="824"/>
      <c r="P318" s="824" t="str">
        <f t="shared" si="42"/>
        <v>00:00.00</v>
      </c>
      <c r="Q318" s="824" t="str">
        <f t="shared" si="43"/>
        <v>000000</v>
      </c>
      <c r="R318" s="825" t="str">
        <f t="shared" si="44"/>
        <v/>
      </c>
      <c r="S318" s="832"/>
      <c r="T318" s="832"/>
      <c r="U318" s="832"/>
      <c r="V318" s="820"/>
    </row>
    <row r="319" spans="1:22" x14ac:dyDescent="0.25">
      <c r="A319" s="820"/>
      <c r="B319" s="826" t="s">
        <v>328</v>
      </c>
      <c r="C319" s="826" t="str">
        <f>'Team 10'!J65</f>
        <v>,</v>
      </c>
      <c r="D319" s="826">
        <f>'Gala Setup'!Q$13</f>
        <v>0</v>
      </c>
      <c r="E319" s="827" t="str">
        <f>'Team 10'!L65</f>
        <v>000100</v>
      </c>
      <c r="F319" s="823">
        <f>'print 10 lane'!AJ$115</f>
        <v>0</v>
      </c>
      <c r="G319" s="826">
        <f>'Team 1'!$D$65</f>
        <v>2</v>
      </c>
      <c r="H319" s="826" t="s">
        <v>4635</v>
      </c>
      <c r="I319" s="826" t="str">
        <f t="shared" si="36"/>
        <v>M,,</v>
      </c>
      <c r="J319" s="826" t="str">
        <f t="shared" si="37"/>
        <v>M,,,0</v>
      </c>
      <c r="K319" s="826" t="str">
        <f t="shared" si="38"/>
        <v>M,,,0,000100</v>
      </c>
      <c r="L319" s="821" t="str">
        <f t="shared" si="39"/>
        <v>M,,,0,000100,000000</v>
      </c>
      <c r="M319" s="826" t="str">
        <f t="shared" si="40"/>
        <v>M,,,0,000100,000000,2</v>
      </c>
      <c r="N319" s="826" t="str">
        <f t="shared" si="41"/>
        <v>M,,,0,000100,000000,2,F</v>
      </c>
      <c r="O319" s="824"/>
      <c r="P319" s="824" t="str">
        <f t="shared" si="42"/>
        <v>00:00.00</v>
      </c>
      <c r="Q319" s="824" t="str">
        <f t="shared" si="43"/>
        <v>000000</v>
      </c>
      <c r="R319" s="825" t="str">
        <f t="shared" si="44"/>
        <v/>
      </c>
      <c r="S319" s="832"/>
      <c r="T319" s="832"/>
      <c r="U319" s="832"/>
      <c r="V319" s="820"/>
    </row>
    <row r="320" spans="1:22" x14ac:dyDescent="0.25">
      <c r="A320" s="820"/>
      <c r="B320" s="826" t="s">
        <v>328</v>
      </c>
      <c r="C320" s="826" t="str">
        <f>'Team 10'!J69</f>
        <v>,</v>
      </c>
      <c r="D320" s="826">
        <f>'Gala Setup'!Q$13</f>
        <v>0</v>
      </c>
      <c r="E320" s="827" t="str">
        <f>'Team 10'!L69</f>
        <v>000100</v>
      </c>
      <c r="F320" s="823">
        <f>'print 10 lane'!AJ$127</f>
        <v>0</v>
      </c>
      <c r="G320" s="826">
        <f>'Team 1'!$D$69</f>
        <v>2</v>
      </c>
      <c r="H320" s="826" t="s">
        <v>4635</v>
      </c>
      <c r="I320" s="826" t="str">
        <f t="shared" si="36"/>
        <v>M,,</v>
      </c>
      <c r="J320" s="826" t="str">
        <f t="shared" si="37"/>
        <v>M,,,0</v>
      </c>
      <c r="K320" s="826" t="str">
        <f t="shared" si="38"/>
        <v>M,,,0,000100</v>
      </c>
      <c r="L320" s="821" t="str">
        <f t="shared" si="39"/>
        <v>M,,,0,000100,000000</v>
      </c>
      <c r="M320" s="826" t="str">
        <f t="shared" si="40"/>
        <v>M,,,0,000100,000000,2</v>
      </c>
      <c r="N320" s="826" t="str">
        <f t="shared" si="41"/>
        <v>M,,,0,000100,000000,2,F</v>
      </c>
      <c r="O320" s="824"/>
      <c r="P320" s="824" t="str">
        <f t="shared" si="42"/>
        <v>00:00.00</v>
      </c>
      <c r="Q320" s="824" t="str">
        <f t="shared" si="43"/>
        <v>000000</v>
      </c>
      <c r="R320" s="825" t="str">
        <f t="shared" si="44"/>
        <v/>
      </c>
      <c r="S320" s="820"/>
      <c r="T320" s="832"/>
      <c r="U320" s="832"/>
      <c r="V320" s="820"/>
    </row>
    <row r="321" spans="1:22" x14ac:dyDescent="0.25">
      <c r="A321" s="820"/>
      <c r="B321" s="821" t="s">
        <v>4635</v>
      </c>
      <c r="C321" s="821" t="str">
        <f>'Team 3'!J62</f>
        <v>Omand,Scarlett</v>
      </c>
      <c r="D321" s="821" t="str">
        <f>'Gala Setup'!Q$6</f>
        <v>BBST</v>
      </c>
      <c r="E321" s="822" t="str">
        <f>'Team 3'!L62</f>
        <v>090913</v>
      </c>
      <c r="F321" s="823">
        <f>'print 10 lane'!O$106</f>
        <v>4.3414351851851855E-4</v>
      </c>
      <c r="G321" s="821">
        <f>'Team 1'!$D$62</f>
        <v>1</v>
      </c>
      <c r="H321" s="821" t="s">
        <v>4635</v>
      </c>
      <c r="I321" s="821" t="str">
        <f t="shared" ref="I321:I340" si="45">CONCATENATE(B321,",",C321)</f>
        <v>F,Omand,Scarlett</v>
      </c>
      <c r="J321" s="821" t="str">
        <f t="shared" ref="J321:J340" si="46">CONCATENATE(I321,",",D321)</f>
        <v>F,Omand,Scarlett,BBST</v>
      </c>
      <c r="K321" s="821" t="str">
        <f t="shared" ref="K321:K340" si="47">CONCATENATE(J321,",",E321)</f>
        <v>F,Omand,Scarlett,BBST,090913</v>
      </c>
      <c r="L321" s="821" t="str">
        <f t="shared" ref="L321:L340" si="48">CONCATENATE(K321,",",Q321)</f>
        <v>F,Omand,Scarlett,BBST,090913,003751</v>
      </c>
      <c r="M321" s="821" t="str">
        <f t="shared" ref="M321:M340" si="49">CONCATENATE(L321,",",G321)</f>
        <v>F,Omand,Scarlett,BBST,090913,003751,1</v>
      </c>
      <c r="N321" s="821" t="str">
        <f t="shared" ref="N321:N340" si="50">CONCATENATE(M321,",",H321)</f>
        <v>F,Omand,Scarlett,BBST,090913,003751,1,F</v>
      </c>
      <c r="O321" s="824"/>
      <c r="P321" s="824" t="str">
        <f t="shared" ref="P321:P340" si="51">TEXT(F321,"mm:ss.00")</f>
        <v>00:37.51</v>
      </c>
      <c r="Q321" s="824" t="str">
        <f t="shared" ref="Q321:Q340" si="52">LEFT(P321,2)&amp;MID(P321,4,2)&amp;RIGHT(P321,2)</f>
        <v>003751</v>
      </c>
      <c r="R321" s="825" t="str">
        <f t="shared" ref="R321:R340" si="53">IF(F321=0,"",N321)</f>
        <v>F,Omand,Scarlett,BBST,090913,003751,1,F</v>
      </c>
      <c r="S321" s="832"/>
      <c r="T321" s="832"/>
      <c r="U321" s="832"/>
      <c r="V321" s="820"/>
    </row>
    <row r="322" spans="1:22" x14ac:dyDescent="0.25">
      <c r="A322" s="820"/>
      <c r="B322" s="826" t="s">
        <v>4635</v>
      </c>
      <c r="C322" s="826" t="str">
        <f>'Team 2'!J62</f>
        <v>Harris,Annabelle</v>
      </c>
      <c r="D322" s="826" t="str">
        <f>'Gala Setup'!$Q$5</f>
        <v>STET</v>
      </c>
      <c r="E322" s="827" t="str">
        <f>'Team 2'!L62</f>
        <v>161012</v>
      </c>
      <c r="F322" s="823">
        <f>'print 10 lane'!L$106</f>
        <v>4.4780092592592587E-4</v>
      </c>
      <c r="G322" s="826">
        <f>'Team 1'!$D$62</f>
        <v>1</v>
      </c>
      <c r="H322" s="826" t="s">
        <v>4635</v>
      </c>
      <c r="I322" s="826" t="str">
        <f t="shared" si="45"/>
        <v>F,Harris,Annabelle</v>
      </c>
      <c r="J322" s="826" t="str">
        <f t="shared" si="46"/>
        <v>F,Harris,Annabelle,STET</v>
      </c>
      <c r="K322" s="826" t="str">
        <f t="shared" si="47"/>
        <v>F,Harris,Annabelle,STET,161012</v>
      </c>
      <c r="L322" s="821" t="str">
        <f t="shared" si="48"/>
        <v>F,Harris,Annabelle,STET,161012,003869</v>
      </c>
      <c r="M322" s="826" t="str">
        <f t="shared" si="49"/>
        <v>F,Harris,Annabelle,STET,161012,003869,1</v>
      </c>
      <c r="N322" s="826" t="str">
        <f t="shared" si="50"/>
        <v>F,Harris,Annabelle,STET,161012,003869,1,F</v>
      </c>
      <c r="O322" s="824"/>
      <c r="P322" s="824" t="str">
        <f t="shared" si="51"/>
        <v>00:38.69</v>
      </c>
      <c r="Q322" s="824" t="str">
        <f t="shared" si="52"/>
        <v>003869</v>
      </c>
      <c r="R322" s="825" t="str">
        <f t="shared" si="53"/>
        <v>F,Harris,Annabelle,STET,161012,003869,1,F</v>
      </c>
      <c r="S322" s="832"/>
      <c r="T322" s="832"/>
      <c r="U322" s="832"/>
      <c r="V322" s="820"/>
    </row>
    <row r="323" spans="1:22" x14ac:dyDescent="0.25">
      <c r="A323" s="820"/>
      <c r="B323" s="821" t="s">
        <v>4635</v>
      </c>
      <c r="C323" s="821" t="str">
        <f>'Team 1'!J62</f>
        <v>Savov,Claudia</v>
      </c>
      <c r="D323" s="821" t="str">
        <f>'Gala Setup'!Q$4</f>
        <v>HABL</v>
      </c>
      <c r="E323" s="822" t="str">
        <f>'Team 1'!L62</f>
        <v>280412</v>
      </c>
      <c r="F323" s="823">
        <f>'print 10 lane'!I$106</f>
        <v>3.996527777777778E-4</v>
      </c>
      <c r="G323" s="821">
        <f>'Team 1'!$D$62</f>
        <v>1</v>
      </c>
      <c r="H323" s="821" t="s">
        <v>4635</v>
      </c>
      <c r="I323" s="821" t="str">
        <f t="shared" si="45"/>
        <v>F,Savov,Claudia</v>
      </c>
      <c r="J323" s="821" t="str">
        <f t="shared" si="46"/>
        <v>F,Savov,Claudia,HABL</v>
      </c>
      <c r="K323" s="821" t="str">
        <f t="shared" si="47"/>
        <v>F,Savov,Claudia,HABL,280412</v>
      </c>
      <c r="L323" s="821" t="str">
        <f t="shared" si="48"/>
        <v>F,Savov,Claudia,HABL,280412,003453</v>
      </c>
      <c r="M323" s="821" t="str">
        <f t="shared" si="49"/>
        <v>F,Savov,Claudia,HABL,280412,003453,1</v>
      </c>
      <c r="N323" s="821" t="str">
        <f t="shared" si="50"/>
        <v>F,Savov,Claudia,HABL,280412,003453,1,F</v>
      </c>
      <c r="O323" s="824"/>
      <c r="P323" s="824" t="str">
        <f t="shared" si="51"/>
        <v>00:34.53</v>
      </c>
      <c r="Q323" s="824" t="str">
        <f t="shared" si="52"/>
        <v>003453</v>
      </c>
      <c r="R323" s="825" t="str">
        <f t="shared" si="53"/>
        <v>F,Savov,Claudia,HABL,280412,003453,1,F</v>
      </c>
      <c r="S323" s="832"/>
      <c r="T323" s="832"/>
      <c r="U323" s="832"/>
      <c r="V323" s="820"/>
    </row>
    <row r="324" spans="1:22" x14ac:dyDescent="0.25">
      <c r="A324" s="820"/>
      <c r="B324" s="821" t="s">
        <v>4635</v>
      </c>
      <c r="C324" s="821" t="str">
        <f>'Team 5'!J62</f>
        <v>Cooper,Maisie</v>
      </c>
      <c r="D324" s="821" t="str">
        <f>'Gala Setup'!Q$8</f>
        <v>BTRT</v>
      </c>
      <c r="E324" s="822" t="str">
        <f>'Team 5'!L62</f>
        <v>270713</v>
      </c>
      <c r="F324" s="823">
        <f>'print 10 lane'!U$106</f>
        <v>4.2754629629629626E-4</v>
      </c>
      <c r="G324" s="821">
        <f>'Team 1'!$D$62</f>
        <v>1</v>
      </c>
      <c r="H324" s="821" t="s">
        <v>4635</v>
      </c>
      <c r="I324" s="821" t="str">
        <f t="shared" si="45"/>
        <v>F,Cooper,Maisie</v>
      </c>
      <c r="J324" s="821" t="str">
        <f t="shared" si="46"/>
        <v>F,Cooper,Maisie,BTRT</v>
      </c>
      <c r="K324" s="821" t="str">
        <f t="shared" si="47"/>
        <v>F,Cooper,Maisie,BTRT,270713</v>
      </c>
      <c r="L324" s="821" t="str">
        <f t="shared" si="48"/>
        <v>F,Cooper,Maisie,BTRT,270713,003694</v>
      </c>
      <c r="M324" s="821" t="str">
        <f t="shared" si="49"/>
        <v>F,Cooper,Maisie,BTRT,270713,003694,1</v>
      </c>
      <c r="N324" s="821" t="str">
        <f t="shared" si="50"/>
        <v>F,Cooper,Maisie,BTRT,270713,003694,1,F</v>
      </c>
      <c r="O324" s="824"/>
      <c r="P324" s="824" t="str">
        <f t="shared" si="51"/>
        <v>00:36.94</v>
      </c>
      <c r="Q324" s="824" t="str">
        <f t="shared" si="52"/>
        <v>003694</v>
      </c>
      <c r="R324" s="825" t="str">
        <f t="shared" si="53"/>
        <v>F,Cooper,Maisie,BTRT,270713,003694,1,F</v>
      </c>
      <c r="S324" s="832"/>
      <c r="T324" s="832"/>
      <c r="U324" s="832"/>
      <c r="V324" s="820"/>
    </row>
    <row r="325" spans="1:22" x14ac:dyDescent="0.25">
      <c r="A325" s="820"/>
      <c r="B325" s="826" t="s">
        <v>4635</v>
      </c>
      <c r="C325" s="826" t="str">
        <f>'Team 6'!J62</f>
        <v>Chandrashekar,Mahika</v>
      </c>
      <c r="D325" s="826" t="str">
        <f>'Gala Setup'!Q$9</f>
        <v>HAWL</v>
      </c>
      <c r="E325" s="827" t="str">
        <f>'Team 6'!L62</f>
        <v>040612</v>
      </c>
      <c r="F325" s="823">
        <f>'print 10 lane'!X$106</f>
        <v>4.7604166666666666E-4</v>
      </c>
      <c r="G325" s="826">
        <f>'Team 1'!$D$62</f>
        <v>1</v>
      </c>
      <c r="H325" s="826" t="s">
        <v>4635</v>
      </c>
      <c r="I325" s="826" t="str">
        <f t="shared" si="45"/>
        <v>F,Chandrashekar,Mahika</v>
      </c>
      <c r="J325" s="826" t="str">
        <f t="shared" si="46"/>
        <v>F,Chandrashekar,Mahika,HAWL</v>
      </c>
      <c r="K325" s="826" t="str">
        <f t="shared" si="47"/>
        <v>F,Chandrashekar,Mahika,HAWL,040612</v>
      </c>
      <c r="L325" s="821" t="str">
        <f t="shared" si="48"/>
        <v>F,Chandrashekar,Mahika,HAWL,040612,004113</v>
      </c>
      <c r="M325" s="826" t="str">
        <f t="shared" si="49"/>
        <v>F,Chandrashekar,Mahika,HAWL,040612,004113,1</v>
      </c>
      <c r="N325" s="826" t="str">
        <f t="shared" si="50"/>
        <v>F,Chandrashekar,Mahika,HAWL,040612,004113,1,F</v>
      </c>
      <c r="O325" s="824"/>
      <c r="P325" s="824" t="str">
        <f t="shared" si="51"/>
        <v>00:41.13</v>
      </c>
      <c r="Q325" s="824" t="str">
        <f t="shared" si="52"/>
        <v>004113</v>
      </c>
      <c r="R325" s="825" t="str">
        <f t="shared" si="53"/>
        <v>F,Chandrashekar,Mahika,HAWL,040612,004113,1,F</v>
      </c>
      <c r="S325" s="832"/>
      <c r="T325" s="832"/>
      <c r="U325" s="832"/>
      <c r="V325" s="820"/>
    </row>
    <row r="326" spans="1:22" x14ac:dyDescent="0.25">
      <c r="A326" s="820"/>
      <c r="B326" s="821" t="s">
        <v>4635</v>
      </c>
      <c r="C326" s="821" t="str">
        <f>'Team 7'!J62</f>
        <v>Connick,Arabella</v>
      </c>
      <c r="D326" s="821" t="str">
        <f>'Gala Setup'!Q$10</f>
        <v>HISL</v>
      </c>
      <c r="E326" s="822" t="str">
        <f>'Team 7'!L62</f>
        <v>240712</v>
      </c>
      <c r="F326" s="823">
        <f>'print 10 lane'!AA$106</f>
        <v>4.4502314814814817E-4</v>
      </c>
      <c r="G326" s="821">
        <f>'Team 1'!$D$62</f>
        <v>1</v>
      </c>
      <c r="H326" s="821" t="s">
        <v>4635</v>
      </c>
      <c r="I326" s="821" t="str">
        <f t="shared" si="45"/>
        <v>F,Connick,Arabella</v>
      </c>
      <c r="J326" s="821" t="str">
        <f t="shared" si="46"/>
        <v>F,Connick,Arabella,HISL</v>
      </c>
      <c r="K326" s="821" t="str">
        <f t="shared" si="47"/>
        <v>F,Connick,Arabella,HISL,240712</v>
      </c>
      <c r="L326" s="821" t="str">
        <f t="shared" si="48"/>
        <v>F,Connick,Arabella,HISL,240712,003845</v>
      </c>
      <c r="M326" s="821" t="str">
        <f t="shared" si="49"/>
        <v>F,Connick,Arabella,HISL,240712,003845,1</v>
      </c>
      <c r="N326" s="821" t="str">
        <f t="shared" si="50"/>
        <v>F,Connick,Arabella,HISL,240712,003845,1,F</v>
      </c>
      <c r="O326" s="824"/>
      <c r="P326" s="824" t="str">
        <f t="shared" si="51"/>
        <v>00:38.45</v>
      </c>
      <c r="Q326" s="824" t="str">
        <f t="shared" si="52"/>
        <v>003845</v>
      </c>
      <c r="R326" s="825" t="str">
        <f t="shared" si="53"/>
        <v>F,Connick,Arabella,HISL,240712,003845,1,F</v>
      </c>
      <c r="S326" s="832"/>
      <c r="T326" s="832"/>
      <c r="U326" s="832"/>
      <c r="V326" s="820"/>
    </row>
    <row r="327" spans="1:22" x14ac:dyDescent="0.25">
      <c r="A327" s="820"/>
      <c r="B327" s="826" t="s">
        <v>4635</v>
      </c>
      <c r="C327" s="826" t="str">
        <f>'Team 4'!J62</f>
        <v>DARE,CHELSEA</v>
      </c>
      <c r="D327" s="826" t="str">
        <f>'Gala Setup'!Q$7</f>
        <v>AYBS</v>
      </c>
      <c r="E327" s="827" t="str">
        <f>'Team 4'!L62</f>
        <v>190612</v>
      </c>
      <c r="F327" s="823">
        <f>'print 10 lane'!R$106</f>
        <v>4.1967592592592593E-4</v>
      </c>
      <c r="G327" s="826">
        <f>'Team 1'!$D$62</f>
        <v>1</v>
      </c>
      <c r="H327" s="826" t="s">
        <v>4635</v>
      </c>
      <c r="I327" s="826" t="str">
        <f t="shared" si="45"/>
        <v>F,DARE,CHELSEA</v>
      </c>
      <c r="J327" s="826" t="str">
        <f t="shared" si="46"/>
        <v>F,DARE,CHELSEA,AYBS</v>
      </c>
      <c r="K327" s="826" t="str">
        <f t="shared" si="47"/>
        <v>F,DARE,CHELSEA,AYBS,190612</v>
      </c>
      <c r="L327" s="821" t="str">
        <f t="shared" si="48"/>
        <v>F,DARE,CHELSEA,AYBS,190612,003626</v>
      </c>
      <c r="M327" s="826" t="str">
        <f t="shared" si="49"/>
        <v>F,DARE,CHELSEA,AYBS,190612,003626,1</v>
      </c>
      <c r="N327" s="826" t="str">
        <f t="shared" si="50"/>
        <v>F,DARE,CHELSEA,AYBS,190612,003626,1,F</v>
      </c>
      <c r="O327" s="824"/>
      <c r="P327" s="824" t="str">
        <f t="shared" si="51"/>
        <v>00:36.26</v>
      </c>
      <c r="Q327" s="824" t="str">
        <f t="shared" si="52"/>
        <v>003626</v>
      </c>
      <c r="R327" s="825" t="str">
        <f t="shared" si="53"/>
        <v>F,DARE,CHELSEA,AYBS,190612,003626,1,F</v>
      </c>
      <c r="S327" s="832"/>
      <c r="T327" s="832"/>
      <c r="U327" s="832"/>
      <c r="V327" s="820"/>
    </row>
    <row r="328" spans="1:22" x14ac:dyDescent="0.25">
      <c r="A328" s="820"/>
      <c r="B328" s="826" t="s">
        <v>4635</v>
      </c>
      <c r="C328" s="826" t="str">
        <f>'Team 8'!J62</f>
        <v>,</v>
      </c>
      <c r="D328" s="826">
        <f>'Gala Setup'!Q$11</f>
        <v>0</v>
      </c>
      <c r="E328" s="827" t="str">
        <f>'Team 8'!L62</f>
        <v>000100</v>
      </c>
      <c r="F328" s="823">
        <f>'print 10 lane'!AD$106</f>
        <v>0</v>
      </c>
      <c r="G328" s="826">
        <f>'Team 1'!$D$62</f>
        <v>1</v>
      </c>
      <c r="H328" s="826" t="s">
        <v>4635</v>
      </c>
      <c r="I328" s="826" t="str">
        <f t="shared" si="45"/>
        <v>F,,</v>
      </c>
      <c r="J328" s="826" t="str">
        <f t="shared" si="46"/>
        <v>F,,,0</v>
      </c>
      <c r="K328" s="826" t="str">
        <f t="shared" si="47"/>
        <v>F,,,0,000100</v>
      </c>
      <c r="L328" s="821" t="str">
        <f t="shared" si="48"/>
        <v>F,,,0,000100,000000</v>
      </c>
      <c r="M328" s="826" t="str">
        <f t="shared" si="49"/>
        <v>F,,,0,000100,000000,1</v>
      </c>
      <c r="N328" s="826" t="str">
        <f t="shared" si="50"/>
        <v>F,,,0,000100,000000,1,F</v>
      </c>
      <c r="O328" s="824"/>
      <c r="P328" s="824" t="str">
        <f t="shared" si="51"/>
        <v>00:00.00</v>
      </c>
      <c r="Q328" s="824" t="str">
        <f t="shared" si="52"/>
        <v>000000</v>
      </c>
      <c r="R328" s="825" t="str">
        <f t="shared" si="53"/>
        <v/>
      </c>
      <c r="S328" s="832"/>
      <c r="T328" s="832"/>
      <c r="U328" s="832"/>
      <c r="V328" s="820"/>
    </row>
    <row r="329" spans="1:22" x14ac:dyDescent="0.25">
      <c r="A329" s="820"/>
      <c r="B329" s="821" t="s">
        <v>4635</v>
      </c>
      <c r="C329" s="821" t="str">
        <f>'Team 9'!J62</f>
        <v>,</v>
      </c>
      <c r="D329" s="821">
        <f>'Gala Setup'!Q$12</f>
        <v>0</v>
      </c>
      <c r="E329" s="822" t="str">
        <f>'Team 9'!L62</f>
        <v>000100</v>
      </c>
      <c r="F329" s="823">
        <f>'print 10 lane'!AG$106</f>
        <v>0</v>
      </c>
      <c r="G329" s="821">
        <f>'Team 1'!$D$62</f>
        <v>1</v>
      </c>
      <c r="H329" s="821" t="s">
        <v>4635</v>
      </c>
      <c r="I329" s="821" t="str">
        <f t="shared" si="45"/>
        <v>F,,</v>
      </c>
      <c r="J329" s="821" t="str">
        <f t="shared" si="46"/>
        <v>F,,,0</v>
      </c>
      <c r="K329" s="821" t="str">
        <f t="shared" si="47"/>
        <v>F,,,0,000100</v>
      </c>
      <c r="L329" s="821" t="str">
        <f t="shared" si="48"/>
        <v>F,,,0,000100,000000</v>
      </c>
      <c r="M329" s="821" t="str">
        <f t="shared" si="49"/>
        <v>F,,,0,000100,000000,1</v>
      </c>
      <c r="N329" s="821" t="str">
        <f t="shared" si="50"/>
        <v>F,,,0,000100,000000,1,F</v>
      </c>
      <c r="O329" s="824"/>
      <c r="P329" s="824" t="str">
        <f t="shared" si="51"/>
        <v>00:00.00</v>
      </c>
      <c r="Q329" s="824" t="str">
        <f t="shared" si="52"/>
        <v>000000</v>
      </c>
      <c r="R329" s="825" t="str">
        <f t="shared" si="53"/>
        <v/>
      </c>
      <c r="S329" s="832"/>
      <c r="T329" s="832"/>
      <c r="U329" s="832"/>
      <c r="V329" s="820"/>
    </row>
    <row r="330" spans="1:22" x14ac:dyDescent="0.25">
      <c r="A330" s="820"/>
      <c r="B330" s="826" t="s">
        <v>4635</v>
      </c>
      <c r="C330" s="826" t="str">
        <f>'Team 10'!J62</f>
        <v>,</v>
      </c>
      <c r="D330" s="826">
        <f>'Gala Setup'!Q$13</f>
        <v>0</v>
      </c>
      <c r="E330" s="827" t="str">
        <f>'Team 10'!L62</f>
        <v>000100</v>
      </c>
      <c r="F330" s="823">
        <f>'print 10 lane'!AJ$106</f>
        <v>0</v>
      </c>
      <c r="G330" s="826">
        <f>'Team 1'!$D$62</f>
        <v>1</v>
      </c>
      <c r="H330" s="826" t="s">
        <v>4635</v>
      </c>
      <c r="I330" s="826" t="str">
        <f t="shared" si="45"/>
        <v>F,,</v>
      </c>
      <c r="J330" s="826" t="str">
        <f t="shared" si="46"/>
        <v>F,,,0</v>
      </c>
      <c r="K330" s="826" t="str">
        <f t="shared" si="47"/>
        <v>F,,,0,000100</v>
      </c>
      <c r="L330" s="821" t="str">
        <f t="shared" si="48"/>
        <v>F,,,0,000100,000000</v>
      </c>
      <c r="M330" s="826" t="str">
        <f t="shared" si="49"/>
        <v>F,,,0,000100,000000,1</v>
      </c>
      <c r="N330" s="826" t="str">
        <f t="shared" si="50"/>
        <v>F,,,0,000100,000000,1,F</v>
      </c>
      <c r="O330" s="824"/>
      <c r="P330" s="824" t="str">
        <f t="shared" si="51"/>
        <v>00:00.00</v>
      </c>
      <c r="Q330" s="824" t="str">
        <f t="shared" si="52"/>
        <v>000000</v>
      </c>
      <c r="R330" s="825" t="str">
        <f t="shared" si="53"/>
        <v/>
      </c>
      <c r="S330" s="832"/>
      <c r="T330" s="832"/>
      <c r="U330" s="832"/>
      <c r="V330" s="820"/>
    </row>
    <row r="331" spans="1:22" x14ac:dyDescent="0.25">
      <c r="A331" s="820"/>
      <c r="B331" s="821" t="s">
        <v>328</v>
      </c>
      <c r="C331" s="821" t="str">
        <f>'Team 5'!J63</f>
        <v>Barnacle,Braden</v>
      </c>
      <c r="D331" s="821" t="str">
        <f>'Gala Setup'!Q$8</f>
        <v>BTRT</v>
      </c>
      <c r="E331" s="822" t="str">
        <f>'Team 5'!L63</f>
        <v>150512</v>
      </c>
      <c r="F331" s="823">
        <f>'print 10 lane'!U$109</f>
        <v>4.096064814814815E-4</v>
      </c>
      <c r="G331" s="821">
        <f>'Team 1'!$D$63</f>
        <v>1</v>
      </c>
      <c r="H331" s="821" t="s">
        <v>4635</v>
      </c>
      <c r="I331" s="821" t="str">
        <f t="shared" si="45"/>
        <v>M,Barnacle,Braden</v>
      </c>
      <c r="J331" s="821" t="str">
        <f t="shared" si="46"/>
        <v>M,Barnacle,Braden,BTRT</v>
      </c>
      <c r="K331" s="821" t="str">
        <f t="shared" si="47"/>
        <v>M,Barnacle,Braden,BTRT,150512</v>
      </c>
      <c r="L331" s="821" t="str">
        <f t="shared" si="48"/>
        <v>M,Barnacle,Braden,BTRT,150512,003539</v>
      </c>
      <c r="M331" s="821" t="str">
        <f t="shared" si="49"/>
        <v>M,Barnacle,Braden,BTRT,150512,003539,1</v>
      </c>
      <c r="N331" s="821" t="str">
        <f t="shared" si="50"/>
        <v>M,Barnacle,Braden,BTRT,150512,003539,1,F</v>
      </c>
      <c r="O331" s="824"/>
      <c r="P331" s="824" t="str">
        <f t="shared" si="51"/>
        <v>00:35.39</v>
      </c>
      <c r="Q331" s="824" t="str">
        <f t="shared" si="52"/>
        <v>003539</v>
      </c>
      <c r="R331" s="825" t="str">
        <f t="shared" si="53"/>
        <v>M,Barnacle,Braden,BTRT,150512,003539,1,F</v>
      </c>
      <c r="S331" s="832"/>
      <c r="T331" s="832"/>
      <c r="U331" s="832"/>
      <c r="V331" s="820"/>
    </row>
    <row r="332" spans="1:22" x14ac:dyDescent="0.25">
      <c r="A332" s="820"/>
      <c r="B332" s="826" t="s">
        <v>328</v>
      </c>
      <c r="C332" s="826" t="str">
        <f>'Team 4'!J63</f>
        <v>MOHAMMED,JAMES</v>
      </c>
      <c r="D332" s="826" t="str">
        <f>'Gala Setup'!Q$7</f>
        <v>AYBS</v>
      </c>
      <c r="E332" s="827" t="str">
        <f>'Team 4'!L63</f>
        <v>071012</v>
      </c>
      <c r="F332" s="823">
        <f>'print 10 lane'!R$109</f>
        <v>4.2395833333333332E-4</v>
      </c>
      <c r="G332" s="826">
        <f>'Team 1'!$D$63</f>
        <v>1</v>
      </c>
      <c r="H332" s="826" t="s">
        <v>4635</v>
      </c>
      <c r="I332" s="826" t="str">
        <f t="shared" si="45"/>
        <v>M,MOHAMMED,JAMES</v>
      </c>
      <c r="J332" s="826" t="str">
        <f t="shared" si="46"/>
        <v>M,MOHAMMED,JAMES,AYBS</v>
      </c>
      <c r="K332" s="826" t="str">
        <f t="shared" si="47"/>
        <v>M,MOHAMMED,JAMES,AYBS,071012</v>
      </c>
      <c r="L332" s="821" t="str">
        <f t="shared" si="48"/>
        <v>M,MOHAMMED,JAMES,AYBS,071012,003663</v>
      </c>
      <c r="M332" s="826" t="str">
        <f t="shared" si="49"/>
        <v>M,MOHAMMED,JAMES,AYBS,071012,003663,1</v>
      </c>
      <c r="N332" s="826" t="str">
        <f t="shared" si="50"/>
        <v>M,MOHAMMED,JAMES,AYBS,071012,003663,1,F</v>
      </c>
      <c r="O332" s="824"/>
      <c r="P332" s="824" t="str">
        <f t="shared" si="51"/>
        <v>00:36.63</v>
      </c>
      <c r="Q332" s="824" t="str">
        <f t="shared" si="52"/>
        <v>003663</v>
      </c>
      <c r="R332" s="825" t="str">
        <f t="shared" si="53"/>
        <v>M,MOHAMMED,JAMES,AYBS,071012,003663,1,F</v>
      </c>
      <c r="S332" s="832"/>
      <c r="T332" s="832"/>
      <c r="U332" s="832"/>
      <c r="V332" s="820"/>
    </row>
    <row r="333" spans="1:22" x14ac:dyDescent="0.25">
      <c r="A333" s="820"/>
      <c r="B333" s="826" t="s">
        <v>328</v>
      </c>
      <c r="C333" s="826" t="str">
        <f>'Team 6'!J63</f>
        <v>Fedorov,Mikhail</v>
      </c>
      <c r="D333" s="826" t="str">
        <f>'Gala Setup'!Q$9</f>
        <v>HAWL</v>
      </c>
      <c r="E333" s="827" t="str">
        <f>'Team 6'!L63</f>
        <v>140713</v>
      </c>
      <c r="F333" s="823">
        <f>'print 10 lane'!X$109</f>
        <v>4.0983796296296292E-4</v>
      </c>
      <c r="G333" s="826">
        <f>'Team 1'!$D$63</f>
        <v>1</v>
      </c>
      <c r="H333" s="826" t="s">
        <v>4635</v>
      </c>
      <c r="I333" s="826" t="str">
        <f t="shared" si="45"/>
        <v>M,Fedorov,Mikhail</v>
      </c>
      <c r="J333" s="826" t="str">
        <f t="shared" si="46"/>
        <v>M,Fedorov,Mikhail,HAWL</v>
      </c>
      <c r="K333" s="826" t="str">
        <f t="shared" si="47"/>
        <v>M,Fedorov,Mikhail,HAWL,140713</v>
      </c>
      <c r="L333" s="821" t="str">
        <f t="shared" si="48"/>
        <v>M,Fedorov,Mikhail,HAWL,140713,003541</v>
      </c>
      <c r="M333" s="826" t="str">
        <f t="shared" si="49"/>
        <v>M,Fedorov,Mikhail,HAWL,140713,003541,1</v>
      </c>
      <c r="N333" s="826" t="str">
        <f t="shared" si="50"/>
        <v>M,Fedorov,Mikhail,HAWL,140713,003541,1,F</v>
      </c>
      <c r="O333" s="824"/>
      <c r="P333" s="824" t="str">
        <f t="shared" si="51"/>
        <v>00:35.41</v>
      </c>
      <c r="Q333" s="824" t="str">
        <f t="shared" si="52"/>
        <v>003541</v>
      </c>
      <c r="R333" s="825" t="str">
        <f t="shared" si="53"/>
        <v>M,Fedorov,Mikhail,HAWL,140713,003541,1,F</v>
      </c>
      <c r="S333" s="832"/>
      <c r="T333" s="832"/>
      <c r="U333" s="832"/>
      <c r="V333" s="820"/>
    </row>
    <row r="334" spans="1:22" x14ac:dyDescent="0.25">
      <c r="A334" s="820"/>
      <c r="B334" s="821" t="s">
        <v>328</v>
      </c>
      <c r="C334" s="821" t="str">
        <f>'Team 7'!J63</f>
        <v>Agarwal,Arush</v>
      </c>
      <c r="D334" s="821" t="str">
        <f>'Gala Setup'!Q$10</f>
        <v>HISL</v>
      </c>
      <c r="E334" s="822" t="str">
        <f>'Team 7'!L63</f>
        <v>010512</v>
      </c>
      <c r="F334" s="823">
        <f>'print 10 lane'!AA$109</f>
        <v>5.0486111111111109E-4</v>
      </c>
      <c r="G334" s="821">
        <f>'Team 1'!$D$63</f>
        <v>1</v>
      </c>
      <c r="H334" s="821" t="s">
        <v>4635</v>
      </c>
      <c r="I334" s="821" t="str">
        <f t="shared" si="45"/>
        <v>M,Agarwal,Arush</v>
      </c>
      <c r="J334" s="821" t="str">
        <f t="shared" si="46"/>
        <v>M,Agarwal,Arush,HISL</v>
      </c>
      <c r="K334" s="821" t="str">
        <f t="shared" si="47"/>
        <v>M,Agarwal,Arush,HISL,010512</v>
      </c>
      <c r="L334" s="821" t="str">
        <f t="shared" si="48"/>
        <v>M,Agarwal,Arush,HISL,010512,004362</v>
      </c>
      <c r="M334" s="821" t="str">
        <f t="shared" si="49"/>
        <v>M,Agarwal,Arush,HISL,010512,004362,1</v>
      </c>
      <c r="N334" s="821" t="str">
        <f t="shared" si="50"/>
        <v>M,Agarwal,Arush,HISL,010512,004362,1,F</v>
      </c>
      <c r="O334" s="824"/>
      <c r="P334" s="824" t="str">
        <f t="shared" si="51"/>
        <v>00:43.62</v>
      </c>
      <c r="Q334" s="824" t="str">
        <f t="shared" si="52"/>
        <v>004362</v>
      </c>
      <c r="R334" s="825" t="str">
        <f t="shared" si="53"/>
        <v>M,Agarwal,Arush,HISL,010512,004362,1,F</v>
      </c>
      <c r="S334" s="832"/>
      <c r="T334" s="832"/>
      <c r="U334" s="832"/>
      <c r="V334" s="820"/>
    </row>
    <row r="335" spans="1:22" x14ac:dyDescent="0.25">
      <c r="A335" s="820"/>
      <c r="B335" s="826" t="s">
        <v>328</v>
      </c>
      <c r="C335" s="826" t="str">
        <f>'Team 8'!J63</f>
        <v>,</v>
      </c>
      <c r="D335" s="826">
        <f>'Gala Setup'!Q$11</f>
        <v>0</v>
      </c>
      <c r="E335" s="827" t="str">
        <f>'Team 8'!L63</f>
        <v>000100</v>
      </c>
      <c r="F335" s="823">
        <f>'print 10 lane'!AD$109</f>
        <v>0</v>
      </c>
      <c r="G335" s="826">
        <f>'Team 1'!$D$63</f>
        <v>1</v>
      </c>
      <c r="H335" s="826" t="s">
        <v>4635</v>
      </c>
      <c r="I335" s="826" t="str">
        <f t="shared" si="45"/>
        <v>M,,</v>
      </c>
      <c r="J335" s="826" t="str">
        <f t="shared" si="46"/>
        <v>M,,,0</v>
      </c>
      <c r="K335" s="826" t="str">
        <f t="shared" si="47"/>
        <v>M,,,0,000100</v>
      </c>
      <c r="L335" s="821" t="str">
        <f t="shared" si="48"/>
        <v>M,,,0,000100,000000</v>
      </c>
      <c r="M335" s="826" t="str">
        <f t="shared" si="49"/>
        <v>M,,,0,000100,000000,1</v>
      </c>
      <c r="N335" s="826" t="str">
        <f t="shared" si="50"/>
        <v>M,,,0,000100,000000,1,F</v>
      </c>
      <c r="O335" s="824"/>
      <c r="P335" s="824" t="str">
        <f t="shared" si="51"/>
        <v>00:00.00</v>
      </c>
      <c r="Q335" s="824" t="str">
        <f t="shared" si="52"/>
        <v>000000</v>
      </c>
      <c r="R335" s="825" t="str">
        <f t="shared" si="53"/>
        <v/>
      </c>
      <c r="S335" s="832"/>
      <c r="T335" s="832"/>
      <c r="U335" s="832"/>
      <c r="V335" s="820"/>
    </row>
    <row r="336" spans="1:22" x14ac:dyDescent="0.25">
      <c r="A336" s="820"/>
      <c r="B336" s="821" t="s">
        <v>328</v>
      </c>
      <c r="C336" s="821" t="str">
        <f>'Team 9'!J63</f>
        <v>,</v>
      </c>
      <c r="D336" s="821">
        <f>'Gala Setup'!Q$12</f>
        <v>0</v>
      </c>
      <c r="E336" s="822" t="str">
        <f>'Team 9'!L63</f>
        <v>000100</v>
      </c>
      <c r="F336" s="823">
        <f>'print 10 lane'!AG$109</f>
        <v>0</v>
      </c>
      <c r="G336" s="821">
        <f>'Team 1'!$D$63</f>
        <v>1</v>
      </c>
      <c r="H336" s="821" t="s">
        <v>4635</v>
      </c>
      <c r="I336" s="821" t="str">
        <f t="shared" si="45"/>
        <v>M,,</v>
      </c>
      <c r="J336" s="821" t="str">
        <f t="shared" si="46"/>
        <v>M,,,0</v>
      </c>
      <c r="K336" s="821" t="str">
        <f t="shared" si="47"/>
        <v>M,,,0,000100</v>
      </c>
      <c r="L336" s="821" t="str">
        <f t="shared" si="48"/>
        <v>M,,,0,000100,000000</v>
      </c>
      <c r="M336" s="821" t="str">
        <f t="shared" si="49"/>
        <v>M,,,0,000100,000000,1</v>
      </c>
      <c r="N336" s="821" t="str">
        <f t="shared" si="50"/>
        <v>M,,,0,000100,000000,1,F</v>
      </c>
      <c r="O336" s="824"/>
      <c r="P336" s="824" t="str">
        <f t="shared" si="51"/>
        <v>00:00.00</v>
      </c>
      <c r="Q336" s="824" t="str">
        <f t="shared" si="52"/>
        <v>000000</v>
      </c>
      <c r="R336" s="825" t="str">
        <f t="shared" si="53"/>
        <v/>
      </c>
      <c r="S336" s="832"/>
      <c r="T336" s="832"/>
      <c r="U336" s="832"/>
      <c r="V336" s="820"/>
    </row>
    <row r="337" spans="1:22" x14ac:dyDescent="0.25">
      <c r="A337" s="820"/>
      <c r="B337" s="821" t="s">
        <v>328</v>
      </c>
      <c r="C337" s="821" t="str">
        <f>'Team 1'!J63</f>
        <v>Kern-Konyar,Kornel</v>
      </c>
      <c r="D337" s="821" t="str">
        <f>'Gala Setup'!Q$4</f>
        <v>HABL</v>
      </c>
      <c r="E337" s="822" t="str">
        <f>'Team 1'!L63</f>
        <v>060513</v>
      </c>
      <c r="F337" s="823">
        <f>'print 10 lane'!I$109</f>
        <v>5.3078703703703697E-4</v>
      </c>
      <c r="G337" s="821">
        <f>'Team 1'!$D$63</f>
        <v>1</v>
      </c>
      <c r="H337" s="821" t="s">
        <v>4635</v>
      </c>
      <c r="I337" s="821" t="str">
        <f t="shared" si="45"/>
        <v>M,Kern-Konyar,Kornel</v>
      </c>
      <c r="J337" s="821" t="str">
        <f t="shared" si="46"/>
        <v>M,Kern-Konyar,Kornel,HABL</v>
      </c>
      <c r="K337" s="821" t="str">
        <f t="shared" si="47"/>
        <v>M,Kern-Konyar,Kornel,HABL,060513</v>
      </c>
      <c r="L337" s="821" t="str">
        <f t="shared" si="48"/>
        <v>M,Kern-Konyar,Kornel,HABL,060513,004586</v>
      </c>
      <c r="M337" s="821" t="str">
        <f t="shared" si="49"/>
        <v>M,Kern-Konyar,Kornel,HABL,060513,004586,1</v>
      </c>
      <c r="N337" s="821" t="str">
        <f t="shared" si="50"/>
        <v>M,Kern-Konyar,Kornel,HABL,060513,004586,1,F</v>
      </c>
      <c r="O337" s="824"/>
      <c r="P337" s="824" t="str">
        <f t="shared" si="51"/>
        <v>00:45.86</v>
      </c>
      <c r="Q337" s="824" t="str">
        <f t="shared" si="52"/>
        <v>004586</v>
      </c>
      <c r="R337" s="825" t="str">
        <f t="shared" si="53"/>
        <v>M,Kern-Konyar,Kornel,HABL,060513,004586,1,F</v>
      </c>
      <c r="S337" s="832"/>
      <c r="T337" s="832"/>
      <c r="U337" s="832"/>
      <c r="V337" s="820"/>
    </row>
    <row r="338" spans="1:22" x14ac:dyDescent="0.25">
      <c r="A338" s="820"/>
      <c r="B338" s="826" t="s">
        <v>328</v>
      </c>
      <c r="C338" s="826" t="str">
        <f>'Team 2'!J63</f>
        <v>Cash,Alex</v>
      </c>
      <c r="D338" s="826" t="str">
        <f>'Gala Setup'!$Q$5</f>
        <v>STET</v>
      </c>
      <c r="E338" s="827" t="str">
        <f>'Team 2'!L63</f>
        <v>030512</v>
      </c>
      <c r="F338" s="823">
        <f>'print 10 lane'!L$109</f>
        <v>4.4502314814814817E-4</v>
      </c>
      <c r="G338" s="826">
        <f>'Team 1'!$D$63</f>
        <v>1</v>
      </c>
      <c r="H338" s="826" t="s">
        <v>4635</v>
      </c>
      <c r="I338" s="826" t="str">
        <f t="shared" si="45"/>
        <v>M,Cash,Alex</v>
      </c>
      <c r="J338" s="826" t="str">
        <f t="shared" si="46"/>
        <v>M,Cash,Alex,STET</v>
      </c>
      <c r="K338" s="826" t="str">
        <f t="shared" si="47"/>
        <v>M,Cash,Alex,STET,030512</v>
      </c>
      <c r="L338" s="821" t="str">
        <f t="shared" si="48"/>
        <v>M,Cash,Alex,STET,030512,003845</v>
      </c>
      <c r="M338" s="826" t="str">
        <f t="shared" si="49"/>
        <v>M,Cash,Alex,STET,030512,003845,1</v>
      </c>
      <c r="N338" s="826" t="str">
        <f t="shared" si="50"/>
        <v>M,Cash,Alex,STET,030512,003845,1,F</v>
      </c>
      <c r="O338" s="824"/>
      <c r="P338" s="824" t="str">
        <f t="shared" si="51"/>
        <v>00:38.45</v>
      </c>
      <c r="Q338" s="824" t="str">
        <f t="shared" si="52"/>
        <v>003845</v>
      </c>
      <c r="R338" s="825" t="str">
        <f t="shared" si="53"/>
        <v>M,Cash,Alex,STET,030512,003845,1,F</v>
      </c>
      <c r="S338" s="832"/>
      <c r="T338" s="832"/>
      <c r="U338" s="832"/>
      <c r="V338" s="820"/>
    </row>
    <row r="339" spans="1:22" x14ac:dyDescent="0.25">
      <c r="A339" s="820"/>
      <c r="B339" s="821" t="s">
        <v>328</v>
      </c>
      <c r="C339" s="821" t="str">
        <f>'Team 3'!J63</f>
        <v>Giambrone,Fabio</v>
      </c>
      <c r="D339" s="821" t="str">
        <f>'Gala Setup'!Q$6</f>
        <v>BBST</v>
      </c>
      <c r="E339" s="822" t="str">
        <f>'Team 3'!L63</f>
        <v>250912</v>
      </c>
      <c r="F339" s="823">
        <f>'print 10 lane'!O$109</f>
        <v>4.4016203703703708E-4</v>
      </c>
      <c r="G339" s="821">
        <f>'Team 1'!$D$63</f>
        <v>1</v>
      </c>
      <c r="H339" s="821" t="s">
        <v>4635</v>
      </c>
      <c r="I339" s="821" t="str">
        <f t="shared" si="45"/>
        <v>M,Giambrone,Fabio</v>
      </c>
      <c r="J339" s="821" t="str">
        <f t="shared" si="46"/>
        <v>M,Giambrone,Fabio,BBST</v>
      </c>
      <c r="K339" s="821" t="str">
        <f t="shared" si="47"/>
        <v>M,Giambrone,Fabio,BBST,250912</v>
      </c>
      <c r="L339" s="821" t="str">
        <f t="shared" si="48"/>
        <v>M,Giambrone,Fabio,BBST,250912,003803</v>
      </c>
      <c r="M339" s="821" t="str">
        <f t="shared" si="49"/>
        <v>M,Giambrone,Fabio,BBST,250912,003803,1</v>
      </c>
      <c r="N339" s="821" t="str">
        <f t="shared" si="50"/>
        <v>M,Giambrone,Fabio,BBST,250912,003803,1,F</v>
      </c>
      <c r="O339" s="824"/>
      <c r="P339" s="824" t="str">
        <f t="shared" si="51"/>
        <v>00:38.03</v>
      </c>
      <c r="Q339" s="824" t="str">
        <f t="shared" si="52"/>
        <v>003803</v>
      </c>
      <c r="R339" s="825" t="str">
        <f t="shared" si="53"/>
        <v>M,Giambrone,Fabio,BBST,250912,003803,1,F</v>
      </c>
      <c r="S339" s="832"/>
      <c r="T339" s="832"/>
      <c r="U339" s="832"/>
      <c r="V339" s="820"/>
    </row>
    <row r="340" spans="1:22" x14ac:dyDescent="0.25">
      <c r="A340" s="820"/>
      <c r="B340" s="826" t="s">
        <v>328</v>
      </c>
      <c r="C340" s="826" t="str">
        <f>'Team 10'!J63</f>
        <v>,</v>
      </c>
      <c r="D340" s="826">
        <f>'Gala Setup'!Q$13</f>
        <v>0</v>
      </c>
      <c r="E340" s="827" t="str">
        <f>'Team 10'!L63</f>
        <v>000100</v>
      </c>
      <c r="F340" s="823">
        <f>'print 10 lane'!AJ$109</f>
        <v>0</v>
      </c>
      <c r="G340" s="826">
        <f>'Team 1'!$D$63</f>
        <v>1</v>
      </c>
      <c r="H340" s="826" t="s">
        <v>4635</v>
      </c>
      <c r="I340" s="826" t="str">
        <f t="shared" si="45"/>
        <v>M,,</v>
      </c>
      <c r="J340" s="826" t="str">
        <f t="shared" si="46"/>
        <v>M,,,0</v>
      </c>
      <c r="K340" s="826" t="str">
        <f t="shared" si="47"/>
        <v>M,,,0,000100</v>
      </c>
      <c r="L340" s="821" t="str">
        <f t="shared" si="48"/>
        <v>M,,,0,000100,000000</v>
      </c>
      <c r="M340" s="826" t="str">
        <f t="shared" si="49"/>
        <v>M,,,0,000100,000000,1</v>
      </c>
      <c r="N340" s="826" t="str">
        <f t="shared" si="50"/>
        <v>M,,,0,000100,000000,1,F</v>
      </c>
      <c r="O340" s="824"/>
      <c r="P340" s="824" t="str">
        <f t="shared" si="51"/>
        <v>00:00.00</v>
      </c>
      <c r="Q340" s="824" t="str">
        <f t="shared" si="52"/>
        <v>000000</v>
      </c>
      <c r="R340" s="825" t="str">
        <f t="shared" si="53"/>
        <v/>
      </c>
      <c r="S340" s="832"/>
      <c r="T340" s="832"/>
      <c r="U340" s="832"/>
      <c r="V340" s="820"/>
    </row>
    <row r="341" spans="1:22" ht="272.25" customHeight="1" x14ac:dyDescent="0.25">
      <c r="A341" s="820"/>
      <c r="B341" s="820"/>
      <c r="C341" s="820"/>
      <c r="D341" s="820"/>
      <c r="E341" s="820"/>
      <c r="F341" s="820"/>
      <c r="G341" s="820"/>
      <c r="H341" s="820"/>
      <c r="I341" s="820"/>
      <c r="J341" s="820"/>
      <c r="K341" s="820"/>
      <c r="L341" s="820"/>
      <c r="M341" s="820"/>
      <c r="N341" s="820"/>
      <c r="O341" s="820"/>
      <c r="P341" s="820"/>
      <c r="Q341" s="820"/>
      <c r="R341" s="820"/>
      <c r="S341" s="820"/>
      <c r="T341" s="820"/>
      <c r="U341" s="820"/>
      <c r="V341" s="820"/>
    </row>
    <row r="342" spans="1:22" s="66" customFormat="1" x14ac:dyDescent="0.25"/>
    <row r="343" spans="1:22" s="66" customFormat="1" x14ac:dyDescent="0.25"/>
    <row r="344" spans="1:22" s="66" customFormat="1" x14ac:dyDescent="0.25"/>
    <row r="345" spans="1:22" s="66" customFormat="1" x14ac:dyDescent="0.25"/>
    <row r="346" spans="1:22" s="66" customFormat="1" x14ac:dyDescent="0.25"/>
    <row r="347" spans="1:22" s="66" customFormat="1" x14ac:dyDescent="0.25"/>
    <row r="348" spans="1:22" s="66" customFormat="1" x14ac:dyDescent="0.25"/>
    <row r="349" spans="1:22" s="66" customFormat="1" x14ac:dyDescent="0.25"/>
    <row r="350" spans="1:22" s="66" customFormat="1" x14ac:dyDescent="0.25"/>
    <row r="351" spans="1:22" s="66" customFormat="1" x14ac:dyDescent="0.25"/>
    <row r="352" spans="1:22" s="66" customFormat="1" x14ac:dyDescent="0.25"/>
    <row r="353" s="66" customFormat="1" x14ac:dyDescent="0.25"/>
    <row r="354" s="66" customFormat="1" x14ac:dyDescent="0.25"/>
    <row r="355" s="66" customFormat="1" x14ac:dyDescent="0.25"/>
    <row r="356" s="66" customFormat="1" x14ac:dyDescent="0.25"/>
    <row r="357" s="66" customFormat="1" x14ac:dyDescent="0.25"/>
    <row r="358" s="66" customFormat="1" x14ac:dyDescent="0.25"/>
    <row r="359" s="66" customFormat="1" x14ac:dyDescent="0.25"/>
    <row r="360" s="66" customFormat="1" x14ac:dyDescent="0.25"/>
    <row r="361" s="66" customFormat="1" x14ac:dyDescent="0.25"/>
    <row r="362" s="66" customFormat="1" x14ac:dyDescent="0.25"/>
    <row r="363" s="66" customFormat="1" x14ac:dyDescent="0.25"/>
    <row r="364" s="66" customFormat="1" x14ac:dyDescent="0.25"/>
    <row r="365" s="66" customFormat="1" x14ac:dyDescent="0.25"/>
    <row r="366" s="66" customFormat="1" x14ac:dyDescent="0.25"/>
    <row r="367" s="66" customFormat="1" x14ac:dyDescent="0.25"/>
    <row r="368" s="66" customFormat="1" x14ac:dyDescent="0.25"/>
    <row r="369" s="66" customFormat="1" x14ac:dyDescent="0.25"/>
    <row r="370" s="66" customFormat="1" x14ac:dyDescent="0.25"/>
    <row r="371" s="66" customFormat="1" x14ac:dyDescent="0.25"/>
    <row r="372" s="66" customFormat="1" x14ac:dyDescent="0.25"/>
    <row r="373" s="66" customFormat="1" x14ac:dyDescent="0.25"/>
    <row r="374" s="66" customFormat="1" x14ac:dyDescent="0.25"/>
    <row r="375" s="66" customFormat="1" x14ac:dyDescent="0.25"/>
    <row r="376" s="66" customFormat="1" x14ac:dyDescent="0.25"/>
    <row r="377" s="66" customFormat="1" x14ac:dyDescent="0.25"/>
    <row r="378" s="66" customFormat="1" x14ac:dyDescent="0.25"/>
    <row r="379" s="66" customFormat="1" x14ac:dyDescent="0.25"/>
    <row r="380" s="66" customFormat="1" x14ac:dyDescent="0.25"/>
    <row r="381" s="66" customFormat="1" x14ac:dyDescent="0.25"/>
    <row r="382" s="66" customFormat="1" x14ac:dyDescent="0.25"/>
    <row r="383" s="66" customFormat="1" x14ac:dyDescent="0.25"/>
    <row r="384" s="66" customFormat="1" x14ac:dyDescent="0.25"/>
    <row r="385" s="66" customFormat="1" x14ac:dyDescent="0.25"/>
  </sheetData>
  <sheetProtection algorithmName="SHA-512" hashValue="iO8F0zn6ZYp4UmR0XPcFdoP8KD0+WrS4Eb0DshVWZbWpBwBSlCnnKvZKuoUuwVL1vI9RQaHoXnHWc3DcGSLy+A==" saltValue="eZ7jTP0ppuaIUSDRDuLrTA==" spinCount="100000" sheet="1" objects="1" scenarios="1"/>
  <mergeCells count="12">
    <mergeCell ref="S1:U2"/>
    <mergeCell ref="S3:U6"/>
    <mergeCell ref="S7:U10"/>
    <mergeCell ref="S11:U20"/>
    <mergeCell ref="S21:U22"/>
    <mergeCell ref="S34:U38"/>
    <mergeCell ref="S24:U26"/>
    <mergeCell ref="S27:U30"/>
    <mergeCell ref="S31:U31"/>
    <mergeCell ref="S32:S33"/>
    <mergeCell ref="T32:T33"/>
    <mergeCell ref="U32:U33"/>
  </mergeCells>
  <conditionalFormatting sqref="S32:T33">
    <cfRule type="cellIs" dxfId="4" priority="4" operator="greaterThan">
      <formula>0</formula>
    </cfRule>
  </conditionalFormatting>
  <conditionalFormatting sqref="S3:U10">
    <cfRule type="cellIs" dxfId="3" priority="2" operator="greaterThan">
      <formula>0</formula>
    </cfRule>
  </conditionalFormatting>
  <conditionalFormatting sqref="S24:U26">
    <cfRule type="cellIs" dxfId="2" priority="6" operator="greaterThan">
      <formula>0</formula>
    </cfRule>
  </conditionalFormatting>
  <conditionalFormatting sqref="S27:U30">
    <cfRule type="cellIs" dxfId="1" priority="5" operator="greaterThan">
      <formula>0</formula>
    </cfRule>
  </conditionalFormatting>
  <conditionalFormatting sqref="U32:U33">
    <cfRule type="cellIs" dxfId="0" priority="3" operator="greaterThan">
      <formula>0</formula>
    </cfRule>
  </conditionalFormatting>
  <hyperlinks>
    <hyperlink ref="S31" r:id="rId1" xr:uid="{00000000-0004-0000-1200-000000000000}"/>
    <hyperlink ref="S32" location="'Gala Setup'!H4" display="Gala  Set-up" xr:uid="{00000000-0004-0000-1200-000001000000}"/>
    <hyperlink ref="T32" location="Recording!C32" display="Gala Recording" xr:uid="{00000000-0004-0000-1200-000002000000}"/>
    <hyperlink ref="U32" location="HDR!H3" display=" HDR file" xr:uid="{00000000-0004-0000-1200-000003000000}"/>
  </hyperlinks>
  <pageMargins left="0.75" right="0.75" top="1" bottom="1" header="0.511811023622047" footer="0.511811023622047"/>
  <pageSetup paperSize="9" orientation="portrait" horizontalDpi="300" verticalDpi="300" r:id="rId2"/>
  <colBreaks count="2" manualBreakCount="2">
    <brk id="18" max="1048575" man="1"/>
    <brk id="2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W655"/>
  <sheetViews>
    <sheetView showGridLines="0" showRowColHeaders="0" zoomScale="60" zoomScaleNormal="60" workbookViewId="0">
      <pane xSplit="5" ySplit="12" topLeftCell="F135" activePane="bottomRight" state="frozen"/>
      <selection pane="topRight" activeCell="F1" sqref="F1"/>
      <selection pane="bottomLeft" activeCell="A135" sqref="A135"/>
      <selection pane="bottomRight" activeCell="D6" sqref="D6"/>
    </sheetView>
  </sheetViews>
  <sheetFormatPr defaultColWidth="9.109375" defaultRowHeight="19.8" x14ac:dyDescent="0.25"/>
  <cols>
    <col min="1" max="1" width="10.5546875" style="833" hidden="1" customWidth="1"/>
    <col min="2" max="2" width="5.88671875" style="834" customWidth="1"/>
    <col min="3" max="3" width="12.109375" style="835" customWidth="1"/>
    <col min="4" max="4" width="9.5546875" style="836" customWidth="1"/>
    <col min="5" max="5" width="36.6640625" style="834" customWidth="1"/>
    <col min="6" max="6" width="17.6640625" style="836" customWidth="1"/>
    <col min="7" max="7" width="6.6640625" style="834" customWidth="1"/>
    <col min="8" max="8" width="5.6640625" style="834" customWidth="1"/>
    <col min="9" max="9" width="17.6640625" style="836" customWidth="1"/>
    <col min="10" max="11" width="5.6640625" style="834" customWidth="1"/>
    <col min="12" max="12" width="17.6640625" style="836" customWidth="1"/>
    <col min="13" max="13" width="5.6640625" style="834" customWidth="1"/>
    <col min="14" max="14" width="6.5546875" style="834" customWidth="1"/>
    <col min="15" max="15" width="17.6640625" style="836" customWidth="1"/>
    <col min="16" max="17" width="5.6640625" style="834" customWidth="1"/>
    <col min="18" max="18" width="17.6640625" style="836" customWidth="1"/>
    <col min="19" max="19" width="5.6640625" style="834" customWidth="1"/>
    <col min="20" max="20" width="6.44140625" style="834" customWidth="1"/>
    <col min="21" max="21" width="17.6640625" style="836" customWidth="1"/>
    <col min="22" max="22" width="5.6640625" style="834" customWidth="1"/>
    <col min="23" max="23" width="5" style="834" customWidth="1"/>
    <col min="24" max="24" width="0.109375" style="834" customWidth="1"/>
    <col min="25" max="26" width="5.6640625" style="834" hidden="1" customWidth="1"/>
    <col min="27" max="27" width="10.6640625" style="834" hidden="1" customWidth="1"/>
    <col min="28" max="28" width="5.6640625" style="834" hidden="1" customWidth="1"/>
    <col min="29" max="29" width="5.109375" style="834" hidden="1" customWidth="1"/>
    <col min="30" max="30" width="10.88671875" style="834" hidden="1" customWidth="1"/>
    <col min="31" max="32" width="5.6640625" style="834" hidden="1" customWidth="1"/>
    <col min="33" max="33" width="10.88671875" style="834" hidden="1" customWidth="1"/>
    <col min="34" max="35" width="5.6640625" style="834" hidden="1" customWidth="1"/>
    <col min="36" max="54" width="5.109375" style="833" hidden="1" customWidth="1"/>
    <col min="55" max="55" width="20.33203125" style="833" customWidth="1"/>
    <col min="56" max="58" width="5.109375" style="833" customWidth="1"/>
    <col min="59" max="59" width="4.44140625" style="833" customWidth="1"/>
    <col min="60" max="60" width="5.109375" style="833" customWidth="1"/>
    <col min="61" max="64" width="8.33203125" style="833" customWidth="1"/>
    <col min="65" max="65" width="7.88671875" style="833" customWidth="1"/>
    <col min="66" max="71" width="8.33203125" style="833" customWidth="1"/>
    <col min="72" max="72" width="8.109375" style="833" customWidth="1"/>
    <col min="73" max="74" width="8.33203125" style="833" customWidth="1"/>
    <col min="75" max="75" width="100.6640625" style="837" customWidth="1"/>
    <col min="76" max="127" width="9.44140625" customWidth="1"/>
  </cols>
  <sheetData>
    <row r="1" spans="1:75" ht="78" customHeight="1" x14ac:dyDescent="0.25">
      <c r="B1" s="1390" t="str">
        <f>'Gala Setup'!S4</f>
        <v>NASL.2023 V6</v>
      </c>
      <c r="C1" s="1390"/>
      <c r="D1" s="1390"/>
      <c r="E1" s="1390"/>
      <c r="F1" s="838" t="s">
        <v>4502</v>
      </c>
      <c r="G1" s="1391"/>
      <c r="H1" s="1391"/>
      <c r="I1" s="839" t="s">
        <v>5071</v>
      </c>
      <c r="J1" s="1392"/>
      <c r="K1" s="1392"/>
      <c r="L1" s="840" t="s">
        <v>4322</v>
      </c>
      <c r="M1" s="1393"/>
      <c r="N1" s="1393"/>
      <c r="O1" s="840" t="s">
        <v>5072</v>
      </c>
      <c r="P1" s="1391"/>
      <c r="Q1" s="1391"/>
      <c r="R1" s="840" t="s">
        <v>5073</v>
      </c>
      <c r="S1" s="1394"/>
      <c r="T1" s="1394"/>
      <c r="U1" s="840" t="s">
        <v>5074</v>
      </c>
      <c r="V1" s="1395"/>
      <c r="W1" s="1395"/>
      <c r="X1" s="841"/>
      <c r="Y1" s="841"/>
      <c r="Z1" s="841"/>
      <c r="AA1" s="841"/>
      <c r="AB1" s="841"/>
      <c r="AC1" s="841"/>
      <c r="AD1" s="841"/>
      <c r="AE1" s="841"/>
      <c r="AF1" s="841"/>
      <c r="AG1" s="841"/>
      <c r="AH1" s="841"/>
      <c r="AI1" s="841"/>
      <c r="AJ1" s="842"/>
      <c r="AP1" s="833" t="str">
        <f>F7</f>
        <v>HARINGEY AQUATICS</v>
      </c>
      <c r="AQ1" s="833" t="str">
        <f>I7</f>
        <v>STEVENAGE</v>
      </c>
      <c r="AR1" s="833" t="str">
        <f>L7</f>
        <v>BORO OF BROXBOURNE</v>
      </c>
      <c r="AS1" s="833" t="str">
        <f>O7</f>
        <v>AYLESBURY</v>
      </c>
      <c r="AT1" s="833" t="str">
        <f>R7</f>
        <v>BRAINTREE &amp; BOCKING</v>
      </c>
      <c r="AU1" s="833" t="str">
        <f>U7</f>
        <v>Bo of Harrow</v>
      </c>
      <c r="AV1" s="833">
        <f>X7</f>
        <v>0</v>
      </c>
      <c r="AW1" s="833">
        <f>AA7</f>
        <v>0</v>
      </c>
      <c r="AX1" s="833">
        <f>AD7</f>
        <v>0</v>
      </c>
      <c r="AY1" s="833">
        <f>AG7</f>
        <v>0</v>
      </c>
      <c r="BT1" s="1396"/>
      <c r="BU1" s="1396"/>
      <c r="BV1" s="1396"/>
      <c r="BW1" s="1396"/>
    </row>
    <row r="2" spans="1:75" ht="33.75" customHeight="1" x14ac:dyDescent="0.25">
      <c r="C2" s="1397" t="s">
        <v>5075</v>
      </c>
      <c r="D2" s="1397"/>
      <c r="E2" s="1397"/>
      <c r="F2" s="843"/>
      <c r="G2" s="844"/>
      <c r="H2" s="844"/>
      <c r="I2" s="845"/>
      <c r="J2" s="846"/>
      <c r="K2" s="846"/>
      <c r="L2" s="1398" t="str">
        <f>'Gala Setup'!H2</f>
        <v>National Arena Swimming League</v>
      </c>
      <c r="M2" s="1398"/>
      <c r="N2" s="1398"/>
      <c r="O2" s="1398"/>
      <c r="P2" s="1398"/>
      <c r="Q2" s="1398"/>
      <c r="R2" s="1398"/>
      <c r="S2" s="1398"/>
      <c r="T2" s="1398"/>
      <c r="U2" s="1398"/>
      <c r="V2" s="1398"/>
      <c r="W2" s="1398"/>
      <c r="X2" s="841"/>
      <c r="Y2" s="841"/>
      <c r="Z2" s="841"/>
      <c r="AA2" s="841"/>
      <c r="AB2" s="841"/>
      <c r="AC2" s="841"/>
      <c r="AD2" s="841"/>
      <c r="AE2" s="841"/>
      <c r="AF2" s="841"/>
      <c r="AG2" s="841"/>
      <c r="AH2" s="841"/>
      <c r="AI2" s="841"/>
      <c r="AJ2" s="842"/>
      <c r="BT2" s="847"/>
      <c r="BU2" s="847"/>
      <c r="BV2" s="847"/>
      <c r="BW2" s="847"/>
    </row>
    <row r="3" spans="1:75" ht="33.75" customHeight="1" x14ac:dyDescent="0.25">
      <c r="B3" s="848"/>
      <c r="C3" s="1397"/>
      <c r="D3" s="1397"/>
      <c r="E3" s="1397"/>
      <c r="G3" s="849"/>
      <c r="H3" s="849"/>
      <c r="I3" s="849"/>
      <c r="J3" s="849"/>
      <c r="K3" s="849"/>
      <c r="L3" s="1398"/>
      <c r="M3" s="1398"/>
      <c r="N3" s="1398"/>
      <c r="O3" s="1398"/>
      <c r="P3" s="1398"/>
      <c r="Q3" s="1398"/>
      <c r="R3" s="1398"/>
      <c r="S3" s="1398"/>
      <c r="T3" s="1398"/>
      <c r="U3" s="1398"/>
      <c r="V3" s="1398"/>
      <c r="W3" s="1398"/>
      <c r="X3" s="850"/>
      <c r="Y3" s="851"/>
      <c r="Z3" s="851"/>
      <c r="AA3" s="851"/>
      <c r="AB3" s="851"/>
      <c r="AC3" s="851"/>
      <c r="AD3" s="851"/>
      <c r="AE3" s="851"/>
      <c r="AF3" s="851"/>
      <c r="AG3" s="851"/>
      <c r="AH3" s="851"/>
      <c r="AI3" s="852"/>
      <c r="AL3" s="833" t="b">
        <f>IF(B5&gt;4,1)</f>
        <v>0</v>
      </c>
      <c r="BW3" s="853"/>
    </row>
    <row r="4" spans="1:75" ht="33.75" customHeight="1" x14ac:dyDescent="0.25">
      <c r="B4" s="848"/>
      <c r="C4" s="1397"/>
      <c r="D4" s="1397"/>
      <c r="E4" s="1397"/>
      <c r="F4" s="854" t="s">
        <v>5076</v>
      </c>
      <c r="G4" s="1399" t="str">
        <f>'Gala Setup'!H4</f>
        <v>LONDON</v>
      </c>
      <c r="H4" s="1399"/>
      <c r="I4" s="1399"/>
      <c r="J4" s="1400" t="s">
        <v>18</v>
      </c>
      <c r="K4" s="1400"/>
      <c r="L4" s="1401" t="str">
        <f>'Gala Setup'!J4</f>
        <v>ONE</v>
      </c>
      <c r="M4" s="1401"/>
      <c r="N4" s="1401"/>
      <c r="O4" s="855" t="s">
        <v>5077</v>
      </c>
      <c r="P4" s="1402" t="str">
        <f>'Gala Setup'!H5</f>
        <v>THREE</v>
      </c>
      <c r="Q4" s="1402"/>
      <c r="R4" s="1402"/>
      <c r="S4" s="1403" t="s">
        <v>5078</v>
      </c>
      <c r="T4" s="1403"/>
      <c r="U4" s="1404" t="str">
        <f>'Gala Setup'!J5</f>
        <v>TWO</v>
      </c>
      <c r="V4" s="1404"/>
      <c r="W4" s="1404"/>
      <c r="X4" s="856"/>
      <c r="Y4" s="1405"/>
      <c r="Z4" s="1405"/>
      <c r="AA4" s="1405"/>
      <c r="AB4" s="1405"/>
      <c r="AC4" s="1406"/>
      <c r="AD4" s="1406"/>
      <c r="AE4" s="1406"/>
      <c r="AF4" s="1406"/>
      <c r="AG4" s="1406"/>
      <c r="AH4" s="1406"/>
      <c r="AI4" s="1406"/>
      <c r="BW4" s="853"/>
    </row>
    <row r="5" spans="1:75" ht="33.75" customHeight="1" x14ac:dyDescent="0.25">
      <c r="A5" s="833">
        <f>COUNT(AP1:AY1)</f>
        <v>4</v>
      </c>
      <c r="B5" s="857">
        <f>COUNT(AP1:AY1)</f>
        <v>4</v>
      </c>
      <c r="C5" s="1397"/>
      <c r="D5" s="1397"/>
      <c r="E5" s="1397"/>
      <c r="F5" s="858" t="s">
        <v>5079</v>
      </c>
      <c r="G5" s="1407" t="str">
        <f>'Gala Setup'!H6</f>
        <v>AQUA VALE S &amp; F CENTRE AYLESBURY</v>
      </c>
      <c r="H5" s="1407"/>
      <c r="I5" s="1407"/>
      <c r="J5" s="1407"/>
      <c r="K5" s="1407"/>
      <c r="L5" s="1407"/>
      <c r="M5" s="1407"/>
      <c r="N5" s="1407"/>
      <c r="O5" s="859" t="s">
        <v>4551</v>
      </c>
      <c r="P5" s="1408">
        <f>'Gala Setup'!H7</f>
        <v>45269</v>
      </c>
      <c r="Q5" s="1408"/>
      <c r="R5" s="1408"/>
      <c r="S5" s="1409" t="s">
        <v>5080</v>
      </c>
      <c r="T5" s="1409"/>
      <c r="U5" s="1410" t="str">
        <f>'Gala Setup'!J7</f>
        <v>3ER231478</v>
      </c>
      <c r="V5" s="1410"/>
      <c r="W5" s="1410"/>
      <c r="X5" s="860"/>
      <c r="Y5" s="1373"/>
      <c r="Z5" s="1373"/>
      <c r="AA5" s="1373"/>
      <c r="AB5" s="1373"/>
      <c r="AC5" s="1411"/>
      <c r="AD5" s="1411"/>
      <c r="AE5" s="1411"/>
      <c r="AF5" s="1411"/>
      <c r="AG5" s="1411"/>
      <c r="AH5" s="1411"/>
      <c r="AI5" s="1411"/>
      <c r="BW5" s="853"/>
    </row>
    <row r="6" spans="1:75" ht="33.75" customHeight="1" x14ac:dyDescent="0.25">
      <c r="C6" s="861" t="str">
        <f>Recording!O5</f>
        <v>1st</v>
      </c>
      <c r="D6" s="862">
        <f>Recording!R5</f>
        <v>252</v>
      </c>
      <c r="E6" s="863" t="str">
        <f>Recording!P5</f>
        <v>BRAINTREE &amp; BOCKING</v>
      </c>
      <c r="F6" s="864" t="s">
        <v>4327</v>
      </c>
      <c r="G6" s="1381">
        <f>'Gala Setup'!N4</f>
        <v>1</v>
      </c>
      <c r="H6" s="1381"/>
      <c r="I6" s="864" t="s">
        <v>4327</v>
      </c>
      <c r="J6" s="1382">
        <f>'Gala Setup'!N5</f>
        <v>2</v>
      </c>
      <c r="K6" s="1382"/>
      <c r="L6" s="864" t="s">
        <v>4327</v>
      </c>
      <c r="M6" s="1382">
        <f>'Gala Setup'!N6</f>
        <v>3</v>
      </c>
      <c r="N6" s="1382"/>
      <c r="O6" s="864" t="s">
        <v>4327</v>
      </c>
      <c r="P6" s="1382">
        <f>'Gala Setup'!N7</f>
        <v>4</v>
      </c>
      <c r="Q6" s="1382"/>
      <c r="R6" s="864" t="s">
        <v>4327</v>
      </c>
      <c r="S6" s="1382">
        <f>'Gala Setup'!N8</f>
        <v>5</v>
      </c>
      <c r="T6" s="1382"/>
      <c r="U6" s="864" t="s">
        <v>4327</v>
      </c>
      <c r="V6" s="1382">
        <f>'Gala Setup'!N9</f>
        <v>6</v>
      </c>
      <c r="W6" s="1382"/>
      <c r="X6" s="865"/>
      <c r="Y6" s="1383"/>
      <c r="Z6" s="1383"/>
      <c r="AA6" s="865"/>
      <c r="AB6" s="1383"/>
      <c r="AC6" s="1383"/>
      <c r="AD6" s="865"/>
      <c r="AE6" s="1383"/>
      <c r="AF6" s="1383"/>
      <c r="AG6" s="865"/>
      <c r="AH6" s="1383"/>
      <c r="AI6" s="1383"/>
      <c r="AJ6" s="1384" t="s">
        <v>5081</v>
      </c>
      <c r="BW6" s="853"/>
    </row>
    <row r="7" spans="1:75" ht="33.75" customHeight="1" x14ac:dyDescent="0.25">
      <c r="C7" s="866" t="str">
        <f>Recording!O18</f>
        <v>2nd</v>
      </c>
      <c r="D7" s="867">
        <f>Recording!R18</f>
        <v>241</v>
      </c>
      <c r="E7" s="868" t="str">
        <f>Recording!P18</f>
        <v>AYLESBURY</v>
      </c>
      <c r="F7" s="1385" t="str">
        <f>'Gala Setup'!P4</f>
        <v>HARINGEY AQUATICS</v>
      </c>
      <c r="G7" s="1385"/>
      <c r="H7" s="1385"/>
      <c r="I7" s="1386" t="str">
        <f>'Gala Setup'!P5</f>
        <v>STEVENAGE</v>
      </c>
      <c r="J7" s="1386"/>
      <c r="K7" s="1386"/>
      <c r="L7" s="1386" t="str">
        <f>'Gala Setup'!P6</f>
        <v>BORO OF BROXBOURNE</v>
      </c>
      <c r="M7" s="1386"/>
      <c r="N7" s="1386"/>
      <c r="O7" s="1386" t="str">
        <f>'Gala Setup'!P7</f>
        <v>AYLESBURY</v>
      </c>
      <c r="P7" s="1386"/>
      <c r="Q7" s="1386"/>
      <c r="R7" s="1386" t="str">
        <f>'Gala Setup'!P8</f>
        <v>BRAINTREE &amp; BOCKING</v>
      </c>
      <c r="S7" s="1386"/>
      <c r="T7" s="1386"/>
      <c r="U7" s="1386" t="str">
        <f>'Gala Setup'!P9</f>
        <v>Bo of Harrow</v>
      </c>
      <c r="V7" s="1386"/>
      <c r="W7" s="1386"/>
      <c r="X7" s="1387"/>
      <c r="Y7" s="1387"/>
      <c r="Z7" s="1387"/>
      <c r="AA7" s="1387"/>
      <c r="AB7" s="1387"/>
      <c r="AC7" s="1387"/>
      <c r="AD7" s="1388"/>
      <c r="AE7" s="1388"/>
      <c r="AF7" s="1388"/>
      <c r="AG7" s="1389"/>
      <c r="AH7" s="1389"/>
      <c r="AI7" s="1389"/>
      <c r="AJ7" s="1384"/>
      <c r="BW7" s="853"/>
    </row>
    <row r="8" spans="1:75" ht="30" customHeight="1" x14ac:dyDescent="0.25">
      <c r="C8" s="866" t="str">
        <f>Recording!O19</f>
        <v>3rd</v>
      </c>
      <c r="D8" s="867">
        <f>Recording!R19</f>
        <v>212</v>
      </c>
      <c r="E8" s="868" t="str">
        <f>Recording!P19</f>
        <v>Bo of Harrow</v>
      </c>
      <c r="F8" s="1378" t="s">
        <v>4422</v>
      </c>
      <c r="G8" s="1377">
        <f>IF(G10="","",IF(G10&lt;1,"",SUM((G10&lt;J10),(G10&lt;M10),(G10&lt;P10),(G10&lt;S10),(G10&lt;V10),(G10&lt;Y10),(G10&lt;AB10),(G10&lt;AE10),(G10&lt;AH10))+1))</f>
        <v>6</v>
      </c>
      <c r="H8" s="1377"/>
      <c r="I8" s="1378" t="s">
        <v>4422</v>
      </c>
      <c r="J8" s="1377">
        <f>IF(J10="","",IF(J10&lt;1,"",SUM((J10&lt;M10),(J10&lt;P10),(J10&lt;S10),(J10&lt;V10),(J10&lt;Y10),(J10&lt;AB10),(J10&lt;G10),(J10&lt;AE10),(J10&lt;AH10))+1))</f>
        <v>5</v>
      </c>
      <c r="K8" s="1377"/>
      <c r="L8" s="1378" t="s">
        <v>4422</v>
      </c>
      <c r="M8" s="1377">
        <f>IF(M10="","",IF(M10&lt;1,"",SUM((M10&lt;P10),(M10&lt;S10),(M10&lt;V10),(M10&lt;Y10),(M10&lt;AB10),(M10&lt;G10),(M10&lt;J10),(M10&lt;AE10),(M10&lt;AH10))+1))</f>
        <v>4</v>
      </c>
      <c r="N8" s="1377"/>
      <c r="O8" s="1378" t="s">
        <v>4422</v>
      </c>
      <c r="P8" s="1377">
        <f>IF(P10="","",IF(P10&lt;1,"",SUM((P10&lt;S10),(P10&lt;V10),(P10&lt;Y10),(P10&lt;AB10),(P10&lt;G10),(P10&lt;J10),(P10&lt;M10),(P10&lt;AE10),(P10&lt;AH10))+1))</f>
        <v>2</v>
      </c>
      <c r="Q8" s="1377"/>
      <c r="R8" s="1378" t="s">
        <v>4422</v>
      </c>
      <c r="S8" s="1377">
        <f>IF(S10="","",IF(S10&lt;1,"",SUM((S10&lt;V10),(S10&lt;Y10),(S10&lt;AB10),(S10&lt;G10),(S10&lt;J10),(S10&lt;M10),(S10&lt;P10),(S10&lt;AE10),(S10&lt;AH10))+1))</f>
        <v>1</v>
      </c>
      <c r="T8" s="1377"/>
      <c r="U8" s="1378" t="s">
        <v>4422</v>
      </c>
      <c r="V8" s="1377">
        <f>IF(V10="","",IF(V10&lt;1,"",SUM((V10&lt;Y10),(V10&lt;AB10),(V10&lt;G10),(V10&lt;J10),(V10&lt;M10),(V10&lt;P10),(V10&lt;S10),(V10&lt;AE10),(V10&lt;AH10))+1))</f>
        <v>3</v>
      </c>
      <c r="W8" s="1377"/>
      <c r="X8" s="1378"/>
      <c r="Y8" s="1377"/>
      <c r="Z8" s="1377"/>
      <c r="AA8" s="1378"/>
      <c r="AB8" s="1377"/>
      <c r="AC8" s="1377"/>
      <c r="AD8" s="1378"/>
      <c r="AE8" s="1377"/>
      <c r="AF8" s="1377"/>
      <c r="AG8" s="1378"/>
      <c r="AH8" s="1377"/>
      <c r="AI8" s="1377"/>
      <c r="AJ8" s="1384"/>
      <c r="BW8" s="853"/>
    </row>
    <row r="9" spans="1:75" ht="30" customHeight="1" x14ac:dyDescent="0.25">
      <c r="C9" s="866" t="str">
        <f>Recording!O20</f>
        <v>4th</v>
      </c>
      <c r="D9" s="867">
        <f>Recording!R20</f>
        <v>208</v>
      </c>
      <c r="E9" s="868" t="str">
        <f>Recording!P20</f>
        <v>Hillingdon 'B'</v>
      </c>
      <c r="F9" s="1378"/>
      <c r="G9" s="1377"/>
      <c r="H9" s="1377"/>
      <c r="I9" s="1378"/>
      <c r="J9" s="1377"/>
      <c r="K9" s="1377"/>
      <c r="L9" s="1378"/>
      <c r="M9" s="1377"/>
      <c r="N9" s="1377"/>
      <c r="O9" s="1378"/>
      <c r="P9" s="1377"/>
      <c r="Q9" s="1377"/>
      <c r="R9" s="1378"/>
      <c r="S9" s="1377"/>
      <c r="T9" s="1377"/>
      <c r="U9" s="1378"/>
      <c r="V9" s="1377"/>
      <c r="W9" s="1377"/>
      <c r="X9" s="1378"/>
      <c r="Y9" s="1377"/>
      <c r="Z9" s="1377"/>
      <c r="AA9" s="1378"/>
      <c r="AB9" s="1377"/>
      <c r="AC9" s="1377"/>
      <c r="AD9" s="1378"/>
      <c r="AE9" s="1377"/>
      <c r="AF9" s="1377"/>
      <c r="AG9" s="1378"/>
      <c r="AH9" s="1377"/>
      <c r="AI9" s="1377"/>
      <c r="AJ9" s="1384"/>
      <c r="BW9" s="853"/>
    </row>
    <row r="10" spans="1:75" ht="30" customHeight="1" x14ac:dyDescent="0.25">
      <c r="C10" s="866" t="str">
        <f>Recording!O21</f>
        <v>5th</v>
      </c>
      <c r="D10" s="867">
        <f>Recording!R21</f>
        <v>171</v>
      </c>
      <c r="E10" s="868" t="str">
        <f>Recording!P21</f>
        <v>BORO OF BROXBOURNE</v>
      </c>
      <c r="F10" s="1379" t="s">
        <v>5082</v>
      </c>
      <c r="G10" s="1380">
        <f>SUM(H13:H147)</f>
        <v>137</v>
      </c>
      <c r="H10" s="1380"/>
      <c r="I10" s="1379" t="s">
        <v>5082</v>
      </c>
      <c r="J10" s="1380">
        <f>SUM(K13:K147)</f>
        <v>143</v>
      </c>
      <c r="K10" s="1380"/>
      <c r="L10" s="1379" t="s">
        <v>5082</v>
      </c>
      <c r="M10" s="1380">
        <f>SUM(N13:N147)</f>
        <v>153</v>
      </c>
      <c r="N10" s="1380"/>
      <c r="O10" s="1379" t="s">
        <v>5082</v>
      </c>
      <c r="P10" s="1380">
        <f>SUM(Q13:Q147)</f>
        <v>208</v>
      </c>
      <c r="Q10" s="1380"/>
      <c r="R10" s="1379" t="s">
        <v>5082</v>
      </c>
      <c r="S10" s="1380">
        <f>SUM(T13:T147)</f>
        <v>218</v>
      </c>
      <c r="T10" s="1380"/>
      <c r="U10" s="1379" t="s">
        <v>5082</v>
      </c>
      <c r="V10" s="1380">
        <f>SUM(W13:W147)</f>
        <v>184</v>
      </c>
      <c r="W10" s="1380"/>
      <c r="X10" s="1379"/>
      <c r="Y10" s="1380"/>
      <c r="Z10" s="1380"/>
      <c r="AA10" s="1379"/>
      <c r="AB10" s="1380"/>
      <c r="AC10" s="1380"/>
      <c r="AD10" s="1379"/>
      <c r="AE10" s="1380"/>
      <c r="AF10" s="1380"/>
      <c r="AG10" s="1379"/>
      <c r="AH10" s="1380"/>
      <c r="AI10" s="1380"/>
      <c r="AJ10" s="1384"/>
      <c r="BW10" s="853"/>
    </row>
    <row r="11" spans="1:75" ht="30" customHeight="1" x14ac:dyDescent="0.25">
      <c r="C11" s="869" t="str">
        <f>Recording!O22</f>
        <v>6th</v>
      </c>
      <c r="D11" s="870">
        <f>Recording!R22</f>
        <v>158</v>
      </c>
      <c r="E11" s="871" t="str">
        <f>Recording!P22</f>
        <v>STEVENAGE</v>
      </c>
      <c r="F11" s="1379"/>
      <c r="G11" s="1380"/>
      <c r="H11" s="1380"/>
      <c r="I11" s="1379"/>
      <c r="J11" s="1380"/>
      <c r="K11" s="1380"/>
      <c r="L11" s="1379"/>
      <c r="M11" s="1380"/>
      <c r="N11" s="1380"/>
      <c r="O11" s="1379"/>
      <c r="P11" s="1380"/>
      <c r="Q11" s="1380"/>
      <c r="R11" s="1379"/>
      <c r="S11" s="1380"/>
      <c r="T11" s="1380"/>
      <c r="U11" s="1379"/>
      <c r="V11" s="1380"/>
      <c r="W11" s="1380"/>
      <c r="X11" s="1379"/>
      <c r="Y11" s="1380"/>
      <c r="Z11" s="1380"/>
      <c r="AA11" s="1379"/>
      <c r="AB11" s="1380"/>
      <c r="AC11" s="1380"/>
      <c r="AD11" s="1379"/>
      <c r="AE11" s="1380"/>
      <c r="AF11" s="1380"/>
      <c r="AG11" s="1379"/>
      <c r="AH11" s="1380"/>
      <c r="AI11" s="1380"/>
      <c r="AJ11" s="1384"/>
      <c r="BW11" s="853"/>
    </row>
    <row r="12" spans="1:75" ht="24" customHeight="1" x14ac:dyDescent="0.25">
      <c r="B12" s="1369" t="s">
        <v>4417</v>
      </c>
      <c r="C12" s="1369"/>
      <c r="D12" s="1369"/>
      <c r="E12" s="1369"/>
      <c r="F12" s="872" t="s">
        <v>4424</v>
      </c>
      <c r="G12" s="873" t="s">
        <v>4422</v>
      </c>
      <c r="H12" s="873" t="s">
        <v>5082</v>
      </c>
      <c r="I12" s="874" t="s">
        <v>4424</v>
      </c>
      <c r="J12" s="873" t="s">
        <v>4422</v>
      </c>
      <c r="K12" s="873" t="s">
        <v>5082</v>
      </c>
      <c r="L12" s="874" t="s">
        <v>4424</v>
      </c>
      <c r="M12" s="873" t="s">
        <v>4422</v>
      </c>
      <c r="N12" s="873" t="s">
        <v>5082</v>
      </c>
      <c r="O12" s="874" t="s">
        <v>4424</v>
      </c>
      <c r="P12" s="873" t="s">
        <v>4422</v>
      </c>
      <c r="Q12" s="875" t="s">
        <v>5082</v>
      </c>
      <c r="R12" s="874" t="s">
        <v>4424</v>
      </c>
      <c r="S12" s="873" t="s">
        <v>4422</v>
      </c>
      <c r="T12" s="873" t="s">
        <v>5082</v>
      </c>
      <c r="U12" s="874" t="s">
        <v>4424</v>
      </c>
      <c r="V12" s="873" t="s">
        <v>4422</v>
      </c>
      <c r="W12" s="873" t="s">
        <v>5082</v>
      </c>
      <c r="X12" s="876"/>
      <c r="Y12" s="873"/>
      <c r="Z12" s="873"/>
      <c r="AA12" s="876"/>
      <c r="AB12" s="875"/>
      <c r="AC12" s="875"/>
      <c r="AD12" s="876"/>
      <c r="AE12" s="875"/>
      <c r="AF12" s="875"/>
      <c r="AG12" s="876"/>
      <c r="AH12" s="875"/>
      <c r="AI12" s="873"/>
      <c r="AJ12" s="1384"/>
      <c r="BW12" s="853"/>
    </row>
    <row r="13" spans="1:75" ht="30" customHeight="1" x14ac:dyDescent="0.25">
      <c r="B13" s="1370">
        <v>1</v>
      </c>
      <c r="C13" s="1371" t="s">
        <v>5083</v>
      </c>
      <c r="D13" s="1372" t="s">
        <v>5084</v>
      </c>
      <c r="E13" s="877" t="str">
        <f>'Gala Setup'!J9</f>
        <v>200M</v>
      </c>
      <c r="F13" s="878">
        <f>'print 10 lane'!I12</f>
        <v>1.7831018518518519E-3</v>
      </c>
      <c r="G13" s="879">
        <f>IF(F13=0,0,IF(G$6=0,0,IF(F13&lt;1,SUM((F13&gt;I13),(F13&gt;L13),(F13&gt;O13),(F13&gt;R13),(F13&gt;U13),(F13&gt;X13),(F13&gt;AA13),(F13&gt;AD13),(F13&gt;AG13),(F13&gt;BB13)))-$AJ13))</f>
        <v>2</v>
      </c>
      <c r="H13" s="879">
        <f>IF(F13=0,0,IF(G$6=0,0,IF(G13=0,0,((11-G13)))-$B$5))</f>
        <v>5</v>
      </c>
      <c r="I13" s="878">
        <f>'print 10 lane'!L12</f>
        <v>1.8467592592592596E-3</v>
      </c>
      <c r="J13" s="879">
        <f>IF(I13=0,0,IF(I$7=0,0,IF(I13&lt;1,SUM((I13&gt;L13),(I13&gt;O13),(I13&gt;R13),(I13&gt;U13),(I13&gt;X13),(I13&gt;AA13),(I13&gt;F13),(I13&gt;AD13),(I13&gt;AG13),(I13&gt;BB13)))-$AJ13))</f>
        <v>5</v>
      </c>
      <c r="K13" s="879">
        <f>IF(I13=0,0,IF(I$7=0,0,IF(J13=0,0,((11-J13)))-$B$5))</f>
        <v>2</v>
      </c>
      <c r="L13" s="878">
        <f>'print 10 lane'!O12</f>
        <v>1.7894675925925925E-3</v>
      </c>
      <c r="M13" s="879">
        <f>IF(L13=0,0,IF(L$7=0,0,IF(L13&lt;1,SUM((L13&gt;I13),(L13&gt;F13),(L13&gt;O13),(L13&gt;R13),(L13&gt;U13),(L13&gt;X13),(L13&gt;AA13),(L13&gt;AD13),(L13&gt;AG13),(L13&gt;BB13)))-$AJ13))</f>
        <v>3</v>
      </c>
      <c r="N13" s="879">
        <f>IF(L13=0,0,IF(L$7=0,0,IF(M13=0,0,((11-M13)))-$B$5))</f>
        <v>4</v>
      </c>
      <c r="O13" s="878">
        <f>'print 10 lane'!R12</f>
        <v>1.75E-3</v>
      </c>
      <c r="P13" s="879">
        <f>IF(O13=0,0,IF(O$7=0,0,IF(O13&lt;1,SUM((O13&gt;I13),(O13&gt;L13),(O13&gt;F13),(O13&gt;R13),(O13&gt;U13),(O13&gt;X13),(O13&gt;AA13),(O13&gt;AD13),(O13&gt;AG13),(O13&gt;BB13)))-$AJ13))</f>
        <v>1</v>
      </c>
      <c r="Q13" s="879">
        <f>IF(O13=0,0,IF(O$7=0,0,IF(P13=0,0,((11-P13)))-$B$5))</f>
        <v>6</v>
      </c>
      <c r="R13" s="878">
        <f>'print 10 lane'!U12</f>
        <v>1.8901620370370372E-3</v>
      </c>
      <c r="S13" s="879">
        <f>IF(R13=0,0,IF(R$7=0,0,IF(R13&lt;1,SUM((R13&gt;I13),(R13&gt;L13),(R13&gt;O13),(R13&gt;F13),(R13&gt;U13),(R13&gt;X13),(R13&gt;AA13),(R13&gt;AD13),(R13&gt;AG13),(R13&gt;BB13)))-$AJ13))</f>
        <v>6</v>
      </c>
      <c r="T13" s="879">
        <f>IF(R13=0,0,IF(R$7=0,0,IF(S13=0,0,((11-S13)))-$B$5))</f>
        <v>1</v>
      </c>
      <c r="U13" s="878">
        <f>'print 10 lane'!X12</f>
        <v>1.8304398148148149E-3</v>
      </c>
      <c r="V13" s="879">
        <f>IF(U13=0,0,IF(U$7=0,0,IF(U13&lt;1,SUM((U13&gt;I13),(U13&gt;L13),(U13&gt;O13),(U13&gt;R13),(U13&gt;F13),(U13&gt;X13),(U13&gt;AA13),(U13&gt;AD13),(U13&gt;AG13),(U13&gt;BB13)))-$AJ13))</f>
        <v>4</v>
      </c>
      <c r="W13" s="879">
        <f>IF(U13=0,0,IF(U$7=0,0,IF(V13=0,0,((11-V13)))-$B$5))</f>
        <v>3</v>
      </c>
      <c r="X13" s="880"/>
      <c r="Y13" s="881"/>
      <c r="Z13" s="881"/>
      <c r="AA13" s="880"/>
      <c r="AB13" s="881"/>
      <c r="AC13" s="881"/>
      <c r="AD13" s="880"/>
      <c r="AE13" s="881"/>
      <c r="AF13" s="881"/>
      <c r="AG13" s="880"/>
      <c r="AH13" s="881"/>
      <c r="AI13" s="882"/>
      <c r="AJ13" s="883">
        <f>COUNTBLANK(F591:O591)</f>
        <v>4</v>
      </c>
    </row>
    <row r="14" spans="1:75" ht="30" customHeight="1" x14ac:dyDescent="0.25">
      <c r="B14" s="1370"/>
      <c r="C14" s="1371"/>
      <c r="D14" s="1372"/>
      <c r="E14" s="884" t="s">
        <v>5085</v>
      </c>
      <c r="F14" s="1351" t="str">
        <f>'print 10 lane'!I13</f>
        <v>Bianca Gomez-Velasco</v>
      </c>
      <c r="G14" s="1351"/>
      <c r="H14" s="1351"/>
      <c r="I14" s="1351" t="str">
        <f>'print 10 lane'!L13</f>
        <v>Sophie Stelmach</v>
      </c>
      <c r="J14" s="1351"/>
      <c r="K14" s="1351"/>
      <c r="L14" s="1351" t="str">
        <f>'print 10 lane'!O13</f>
        <v>Hannah Lovelock</v>
      </c>
      <c r="M14" s="1351"/>
      <c r="N14" s="1351"/>
      <c r="O14" s="1351" t="str">
        <f>'print 10 lane'!R13</f>
        <v>Libby Blissett</v>
      </c>
      <c r="P14" s="1351"/>
      <c r="Q14" s="1351"/>
      <c r="R14" s="1351" t="str">
        <f>'print 10 lane'!U13</f>
        <v>Isabelle Talbot</v>
      </c>
      <c r="S14" s="1351"/>
      <c r="T14" s="1351"/>
      <c r="U14" s="1351" t="str">
        <f>'print 10 lane'!X13</f>
        <v>Alice  Sharrock</v>
      </c>
      <c r="V14" s="1351"/>
      <c r="W14" s="1351"/>
      <c r="X14" s="1373"/>
      <c r="Y14" s="1373"/>
      <c r="Z14" s="1373"/>
      <c r="AA14" s="1373"/>
      <c r="AB14" s="1373"/>
      <c r="AC14" s="1373"/>
      <c r="AD14" s="1373"/>
      <c r="AE14" s="1373"/>
      <c r="AF14" s="1373"/>
      <c r="AG14" s="1374"/>
      <c r="AH14" s="1374"/>
      <c r="AI14" s="1374"/>
      <c r="AJ14" s="883"/>
    </row>
    <row r="15" spans="1:75" ht="30" customHeight="1" x14ac:dyDescent="0.25">
      <c r="B15" s="1370"/>
      <c r="C15" s="1371"/>
      <c r="D15" s="1372"/>
      <c r="E15" s="885" t="s">
        <v>5086</v>
      </c>
      <c r="F15" s="1339">
        <f>'print 10 lane'!I14</f>
        <v>0</v>
      </c>
      <c r="G15" s="1339"/>
      <c r="H15" s="1339"/>
      <c r="I15" s="1339">
        <f>'print 10 lane'!L14</f>
        <v>0</v>
      </c>
      <c r="J15" s="1339"/>
      <c r="K15" s="1339"/>
      <c r="L15" s="1339">
        <f>'print 10 lane'!O14</f>
        <v>0</v>
      </c>
      <c r="M15" s="1339"/>
      <c r="N15" s="1339"/>
      <c r="O15" s="1339">
        <f>'print 10 lane'!R14</f>
        <v>0</v>
      </c>
      <c r="P15" s="1339"/>
      <c r="Q15" s="1339"/>
      <c r="R15" s="1339">
        <f>'print 10 lane'!U14</f>
        <v>0</v>
      </c>
      <c r="S15" s="1339"/>
      <c r="T15" s="1339"/>
      <c r="U15" s="1339">
        <f>'print 10 lane'!X14</f>
        <v>0</v>
      </c>
      <c r="V15" s="1339"/>
      <c r="W15" s="1339"/>
      <c r="X15" s="1375"/>
      <c r="Y15" s="1375"/>
      <c r="Z15" s="1375"/>
      <c r="AA15" s="1375"/>
      <c r="AB15" s="1375"/>
      <c r="AC15" s="1375"/>
      <c r="AD15" s="1375"/>
      <c r="AE15" s="1375"/>
      <c r="AF15" s="1375"/>
      <c r="AG15" s="1376"/>
      <c r="AH15" s="1376"/>
      <c r="AI15" s="1376"/>
      <c r="AJ15" s="883"/>
    </row>
    <row r="16" spans="1:75" ht="30" customHeight="1" x14ac:dyDescent="0.25">
      <c r="B16" s="1364">
        <v>2</v>
      </c>
      <c r="C16" s="1365" t="s">
        <v>5087</v>
      </c>
      <c r="D16" s="1366" t="s">
        <v>5084</v>
      </c>
      <c r="E16" s="877" t="str">
        <f>'Gala Setup'!J9</f>
        <v>200M</v>
      </c>
      <c r="F16" s="878">
        <f>'print 10 lane'!I15</f>
        <v>0</v>
      </c>
      <c r="G16" s="879">
        <f>IF(F16=0,0,IF(G$6=0,0,IF(F16&lt;1,SUM((F16&gt;I16),(F16&gt;L16),(F16&gt;O16),(F16&gt;R16),(F16&gt;U16),(F16&gt;X16),(F16&gt;AA16),(F16&gt;AD16),(F16&gt;AG16),(F16&gt;BB16)))-$AJ16))</f>
        <v>0</v>
      </c>
      <c r="H16" s="879">
        <f>IF(F16=0,0,IF(G$6=0,0,IF(G16=0,0,((11-G16)))-$B$5))</f>
        <v>0</v>
      </c>
      <c r="I16" s="878">
        <f>'print 10 lane'!L15</f>
        <v>1.8596064814814814E-3</v>
      </c>
      <c r="J16" s="879">
        <f>IF(I16=0,0,IF(I$7=0,0,IF(I16&lt;1,SUM((I16&gt;L16),(I16&gt;O16),(I16&gt;R16),(I16&gt;U16),(I16&gt;X16),(I16&gt;AA16),(I16&gt;F16),(I16&gt;AD16),(I16&gt;AG16),(I16&gt;BB16)))-$AJ16))</f>
        <v>5</v>
      </c>
      <c r="K16" s="879">
        <f>IF(I16=0,0,IF(I$7=0,0,IF(J16=0,0,((11-J16)))-$B$5))</f>
        <v>2</v>
      </c>
      <c r="L16" s="878">
        <f>'print 10 lane'!O15</f>
        <v>1.7115740740740739E-3</v>
      </c>
      <c r="M16" s="879">
        <f>IF(L16=0,0,IF(L$7=0,0,IF(L16&lt;1,SUM((L16&gt;I16),(L16&gt;F16),(L16&gt;O16),(L16&gt;R16),(L16&gt;U16),(L16&gt;X16),(L16&gt;AA16),(L16&gt;AD16),(L16&gt;AG16),(L16&gt;BB16)))-$AJ16))</f>
        <v>4</v>
      </c>
      <c r="N16" s="879">
        <f>IF(L16=0,0,IF(L$7=0,0,IF(M16=0,0,((11-M16)))-$B$5))</f>
        <v>3</v>
      </c>
      <c r="O16" s="878">
        <f>'print 10 lane'!R15</f>
        <v>1.6637731481481484E-3</v>
      </c>
      <c r="P16" s="879">
        <f>IF(O16=0,0,IF(O$7=0,0,IF(O16&lt;1,SUM((O16&gt;I16),(O16&gt;L16),(O16&gt;F16),(O16&gt;R16),(O16&gt;U16),(O16&gt;X16),(O16&gt;AA16),(O16&gt;AD16),(O16&gt;AG16),(O16&gt;BB16)))-$AJ16))</f>
        <v>3</v>
      </c>
      <c r="Q16" s="879">
        <f>IF(O16=0,0,IF(O$7=0,0,IF(P16=0,0,((11-P16)))-$B$5))</f>
        <v>4</v>
      </c>
      <c r="R16" s="878">
        <f>'print 10 lane'!U15</f>
        <v>1.6520833333333333E-3</v>
      </c>
      <c r="S16" s="879">
        <f>IF(R16=0,0,IF(R$7=0,0,IF(R16&lt;1,SUM((R16&gt;I16),(R16&gt;L16),(R16&gt;O16),(R16&gt;F16),(R16&gt;U16),(R16&gt;X16),(R16&gt;AA16),(R16&gt;AD16),(R16&gt;AG16),(R16&gt;BB16)))-$AJ16))</f>
        <v>2</v>
      </c>
      <c r="T16" s="879">
        <f>IF(R16=0,0,IF(R$7=0,0,IF(S16=0,0,((11-S16)))-$B$5))</f>
        <v>5</v>
      </c>
      <c r="U16" s="878">
        <f>'print 10 lane'!X15</f>
        <v>1.6135416666666668E-3</v>
      </c>
      <c r="V16" s="879">
        <f>IF(U16=0,0,IF(U$7=0,0,IF(U16&lt;1,SUM((U16&gt;I16),(U16&gt;L16),(U16&gt;O16),(U16&gt;R16),(U16&gt;F16),(U16&gt;X16),(U16&gt;AA16),(U16&gt;AD16),(U16&gt;AG16),(U16&gt;BB16)))-$AJ16))</f>
        <v>1</v>
      </c>
      <c r="W16" s="879">
        <f>IF(U16=0,0,IF(U$7=0,0,IF(V16=0,0,((11-V16)))-$B$5))</f>
        <v>6</v>
      </c>
      <c r="X16" s="880"/>
      <c r="Y16" s="881"/>
      <c r="Z16" s="881"/>
      <c r="AA16" s="880"/>
      <c r="AB16" s="881"/>
      <c r="AC16" s="881"/>
      <c r="AD16" s="880"/>
      <c r="AE16" s="881"/>
      <c r="AF16" s="881"/>
      <c r="AG16" s="880"/>
      <c r="AH16" s="881"/>
      <c r="AI16" s="882"/>
      <c r="AJ16" s="883">
        <f>COUNTBLANK(F592:O592)</f>
        <v>5</v>
      </c>
    </row>
    <row r="17" spans="2:36" ht="30" customHeight="1" x14ac:dyDescent="0.25">
      <c r="B17" s="1364"/>
      <c r="C17" s="1365"/>
      <c r="D17" s="1366"/>
      <c r="E17" s="884" t="s">
        <v>5085</v>
      </c>
      <c r="F17" s="1351" t="str">
        <f>'print 10 lane'!I16</f>
        <v>Zente Buzsik</v>
      </c>
      <c r="G17" s="1351"/>
      <c r="H17" s="1351"/>
      <c r="I17" s="1351" t="str">
        <f>'print 10 lane'!L16</f>
        <v>Harry Chapman</v>
      </c>
      <c r="J17" s="1351"/>
      <c r="K17" s="1351"/>
      <c r="L17" s="1351" t="str">
        <f>'print 10 lane'!O16</f>
        <v>George Lovelock</v>
      </c>
      <c r="M17" s="1351"/>
      <c r="N17" s="1351"/>
      <c r="O17" s="1351" t="str">
        <f>'print 10 lane'!R16</f>
        <v>Ellis Bunce</v>
      </c>
      <c r="P17" s="1351"/>
      <c r="Q17" s="1351"/>
      <c r="R17" s="1351" t="str">
        <f>'print 10 lane'!U16</f>
        <v>Albert Orley</v>
      </c>
      <c r="S17" s="1351"/>
      <c r="T17" s="1351"/>
      <c r="U17" s="1351" t="str">
        <f>'print 10 lane'!X16</f>
        <v>Razvan Lembac</v>
      </c>
      <c r="V17" s="1351"/>
      <c r="W17" s="1351"/>
      <c r="X17" s="1317"/>
      <c r="Y17" s="1317"/>
      <c r="Z17" s="1317"/>
      <c r="AA17" s="1317"/>
      <c r="AB17" s="1317"/>
      <c r="AC17" s="1317"/>
      <c r="AD17" s="1317"/>
      <c r="AE17" s="1317"/>
      <c r="AF17" s="1317"/>
      <c r="AG17" s="1317"/>
      <c r="AH17" s="1317"/>
      <c r="AI17" s="1317"/>
      <c r="AJ17" s="883"/>
    </row>
    <row r="18" spans="2:36" ht="30" customHeight="1" x14ac:dyDescent="0.25">
      <c r="B18" s="1364"/>
      <c r="C18" s="1365"/>
      <c r="D18" s="1366"/>
      <c r="E18" s="886" t="s">
        <v>5086</v>
      </c>
      <c r="F18" s="1339" t="str">
        <f>'print 10 lane'!I17</f>
        <v>6.4 did not initiate the turn straight away when turned onto breast</v>
      </c>
      <c r="G18" s="1339"/>
      <c r="H18" s="1339"/>
      <c r="I18" s="1339">
        <f>'print 10 lane'!L17</f>
        <v>0</v>
      </c>
      <c r="J18" s="1339"/>
      <c r="K18" s="1339"/>
      <c r="L18" s="1339">
        <f>'print 10 lane'!O17</f>
        <v>0</v>
      </c>
      <c r="M18" s="1339"/>
      <c r="N18" s="1339"/>
      <c r="O18" s="1339">
        <f>'print 10 lane'!R17</f>
        <v>0</v>
      </c>
      <c r="P18" s="1339"/>
      <c r="Q18" s="1339"/>
      <c r="R18" s="1339">
        <f>'print 10 lane'!U17</f>
        <v>0</v>
      </c>
      <c r="S18" s="1339"/>
      <c r="T18" s="1339"/>
      <c r="U18" s="1339">
        <f>'print 10 lane'!X17</f>
        <v>0</v>
      </c>
      <c r="V18" s="1339"/>
      <c r="W18" s="1339"/>
      <c r="X18" s="1367"/>
      <c r="Y18" s="1367"/>
      <c r="Z18" s="1367"/>
      <c r="AA18" s="1367"/>
      <c r="AB18" s="1367"/>
      <c r="AC18" s="1367"/>
      <c r="AD18" s="1367"/>
      <c r="AE18" s="1367"/>
      <c r="AF18" s="1367"/>
      <c r="AG18" s="1368"/>
      <c r="AH18" s="1368"/>
      <c r="AI18" s="1368"/>
      <c r="AJ18" s="883"/>
    </row>
    <row r="19" spans="2:36" ht="30" customHeight="1" x14ac:dyDescent="0.25">
      <c r="B19" s="1362">
        <v>3</v>
      </c>
      <c r="C19" s="1358" t="s">
        <v>5083</v>
      </c>
      <c r="D19" s="1363" t="s">
        <v>5088</v>
      </c>
      <c r="E19" s="887" t="s">
        <v>5089</v>
      </c>
      <c r="F19" s="878">
        <f>'print 10 lane'!I18</f>
        <v>1.7363425925925925E-3</v>
      </c>
      <c r="G19" s="879">
        <f>IF(F19=0,0,IF(G$6=0,0,IF(F19&lt;1,SUM((F19&gt;I19),(F19&gt;L19),(F19&gt;O19),(F19&gt;R19),(F19&gt;U19),(F19&gt;X19),(F19&gt;AA19),(F19&gt;AD19),(F19&gt;AG19),(F19&gt;BB19)))-$AJ19))</f>
        <v>1</v>
      </c>
      <c r="H19" s="879">
        <f>IF(F19=0,0,IF(G$6=0,0,IF(G19=0,0,((11-G19)))-$B$5))</f>
        <v>6</v>
      </c>
      <c r="I19" s="878">
        <f>'print 10 lane'!L18</f>
        <v>0</v>
      </c>
      <c r="J19" s="879">
        <f>IF(I19=0,0,IF(I$7=0,0,IF(I19&lt;1,SUM((I19&gt;L19),(I19&gt;O19),(I19&gt;R19),(I19&gt;U19),(I19&gt;X19),(I19&gt;AA19),(I19&gt;F19),(I19&gt;AD19),(I19&gt;AG19),(I19&gt;BB19)))-$AJ19))</f>
        <v>0</v>
      </c>
      <c r="K19" s="879">
        <f>IF(I19=0,0,IF(I$7=0,0,IF(J19=0,0,((11-J19)))-$B$5))</f>
        <v>0</v>
      </c>
      <c r="L19" s="878">
        <f>'print 10 lane'!O18</f>
        <v>0</v>
      </c>
      <c r="M19" s="879">
        <f>IF(L19=0,0,IF(L$7=0,0,IF(L19&lt;1,SUM((L19&gt;I19),(L19&gt;F19),(L19&gt;O19),(L19&gt;R19),(L19&gt;U19),(L19&gt;X19),(L19&gt;AA19),(L19&gt;AD19),(L19&gt;AG19),(L19&gt;BB19)))-$AJ19))</f>
        <v>0</v>
      </c>
      <c r="N19" s="879">
        <f>IF(L19=0,0,IF(L$7=0,0,IF(M19=0,0,((11-M19)))-$B$5))</f>
        <v>0</v>
      </c>
      <c r="O19" s="878">
        <f>'print 10 lane'!R18</f>
        <v>1.8369212962962963E-3</v>
      </c>
      <c r="P19" s="879">
        <f>IF(O19=0,0,IF(O$7=0,0,IF(O19&lt;1,SUM((O19&gt;I19),(O19&gt;L19),(O19&gt;F19),(O19&gt;R19),(O19&gt;U19),(O19&gt;X19),(O19&gt;AA19),(O19&gt;AD19),(O19&gt;AG19),(O19&gt;BB19)))-$AJ19))</f>
        <v>3</v>
      </c>
      <c r="Q19" s="879">
        <f>IF(O19=0,0,IF(O$7=0,0,IF(P19=0,0,((11-P19)))-$B$5))</f>
        <v>4</v>
      </c>
      <c r="R19" s="878">
        <f>'print 10 lane'!U18</f>
        <v>1.8157407407407408E-3</v>
      </c>
      <c r="S19" s="879">
        <f>IF(R19=0,0,IF(R$7=0,0,IF(R19&lt;1,SUM((R19&gt;I19),(R19&gt;L19),(R19&gt;O19),(R19&gt;F19),(R19&gt;U19),(R19&gt;X19),(R19&gt;AA19),(R19&gt;AD19),(R19&gt;AG19),(R19&gt;BB19)))-$AJ19))</f>
        <v>2</v>
      </c>
      <c r="T19" s="879">
        <f>IF(R19=0,0,IF(R$7=0,0,IF(S19=0,0,((11-S19)))-$B$5))</f>
        <v>5</v>
      </c>
      <c r="U19" s="878">
        <f>'print 10 lane'!X18</f>
        <v>1.9184027777777778E-3</v>
      </c>
      <c r="V19" s="879">
        <f>IF(U19=0,0,IF(U$7=0,0,IF(U19&lt;1,SUM((U19&gt;I19),(U19&gt;L19),(U19&gt;O19),(U19&gt;R19),(U19&gt;F19),(U19&gt;X19),(U19&gt;AA19),(U19&gt;AD19),(U19&gt;AG19),(U19&gt;BB19)))-$AJ19))</f>
        <v>4</v>
      </c>
      <c r="W19" s="879">
        <f>IF(U19=0,0,IF(U$7=0,0,IF(V19=0,0,((11-V19)))-$B$5))</f>
        <v>3</v>
      </c>
      <c r="X19" s="880"/>
      <c r="Y19" s="881"/>
      <c r="Z19" s="881"/>
      <c r="AA19" s="880"/>
      <c r="AB19" s="881"/>
      <c r="AC19" s="881"/>
      <c r="AD19" s="880"/>
      <c r="AE19" s="881"/>
      <c r="AF19" s="881"/>
      <c r="AG19" s="880"/>
      <c r="AH19" s="881"/>
      <c r="AI19" s="882"/>
      <c r="AJ19" s="883">
        <f>COUNTBLANK(F593:O593)</f>
        <v>6</v>
      </c>
    </row>
    <row r="20" spans="2:36" ht="30" customHeight="1" x14ac:dyDescent="0.25">
      <c r="B20" s="1362"/>
      <c r="C20" s="1358"/>
      <c r="D20" s="1363"/>
      <c r="E20" s="888" t="s">
        <v>5086</v>
      </c>
      <c r="F20" s="1339">
        <f>'print 10 lane'!I19</f>
        <v>0</v>
      </c>
      <c r="G20" s="1339"/>
      <c r="H20" s="1339"/>
      <c r="I20" s="1339" t="str">
        <f>'print 10 lane'!L19</f>
        <v>OA swimmer</v>
      </c>
      <c r="J20" s="1339"/>
      <c r="K20" s="1339"/>
      <c r="L20" s="1339">
        <f>'print 10 lane'!O19</f>
        <v>0</v>
      </c>
      <c r="M20" s="1339"/>
      <c r="N20" s="1339"/>
      <c r="O20" s="1339">
        <f>'print 10 lane'!R19</f>
        <v>0</v>
      </c>
      <c r="P20" s="1339"/>
      <c r="Q20" s="1339"/>
      <c r="R20" s="1339">
        <f>'print 10 lane'!U19</f>
        <v>0</v>
      </c>
      <c r="S20" s="1339"/>
      <c r="T20" s="1339"/>
      <c r="U20" s="1339">
        <f>'print 10 lane'!X19</f>
        <v>0</v>
      </c>
      <c r="V20" s="1339"/>
      <c r="W20" s="1339"/>
      <c r="X20" s="1340"/>
      <c r="Y20" s="1340"/>
      <c r="Z20" s="1340"/>
      <c r="AA20" s="1340"/>
      <c r="AB20" s="1340"/>
      <c r="AC20" s="1340"/>
      <c r="AD20" s="1340"/>
      <c r="AE20" s="1340"/>
      <c r="AF20" s="1340"/>
      <c r="AG20" s="1341"/>
      <c r="AH20" s="1341"/>
      <c r="AI20" s="1341"/>
      <c r="AJ20" s="883"/>
    </row>
    <row r="21" spans="2:36" ht="30" customHeight="1" x14ac:dyDescent="0.25">
      <c r="B21" s="1337">
        <v>4</v>
      </c>
      <c r="C21" s="1360" t="s">
        <v>5087</v>
      </c>
      <c r="D21" s="1348" t="s">
        <v>5088</v>
      </c>
      <c r="E21" s="891" t="s">
        <v>5089</v>
      </c>
      <c r="F21" s="878">
        <f>'print 10 lane'!I20</f>
        <v>0</v>
      </c>
      <c r="G21" s="879">
        <f>IF(F21=0,0,IF(G$6=0,0,IF(F21&lt;1,SUM((F21&gt;I21),(F21&gt;L21),(F21&gt;O21),(F21&gt;R21),(F21&gt;U21),(F21&gt;X21),(F21&gt;AA21),(F21&gt;AD21),(F21&gt;AG21),(F21&gt;BB21)))-$AJ21))</f>
        <v>0</v>
      </c>
      <c r="H21" s="879">
        <f>IF(F21=0,0,IF(G$6=0,0,IF(G21=0,0,((11-G21)))-$B$5))</f>
        <v>0</v>
      </c>
      <c r="I21" s="878">
        <f>'print 10 lane'!L20</f>
        <v>1.6399305555555557E-3</v>
      </c>
      <c r="J21" s="879">
        <f>IF(I21=0,0,IF(I$7=0,0,IF(I21&lt;1,SUM((I21&gt;L21),(I21&gt;O21),(I21&gt;R21),(I21&gt;U21),(I21&gt;X21),(I21&gt;AA21),(I21&gt;F21),(I21&gt;AD21),(I21&gt;AG21),(I21&gt;BB21)))-$AJ21))</f>
        <v>1</v>
      </c>
      <c r="K21" s="879">
        <f>IF(I21=0,0,IF(I$7=0,0,IF(J21=0,0,((11-J21)))-$B$5))</f>
        <v>6</v>
      </c>
      <c r="L21" s="878">
        <f>'print 10 lane'!O20</f>
        <v>0</v>
      </c>
      <c r="M21" s="879">
        <f>IF(L21=0,0,IF(L$7=0,0,IF(L21&lt;1,SUM((L21&gt;I21),(L21&gt;F21),(L21&gt;O21),(L21&gt;R21),(L21&gt;U21),(L21&gt;X21),(L21&gt;AA21),(L21&gt;AD21),(L21&gt;AG21),(L21&gt;BB21)))-$AJ21))</f>
        <v>0</v>
      </c>
      <c r="N21" s="879">
        <f>IF(L21=0,0,IF(L$7=0,0,IF(M21=0,0,((11-M21)))-$B$5))</f>
        <v>0</v>
      </c>
      <c r="O21" s="878">
        <f>'print 10 lane'!R20</f>
        <v>2.0035879629629631E-3</v>
      </c>
      <c r="P21" s="879">
        <f>IF(O21=0,0,IF(O$7=0,0,IF(O21&lt;1,SUM((O21&gt;I21),(O21&gt;L21),(O21&gt;F21),(O21&gt;R21),(O21&gt;U21),(O21&gt;X21),(O21&gt;AA21),(O21&gt;AD21),(O21&gt;AG21),(O21&gt;BB21)))-$AJ21))</f>
        <v>4</v>
      </c>
      <c r="Q21" s="879">
        <f>IF(O21=0,0,IF(O$7=0,0,IF(P21=0,0,((11-P21)))-$B$5))</f>
        <v>3</v>
      </c>
      <c r="R21" s="878">
        <f>'print 10 lane'!U20</f>
        <v>1.7332175925925926E-3</v>
      </c>
      <c r="S21" s="879">
        <f>IF(R21=0,0,IF(R$7=0,0,IF(R21&lt;1,SUM((R21&gt;I21),(R21&gt;L21),(R21&gt;O21),(R21&gt;F21),(R21&gt;U21),(R21&gt;X21),(R21&gt;AA21),(R21&gt;AD21),(R21&gt;AG21),(R21&gt;BB21)))-$AJ21))</f>
        <v>2</v>
      </c>
      <c r="T21" s="879">
        <f>IF(R21=0,0,IF(R$7=0,0,IF(S21=0,0,((11-S21)))-$B$5))</f>
        <v>5</v>
      </c>
      <c r="U21" s="878">
        <f>'print 10 lane'!X20</f>
        <v>1.7974537037037037E-3</v>
      </c>
      <c r="V21" s="879">
        <f>IF(U21=0,0,IF(U$7=0,0,IF(U21&lt;1,SUM((U21&gt;I21),(U21&gt;L21),(U21&gt;O21),(U21&gt;R21),(U21&gt;F21),(U21&gt;X21),(U21&gt;AA21),(U21&gt;AD21),(U21&gt;AG21),(U21&gt;BB21)))-$AJ21))</f>
        <v>3</v>
      </c>
      <c r="W21" s="879">
        <f>IF(U21=0,0,IF(U$7=0,0,IF(V21=0,0,((11-V21)))-$B$5))</f>
        <v>4</v>
      </c>
      <c r="X21" s="892"/>
      <c r="Y21" s="889"/>
      <c r="Z21" s="889"/>
      <c r="AA21" s="892"/>
      <c r="AB21" s="889"/>
      <c r="AC21" s="889"/>
      <c r="AD21" s="892"/>
      <c r="AE21" s="889"/>
      <c r="AF21" s="889"/>
      <c r="AG21" s="892"/>
      <c r="AH21" s="889"/>
      <c r="AI21" s="890"/>
      <c r="AJ21" s="883">
        <f>COUNTBLANK(F594:O594)</f>
        <v>6</v>
      </c>
    </row>
    <row r="22" spans="2:36" ht="30" customHeight="1" x14ac:dyDescent="0.25">
      <c r="B22" s="1337"/>
      <c r="C22" s="1360"/>
      <c r="D22" s="1348"/>
      <c r="E22" s="888" t="s">
        <v>5086</v>
      </c>
      <c r="F22" s="1339" t="str">
        <f>'print 10 lane'!I21</f>
        <v>DNS</v>
      </c>
      <c r="G22" s="1339"/>
      <c r="H22" s="1339"/>
      <c r="I22" s="1339">
        <f>'print 10 lane'!L21</f>
        <v>0</v>
      </c>
      <c r="J22" s="1339"/>
      <c r="K22" s="1339"/>
      <c r="L22" s="1339" t="str">
        <f>'print 10 lane'!O21</f>
        <v>4.4 initiated the start before signal</v>
      </c>
      <c r="M22" s="1339"/>
      <c r="N22" s="1339"/>
      <c r="O22" s="1339">
        <f>'print 10 lane'!R21</f>
        <v>0</v>
      </c>
      <c r="P22" s="1339"/>
      <c r="Q22" s="1339"/>
      <c r="R22" s="1339">
        <f>'print 10 lane'!U21</f>
        <v>0</v>
      </c>
      <c r="S22" s="1339"/>
      <c r="T22" s="1339"/>
      <c r="U22" s="1339">
        <f>'print 10 lane'!X21</f>
        <v>0</v>
      </c>
      <c r="V22" s="1339"/>
      <c r="W22" s="1339"/>
      <c r="X22" s="1340"/>
      <c r="Y22" s="1340"/>
      <c r="Z22" s="1340"/>
      <c r="AA22" s="1340"/>
      <c r="AB22" s="1340"/>
      <c r="AC22" s="1340"/>
      <c r="AD22" s="1340"/>
      <c r="AE22" s="1340"/>
      <c r="AF22" s="1340"/>
      <c r="AG22" s="1341"/>
      <c r="AH22" s="1341"/>
      <c r="AI22" s="1341"/>
      <c r="AJ22" s="883"/>
    </row>
    <row r="23" spans="2:36" ht="30" customHeight="1" x14ac:dyDescent="0.25">
      <c r="B23" s="1337">
        <v>5</v>
      </c>
      <c r="C23" s="1358" t="s">
        <v>5083</v>
      </c>
      <c r="D23" s="1361" t="s">
        <v>5090</v>
      </c>
      <c r="E23" s="891" t="s">
        <v>5091</v>
      </c>
      <c r="F23" s="878">
        <f>'print 10 lane'!I22</f>
        <v>1.645949074074074E-3</v>
      </c>
      <c r="G23" s="879">
        <f>IF(F23=0,0,IF(G$6=0,0,IF(F23&lt;1,SUM((F23&gt;I23),(F23&gt;L23),(F23&gt;O23),(F23&gt;R23),(F23&gt;U23),(F23&gt;X23),(F23&gt;AA23),(F23&gt;AD23),(F23&gt;AG23),(F23&gt;BB23)))-$AJ23))</f>
        <v>2</v>
      </c>
      <c r="H23" s="879">
        <f>IF(F23=0,0,IF(G$6=0,0,IF(G23=0,0,((11-G23)))-$B$5))</f>
        <v>5</v>
      </c>
      <c r="I23" s="878">
        <f>'print 10 lane'!L22</f>
        <v>1.742361111111111E-3</v>
      </c>
      <c r="J23" s="879">
        <f>IF(I23=0,0,IF(I$7=0,0,IF(I23&lt;1,SUM((I23&gt;L23),(I23&gt;O23),(I23&gt;R23),(I23&gt;U23),(I23&gt;X23),(I23&gt;AA23),(I23&gt;F23),(I23&gt;AD23),(I23&gt;AG23),(I23&gt;BB23)))-$AJ23))</f>
        <v>4</v>
      </c>
      <c r="K23" s="879">
        <f>IF(I23=0,0,IF(I$7=0,0,IF(J23=0,0,((11-J23)))-$B$5))</f>
        <v>3</v>
      </c>
      <c r="L23" s="878">
        <f>'print 10 lane'!O22</f>
        <v>1.6287037037037036E-3</v>
      </c>
      <c r="M23" s="879">
        <f>IF(L23=0,0,IF(L$7=0,0,IF(L23&lt;1,SUM((L23&gt;I23),(L23&gt;F23),(L23&gt;O23),(L23&gt;R23),(L23&gt;U23),(L23&gt;X23),(L23&gt;AA23),(L23&gt;AD23),(L23&gt;AG23),(L23&gt;BB23)))-$AJ23))</f>
        <v>1</v>
      </c>
      <c r="N23" s="879">
        <f>IF(L23=0,0,IF(L$7=0,0,IF(M23=0,0,((11-M23)))-$B$5))</f>
        <v>6</v>
      </c>
      <c r="O23" s="878">
        <f>'print 10 lane'!R22</f>
        <v>1.6534722222222222E-3</v>
      </c>
      <c r="P23" s="879">
        <f>IF(O23=0,0,IF(O$7=0,0,IF(O23&lt;1,SUM((O23&gt;I23),(O23&gt;L23),(O23&gt;F23),(O23&gt;R23),(O23&gt;U23),(O23&gt;X23),(O23&gt;AA23),(O23&gt;AD23),(O23&gt;AG23),(O23&gt;BB23)))-$AJ23))</f>
        <v>3</v>
      </c>
      <c r="Q23" s="879">
        <f>IF(O23=0,0,IF(O$7=0,0,IF(P23=0,0,((11-P23)))-$B$5))</f>
        <v>4</v>
      </c>
      <c r="R23" s="878">
        <f>'print 10 lane'!U22</f>
        <v>1.7437500000000003E-3</v>
      </c>
      <c r="S23" s="879">
        <f>IF(R23=0,0,IF(R$7=0,0,IF(R23&lt;1,SUM((R23&gt;I23),(R23&gt;L23),(R23&gt;O23),(R23&gt;F23),(R23&gt;U23),(R23&gt;X23),(R23&gt;AA23),(R23&gt;AD23),(R23&gt;AG23),(R23&gt;BB23)))-$AJ23))</f>
        <v>5</v>
      </c>
      <c r="T23" s="879">
        <f>IF(R23=0,0,IF(R$7=0,0,IF(S23=0,0,((11-S23)))-$B$5))</f>
        <v>2</v>
      </c>
      <c r="U23" s="878">
        <f>'print 10 lane'!X22</f>
        <v>1.9731481481481479E-3</v>
      </c>
      <c r="V23" s="879">
        <f>IF(U23=0,0,IF(U$7=0,0,IF(U23&lt;1,SUM((U23&gt;I23),(U23&gt;L23),(U23&gt;O23),(U23&gt;R23),(U23&gt;F23),(U23&gt;X23),(U23&gt;AA23),(U23&gt;AD23),(U23&gt;AG23),(U23&gt;BB23)))-$AJ23))</f>
        <v>6</v>
      </c>
      <c r="W23" s="879">
        <f>IF(U23=0,0,IF(U$7=0,0,IF(V23=0,0,((11-V23)))-$B$5))</f>
        <v>1</v>
      </c>
      <c r="X23" s="892"/>
      <c r="Y23" s="889"/>
      <c r="Z23" s="889"/>
      <c r="AA23" s="892"/>
      <c r="AB23" s="889"/>
      <c r="AC23" s="889"/>
      <c r="AD23" s="892"/>
      <c r="AE23" s="889"/>
      <c r="AF23" s="889"/>
      <c r="AG23" s="892"/>
      <c r="AH23" s="889"/>
      <c r="AI23" s="890"/>
      <c r="AJ23" s="883">
        <f>COUNTBLANK(F595:O595)</f>
        <v>4</v>
      </c>
    </row>
    <row r="24" spans="2:36" ht="30" customHeight="1" x14ac:dyDescent="0.25">
      <c r="B24" s="1337"/>
      <c r="C24" s="1358"/>
      <c r="D24" s="1361"/>
      <c r="E24" s="888" t="s">
        <v>5086</v>
      </c>
      <c r="F24" s="1339">
        <f>'print 10 lane'!I23</f>
        <v>0</v>
      </c>
      <c r="G24" s="1339"/>
      <c r="H24" s="1339"/>
      <c r="I24" s="1339">
        <f>'print 10 lane'!L23</f>
        <v>0</v>
      </c>
      <c r="J24" s="1339"/>
      <c r="K24" s="1339"/>
      <c r="L24" s="1339">
        <f>'print 10 lane'!O23</f>
        <v>0</v>
      </c>
      <c r="M24" s="1339"/>
      <c r="N24" s="1339"/>
      <c r="O24" s="1339">
        <f>'print 10 lane'!R23</f>
        <v>0</v>
      </c>
      <c r="P24" s="1339"/>
      <c r="Q24" s="1339"/>
      <c r="R24" s="1339">
        <f>'print 10 lane'!U23</f>
        <v>0</v>
      </c>
      <c r="S24" s="1339"/>
      <c r="T24" s="1339"/>
      <c r="U24" s="1339">
        <f>'print 10 lane'!X23</f>
        <v>0</v>
      </c>
      <c r="V24" s="1339"/>
      <c r="W24" s="1339"/>
      <c r="X24" s="1340"/>
      <c r="Y24" s="1340"/>
      <c r="Z24" s="1340"/>
      <c r="AA24" s="1340"/>
      <c r="AB24" s="1340"/>
      <c r="AC24" s="1340"/>
      <c r="AD24" s="1340"/>
      <c r="AE24" s="1340"/>
      <c r="AF24" s="1340"/>
      <c r="AG24" s="1341"/>
      <c r="AH24" s="1341"/>
      <c r="AI24" s="1341"/>
      <c r="AJ24" s="883"/>
    </row>
    <row r="25" spans="2:36" ht="30" customHeight="1" x14ac:dyDescent="0.25">
      <c r="B25" s="1337">
        <v>6</v>
      </c>
      <c r="C25" s="1360" t="s">
        <v>5087</v>
      </c>
      <c r="D25" s="1361" t="s">
        <v>5090</v>
      </c>
      <c r="E25" s="891" t="s">
        <v>5091</v>
      </c>
      <c r="F25" s="878">
        <f>'print 10 lane'!I24</f>
        <v>1.7806712962962965E-3</v>
      </c>
      <c r="G25" s="879">
        <f>IF(F25=0,0,IF(G$6=0,0,IF(F25&lt;1,SUM((F25&gt;I25),(F25&gt;L25),(F25&gt;O25),(F25&gt;R25),(F25&gt;U25),(F25&gt;X25),(F25&gt;AA25),(F25&gt;AD25),(F25&gt;AG25),(F25&gt;BB25)))-$AJ25))</f>
        <v>4</v>
      </c>
      <c r="H25" s="879">
        <f>IF(F25=0,0,IF(G$6=0,0,IF(G25=0,0,((11-G25)))-$B$5))</f>
        <v>3</v>
      </c>
      <c r="I25" s="878">
        <f>'print 10 lane'!L24</f>
        <v>1.7177083333333332E-3</v>
      </c>
      <c r="J25" s="879">
        <f>IF(I25=0,0,IF(I$7=0,0,IF(I25&lt;1,SUM((I25&gt;L25),(I25&gt;O25),(I25&gt;R25),(I25&gt;U25),(I25&gt;X25),(I25&gt;AA25),(I25&gt;F25),(I25&gt;AD25),(I25&gt;AG25),(I25&gt;BB25)))-$AJ25))</f>
        <v>3</v>
      </c>
      <c r="K25" s="879">
        <f>IF(I25=0,0,IF(I$7=0,0,IF(J25=0,0,((11-J25)))-$B$5))</f>
        <v>4</v>
      </c>
      <c r="L25" s="878">
        <f>'print 10 lane'!O24</f>
        <v>1.6693287037037039E-3</v>
      </c>
      <c r="M25" s="879">
        <f>IF(L25=0,0,IF(L$7=0,0,IF(L25&lt;1,SUM((L25&gt;I25),(L25&gt;F25),(L25&gt;O25),(L25&gt;R25),(L25&gt;U25),(L25&gt;X25),(L25&gt;AA25),(L25&gt;AD25),(L25&gt;AG25),(L25&gt;BB25)))-$AJ25))</f>
        <v>2</v>
      </c>
      <c r="N25" s="879">
        <f>IF(L25=0,0,IF(L$7=0,0,IF(M25=0,0,((11-M25)))-$B$5))</f>
        <v>5</v>
      </c>
      <c r="O25" s="878">
        <f>'print 10 lane'!R24</f>
        <v>1.8538194444444446E-3</v>
      </c>
      <c r="P25" s="879">
        <f>IF(O25=0,0,IF(O$7=0,0,IF(O25&lt;1,SUM((O25&gt;I25),(O25&gt;L25),(O25&gt;F25),(O25&gt;R25),(O25&gt;U25),(O25&gt;X25),(O25&gt;AA25),(O25&gt;AD25),(O25&gt;AG25),(O25&gt;BB25)))-$AJ25))</f>
        <v>6</v>
      </c>
      <c r="Q25" s="879">
        <f>IF(O25=0,0,IF(O$7=0,0,IF(P25=0,0,((11-P25)))-$B$5))</f>
        <v>1</v>
      </c>
      <c r="R25" s="878">
        <f>'print 10 lane'!U24</f>
        <v>1.8093750000000002E-3</v>
      </c>
      <c r="S25" s="879">
        <f>IF(R25=0,0,IF(R$7=0,0,IF(R25&lt;1,SUM((R25&gt;I25),(R25&gt;L25),(R25&gt;O25),(R25&gt;F25),(R25&gt;U25),(R25&gt;X25),(R25&gt;AA25),(R25&gt;AD25),(R25&gt;AG25),(R25&gt;BB25)))-$AJ25))</f>
        <v>5</v>
      </c>
      <c r="T25" s="879">
        <f>IF(R25=0,0,IF(R$7=0,0,IF(S25=0,0,((11-S25)))-$B$5))</f>
        <v>2</v>
      </c>
      <c r="U25" s="878">
        <f>'print 10 lane'!X24</f>
        <v>1.5825231481481482E-3</v>
      </c>
      <c r="V25" s="879">
        <f>IF(U25=0,0,IF(U$7=0,0,IF(U25&lt;1,SUM((U25&gt;I25),(U25&gt;L25),(U25&gt;O25),(U25&gt;R25),(U25&gt;F25),(U25&gt;X25),(U25&gt;AA25),(U25&gt;AD25),(U25&gt;AG25),(U25&gt;BB25)))-$AJ25))</f>
        <v>1</v>
      </c>
      <c r="W25" s="879">
        <f>IF(U25=0,0,IF(U$7=0,0,IF(V25=0,0,((11-V25)))-$B$5))</f>
        <v>6</v>
      </c>
      <c r="X25" s="892"/>
      <c r="Y25" s="889"/>
      <c r="Z25" s="889"/>
      <c r="AA25" s="892"/>
      <c r="AB25" s="889"/>
      <c r="AC25" s="889"/>
      <c r="AD25" s="892"/>
      <c r="AE25" s="889"/>
      <c r="AF25" s="889"/>
      <c r="AG25" s="892"/>
      <c r="AH25" s="889"/>
      <c r="AI25" s="890"/>
      <c r="AJ25" s="883">
        <f>COUNTBLANK(F596:O596)</f>
        <v>4</v>
      </c>
    </row>
    <row r="26" spans="2:36" ht="30" customHeight="1" x14ac:dyDescent="0.25">
      <c r="B26" s="1337"/>
      <c r="C26" s="1360"/>
      <c r="D26" s="1361"/>
      <c r="E26" s="888" t="s">
        <v>5086</v>
      </c>
      <c r="F26" s="1339">
        <f>'print 10 lane'!I25</f>
        <v>0</v>
      </c>
      <c r="G26" s="1339"/>
      <c r="H26" s="1339"/>
      <c r="I26" s="1339">
        <f>'print 10 lane'!L25</f>
        <v>0</v>
      </c>
      <c r="J26" s="1339"/>
      <c r="K26" s="1339"/>
      <c r="L26" s="1339">
        <f>'print 10 lane'!O25</f>
        <v>0</v>
      </c>
      <c r="M26" s="1339"/>
      <c r="N26" s="1339"/>
      <c r="O26" s="1339">
        <f>'print 10 lane'!R25</f>
        <v>0</v>
      </c>
      <c r="P26" s="1339"/>
      <c r="Q26" s="1339"/>
      <c r="R26" s="1339">
        <f>'print 10 lane'!U25</f>
        <v>0</v>
      </c>
      <c r="S26" s="1339"/>
      <c r="T26" s="1339"/>
      <c r="U26" s="1339">
        <f>'print 10 lane'!X25</f>
        <v>0</v>
      </c>
      <c r="V26" s="1339"/>
      <c r="W26" s="1339"/>
      <c r="X26" s="1340"/>
      <c r="Y26" s="1340"/>
      <c r="Z26" s="1340"/>
      <c r="AA26" s="1340"/>
      <c r="AB26" s="1340"/>
      <c r="AC26" s="1340"/>
      <c r="AD26" s="1340"/>
      <c r="AE26" s="1340"/>
      <c r="AF26" s="1340"/>
      <c r="AG26" s="1341"/>
      <c r="AH26" s="1341"/>
      <c r="AI26" s="1341"/>
      <c r="AJ26" s="883"/>
    </row>
    <row r="27" spans="2:36" ht="30" customHeight="1" x14ac:dyDescent="0.25">
      <c r="B27" s="1337">
        <v>7</v>
      </c>
      <c r="C27" s="1358" t="s">
        <v>5083</v>
      </c>
      <c r="D27" s="1361" t="s">
        <v>5092</v>
      </c>
      <c r="E27" s="891" t="s">
        <v>5089</v>
      </c>
      <c r="F27" s="878">
        <f>'print 10 lane'!I26</f>
        <v>1.4748842592592591E-3</v>
      </c>
      <c r="G27" s="879">
        <f>IF(F27=0,0,IF(G$6=0,0,IF(F27&lt;1,SUM((F27&gt;I27),(F27&gt;L27),(F27&gt;O27),(F27&gt;R27),(F27&gt;U27),(F27&gt;X27),(F27&gt;AA27),(F27&gt;AD27),(F27&gt;AG27),(F27&gt;BB27)))-$AJ27))</f>
        <v>6</v>
      </c>
      <c r="H27" s="879">
        <f>IF(F27=0,0,IF(G$6=0,0,IF(G27=0,0,((11-G27)))-$B$5))</f>
        <v>1</v>
      </c>
      <c r="I27" s="878">
        <f>'print 10 lane'!L26</f>
        <v>1.4600694444444444E-3</v>
      </c>
      <c r="J27" s="879">
        <f>IF(I27=0,0,IF(I$7=0,0,IF(I27&lt;1,SUM((I27&gt;L27),(I27&gt;O27),(I27&gt;R27),(I27&gt;U27),(I27&gt;X27),(I27&gt;AA27),(I27&gt;F27),(I27&gt;AD27),(I27&gt;AG27),(I27&gt;BB27)))-$AJ27))</f>
        <v>5</v>
      </c>
      <c r="K27" s="879">
        <f>IF(I27=0,0,IF(I$7=0,0,IF(J27=0,0,((11-J27)))-$B$5))</f>
        <v>2</v>
      </c>
      <c r="L27" s="878">
        <f>'print 10 lane'!O26</f>
        <v>1.4290509259259258E-3</v>
      </c>
      <c r="M27" s="879">
        <f>IF(L27=0,0,IF(L$7=0,0,IF(L27&lt;1,SUM((L27&gt;I27),(L27&gt;F27),(L27&gt;O27),(L27&gt;R27),(L27&gt;U27),(L27&gt;X27),(L27&gt;AA27),(L27&gt;AD27),(L27&gt;AG27),(L27&gt;BB27)))-$AJ27))</f>
        <v>3</v>
      </c>
      <c r="N27" s="879">
        <f>IF(L27=0,0,IF(L$7=0,0,IF(M27=0,0,((11-M27)))-$B$5))</f>
        <v>4</v>
      </c>
      <c r="O27" s="878">
        <f>'print 10 lane'!R26</f>
        <v>1.4349537037037037E-3</v>
      </c>
      <c r="P27" s="879">
        <f>IF(O27=0,0,IF(O$7=0,0,IF(O27&lt;1,SUM((O27&gt;I27),(O27&gt;L27),(O27&gt;F27),(O27&gt;R27),(O27&gt;U27),(O27&gt;X27),(O27&gt;AA27),(O27&gt;AD27),(O27&gt;AG27),(O27&gt;BB27)))-$AJ27))</f>
        <v>4</v>
      </c>
      <c r="Q27" s="879">
        <f>IF(O27=0,0,IF(O$7=0,0,IF(P27=0,0,((11-P27)))-$B$5))</f>
        <v>3</v>
      </c>
      <c r="R27" s="878">
        <f>'print 10 lane'!U26</f>
        <v>1.3890046296296298E-3</v>
      </c>
      <c r="S27" s="879">
        <f>IF(R27=0,0,IF(R$7=0,0,IF(R27&lt;1,SUM((R27&gt;I27),(R27&gt;L27),(R27&gt;O27),(R27&gt;F27),(R27&gt;U27),(R27&gt;X27),(R27&gt;AA27),(R27&gt;AD27),(R27&gt;AG27),(R27&gt;BB27)))-$AJ27))</f>
        <v>1</v>
      </c>
      <c r="T27" s="879">
        <f>IF(R27=0,0,IF(R$7=0,0,IF(S27=0,0,((11-S27)))-$B$5))</f>
        <v>6</v>
      </c>
      <c r="U27" s="878">
        <f>'print 10 lane'!X26</f>
        <v>1.391435185185185E-3</v>
      </c>
      <c r="V27" s="879">
        <f>IF(U27=0,0,IF(U$7=0,0,IF(U27&lt;1,SUM((U27&gt;I27),(U27&gt;L27),(U27&gt;O27),(U27&gt;R27),(U27&gt;F27),(U27&gt;X27),(U27&gt;AA27),(U27&gt;AD27),(U27&gt;AG27),(U27&gt;BB27)))-$AJ27))</f>
        <v>2</v>
      </c>
      <c r="W27" s="879">
        <f>IF(U27=0,0,IF(U$7=0,0,IF(V27=0,0,((11-V27)))-$B$5))</f>
        <v>5</v>
      </c>
      <c r="X27" s="892"/>
      <c r="Y27" s="889"/>
      <c r="Z27" s="889"/>
      <c r="AA27" s="892"/>
      <c r="AB27" s="889"/>
      <c r="AC27" s="889"/>
      <c r="AD27" s="892"/>
      <c r="AE27" s="889"/>
      <c r="AF27" s="889"/>
      <c r="AG27" s="892"/>
      <c r="AH27" s="889"/>
      <c r="AI27" s="890"/>
      <c r="AJ27" s="883">
        <f>COUNTBLANK(F597:O597)</f>
        <v>4</v>
      </c>
    </row>
    <row r="28" spans="2:36" ht="30" customHeight="1" x14ac:dyDescent="0.25">
      <c r="B28" s="1337"/>
      <c r="C28" s="1358"/>
      <c r="D28" s="1361"/>
      <c r="E28" s="888" t="s">
        <v>5086</v>
      </c>
      <c r="F28" s="1339">
        <f>'print 10 lane'!I27</f>
        <v>0</v>
      </c>
      <c r="G28" s="1339"/>
      <c r="H28" s="1339"/>
      <c r="I28" s="1339">
        <f>'print 10 lane'!L27</f>
        <v>0</v>
      </c>
      <c r="J28" s="1339"/>
      <c r="K28" s="1339"/>
      <c r="L28" s="1339">
        <f>'print 10 lane'!O27</f>
        <v>0</v>
      </c>
      <c r="M28" s="1339"/>
      <c r="N28" s="1339"/>
      <c r="O28" s="1339">
        <f>'print 10 lane'!R27</f>
        <v>0</v>
      </c>
      <c r="P28" s="1339"/>
      <c r="Q28" s="1339"/>
      <c r="R28" s="1339">
        <f>'print 10 lane'!U27</f>
        <v>0</v>
      </c>
      <c r="S28" s="1339"/>
      <c r="T28" s="1339"/>
      <c r="U28" s="1339">
        <f>'print 10 lane'!X27</f>
        <v>0</v>
      </c>
      <c r="V28" s="1339"/>
      <c r="W28" s="1339"/>
      <c r="X28" s="1340"/>
      <c r="Y28" s="1340"/>
      <c r="Z28" s="1340"/>
      <c r="AA28" s="1340"/>
      <c r="AB28" s="1340"/>
      <c r="AC28" s="1340"/>
      <c r="AD28" s="1340"/>
      <c r="AE28" s="1340"/>
      <c r="AF28" s="1340"/>
      <c r="AG28" s="1341"/>
      <c r="AH28" s="1341"/>
      <c r="AI28" s="1341"/>
      <c r="AJ28" s="883"/>
    </row>
    <row r="29" spans="2:36" ht="30" customHeight="1" x14ac:dyDescent="0.25">
      <c r="B29" s="1337">
        <v>8</v>
      </c>
      <c r="C29" s="1360" t="s">
        <v>5087</v>
      </c>
      <c r="D29" s="1361" t="s">
        <v>5092</v>
      </c>
      <c r="E29" s="891" t="s">
        <v>5089</v>
      </c>
      <c r="F29" s="878">
        <f>'print 10 lane'!I28</f>
        <v>1.4600694444444444E-3</v>
      </c>
      <c r="G29" s="879">
        <f>IF(F29=0,0,IF(G$6=0,0,IF(F29&lt;1,SUM((F29&gt;I29),(F29&gt;L29),(F29&gt;O29),(F29&gt;R29),(F29&gt;U29),(F29&gt;X29),(F29&gt;AA29),(F29&gt;AD29),(F29&gt;AG29),(F29&gt;BB29)))-$AJ29))</f>
        <v>6</v>
      </c>
      <c r="H29" s="879">
        <f>IF(F29=0,0,IF(G$6=0,0,IF(G29=0,0,((11-G29)))-$B$5))</f>
        <v>1</v>
      </c>
      <c r="I29" s="878">
        <f>'print 10 lane'!L28</f>
        <v>1.3547453703703701E-3</v>
      </c>
      <c r="J29" s="879">
        <f>IF(I29=0,0,IF(I$7=0,0,IF(I29&lt;1,SUM((I29&gt;L29),(I29&gt;O29),(I29&gt;R29),(I29&gt;U29),(I29&gt;X29),(I29&gt;AA29),(I29&gt;F29),(I29&gt;AD29),(I29&gt;AG29),(I29&gt;BB29)))-$AJ29))</f>
        <v>4</v>
      </c>
      <c r="K29" s="879">
        <f>IF(I29=0,0,IF(I$7=0,0,IF(J29=0,0,((11-J29)))-$B$5))</f>
        <v>3</v>
      </c>
      <c r="L29" s="878">
        <f>'print 10 lane'!O28</f>
        <v>1.4348379629629631E-3</v>
      </c>
      <c r="M29" s="879">
        <f>IF(L29=0,0,IF(L$7=0,0,IF(L29&lt;1,SUM((L29&gt;I29),(L29&gt;F29),(L29&gt;O29),(L29&gt;R29),(L29&gt;U29),(L29&gt;X29),(L29&gt;AA29),(L29&gt;AD29),(L29&gt;AG29),(L29&gt;BB29)))-$AJ29))</f>
        <v>5</v>
      </c>
      <c r="N29" s="879">
        <f>IF(L29=0,0,IF(L$7=0,0,IF(M29=0,0,((11-M29)))-$B$5))</f>
        <v>2</v>
      </c>
      <c r="O29" s="878">
        <f>'print 10 lane'!R28</f>
        <v>1.3260416666666666E-3</v>
      </c>
      <c r="P29" s="879">
        <f>IF(O29=0,0,IF(O$7=0,0,IF(O29&lt;1,SUM((O29&gt;I29),(O29&gt;L29),(O29&gt;F29),(O29&gt;R29),(O29&gt;U29),(O29&gt;X29),(O29&gt;AA29),(O29&gt;AD29),(O29&gt;AG29),(O29&gt;BB29)))-$AJ29))</f>
        <v>3</v>
      </c>
      <c r="Q29" s="879">
        <f>IF(O29=0,0,IF(O$7=0,0,IF(P29=0,0,((11-P29)))-$B$5))</f>
        <v>4</v>
      </c>
      <c r="R29" s="878">
        <f>'print 10 lane'!U28</f>
        <v>1.2678240740740742E-3</v>
      </c>
      <c r="S29" s="879">
        <f>IF(R29=0,0,IF(R$7=0,0,IF(R29&lt;1,SUM((R29&gt;I29),(R29&gt;L29),(R29&gt;O29),(R29&gt;F29),(R29&gt;U29),(R29&gt;X29),(R29&gt;AA29),(R29&gt;AD29),(R29&gt;AG29),(R29&gt;BB29)))-$AJ29))</f>
        <v>2</v>
      </c>
      <c r="T29" s="879">
        <f>IF(R29=0,0,IF(R$7=0,0,IF(S29=0,0,((11-S29)))-$B$5))</f>
        <v>5</v>
      </c>
      <c r="U29" s="878">
        <f>'print 10 lane'!X28</f>
        <v>1.262037037037037E-3</v>
      </c>
      <c r="V29" s="879">
        <f>IF(U29=0,0,IF(U$7=0,0,IF(U29&lt;1,SUM((U29&gt;I29),(U29&gt;L29),(U29&gt;O29),(U29&gt;R29),(U29&gt;F29),(U29&gt;X29),(U29&gt;AA29),(U29&gt;AD29),(U29&gt;AG29),(U29&gt;BB29)))-$AJ29))</f>
        <v>1</v>
      </c>
      <c r="W29" s="879">
        <f>IF(U29=0,0,IF(U$7=0,0,IF(V29=0,0,((11-V29)))-$B$5))</f>
        <v>6</v>
      </c>
      <c r="X29" s="892"/>
      <c r="Y29" s="889"/>
      <c r="Z29" s="889"/>
      <c r="AA29" s="892"/>
      <c r="AB29" s="889"/>
      <c r="AC29" s="889"/>
      <c r="AD29" s="892"/>
      <c r="AE29" s="889"/>
      <c r="AF29" s="889"/>
      <c r="AG29" s="892"/>
      <c r="AH29" s="889"/>
      <c r="AI29" s="890"/>
      <c r="AJ29" s="883">
        <f>COUNTBLANK(F598:O598)</f>
        <v>4</v>
      </c>
    </row>
    <row r="30" spans="2:36" ht="30" customHeight="1" x14ac:dyDescent="0.25">
      <c r="B30" s="1337"/>
      <c r="C30" s="1360"/>
      <c r="D30" s="1361"/>
      <c r="E30" s="888" t="s">
        <v>5086</v>
      </c>
      <c r="F30" s="1339">
        <f>'print 10 lane'!I29</f>
        <v>0</v>
      </c>
      <c r="G30" s="1339"/>
      <c r="H30" s="1339"/>
      <c r="I30" s="1339">
        <f>'print 10 lane'!L29</f>
        <v>0</v>
      </c>
      <c r="J30" s="1339"/>
      <c r="K30" s="1339"/>
      <c r="L30" s="1339">
        <f>'print 10 lane'!O29</f>
        <v>0</v>
      </c>
      <c r="M30" s="1339"/>
      <c r="N30" s="1339"/>
      <c r="O30" s="1339">
        <f>'print 10 lane'!R29</f>
        <v>0</v>
      </c>
      <c r="P30" s="1339"/>
      <c r="Q30" s="1339"/>
      <c r="R30" s="1339">
        <f>'print 10 lane'!U29</f>
        <v>0</v>
      </c>
      <c r="S30" s="1339"/>
      <c r="T30" s="1339"/>
      <c r="U30" s="1339">
        <f>'print 10 lane'!X29</f>
        <v>0</v>
      </c>
      <c r="V30" s="1339"/>
      <c r="W30" s="1339"/>
      <c r="X30" s="1340"/>
      <c r="Y30" s="1340"/>
      <c r="Z30" s="1340"/>
      <c r="AA30" s="1340"/>
      <c r="AB30" s="1340"/>
      <c r="AC30" s="1340"/>
      <c r="AD30" s="1340"/>
      <c r="AE30" s="1340"/>
      <c r="AF30" s="1340"/>
      <c r="AG30" s="1341"/>
      <c r="AH30" s="1341"/>
      <c r="AI30" s="1341"/>
      <c r="AJ30" s="883"/>
    </row>
    <row r="31" spans="2:36" ht="30" customHeight="1" x14ac:dyDescent="0.25">
      <c r="B31" s="1337">
        <v>9</v>
      </c>
      <c r="C31" s="1358" t="s">
        <v>5083</v>
      </c>
      <c r="D31" s="1338" t="s">
        <v>5093</v>
      </c>
      <c r="E31" s="891" t="s">
        <v>5091</v>
      </c>
      <c r="F31" s="878">
        <f>'print 10 lane'!I30</f>
        <v>0</v>
      </c>
      <c r="G31" s="879">
        <f>IF(F31=0,0,IF(G$6=0,0,IF(F31&lt;1,SUM((F31&gt;I31),(F31&gt;L31),(F31&gt;O31),(F31&gt;R31),(F31&gt;U31),(F31&gt;X31),(F31&gt;AA31),(F31&gt;AD31),(F31&gt;AG31),(F31&gt;BB31)))-$AJ31))</f>
        <v>0</v>
      </c>
      <c r="H31" s="879">
        <f>IF(F31=0,0,IF(G$6=0,0,IF(G31=0,0,((11-G31)))-$B$5))</f>
        <v>0</v>
      </c>
      <c r="I31" s="878">
        <f>'print 10 lane'!L30</f>
        <v>1.6187500000000002E-3</v>
      </c>
      <c r="J31" s="879">
        <f>IF(I31=0,0,IF(I$7=0,0,IF(I31&lt;1,SUM((I31&gt;L31),(I31&gt;O31),(I31&gt;R31),(I31&gt;U31),(I31&gt;X31),(I31&gt;AA31),(I31&gt;F31),(I31&gt;AD31),(I31&gt;AG31),(I31&gt;BB31)))-$AJ31))</f>
        <v>5</v>
      </c>
      <c r="K31" s="879">
        <f>IF(I31=0,0,IF(I$7=0,0,IF(J31=0,0,((11-J31)))-$B$5))</f>
        <v>2</v>
      </c>
      <c r="L31" s="878">
        <f>'print 10 lane'!O30</f>
        <v>1.6140046296296295E-3</v>
      </c>
      <c r="M31" s="879">
        <f>IF(L31=0,0,IF(L$7=0,0,IF(L31&lt;1,SUM((L31&gt;I31),(L31&gt;F31),(L31&gt;O31),(L31&gt;R31),(L31&gt;U31),(L31&gt;X31),(L31&gt;AA31),(L31&gt;AD31),(L31&gt;AG31),(L31&gt;BB31)))-$AJ31))</f>
        <v>4</v>
      </c>
      <c r="N31" s="879">
        <f>IF(L31=0,0,IF(L$7=0,0,IF(M31=0,0,((11-M31)))-$B$5))</f>
        <v>3</v>
      </c>
      <c r="O31" s="878">
        <f>'print 10 lane'!R30</f>
        <v>1.5174768518518517E-3</v>
      </c>
      <c r="P31" s="879">
        <f>IF(O31=0,0,IF(O$7=0,0,IF(O31&lt;1,SUM((O31&gt;I31),(O31&gt;L31),(O31&gt;F31),(O31&gt;R31),(O31&gt;U31),(O31&gt;X31),(O31&gt;AA31),(O31&gt;AD31),(O31&gt;AG31),(O31&gt;BB31)))-$AJ31))</f>
        <v>1</v>
      </c>
      <c r="Q31" s="879">
        <f>IF(O31=0,0,IF(O$7=0,0,IF(P31=0,0,((11-P31)))-$B$5))</f>
        <v>6</v>
      </c>
      <c r="R31" s="878">
        <f>'print 10 lane'!U30</f>
        <v>1.5806712962962962E-3</v>
      </c>
      <c r="S31" s="879">
        <f>IF(R31=0,0,IF(R$7=0,0,IF(R31&lt;1,SUM((R31&gt;I31),(R31&gt;L31),(R31&gt;O31),(R31&gt;F31),(R31&gt;U31),(R31&gt;X31),(R31&gt;AA31),(R31&gt;AD31),(R31&gt;AG31),(R31&gt;BB31)))-$AJ31))</f>
        <v>2</v>
      </c>
      <c r="T31" s="879">
        <f>IF(R31=0,0,IF(R$7=0,0,IF(S31=0,0,((11-S31)))-$B$5))</f>
        <v>5</v>
      </c>
      <c r="U31" s="878">
        <f>'print 10 lane'!X30</f>
        <v>1.6027777777777776E-3</v>
      </c>
      <c r="V31" s="879">
        <f>IF(U31=0,0,IF(U$7=0,0,IF(U31&lt;1,SUM((U31&gt;I31),(U31&gt;L31),(U31&gt;O31),(U31&gt;R31),(U31&gt;F31),(U31&gt;X31),(U31&gt;AA31),(U31&gt;AD31),(U31&gt;AG31),(U31&gt;BB31)))-$AJ31))</f>
        <v>3</v>
      </c>
      <c r="W31" s="879">
        <f>IF(U31=0,0,IF(U$7=0,0,IF(V31=0,0,((11-V31)))-$B$5))</f>
        <v>4</v>
      </c>
      <c r="X31" s="892"/>
      <c r="Y31" s="889"/>
      <c r="Z31" s="889"/>
      <c r="AA31" s="892"/>
      <c r="AB31" s="889"/>
      <c r="AC31" s="889"/>
      <c r="AD31" s="892"/>
      <c r="AE31" s="889"/>
      <c r="AF31" s="889"/>
      <c r="AG31" s="892"/>
      <c r="AH31" s="889"/>
      <c r="AI31" s="890"/>
      <c r="AJ31" s="883">
        <f>COUNTBLANK(F599:O599)</f>
        <v>5</v>
      </c>
    </row>
    <row r="32" spans="2:36" ht="30" customHeight="1" x14ac:dyDescent="0.25">
      <c r="B32" s="1337"/>
      <c r="C32" s="1358"/>
      <c r="D32" s="1338"/>
      <c r="E32" s="888" t="s">
        <v>5086</v>
      </c>
      <c r="F32" s="1339" t="str">
        <f>'print 10 lane'!I31</f>
        <v>10.12 Jump before incoming swimmer touched the wall</v>
      </c>
      <c r="G32" s="1339"/>
      <c r="H32" s="1339"/>
      <c r="I32" s="1339">
        <f>'print 10 lane'!L31</f>
        <v>0</v>
      </c>
      <c r="J32" s="1339"/>
      <c r="K32" s="1339"/>
      <c r="L32" s="1339">
        <f>'print 10 lane'!O31</f>
        <v>0</v>
      </c>
      <c r="M32" s="1339"/>
      <c r="N32" s="1339"/>
      <c r="O32" s="1339">
        <f>'print 10 lane'!R31</f>
        <v>0</v>
      </c>
      <c r="P32" s="1339"/>
      <c r="Q32" s="1339"/>
      <c r="R32" s="1339">
        <f>'print 10 lane'!U31</f>
        <v>0</v>
      </c>
      <c r="S32" s="1339"/>
      <c r="T32" s="1339"/>
      <c r="U32" s="1339">
        <f>'print 10 lane'!X31</f>
        <v>0</v>
      </c>
      <c r="V32" s="1339"/>
      <c r="W32" s="1339"/>
      <c r="X32" s="1340"/>
      <c r="Y32" s="1340"/>
      <c r="Z32" s="1340"/>
      <c r="AA32" s="1340"/>
      <c r="AB32" s="1340"/>
      <c r="AC32" s="1340"/>
      <c r="AD32" s="1340"/>
      <c r="AE32" s="1340"/>
      <c r="AF32" s="1340"/>
      <c r="AG32" s="1341"/>
      <c r="AH32" s="1341"/>
      <c r="AI32" s="1341"/>
      <c r="AJ32" s="883"/>
    </row>
    <row r="33" spans="1:75" ht="30" customHeight="1" x14ac:dyDescent="0.25">
      <c r="B33" s="1359">
        <v>10</v>
      </c>
      <c r="C33" s="1360" t="s">
        <v>5087</v>
      </c>
      <c r="D33" s="1338" t="s">
        <v>5093</v>
      </c>
      <c r="E33" s="891" t="s">
        <v>5091</v>
      </c>
      <c r="F33" s="878">
        <f>'print 10 lane'!I32</f>
        <v>1.5916666666666666E-3</v>
      </c>
      <c r="G33" s="879">
        <f>IF(F33=0,0,IF(G$6=0,0,IF(F33&lt;1,SUM((F33&gt;I33),(F33&gt;L33),(F33&gt;O33),(F33&gt;R33),(F33&gt;U33),(F33&gt;X33),(F33&gt;AA33),(F33&gt;AD33),(F33&gt;AG33),(F33&gt;BB33)))-$AJ33))</f>
        <v>5</v>
      </c>
      <c r="H33" s="879">
        <f>IF(F33=0,0,IF(G$6=0,0,IF(G33=0,0,((11-G33)))-$B$5))</f>
        <v>2</v>
      </c>
      <c r="I33" s="878">
        <f>'print 10 lane'!L32</f>
        <v>1.5048611111111111E-3</v>
      </c>
      <c r="J33" s="879">
        <f>IF(I33=0,0,IF(I$7=0,0,IF(I33&lt;1,SUM((I33&gt;L33),(I33&gt;O33),(I33&gt;R33),(I33&gt;U33),(I33&gt;X33),(I33&gt;AA33),(I33&gt;F33),(I33&gt;AD33),(I33&gt;AG33),(I33&gt;BB33)))-$AJ33))</f>
        <v>4</v>
      </c>
      <c r="K33" s="879">
        <f>IF(I33=0,0,IF(I$7=0,0,IF(J33=0,0,((11-J33)))-$B$5))</f>
        <v>3</v>
      </c>
      <c r="L33" s="878">
        <f>'print 10 lane'!O32</f>
        <v>0</v>
      </c>
      <c r="M33" s="879">
        <f>IF(L33=0,0,IF(L$7=0,0,IF(L33&lt;1,SUM((L33&gt;I33),(L33&gt;F33),(L33&gt;O33),(L33&gt;R33),(L33&gt;U33),(L33&gt;X33),(L33&gt;AA33),(L33&gt;AD33),(L33&gt;AG33),(L33&gt;BB33)))-$AJ33))</f>
        <v>0</v>
      </c>
      <c r="N33" s="879">
        <f>IF(L33=0,0,IF(L$7=0,0,IF(M33=0,0,((11-M33)))-$B$5))</f>
        <v>0</v>
      </c>
      <c r="O33" s="878">
        <f>'print 10 lane'!R32</f>
        <v>1.3813657407407409E-3</v>
      </c>
      <c r="P33" s="879">
        <f>IF(O33=0,0,IF(O$7=0,0,IF(O33&lt;1,SUM((O33&gt;I33),(O33&gt;L33),(O33&gt;F33),(O33&gt;R33),(O33&gt;U33),(O33&gt;X33),(O33&gt;AA33),(O33&gt;AD33),(O33&gt;AG33),(O33&gt;BB33)))-$AJ33))</f>
        <v>2</v>
      </c>
      <c r="Q33" s="879">
        <f>IF(O33=0,0,IF(O$7=0,0,IF(P33=0,0,((11-P33)))-$B$5))</f>
        <v>5</v>
      </c>
      <c r="R33" s="878">
        <f>'print 10 lane'!U32</f>
        <v>1.4202546296296298E-3</v>
      </c>
      <c r="S33" s="879">
        <f>IF(R33=0,0,IF(R$7=0,0,IF(R33&lt;1,SUM((R33&gt;I33),(R33&gt;L33),(R33&gt;O33),(R33&gt;F33),(R33&gt;U33),(R33&gt;X33),(R33&gt;AA33),(R33&gt;AD33),(R33&gt;AG33),(R33&gt;BB33)))-$AJ33))</f>
        <v>3</v>
      </c>
      <c r="T33" s="879">
        <f>IF(R33=0,0,IF(R$7=0,0,IF(S33=0,0,((11-S33)))-$B$5))</f>
        <v>4</v>
      </c>
      <c r="U33" s="878">
        <f>'print 10 lane'!X32</f>
        <v>1.3542824074074073E-3</v>
      </c>
      <c r="V33" s="879">
        <f>IF(U33=0,0,IF(U$7=0,0,IF(U33&lt;1,SUM((U33&gt;I33),(U33&gt;L33),(U33&gt;O33),(U33&gt;R33),(U33&gt;F33),(U33&gt;X33),(U33&gt;AA33),(U33&gt;AD33),(U33&gt;AG33),(U33&gt;BB33)))-$AJ33))</f>
        <v>1</v>
      </c>
      <c r="W33" s="879">
        <f>IF(U33=0,0,IF(U$7=0,0,IF(V33=0,0,((11-V33)))-$B$5))</f>
        <v>6</v>
      </c>
      <c r="X33" s="892"/>
      <c r="Y33" s="889"/>
      <c r="Z33" s="889"/>
      <c r="AA33" s="892"/>
      <c r="AB33" s="889"/>
      <c r="AC33" s="889"/>
      <c r="AD33" s="892"/>
      <c r="AE33" s="889"/>
      <c r="AF33" s="889"/>
      <c r="AG33" s="892"/>
      <c r="AH33" s="889"/>
      <c r="AI33" s="890"/>
      <c r="AJ33" s="883">
        <f>COUNTBLANK(F600:O600)</f>
        <v>5</v>
      </c>
    </row>
    <row r="34" spans="1:75" ht="30" customHeight="1" x14ac:dyDescent="0.25">
      <c r="B34" s="1359"/>
      <c r="C34" s="1360"/>
      <c r="D34" s="1338"/>
      <c r="E34" s="888" t="s">
        <v>5086</v>
      </c>
      <c r="F34" s="1339">
        <f>'print 10 lane'!I33</f>
        <v>0</v>
      </c>
      <c r="G34" s="1339"/>
      <c r="H34" s="1339"/>
      <c r="I34" s="1339">
        <f>'print 10 lane'!L33</f>
        <v>0</v>
      </c>
      <c r="J34" s="1339"/>
      <c r="K34" s="1339"/>
      <c r="L34" s="1339" t="str">
        <f>'print 10 lane'!O33</f>
        <v>10.12 swimmer left the block before incoming swimmer touched the wall</v>
      </c>
      <c r="M34" s="1339"/>
      <c r="N34" s="1339"/>
      <c r="O34" s="1339">
        <f>'print 10 lane'!R33</f>
        <v>0</v>
      </c>
      <c r="P34" s="1339"/>
      <c r="Q34" s="1339"/>
      <c r="R34" s="1339">
        <f>'print 10 lane'!U33</f>
        <v>0</v>
      </c>
      <c r="S34" s="1339"/>
      <c r="T34" s="1339"/>
      <c r="U34" s="1339">
        <f>'print 10 lane'!X33</f>
        <v>0</v>
      </c>
      <c r="V34" s="1339"/>
      <c r="W34" s="1339"/>
      <c r="X34" s="1345"/>
      <c r="Y34" s="1345"/>
      <c r="Z34" s="1345"/>
      <c r="AA34" s="1345"/>
      <c r="AB34" s="1345"/>
      <c r="AC34" s="1345"/>
      <c r="AD34" s="1345"/>
      <c r="AE34" s="1345"/>
      <c r="AF34" s="1345"/>
      <c r="AG34" s="1346"/>
      <c r="AH34" s="1346"/>
      <c r="AI34" s="1346"/>
      <c r="AJ34" s="883"/>
    </row>
    <row r="35" spans="1:75" ht="30" customHeight="1" x14ac:dyDescent="0.25">
      <c r="B35" s="1349">
        <v>11</v>
      </c>
      <c r="C35" s="1333" t="s">
        <v>5083</v>
      </c>
      <c r="D35" s="1348" t="s">
        <v>5094</v>
      </c>
      <c r="E35" s="1350" t="s">
        <v>5095</v>
      </c>
      <c r="F35" s="878">
        <f>'print 10 lane'!I34</f>
        <v>5.1493055555555558E-4</v>
      </c>
      <c r="G35" s="879">
        <f>IF(F35=0,0,IF(G$6=0,0,IF(F35&lt;1,SUM((F35&gt;I35),(F35&gt;L35),(F35&gt;O35),(F35&gt;R35),(F35&gt;U35),(F35&gt;X35),(F35&gt;AA35),(F35&gt;AD35),(F35&gt;AG35),(F35&gt;BB35)))-$AJ35))</f>
        <v>3</v>
      </c>
      <c r="H35" s="879">
        <f>IF(F35=0,0,IF(G$6=0,0,IF(G35=0,0,((11-G35)))-$B$5))</f>
        <v>4</v>
      </c>
      <c r="I35" s="878">
        <f>'print 10 lane'!L34</f>
        <v>5.1990740740740741E-4</v>
      </c>
      <c r="J35" s="879">
        <f>IF(I35=0,0,IF(I$7=0,0,IF(I35&lt;1,SUM((I35&gt;L35),(I35&gt;O35),(I35&gt;R35),(I35&gt;U35),(I35&gt;X35),(I35&gt;AA35),(I35&gt;F35),(I35&gt;AD35),(I35&gt;AG35),(I35&gt;BB35)))-$AJ35))</f>
        <v>4</v>
      </c>
      <c r="K35" s="879">
        <f>IF(I35=0,0,IF(I$7=0,0,IF(J35=0,0,((11-J35)))-$B$5))</f>
        <v>3</v>
      </c>
      <c r="L35" s="878">
        <f>'print 10 lane'!O34</f>
        <v>0</v>
      </c>
      <c r="M35" s="879">
        <f>IF(L35=0,0,IF(L$7=0,0,IF(L35&lt;1,SUM((L35&gt;I35),(L35&gt;F35),(L35&gt;O35),(L35&gt;R35),(L35&gt;U35),(L35&gt;X35),(L35&gt;AA35),(L35&gt;AD35),(L35&gt;AG35),(L35&gt;BB35)))-$AJ35))</f>
        <v>0</v>
      </c>
      <c r="N35" s="879">
        <f>IF(L35=0,0,IF(L$7=0,0,IF(M35=0,0,((11-M35)))-$B$5))</f>
        <v>0</v>
      </c>
      <c r="O35" s="878">
        <f>'print 10 lane'!R34</f>
        <v>4.6643518518518518E-4</v>
      </c>
      <c r="P35" s="879">
        <f>IF(O35=0,0,IF(O$7=0,0,IF(O35&lt;1,SUM((O35&gt;I35),(O35&gt;L35),(O35&gt;F35),(O35&gt;R35),(O35&gt;U35),(O35&gt;X35),(O35&gt;AA35),(O35&gt;AD35),(O35&gt;AG35),(O35&gt;BB35)))-$AJ35))</f>
        <v>2</v>
      </c>
      <c r="Q35" s="879">
        <f>IF(O35=0,0,IF(O$7=0,0,IF(P35=0,0,((11-P35)))-$B$5))</f>
        <v>5</v>
      </c>
      <c r="R35" s="878">
        <f>'print 10 lane'!U34</f>
        <v>4.6516203703703699E-4</v>
      </c>
      <c r="S35" s="879">
        <f>IF(R35=0,0,IF(R$7=0,0,IF(R35&lt;1,SUM((R35&gt;I35),(R35&gt;L35),(R35&gt;O35),(R35&gt;F35),(R35&gt;U35),(R35&gt;X35),(R35&gt;AA35),(R35&gt;AD35),(R35&gt;AG35),(R35&gt;BB35)))-$AJ35))</f>
        <v>1</v>
      </c>
      <c r="T35" s="879">
        <f>IF(R35=0,0,IF(R$7=0,0,IF(S35=0,0,((11-S35)))-$B$5))</f>
        <v>6</v>
      </c>
      <c r="U35" s="878">
        <f>'print 10 lane'!X34</f>
        <v>5.346064814814815E-4</v>
      </c>
      <c r="V35" s="879">
        <f>IF(U35=0,0,IF(U$7=0,0,IF(U35&lt;1,SUM((U35&gt;I35),(U35&gt;L35),(U35&gt;O35),(U35&gt;R35),(U35&gt;F35),(U35&gt;X35),(U35&gt;AA35),(U35&gt;AD35),(U35&gt;AG35),(U35&gt;BB35)))-$AJ35))</f>
        <v>5</v>
      </c>
      <c r="W35" s="879">
        <f>IF(U35=0,0,IF(U$7=0,0,IF(V35=0,0,((11-V35)))-$B$5))</f>
        <v>2</v>
      </c>
      <c r="X35" s="880"/>
      <c r="Y35" s="881"/>
      <c r="Z35" s="881"/>
      <c r="AA35" s="880"/>
      <c r="AB35" s="881"/>
      <c r="AC35" s="881"/>
      <c r="AD35" s="880"/>
      <c r="AE35" s="881"/>
      <c r="AF35" s="881"/>
      <c r="AG35" s="880"/>
      <c r="AH35" s="881"/>
      <c r="AI35" s="882"/>
      <c r="AJ35" s="883">
        <f>COUNTBLANK(F601:O601)</f>
        <v>5</v>
      </c>
    </row>
    <row r="36" spans="1:75" ht="30" customHeight="1" x14ac:dyDescent="0.25">
      <c r="B36" s="1349"/>
      <c r="C36" s="1333"/>
      <c r="D36" s="1348"/>
      <c r="E36" s="1350"/>
      <c r="F36" s="1351" t="str">
        <f>'print 10 lane'!I35</f>
        <v>Eleanor Skinner</v>
      </c>
      <c r="G36" s="1351"/>
      <c r="H36" s="1351"/>
      <c r="I36" s="1351" t="str">
        <f>'print 10 lane'!L35</f>
        <v>Esmae Green</v>
      </c>
      <c r="J36" s="1351"/>
      <c r="K36" s="1351"/>
      <c r="L36" s="1351" t="str">
        <f>'print 10 lane'!O35</f>
        <v>Hannah Jounor</v>
      </c>
      <c r="M36" s="1351"/>
      <c r="N36" s="1351"/>
      <c r="O36" s="1351" t="str">
        <f>'print 10 lane'!R35</f>
        <v>Chelsea Dare</v>
      </c>
      <c r="P36" s="1351"/>
      <c r="Q36" s="1351"/>
      <c r="R36" s="1351" t="str">
        <f>'print 10 lane'!U35</f>
        <v>Maisie Cooper</v>
      </c>
      <c r="S36" s="1351"/>
      <c r="T36" s="1351"/>
      <c r="U36" s="1351" t="str">
        <f>'print 10 lane'!X35</f>
        <v>Mahika Chandrashekar</v>
      </c>
      <c r="V36" s="1351"/>
      <c r="W36" s="1351"/>
      <c r="X36" s="1357"/>
      <c r="Y36" s="1357"/>
      <c r="Z36" s="1357"/>
      <c r="AA36" s="1357"/>
      <c r="AB36" s="1357"/>
      <c r="AC36" s="1357"/>
      <c r="AD36" s="1340"/>
      <c r="AE36" s="1340"/>
      <c r="AF36" s="1340"/>
      <c r="AG36" s="1341"/>
      <c r="AH36" s="1341"/>
      <c r="AI36" s="1341"/>
      <c r="AJ36" s="883"/>
    </row>
    <row r="37" spans="1:75" ht="30" customHeight="1" x14ac:dyDescent="0.25">
      <c r="B37" s="1349"/>
      <c r="C37" s="1333"/>
      <c r="D37" s="1348"/>
      <c r="E37" s="888" t="s">
        <v>5086</v>
      </c>
      <c r="F37" s="1339">
        <f>'print 10 lane'!I36</f>
        <v>0</v>
      </c>
      <c r="G37" s="1339"/>
      <c r="H37" s="1339"/>
      <c r="I37" s="1339">
        <f>'print 10 lane'!L36</f>
        <v>0</v>
      </c>
      <c r="J37" s="1339"/>
      <c r="K37" s="1339"/>
      <c r="L37" s="1339">
        <f>'print 10 lane'!O36</f>
        <v>0</v>
      </c>
      <c r="M37" s="1339"/>
      <c r="N37" s="1339"/>
      <c r="O37" s="1339">
        <f>'print 10 lane'!R36</f>
        <v>0</v>
      </c>
      <c r="P37" s="1339"/>
      <c r="Q37" s="1339"/>
      <c r="R37" s="1339">
        <f>'print 10 lane'!U36</f>
        <v>0</v>
      </c>
      <c r="S37" s="1339"/>
      <c r="T37" s="1339"/>
      <c r="U37" s="1339">
        <f>'print 10 lane'!X36</f>
        <v>0</v>
      </c>
      <c r="V37" s="1339"/>
      <c r="W37" s="1339"/>
      <c r="X37" s="1345"/>
      <c r="Y37" s="1345"/>
      <c r="Z37" s="1345"/>
      <c r="AA37" s="1345"/>
      <c r="AB37" s="1345"/>
      <c r="AC37" s="1345"/>
      <c r="AD37" s="1345"/>
      <c r="AE37" s="1345"/>
      <c r="AF37" s="1345"/>
      <c r="AG37" s="1346"/>
      <c r="AH37" s="1346"/>
      <c r="AI37" s="1346"/>
      <c r="AJ37" s="883"/>
    </row>
    <row r="38" spans="1:75" ht="30" customHeight="1" x14ac:dyDescent="0.25">
      <c r="B38" s="1355">
        <v>12</v>
      </c>
      <c r="C38" s="1343" t="s">
        <v>5087</v>
      </c>
      <c r="D38" s="1348" t="s">
        <v>5094</v>
      </c>
      <c r="E38" s="1350" t="s">
        <v>5095</v>
      </c>
      <c r="F38" s="878">
        <f>'print 10 lane'!I37</f>
        <v>0</v>
      </c>
      <c r="G38" s="879">
        <f>IF(F38=0,0,IF(G$6=0,0,IF(F38&lt;1,SUM((F38&gt;I38),(F38&gt;L38),(F38&gt;O38),(F38&gt;R38),(F38&gt;U38),(F38&gt;X38),(F38&gt;AA38),(F38&gt;AD38),(F38&gt;AG38),(F38&gt;BB38)))-$AJ38))</f>
        <v>0</v>
      </c>
      <c r="H38" s="879">
        <f>IF(F38=0,0,IF(G$6=0,0,IF(G38=0,0,((11-G38)))-$B$5))</f>
        <v>0</v>
      </c>
      <c r="I38" s="878">
        <f>'print 10 lane'!L37</f>
        <v>4.6608796296296302E-4</v>
      </c>
      <c r="J38" s="879">
        <f>IF(I38=0,0,IF(I$7=0,0,IF(I38&lt;1,SUM((I38&gt;L38),(I38&gt;O38),(I38&gt;R38),(I38&gt;U38),(I38&gt;X38),(I38&gt;AA38),(I38&gt;F38),(I38&gt;AD38),(I38&gt;AG38),(I38&gt;BB38)))-$AJ38))</f>
        <v>1</v>
      </c>
      <c r="K38" s="879">
        <f>IF(I38=0,0,IF(I$7=0,0,IF(J38=0,0,((11-J38)))-$B$5))</f>
        <v>6</v>
      </c>
      <c r="L38" s="878">
        <f>'print 10 lane'!O37</f>
        <v>5.4340277777777785E-4</v>
      </c>
      <c r="M38" s="879">
        <f>IF(L38=0,0,IF(L$7=0,0,IF(L38&lt;1,SUM((L38&gt;I38),(L38&gt;F38),(L38&gt;O38),(L38&gt;R38),(L38&gt;U38),(L38&gt;X38),(L38&gt;AA38),(L38&gt;AD38),(L38&gt;AG38),(L38&gt;BB38)))-$AJ38))</f>
        <v>5</v>
      </c>
      <c r="N38" s="879">
        <f>IF(L38=0,0,IF(L$7=0,0,IF(M38=0,0,((11-M38)))-$B$5))</f>
        <v>2</v>
      </c>
      <c r="O38" s="878">
        <f>'print 10 lane'!R37</f>
        <v>5.3668981481481482E-4</v>
      </c>
      <c r="P38" s="879">
        <f>IF(O38=0,0,IF(O$7=0,0,IF(O38&lt;1,SUM((O38&gt;I38),(O38&gt;L38),(O38&gt;F38),(O38&gt;R38),(O38&gt;U38),(O38&gt;X38),(O38&gt;AA38),(O38&gt;AD38),(O38&gt;AG38),(O38&gt;BB38)))-$AJ38))</f>
        <v>4</v>
      </c>
      <c r="Q38" s="879">
        <f>IF(O38=0,0,IF(O$7=0,0,IF(P38=0,0,((11-P38)))-$B$5))</f>
        <v>3</v>
      </c>
      <c r="R38" s="878">
        <f>'print 10 lane'!U37</f>
        <v>4.7870370370370368E-4</v>
      </c>
      <c r="S38" s="879">
        <f>IF(R38=0,0,IF(R$7=0,0,IF(R38&lt;1,SUM((R38&gt;I38),(R38&gt;L38),(R38&gt;O38),(R38&gt;F38),(R38&gt;U38),(R38&gt;X38),(R38&gt;AA38),(R38&gt;AD38),(R38&gt;AG38),(R38&gt;BB38)))-$AJ38))</f>
        <v>2</v>
      </c>
      <c r="T38" s="879">
        <f>IF(R38=0,0,IF(R$7=0,0,IF(S38=0,0,((11-S38)))-$B$5))</f>
        <v>5</v>
      </c>
      <c r="U38" s="878">
        <f>'print 10 lane'!X37</f>
        <v>5.2071759259259259E-4</v>
      </c>
      <c r="V38" s="879">
        <f>IF(U38=0,0,IF(U$7=0,0,IF(U38&lt;1,SUM((U38&gt;I38),(U38&gt;L38),(U38&gt;O38),(U38&gt;R38),(U38&gt;F38),(U38&gt;X38),(U38&gt;AA38),(U38&gt;AD38),(U38&gt;AG38),(U38&gt;BB38)))-$AJ38))</f>
        <v>3</v>
      </c>
      <c r="W38" s="879">
        <f>IF(U38=0,0,IF(U$7=0,0,IF(V38=0,0,((11-V38)))-$B$5))</f>
        <v>4</v>
      </c>
      <c r="X38" s="894"/>
      <c r="Y38" s="895"/>
      <c r="Z38" s="895"/>
      <c r="AA38" s="894"/>
      <c r="AB38" s="895"/>
      <c r="AC38" s="895"/>
      <c r="AD38" s="894"/>
      <c r="AE38" s="895"/>
      <c r="AF38" s="895"/>
      <c r="AG38" s="894"/>
      <c r="AH38" s="895"/>
      <c r="AI38" s="895"/>
      <c r="AJ38" s="896">
        <f>COUNTBLANK(F602:O602)</f>
        <v>5</v>
      </c>
    </row>
    <row r="39" spans="1:75" ht="30" customHeight="1" x14ac:dyDescent="0.25">
      <c r="B39" s="1355"/>
      <c r="C39" s="1343"/>
      <c r="D39" s="1348"/>
      <c r="E39" s="1350"/>
      <c r="F39" s="1351" t="str">
        <f>'print 10 lane'!I38</f>
        <v>Leonardo Goad</v>
      </c>
      <c r="G39" s="1351"/>
      <c r="H39" s="1351"/>
      <c r="I39" s="1351" t="str">
        <f>'print 10 lane'!L38</f>
        <v>James Winter</v>
      </c>
      <c r="J39" s="1351"/>
      <c r="K39" s="1351"/>
      <c r="L39" s="1351" t="str">
        <f>'print 10 lane'!O38</f>
        <v>Liam  Thompson</v>
      </c>
      <c r="M39" s="1351"/>
      <c r="N39" s="1351"/>
      <c r="O39" s="1351" t="str">
        <f>'print 10 lane'!R38</f>
        <v>Simon Rosa</v>
      </c>
      <c r="P39" s="1351"/>
      <c r="Q39" s="1351"/>
      <c r="R39" s="1351" t="str">
        <f>'print 10 lane'!U38</f>
        <v>Myron Young</v>
      </c>
      <c r="S39" s="1351"/>
      <c r="T39" s="1351"/>
      <c r="U39" s="1351" t="str">
        <f>'print 10 lane'!X38</f>
        <v>Macsen Roberts</v>
      </c>
      <c r="V39" s="1351"/>
      <c r="W39" s="1351"/>
      <c r="X39" s="1340"/>
      <c r="Y39" s="1340"/>
      <c r="Z39" s="1340"/>
      <c r="AA39" s="1340"/>
      <c r="AB39" s="1340"/>
      <c r="AC39" s="1340"/>
      <c r="AD39" s="1340"/>
      <c r="AE39" s="1340"/>
      <c r="AF39" s="1340"/>
      <c r="AG39" s="1341"/>
      <c r="AH39" s="1341"/>
      <c r="AI39" s="1341"/>
      <c r="AJ39" s="896"/>
    </row>
    <row r="40" spans="1:75" ht="30" customHeight="1" x14ac:dyDescent="0.25">
      <c r="B40" s="1355"/>
      <c r="C40" s="1343"/>
      <c r="D40" s="1348"/>
      <c r="E40" s="888" t="s">
        <v>5086</v>
      </c>
      <c r="F40" s="1356" t="str">
        <f>'print 10 lane'!I39</f>
        <v>6.2 left position on back except when executing the turn</v>
      </c>
      <c r="G40" s="1356"/>
      <c r="H40" s="1356"/>
      <c r="I40" s="1356">
        <f>'print 10 lane'!L39</f>
        <v>0</v>
      </c>
      <c r="J40" s="1356"/>
      <c r="K40" s="1356"/>
      <c r="L40" s="1356">
        <f>'print 10 lane'!O39</f>
        <v>0</v>
      </c>
      <c r="M40" s="1356"/>
      <c r="N40" s="1356"/>
      <c r="O40" s="1356">
        <f>'print 10 lane'!R39</f>
        <v>0</v>
      </c>
      <c r="P40" s="1356"/>
      <c r="Q40" s="1356"/>
      <c r="R40" s="1356">
        <f>'print 10 lane'!U39</f>
        <v>0</v>
      </c>
      <c r="S40" s="1356"/>
      <c r="T40" s="1356"/>
      <c r="U40" s="1356">
        <f>'print 10 lane'!X39</f>
        <v>0</v>
      </c>
      <c r="V40" s="1356"/>
      <c r="W40" s="1356"/>
      <c r="X40" s="1353"/>
      <c r="Y40" s="1353"/>
      <c r="Z40" s="1353"/>
      <c r="AA40" s="1353"/>
      <c r="AB40" s="1353"/>
      <c r="AC40" s="1353"/>
      <c r="AD40" s="1353"/>
      <c r="AE40" s="1353"/>
      <c r="AF40" s="1353"/>
      <c r="AG40" s="1354"/>
      <c r="AH40" s="1354"/>
      <c r="AI40" s="1354"/>
      <c r="AJ40" s="896"/>
    </row>
    <row r="41" spans="1:75" ht="30" customHeight="1" x14ac:dyDescent="0.25">
      <c r="B41" s="1349">
        <v>13</v>
      </c>
      <c r="C41" s="1333" t="s">
        <v>5083</v>
      </c>
      <c r="D41" s="1338" t="s">
        <v>5096</v>
      </c>
      <c r="E41" s="1350" t="s">
        <v>5097</v>
      </c>
      <c r="F41" s="878">
        <f>'print 10 lane'!I40</f>
        <v>9.4062500000000005E-4</v>
      </c>
      <c r="G41" s="879">
        <f>IF(F41=0,0,IF(G$6=0,0,IF(F41&lt;1,SUM((F41&gt;I41),(F41&gt;L41),(F41&gt;O41),(F41&gt;R41),(F41&gt;U41),(F41&gt;X41),(F41&gt;AA41),(F41&gt;AD41),(F41&gt;AG41),(F41&gt;BB41)))-$AJ41))</f>
        <v>1</v>
      </c>
      <c r="H41" s="879">
        <f>IF(F41=0,0,IF(G$6=0,0,IF(G41=0,0,((11-G41)))-$B$5))</f>
        <v>6</v>
      </c>
      <c r="I41" s="878">
        <f>'print 10 lane'!L40</f>
        <v>1.1271990740740741E-3</v>
      </c>
      <c r="J41" s="879">
        <f>IF(I41=0,0,IF(I$7=0,0,IF(I41&lt;1,SUM((I41&gt;L41),(I41&gt;O41),(I41&gt;R41),(I41&gt;U41),(I41&gt;X41),(I41&gt;AA41),(I41&gt;F41),(I41&gt;AD41),(I41&gt;AG41),(I41&gt;BB41)))-$AJ41))</f>
        <v>4</v>
      </c>
      <c r="K41" s="879">
        <f>IF(I41=0,0,IF(I$7=0,0,IF(J41=0,0,((11-J41)))-$B$5))</f>
        <v>3</v>
      </c>
      <c r="L41" s="878">
        <f>'print 10 lane'!O40</f>
        <v>9.5138888888888888E-4</v>
      </c>
      <c r="M41" s="879">
        <f>IF(L41=0,0,IF(L$7=0,0,IF(L41&lt;1,SUM((L41&gt;I41),(L41&gt;F41),(L41&gt;O41),(L41&gt;R41),(L41&gt;U41),(L41&gt;X41),(L41&gt;AA41),(L41&gt;AD41),(L41&gt;AG41),(L41&gt;BB41)))-$AJ41))</f>
        <v>2</v>
      </c>
      <c r="N41" s="879">
        <f>IF(L41=0,0,IF(L$7=0,0,IF(M41=0,0,((11-M41)))-$B$5))</f>
        <v>5</v>
      </c>
      <c r="O41" s="878">
        <f>'print 10 lane'!R40</f>
        <v>1.0512731481481482E-3</v>
      </c>
      <c r="P41" s="879">
        <f>IF(O41=0,0,IF(O$7=0,0,IF(O41&lt;1,SUM((O41&gt;I41),(O41&gt;L41),(O41&gt;F41),(O41&gt;R41),(O41&gt;U41),(O41&gt;X41),(O41&gt;AA41),(O41&gt;AD41),(O41&gt;AG41),(O41&gt;BB41)))-$AJ41))</f>
        <v>3</v>
      </c>
      <c r="Q41" s="879">
        <f>IF(O41=0,0,IF(O$7=0,0,IF(P41=0,0,((11-P41)))-$B$5))</f>
        <v>4</v>
      </c>
      <c r="R41" s="878">
        <f>'print 10 lane'!U40</f>
        <v>1.135185185185185E-3</v>
      </c>
      <c r="S41" s="879">
        <f>IF(R41=0,0,IF(R$7=0,0,IF(R41&lt;1,SUM((R41&gt;I41),(R41&gt;L41),(R41&gt;O41),(R41&gt;F41),(R41&gt;U41),(R41&gt;X41),(R41&gt;AA41),(R41&gt;AD41),(R41&gt;AG41),(R41&gt;BB41)))-$AJ41))</f>
        <v>5</v>
      </c>
      <c r="T41" s="879">
        <f>IF(R41=0,0,IF(R$7=0,0,IF(S41=0,0,((11-S41)))-$B$5))</f>
        <v>2</v>
      </c>
      <c r="U41" s="878">
        <f>'print 10 lane'!X40</f>
        <v>1.2004629629629631E-3</v>
      </c>
      <c r="V41" s="879">
        <f>IF(U41=0,0,IF(U$7=0,0,IF(U41&lt;1,SUM((U41&gt;I41),(U41&gt;L41),(U41&gt;O41),(U41&gt;R41),(U41&gt;F41),(U41&gt;X41),(U41&gt;AA41),(U41&gt;AD41),(U41&gt;AG41),(U41&gt;BB41)))-$AJ41))</f>
        <v>6</v>
      </c>
      <c r="W41" s="879">
        <f>IF(U41=0,0,IF(U$7=0,0,IF(V41=0,0,((11-V41)))-$B$5))</f>
        <v>1</v>
      </c>
      <c r="X41" s="880"/>
      <c r="Y41" s="881"/>
      <c r="Z41" s="881"/>
      <c r="AA41" s="880"/>
      <c r="AB41" s="881"/>
      <c r="AC41" s="881"/>
      <c r="AD41" s="880"/>
      <c r="AE41" s="881"/>
      <c r="AF41" s="881"/>
      <c r="AG41" s="880"/>
      <c r="AH41" s="881"/>
      <c r="AI41" s="882"/>
      <c r="AJ41" s="883">
        <f>COUNTBLANK(F603:O603)</f>
        <v>4</v>
      </c>
    </row>
    <row r="42" spans="1:75" ht="30" customHeight="1" x14ac:dyDescent="0.25">
      <c r="B42" s="1349"/>
      <c r="C42" s="1333"/>
      <c r="D42" s="1338"/>
      <c r="E42" s="1350"/>
      <c r="F42" s="1351" t="str">
        <f>'print 10 lane'!I41</f>
        <v>Amy Hanson</v>
      </c>
      <c r="G42" s="1351"/>
      <c r="H42" s="1351"/>
      <c r="I42" s="1351" t="str">
        <f>'print 10 lane'!L41</f>
        <v>Ruby Whitby</v>
      </c>
      <c r="J42" s="1351"/>
      <c r="K42" s="1351"/>
      <c r="L42" s="1351" t="str">
        <f>'print 10 lane'!O41</f>
        <v>Mia Nelson</v>
      </c>
      <c r="M42" s="1351"/>
      <c r="N42" s="1351"/>
      <c r="O42" s="1351" t="str">
        <f>'print 10 lane'!R41</f>
        <v>Frances Starsmore</v>
      </c>
      <c r="P42" s="1351"/>
      <c r="Q42" s="1351"/>
      <c r="R42" s="1351" t="str">
        <f>'print 10 lane'!U41</f>
        <v>Isabelle Reeve</v>
      </c>
      <c r="S42" s="1351"/>
      <c r="T42" s="1351"/>
      <c r="U42" s="1351" t="str">
        <f>'print 10 lane'!X41</f>
        <v>Emma Sum</v>
      </c>
      <c r="V42" s="1351"/>
      <c r="W42" s="1351"/>
      <c r="X42" s="1340"/>
      <c r="Y42" s="1340"/>
      <c r="Z42" s="1340"/>
      <c r="AA42" s="1340"/>
      <c r="AB42" s="1340"/>
      <c r="AC42" s="1340"/>
      <c r="AD42" s="1340"/>
      <c r="AE42" s="1340"/>
      <c r="AF42" s="1340"/>
      <c r="AG42" s="1341"/>
      <c r="AH42" s="1341"/>
      <c r="AI42" s="1341"/>
      <c r="AJ42" s="883"/>
    </row>
    <row r="43" spans="1:75" ht="30" customHeight="1" x14ac:dyDescent="0.25">
      <c r="B43" s="1349"/>
      <c r="C43" s="1333"/>
      <c r="D43" s="1338"/>
      <c r="E43" s="888" t="s">
        <v>5086</v>
      </c>
      <c r="F43" s="1339">
        <f>'print 10 lane'!I42</f>
        <v>0</v>
      </c>
      <c r="G43" s="1339"/>
      <c r="H43" s="1339"/>
      <c r="I43" s="1339">
        <f>'print 10 lane'!L42</f>
        <v>0</v>
      </c>
      <c r="J43" s="1339"/>
      <c r="K43" s="1339"/>
      <c r="L43" s="1339">
        <f>'print 10 lane'!O42</f>
        <v>0</v>
      </c>
      <c r="M43" s="1339"/>
      <c r="N43" s="1339"/>
      <c r="O43" s="1339">
        <f>'print 10 lane'!R42</f>
        <v>0</v>
      </c>
      <c r="P43" s="1339"/>
      <c r="Q43" s="1339"/>
      <c r="R43" s="1339">
        <f>'print 10 lane'!U42</f>
        <v>0</v>
      </c>
      <c r="S43" s="1339"/>
      <c r="T43" s="1339"/>
      <c r="U43" s="1339">
        <f>'print 10 lane'!X42</f>
        <v>0</v>
      </c>
      <c r="V43" s="1339"/>
      <c r="W43" s="1339"/>
      <c r="X43" s="1345"/>
      <c r="Y43" s="1345"/>
      <c r="Z43" s="1345"/>
      <c r="AA43" s="1345"/>
      <c r="AB43" s="1345"/>
      <c r="AC43" s="1345"/>
      <c r="AD43" s="1345"/>
      <c r="AE43" s="1345"/>
      <c r="AF43" s="1345"/>
      <c r="AG43" s="1346"/>
      <c r="AH43" s="1346"/>
      <c r="AI43" s="1346"/>
      <c r="AJ43" s="883"/>
    </row>
    <row r="44" spans="1:75" ht="30" customHeight="1" x14ac:dyDescent="0.25">
      <c r="B44" s="1352">
        <v>14</v>
      </c>
      <c r="C44" s="1343" t="s">
        <v>5087</v>
      </c>
      <c r="D44" s="1338" t="s">
        <v>5096</v>
      </c>
      <c r="E44" s="1350" t="s">
        <v>5097</v>
      </c>
      <c r="F44" s="878">
        <f>'print 10 lane'!I43</f>
        <v>1.1857638888888888E-3</v>
      </c>
      <c r="G44" s="879">
        <f>IF(F44=0,0,IF(G$6=0,0,IF(F44&lt;1,SUM((F44&gt;I44),(F44&gt;L44),(F44&gt;O44),(F44&gt;R44),(F44&gt;U44),(F44&gt;X44),(F44&gt;AA44),(F44&gt;AD44),(F44&gt;AG44),(F44&gt;BB44)))-$AJ44))</f>
        <v>6</v>
      </c>
      <c r="H44" s="879">
        <f>IF(F44=0,0,IF(G$6=0,0,IF(G44=0,0,((11-G44)))-$B$5))</f>
        <v>1</v>
      </c>
      <c r="I44" s="878">
        <f>'print 10 lane'!L43</f>
        <v>1.0996527777777777E-3</v>
      </c>
      <c r="J44" s="879">
        <f>IF(I44=0,0,IF(I$7=0,0,IF(I44&lt;1,SUM((I44&gt;L44),(I44&gt;O44),(I44&gt;R44),(I44&gt;U44),(I44&gt;X44),(I44&gt;AA44),(I44&gt;F44),(I44&gt;AD44),(I44&gt;AG44),(I44&gt;BB44)))-$AJ44))</f>
        <v>4</v>
      </c>
      <c r="K44" s="879">
        <f>IF(I44=0,0,IF(I$7=0,0,IF(J44=0,0,((11-J44)))-$B$5))</f>
        <v>3</v>
      </c>
      <c r="L44" s="878">
        <f>'print 10 lane'!O43</f>
        <v>1.0501157407407408E-3</v>
      </c>
      <c r="M44" s="879">
        <f>IF(L44=0,0,IF(L$7=0,0,IF(L44&lt;1,SUM((L44&gt;I44),(L44&gt;F44),(L44&gt;O44),(L44&gt;R44),(L44&gt;U44),(L44&gt;X44),(L44&gt;AA44),(L44&gt;AD44),(L44&gt;AG44),(L44&gt;BB44)))-$AJ44))</f>
        <v>2</v>
      </c>
      <c r="N44" s="879">
        <f>IF(L44=0,0,IF(L$7=0,0,IF(M44=0,0,((11-M44)))-$B$5))</f>
        <v>5</v>
      </c>
      <c r="O44" s="878">
        <f>'print 10 lane'!R43</f>
        <v>1.1608796296296295E-3</v>
      </c>
      <c r="P44" s="879">
        <f>IF(O44=0,0,IF(O$7=0,0,IF(O44&lt;1,SUM((O44&gt;I44),(O44&gt;L44),(O44&gt;F44),(O44&gt;R44),(O44&gt;U44),(O44&gt;X44),(O44&gt;AA44),(O44&gt;AD44),(O44&gt;AG44),(O44&gt;BB44)))-$AJ44))</f>
        <v>5</v>
      </c>
      <c r="Q44" s="879">
        <f>IF(O44=0,0,IF(O$7=0,0,IF(P44=0,0,((11-P44)))-$B$5))</f>
        <v>2</v>
      </c>
      <c r="R44" s="878">
        <f>'print 10 lane'!U43</f>
        <v>1.0450231481481482E-3</v>
      </c>
      <c r="S44" s="879">
        <f>IF(R44=0,0,IF(R$7=0,0,IF(R44&lt;1,SUM((R44&gt;I44),(R44&gt;L44),(R44&gt;O44),(R44&gt;F44),(R44&gt;U44),(R44&gt;X44),(R44&gt;AA44),(R44&gt;AD44),(R44&gt;AG44),(R44&gt;BB44)))-$AJ44))</f>
        <v>1</v>
      </c>
      <c r="T44" s="879">
        <f>IF(R44=0,0,IF(R$7=0,0,IF(S44=0,0,((11-S44)))-$B$5))</f>
        <v>6</v>
      </c>
      <c r="U44" s="878">
        <f>'print 10 lane'!X43</f>
        <v>1.0557870370370372E-3</v>
      </c>
      <c r="V44" s="879">
        <f>IF(U44=0,0,IF(U$7=0,0,IF(U44&lt;1,SUM((U44&gt;I44),(U44&gt;L44),(U44&gt;O44),(U44&gt;R44),(U44&gt;F44),(U44&gt;X44),(U44&gt;AA44),(U44&gt;AD44),(U44&gt;AG44),(U44&gt;BB44)))-$AJ44))</f>
        <v>3</v>
      </c>
      <c r="W44" s="879">
        <f>IF(U44=0,0,IF(U$7=0,0,IF(V44=0,0,((11-V44)))-$B$5))</f>
        <v>4</v>
      </c>
      <c r="X44" s="894"/>
      <c r="Y44" s="895"/>
      <c r="Z44" s="895"/>
      <c r="AA44" s="894"/>
      <c r="AB44" s="895"/>
      <c r="AC44" s="895"/>
      <c r="AD44" s="894"/>
      <c r="AE44" s="895"/>
      <c r="AF44" s="895"/>
      <c r="AG44" s="894"/>
      <c r="AH44" s="895"/>
      <c r="AI44" s="895"/>
      <c r="AJ44" s="896">
        <f>COUNTBLANK(F604:O604)</f>
        <v>4</v>
      </c>
    </row>
    <row r="45" spans="1:75" ht="30" customHeight="1" x14ac:dyDescent="0.25">
      <c r="B45" s="1352"/>
      <c r="C45" s="1343"/>
      <c r="D45" s="1338"/>
      <c r="E45" s="1350"/>
      <c r="F45" s="1351" t="str">
        <f>'print 10 lane'!I44</f>
        <v>Albert Nezha</v>
      </c>
      <c r="G45" s="1351"/>
      <c r="H45" s="1351"/>
      <c r="I45" s="1351" t="str">
        <f>'print 10 lane'!L44</f>
        <v>Kai Jun Wai Cheung</v>
      </c>
      <c r="J45" s="1351"/>
      <c r="K45" s="1351"/>
      <c r="L45" s="1351" t="str">
        <f>'print 10 lane'!O44</f>
        <v>Ryan Wimpenny</v>
      </c>
      <c r="M45" s="1351"/>
      <c r="N45" s="1351"/>
      <c r="O45" s="1351" t="str">
        <f>'print 10 lane'!R44</f>
        <v>Samuel Rosa</v>
      </c>
      <c r="P45" s="1351"/>
      <c r="Q45" s="1351"/>
      <c r="R45" s="1351" t="str">
        <f>'print 10 lane'!U44</f>
        <v>Bradley Rawlinson</v>
      </c>
      <c r="S45" s="1351"/>
      <c r="T45" s="1351"/>
      <c r="U45" s="1351" t="str">
        <f>'print 10 lane'!X44</f>
        <v>Dylan Roberts</v>
      </c>
      <c r="V45" s="1351"/>
      <c r="W45" s="1351"/>
      <c r="X45" s="1340"/>
      <c r="Y45" s="1340"/>
      <c r="Z45" s="1340"/>
      <c r="AA45" s="1340"/>
      <c r="AB45" s="1340"/>
      <c r="AC45" s="1340"/>
      <c r="AD45" s="1340"/>
      <c r="AE45" s="1340"/>
      <c r="AF45" s="1340"/>
      <c r="AG45" s="1341"/>
      <c r="AH45" s="1341"/>
      <c r="AI45" s="1341"/>
      <c r="AJ45" s="896"/>
    </row>
    <row r="46" spans="1:75" ht="30" customHeight="1" x14ac:dyDescent="0.25">
      <c r="B46" s="1352"/>
      <c r="C46" s="1343"/>
      <c r="D46" s="1338"/>
      <c r="E46" s="888" t="s">
        <v>5086</v>
      </c>
      <c r="F46" s="1339">
        <f>'print 10 lane'!I45</f>
        <v>0</v>
      </c>
      <c r="G46" s="1339"/>
      <c r="H46" s="1339"/>
      <c r="I46" s="1339">
        <f>'print 10 lane'!L45</f>
        <v>0</v>
      </c>
      <c r="J46" s="1339"/>
      <c r="K46" s="1339"/>
      <c r="L46" s="1339">
        <f>'print 10 lane'!O45</f>
        <v>0</v>
      </c>
      <c r="M46" s="1339"/>
      <c r="N46" s="1339"/>
      <c r="O46" s="1339">
        <f>'print 10 lane'!R45</f>
        <v>0</v>
      </c>
      <c r="P46" s="1339"/>
      <c r="Q46" s="1339"/>
      <c r="R46" s="1339">
        <f>'print 10 lane'!U45</f>
        <v>0</v>
      </c>
      <c r="S46" s="1339"/>
      <c r="T46" s="1339"/>
      <c r="U46" s="1339">
        <f>'print 10 lane'!X45</f>
        <v>0</v>
      </c>
      <c r="V46" s="1339"/>
      <c r="W46" s="1339"/>
      <c r="X46" s="1353"/>
      <c r="Y46" s="1353"/>
      <c r="Z46" s="1353"/>
      <c r="AA46" s="1353"/>
      <c r="AB46" s="1353"/>
      <c r="AC46" s="1353"/>
      <c r="AD46" s="1353"/>
      <c r="AE46" s="1353"/>
      <c r="AF46" s="1353"/>
      <c r="AG46" s="1354"/>
      <c r="AH46" s="1354"/>
      <c r="AI46" s="1354"/>
      <c r="AJ46" s="896"/>
    </row>
    <row r="47" spans="1:75" ht="30" customHeight="1" x14ac:dyDescent="0.25">
      <c r="B47" s="1349">
        <v>15</v>
      </c>
      <c r="C47" s="1333" t="s">
        <v>5083</v>
      </c>
      <c r="D47" s="1338" t="s">
        <v>5098</v>
      </c>
      <c r="E47" s="1350" t="s">
        <v>5099</v>
      </c>
      <c r="F47" s="878">
        <f>'print 10 lane'!I46</f>
        <v>8.9375000000000001E-4</v>
      </c>
      <c r="G47" s="879">
        <f>IF(F47=0,0,IF(G$6=0,0,IF(F47&lt;1,SUM((F47&gt;I47),(F47&gt;L47),(F47&gt;O47),(F47&gt;R47),(F47&gt;U47),(F47&gt;X47),(F47&gt;AA47),(F47&gt;AD47),(F47&gt;AG47),(F47&gt;BB47)))-$AJ47))</f>
        <v>5</v>
      </c>
      <c r="H47" s="879">
        <f>IF(F47=0,0,IF(G$6=0,0,IF(G47=0,0,((11-G47)))-$B$5))</f>
        <v>2</v>
      </c>
      <c r="I47" s="878">
        <f>'print 10 lane'!L46</f>
        <v>9.2106481481481477E-4</v>
      </c>
      <c r="J47" s="879">
        <f>IF(I47=0,0,IF(I$7=0,0,IF(I47&lt;1,SUM((I47&gt;L47),(I47&gt;O47),(I47&gt;R47),(I47&gt;U47),(I47&gt;X47),(I47&gt;AA47),(I47&gt;F47),(I47&gt;AD47),(I47&gt;AG47),(I47&gt;BB47)))-$AJ47))</f>
        <v>6</v>
      </c>
      <c r="K47" s="879">
        <f>IF(I47=0,0,IF(I$7=0,0,IF(J47=0,0,((11-J47)))-$B$5))</f>
        <v>1</v>
      </c>
      <c r="L47" s="878">
        <f>'print 10 lane'!O46</f>
        <v>8.6793981481481488E-4</v>
      </c>
      <c r="M47" s="879">
        <f>IF(L47=0,0,IF(L$7=0,0,IF(L47&lt;1,SUM((L47&gt;I47),(L47&gt;F47),(L47&gt;O47),(L47&gt;R47),(L47&gt;U47),(L47&gt;X47),(L47&gt;AA47),(L47&gt;AD47),(L47&gt;AG47),(L47&gt;BB47)))-$AJ47))</f>
        <v>4</v>
      </c>
      <c r="N47" s="879">
        <f>IF(L47=0,0,IF(L$7=0,0,IF(M47=0,0,((11-M47)))-$B$5))</f>
        <v>3</v>
      </c>
      <c r="O47" s="878">
        <f>'print 10 lane'!R46</f>
        <v>7.7500000000000008E-4</v>
      </c>
      <c r="P47" s="879">
        <f>IF(O47=0,0,IF(O$7=0,0,IF(O47&lt;1,SUM((O47&gt;I47),(O47&gt;L47),(O47&gt;F47),(O47&gt;R47),(O47&gt;U47),(O47&gt;X47),(O47&gt;AA47),(O47&gt;AD47),(O47&gt;AG47),(O47&gt;BB47)))-$AJ47))</f>
        <v>1</v>
      </c>
      <c r="Q47" s="879">
        <f>IF(O47=0,0,IF(O$7=0,0,IF(P47=0,0,((11-P47)))-$B$5))</f>
        <v>6</v>
      </c>
      <c r="R47" s="878">
        <f>'print 10 lane'!U46</f>
        <v>8.3391203703703709E-4</v>
      </c>
      <c r="S47" s="879">
        <f>IF(R47=0,0,IF(R$7=0,0,IF(R47&lt;1,SUM((R47&gt;I47),(R47&gt;L47),(R47&gt;O47),(R47&gt;F47),(R47&gt;U47),(R47&gt;X47),(R47&gt;AA47),(R47&gt;AD47),(R47&gt;AG47),(R47&gt;BB47)))-$AJ47))</f>
        <v>2</v>
      </c>
      <c r="T47" s="879">
        <f>IF(R47=0,0,IF(R$7=0,0,IF(S47=0,0,((11-S47)))-$B$5))</f>
        <v>5</v>
      </c>
      <c r="U47" s="878">
        <f>'print 10 lane'!X46</f>
        <v>8.4525462962962972E-4</v>
      </c>
      <c r="V47" s="879">
        <f>IF(U47=0,0,IF(U$7=0,0,IF(U47&lt;1,SUM((U47&gt;I47),(U47&gt;L47),(U47&gt;O47),(U47&gt;R47),(U47&gt;F47),(U47&gt;X47),(U47&gt;AA47),(U47&gt;AD47),(U47&gt;AG47),(U47&gt;BB47)))-$AJ47))</f>
        <v>3</v>
      </c>
      <c r="W47" s="879">
        <f>IF(U47=0,0,IF(U$7=0,0,IF(V47=0,0,((11-V47)))-$B$5))</f>
        <v>4</v>
      </c>
      <c r="X47" s="880"/>
      <c r="Y47" s="881"/>
      <c r="Z47" s="881"/>
      <c r="AA47" s="880"/>
      <c r="AB47" s="881"/>
      <c r="AC47" s="881"/>
      <c r="AD47" s="880"/>
      <c r="AE47" s="881"/>
      <c r="AF47" s="881"/>
      <c r="AG47" s="880"/>
      <c r="AH47" s="881"/>
      <c r="AI47" s="882"/>
      <c r="AJ47" s="883">
        <f>COUNTBLANK(F605:O605)</f>
        <v>4</v>
      </c>
    </row>
    <row r="48" spans="1:75" ht="30" customHeight="1" x14ac:dyDescent="0.25">
      <c r="A48" s="897"/>
      <c r="B48" s="1349"/>
      <c r="C48" s="1333"/>
      <c r="D48" s="1338"/>
      <c r="E48" s="1350"/>
      <c r="F48" s="1351" t="str">
        <f>'print 10 lane'!I47</f>
        <v>Shreya Bavishi</v>
      </c>
      <c r="G48" s="1351"/>
      <c r="H48" s="1351"/>
      <c r="I48" s="1351" t="str">
        <f>'print 10 lane'!L47</f>
        <v>Daisy Harradine</v>
      </c>
      <c r="J48" s="1351"/>
      <c r="K48" s="1351"/>
      <c r="L48" s="1351" t="str">
        <f>'print 10 lane'!O47</f>
        <v>Hannah Lovelock</v>
      </c>
      <c r="M48" s="1351"/>
      <c r="N48" s="1351"/>
      <c r="O48" s="1351" t="str">
        <f>'print 10 lane'!R47</f>
        <v>Megan Johnson</v>
      </c>
      <c r="P48" s="1351"/>
      <c r="Q48" s="1351"/>
      <c r="R48" s="1351" t="str">
        <f>'print 10 lane'!U47</f>
        <v>Hollie Heighes</v>
      </c>
      <c r="S48" s="1351"/>
      <c r="T48" s="1351"/>
      <c r="U48" s="1351" t="str">
        <f>'print 10 lane'!X47</f>
        <v>Alice  Sharrock</v>
      </c>
      <c r="V48" s="1351"/>
      <c r="W48" s="1351"/>
      <c r="X48" s="1340"/>
      <c r="Y48" s="1340"/>
      <c r="Z48" s="1340"/>
      <c r="AA48" s="1340"/>
      <c r="AB48" s="1340"/>
      <c r="AC48" s="1340"/>
      <c r="AD48" s="1340"/>
      <c r="AE48" s="1340"/>
      <c r="AF48" s="1340"/>
      <c r="AG48" s="1341"/>
      <c r="AH48" s="1341"/>
      <c r="AI48" s="1341"/>
      <c r="AJ48" s="883"/>
      <c r="AK48" s="897"/>
      <c r="AL48" s="897"/>
      <c r="AM48" s="897"/>
      <c r="AN48" s="897"/>
      <c r="AO48" s="897"/>
      <c r="AP48" s="897"/>
      <c r="AQ48" s="897"/>
      <c r="AR48" s="897"/>
      <c r="AS48" s="897"/>
      <c r="AT48" s="897"/>
      <c r="AU48" s="897"/>
      <c r="AV48" s="897"/>
      <c r="AW48" s="897"/>
      <c r="AX48" s="897"/>
      <c r="AY48" s="897"/>
      <c r="AZ48" s="897"/>
      <c r="BA48" s="897"/>
      <c r="BB48" s="897"/>
      <c r="BC48" s="897"/>
      <c r="BD48" s="897"/>
      <c r="BE48" s="897"/>
      <c r="BF48" s="897"/>
      <c r="BG48" s="897"/>
      <c r="BH48" s="897"/>
      <c r="BI48" s="897"/>
      <c r="BJ48" s="897"/>
      <c r="BK48" s="897"/>
      <c r="BL48" s="897"/>
      <c r="BM48" s="897"/>
      <c r="BN48" s="897"/>
      <c r="BO48" s="897"/>
      <c r="BP48" s="897"/>
      <c r="BQ48" s="897"/>
      <c r="BR48" s="897"/>
      <c r="BS48" s="897"/>
      <c r="BT48" s="897"/>
      <c r="BU48" s="897"/>
      <c r="BV48" s="897"/>
      <c r="BW48" s="898"/>
    </row>
    <row r="49" spans="1:75" ht="30" customHeight="1" x14ac:dyDescent="0.25">
      <c r="A49" s="897"/>
      <c r="B49" s="1349"/>
      <c r="C49" s="1333"/>
      <c r="D49" s="1338"/>
      <c r="E49" s="888" t="s">
        <v>5086</v>
      </c>
      <c r="F49" s="1339">
        <f>'print 10 lane'!I48</f>
        <v>0</v>
      </c>
      <c r="G49" s="1339"/>
      <c r="H49" s="1339"/>
      <c r="I49" s="1339">
        <f>'print 10 lane'!L48</f>
        <v>0</v>
      </c>
      <c r="J49" s="1339"/>
      <c r="K49" s="1339"/>
      <c r="L49" s="1339">
        <f>'print 10 lane'!O48</f>
        <v>0</v>
      </c>
      <c r="M49" s="1339"/>
      <c r="N49" s="1339"/>
      <c r="O49" s="1339">
        <f>'print 10 lane'!R48</f>
        <v>0</v>
      </c>
      <c r="P49" s="1339"/>
      <c r="Q49" s="1339"/>
      <c r="R49" s="1339">
        <f>'print 10 lane'!U48</f>
        <v>0</v>
      </c>
      <c r="S49" s="1339"/>
      <c r="T49" s="1339"/>
      <c r="U49" s="1339">
        <f>'print 10 lane'!X48</f>
        <v>0</v>
      </c>
      <c r="V49" s="1339"/>
      <c r="W49" s="1339"/>
      <c r="X49" s="1345"/>
      <c r="Y49" s="1345"/>
      <c r="Z49" s="1345"/>
      <c r="AA49" s="1345"/>
      <c r="AB49" s="1345"/>
      <c r="AC49" s="1345"/>
      <c r="AD49" s="1345"/>
      <c r="AE49" s="1345"/>
      <c r="AF49" s="1345"/>
      <c r="AG49" s="1346"/>
      <c r="AH49" s="1346"/>
      <c r="AI49" s="1346"/>
      <c r="AJ49" s="883"/>
      <c r="AK49" s="897"/>
      <c r="AL49" s="897"/>
      <c r="AM49" s="897"/>
      <c r="AN49" s="897"/>
      <c r="AO49" s="897"/>
      <c r="AP49" s="897"/>
      <c r="AQ49" s="897"/>
      <c r="AR49" s="897"/>
      <c r="AS49" s="897"/>
      <c r="AT49" s="897"/>
      <c r="AU49" s="897"/>
      <c r="AV49" s="897"/>
      <c r="AW49" s="897"/>
      <c r="AX49" s="897"/>
      <c r="AY49" s="897"/>
      <c r="AZ49" s="897"/>
      <c r="BA49" s="897"/>
      <c r="BB49" s="897"/>
      <c r="BC49" s="897"/>
      <c r="BD49" s="897"/>
      <c r="BE49" s="897"/>
      <c r="BF49" s="897"/>
      <c r="BG49" s="897"/>
      <c r="BH49" s="897"/>
      <c r="BI49" s="897"/>
      <c r="BJ49" s="897"/>
      <c r="BK49" s="897"/>
      <c r="BL49" s="897"/>
      <c r="BM49" s="897"/>
      <c r="BN49" s="897"/>
      <c r="BO49" s="897"/>
      <c r="BP49" s="897"/>
      <c r="BQ49" s="897"/>
      <c r="BR49" s="897"/>
      <c r="BS49" s="897"/>
      <c r="BT49" s="897"/>
      <c r="BU49" s="897"/>
      <c r="BV49" s="897"/>
      <c r="BW49" s="898"/>
    </row>
    <row r="50" spans="1:75" ht="30" customHeight="1" x14ac:dyDescent="0.25">
      <c r="B50" s="1349">
        <v>16</v>
      </c>
      <c r="C50" s="1343" t="s">
        <v>5087</v>
      </c>
      <c r="D50" s="1338" t="s">
        <v>5098</v>
      </c>
      <c r="E50" s="1350" t="s">
        <v>5099</v>
      </c>
      <c r="F50" s="878">
        <f>'print 10 lane'!I49</f>
        <v>9.2187499999999995E-4</v>
      </c>
      <c r="G50" s="879">
        <f>IF(F50=0,0,IF(G$6=0,0,IF(F50&lt;1,SUM((F50&gt;I50),(F50&gt;L50),(F50&gt;O50),(F50&gt;R50),(F50&gt;U50),(F50&gt;X50),(F50&gt;AA50),(F50&gt;AD50),(F50&gt;AG50),(F50&gt;BB50)))-$AJ50))</f>
        <v>4</v>
      </c>
      <c r="H50" s="879">
        <f>IF(F50=0,0,IF(G$6=0,0,IF(G50=0,0,((11-G50)))-$B$5))</f>
        <v>3</v>
      </c>
      <c r="I50" s="878">
        <f>'print 10 lane'!L49</f>
        <v>8.1967592592592595E-4</v>
      </c>
      <c r="J50" s="879">
        <f>IF(I50=0,0,IF(I$7=0,0,IF(I50&lt;1,SUM((I50&gt;L50),(I50&gt;O50),(I50&gt;R50),(I50&gt;U50),(I50&gt;X50),(I50&gt;AA50),(I50&gt;F50),(I50&gt;AD50),(I50&gt;AG50),(I50&gt;BB50)))-$AJ50))</f>
        <v>3</v>
      </c>
      <c r="K50" s="879">
        <f>IF(I50=0,0,IF(I$7=0,0,IF(J50=0,0,((11-J50)))-$B$5))</f>
        <v>4</v>
      </c>
      <c r="L50" s="878">
        <f>'print 10 lane'!O49</f>
        <v>9.8182870370370373E-4</v>
      </c>
      <c r="M50" s="879">
        <f>IF(L50=0,0,IF(L$7=0,0,IF(L50&lt;1,SUM((L50&gt;I50),(L50&gt;F50),(L50&gt;O50),(L50&gt;R50),(L50&gt;U50),(L50&gt;X50),(L50&gt;AA50),(L50&gt;AD50),(L50&gt;AG50),(L50&gt;BB50)))-$AJ50))</f>
        <v>5</v>
      </c>
      <c r="N50" s="879">
        <f>IF(L50=0,0,IF(L$7=0,0,IF(M50=0,0,((11-M50)))-$B$5))</f>
        <v>2</v>
      </c>
      <c r="O50" s="878">
        <f>'print 10 lane'!R49</f>
        <v>7.7662037037037033E-4</v>
      </c>
      <c r="P50" s="879">
        <f>IF(O50=0,0,IF(O$7=0,0,IF(O50&lt;1,SUM((O50&gt;I50),(O50&gt;L50),(O50&gt;F50),(O50&gt;R50),(O50&gt;U50),(O50&gt;X50),(O50&gt;AA50),(O50&gt;AD50),(O50&gt;AG50),(O50&gt;BB50)))-$AJ50))</f>
        <v>2</v>
      </c>
      <c r="Q50" s="879">
        <f>IF(O50=0,0,IF(O$7=0,0,IF(P50=0,0,((11-P50)))-$B$5))</f>
        <v>5</v>
      </c>
      <c r="R50" s="878">
        <f>'print 10 lane'!U49</f>
        <v>7.4768518518518511E-4</v>
      </c>
      <c r="S50" s="879">
        <f>IF(R50=0,0,IF(R$7=0,0,IF(R50&lt;1,SUM((R50&gt;I50),(R50&gt;L50),(R50&gt;O50),(R50&gt;F50),(R50&gt;U50),(R50&gt;X50),(R50&gt;AA50),(R50&gt;AD50),(R50&gt;AG50),(R50&gt;BB50)))-$AJ50))</f>
        <v>1</v>
      </c>
      <c r="T50" s="879">
        <f>IF(R50=0,0,IF(R$7=0,0,IF(S50=0,0,((11-S50)))-$B$5))</f>
        <v>6</v>
      </c>
      <c r="U50" s="878">
        <f>'print 10 lane'!X49</f>
        <v>0</v>
      </c>
      <c r="V50" s="879">
        <f>IF(U50=0,0,IF(U$7=0,0,IF(U50&lt;1,SUM((U50&gt;I50),(U50&gt;L50),(U50&gt;O50),(U50&gt;R50),(U50&gt;F50),(U50&gt;X50),(U50&gt;AA50),(U50&gt;AD50),(U50&gt;AG50),(U50&gt;BB50)))-$AJ50))</f>
        <v>0</v>
      </c>
      <c r="W50" s="879">
        <f>IF(U50=0,0,IF(U$7=0,0,IF(V50=0,0,((11-V50)))-$B$5))</f>
        <v>0</v>
      </c>
      <c r="X50" s="880"/>
      <c r="Y50" s="881"/>
      <c r="Z50" s="881"/>
      <c r="AA50" s="880"/>
      <c r="AB50" s="881"/>
      <c r="AC50" s="881"/>
      <c r="AD50" s="880"/>
      <c r="AE50" s="881"/>
      <c r="AF50" s="881"/>
      <c r="AG50" s="880"/>
      <c r="AH50" s="881"/>
      <c r="AI50" s="882"/>
      <c r="AJ50" s="883">
        <f>COUNTBLANK(F606:O606)</f>
        <v>5</v>
      </c>
    </row>
    <row r="51" spans="1:75" ht="30" customHeight="1" x14ac:dyDescent="0.25">
      <c r="B51" s="1349"/>
      <c r="C51" s="1343"/>
      <c r="D51" s="1338"/>
      <c r="E51" s="1350"/>
      <c r="F51" s="1351" t="str">
        <f>'print 10 lane'!I50</f>
        <v>Zalan Tornay</v>
      </c>
      <c r="G51" s="1351"/>
      <c r="H51" s="1351"/>
      <c r="I51" s="1351" t="str">
        <f>'print 10 lane'!L50</f>
        <v>Alexander Gregory</v>
      </c>
      <c r="J51" s="1351"/>
      <c r="K51" s="1351"/>
      <c r="L51" s="1351" t="str">
        <f>'print 10 lane'!O50</f>
        <v>Alfie Bullock</v>
      </c>
      <c r="M51" s="1351"/>
      <c r="N51" s="1351"/>
      <c r="O51" s="1351" t="str">
        <f>'print 10 lane'!R50</f>
        <v>Charles Raines</v>
      </c>
      <c r="P51" s="1351"/>
      <c r="Q51" s="1351"/>
      <c r="R51" s="1351" t="str">
        <f>'print 10 lane'!U50</f>
        <v>Albert Orley</v>
      </c>
      <c r="S51" s="1351"/>
      <c r="T51" s="1351"/>
      <c r="U51" s="1351" t="str">
        <f>'print 10 lane'!X50</f>
        <v>Louis Waissman</v>
      </c>
      <c r="V51" s="1351"/>
      <c r="W51" s="1351"/>
      <c r="X51" s="1340"/>
      <c r="Y51" s="1340"/>
      <c r="Z51" s="1340"/>
      <c r="AA51" s="1340"/>
      <c r="AB51" s="1340"/>
      <c r="AC51" s="1340"/>
      <c r="AD51" s="1340"/>
      <c r="AE51" s="1340"/>
      <c r="AF51" s="1340"/>
      <c r="AG51" s="1341"/>
      <c r="AH51" s="1341"/>
      <c r="AI51" s="1341"/>
      <c r="AJ51" s="883"/>
    </row>
    <row r="52" spans="1:75" ht="30" customHeight="1" x14ac:dyDescent="0.25">
      <c r="B52" s="1349"/>
      <c r="C52" s="1343"/>
      <c r="D52" s="1338"/>
      <c r="E52" s="888" t="s">
        <v>5086</v>
      </c>
      <c r="F52" s="1339">
        <f>'print 10 lane'!I51</f>
        <v>0</v>
      </c>
      <c r="G52" s="1339"/>
      <c r="H52" s="1339"/>
      <c r="I52" s="1339">
        <f>'print 10 lane'!L51</f>
        <v>0</v>
      </c>
      <c r="J52" s="1339"/>
      <c r="K52" s="1339"/>
      <c r="L52" s="1339">
        <f>'print 10 lane'!O51</f>
        <v>0</v>
      </c>
      <c r="M52" s="1339"/>
      <c r="N52" s="1339"/>
      <c r="O52" s="1339">
        <f>'print 10 lane'!R51</f>
        <v>0</v>
      </c>
      <c r="P52" s="1339"/>
      <c r="Q52" s="1339"/>
      <c r="R52" s="1339">
        <f>'print 10 lane'!U51</f>
        <v>0</v>
      </c>
      <c r="S52" s="1339"/>
      <c r="T52" s="1339"/>
      <c r="U52" s="1339" t="str">
        <f>'print 10 lane'!X51</f>
        <v>6.4 turn not initiated straight away once turned over</v>
      </c>
      <c r="V52" s="1339"/>
      <c r="W52" s="1339"/>
      <c r="X52" s="1345"/>
      <c r="Y52" s="1345"/>
      <c r="Z52" s="1345"/>
      <c r="AA52" s="1345"/>
      <c r="AB52" s="1345"/>
      <c r="AC52" s="1345"/>
      <c r="AD52" s="1345"/>
      <c r="AE52" s="1345"/>
      <c r="AF52" s="1345"/>
      <c r="AG52" s="1346"/>
      <c r="AH52" s="1346"/>
      <c r="AI52" s="1346"/>
      <c r="AJ52" s="883"/>
    </row>
    <row r="53" spans="1:75" ht="30" customHeight="1" x14ac:dyDescent="0.25">
      <c r="B53" s="1349">
        <v>17</v>
      </c>
      <c r="C53" s="1333" t="s">
        <v>5083</v>
      </c>
      <c r="D53" s="1338" t="s">
        <v>5093</v>
      </c>
      <c r="E53" s="1350" t="s">
        <v>5100</v>
      </c>
      <c r="F53" s="878">
        <f>'print 10 lane'!I52</f>
        <v>8.8090277777777776E-4</v>
      </c>
      <c r="G53" s="879">
        <f>IF(F53=0,0,IF(G$6=0,0,IF(F53&lt;1,SUM((F53&gt;I53),(F53&gt;L53),(F53&gt;O53),(F53&gt;R53),(F53&gt;U53),(F53&gt;X53),(F53&gt;AA53),(F53&gt;AD53),(F53&gt;AG53),(F53&gt;BB53)))-$AJ53))</f>
        <v>3</v>
      </c>
      <c r="H53" s="879">
        <f>IF(F53=0,0,IF(G$6=0,0,IF(G53=0,0,((11-G53)))-$B$5))</f>
        <v>4</v>
      </c>
      <c r="I53" s="878">
        <f>'print 10 lane'!L52</f>
        <v>9.2118055555555562E-4</v>
      </c>
      <c r="J53" s="879">
        <f>IF(I53=0,0,IF(I$7=0,0,IF(I53&lt;1,SUM((I53&gt;L53),(I53&gt;O53),(I53&gt;R53),(I53&gt;U53),(I53&gt;X53),(I53&gt;AA53),(I53&gt;F53),(I53&gt;AD53),(I53&gt;AG53),(I53&gt;BB53)))-$AJ53))</f>
        <v>6</v>
      </c>
      <c r="K53" s="879">
        <f>IF(I53=0,0,IF(I$7=0,0,IF(J53=0,0,((11-J53)))-$B$5))</f>
        <v>1</v>
      </c>
      <c r="L53" s="878">
        <f>'print 10 lane'!O52</f>
        <v>9.0671296296296301E-4</v>
      </c>
      <c r="M53" s="879">
        <f>IF(L53=0,0,IF(L$7=0,0,IF(L53&lt;1,SUM((L53&gt;I53),(L53&gt;F53),(L53&gt;O53),(L53&gt;R53),(L53&gt;U53),(L53&gt;X53),(L53&gt;AA53),(L53&gt;AD53),(L53&gt;AG53),(L53&gt;BB53)))-$AJ53))</f>
        <v>5</v>
      </c>
      <c r="N53" s="879">
        <f>IF(L53=0,0,IF(L$7=0,0,IF(M53=0,0,((11-M53)))-$B$5))</f>
        <v>2</v>
      </c>
      <c r="O53" s="878">
        <f>'print 10 lane'!R52</f>
        <v>7.9513888888888896E-4</v>
      </c>
      <c r="P53" s="879">
        <f>IF(O53=0,0,IF(O$7=0,0,IF(O53&lt;1,SUM((O53&gt;I53),(O53&gt;L53),(O53&gt;F53),(O53&gt;R53),(O53&gt;U53),(O53&gt;X53),(O53&gt;AA53),(O53&gt;AD53),(O53&gt;AG53),(O53&gt;BB53)))-$AJ53))</f>
        <v>1</v>
      </c>
      <c r="Q53" s="879">
        <f>IF(O53=0,0,IF(O$7=0,0,IF(P53=0,0,((11-P53)))-$B$5))</f>
        <v>6</v>
      </c>
      <c r="R53" s="878">
        <f>'print 10 lane'!U52</f>
        <v>8.6215277777777777E-4</v>
      </c>
      <c r="S53" s="879">
        <f>IF(R53=0,0,IF(R$7=0,0,IF(R53&lt;1,SUM((R53&gt;I53),(R53&gt;L53),(R53&gt;O53),(R53&gt;F53),(R53&gt;U53),(R53&gt;X53),(R53&gt;AA53),(R53&gt;AD53),(R53&gt;AG53),(R53&gt;BB53)))-$AJ53))</f>
        <v>2</v>
      </c>
      <c r="T53" s="879">
        <f>IF(R53=0,0,IF(R$7=0,0,IF(S53=0,0,((11-S53)))-$B$5))</f>
        <v>5</v>
      </c>
      <c r="U53" s="878">
        <f>'print 10 lane'!X52</f>
        <v>9.0601851851851857E-4</v>
      </c>
      <c r="V53" s="879">
        <f>IF(U53=0,0,IF(U$7=0,0,IF(U53&lt;1,SUM((U53&gt;I53),(U53&gt;L53),(U53&gt;O53),(U53&gt;R53),(U53&gt;F53),(U53&gt;X53),(U53&gt;AA53),(U53&gt;AD53),(U53&gt;AG53),(U53&gt;BB53)))-$AJ53))</f>
        <v>4</v>
      </c>
      <c r="W53" s="879">
        <f>IF(U53=0,0,IF(U$7=0,0,IF(V53=0,0,((11-V53)))-$B$5))</f>
        <v>3</v>
      </c>
      <c r="X53" s="880"/>
      <c r="Y53" s="881"/>
      <c r="Z53" s="881"/>
      <c r="AA53" s="880"/>
      <c r="AB53" s="881"/>
      <c r="AC53" s="881"/>
      <c r="AD53" s="880"/>
      <c r="AE53" s="881"/>
      <c r="AF53" s="881"/>
      <c r="AG53" s="880"/>
      <c r="AH53" s="881"/>
      <c r="AI53" s="882"/>
      <c r="AJ53" s="883">
        <f>COUNTBLANK(F607:O607)</f>
        <v>4</v>
      </c>
    </row>
    <row r="54" spans="1:75" ht="30" customHeight="1" x14ac:dyDescent="0.25">
      <c r="B54" s="1349"/>
      <c r="C54" s="1333"/>
      <c r="D54" s="1338"/>
      <c r="E54" s="1350"/>
      <c r="F54" s="1351" t="str">
        <f>'print 10 lane'!I53</f>
        <v>Maja Grzybek</v>
      </c>
      <c r="G54" s="1351"/>
      <c r="H54" s="1351"/>
      <c r="I54" s="1351" t="str">
        <f>'print 10 lane'!L53</f>
        <v>Madeleine Bailiss</v>
      </c>
      <c r="J54" s="1351"/>
      <c r="K54" s="1351"/>
      <c r="L54" s="1351" t="str">
        <f>'print 10 lane'!O53</f>
        <v>Sophie Clark</v>
      </c>
      <c r="M54" s="1351"/>
      <c r="N54" s="1351"/>
      <c r="O54" s="1351" t="str">
        <f>'print 10 lane'!R53</f>
        <v>Libby Blissett</v>
      </c>
      <c r="P54" s="1351"/>
      <c r="Q54" s="1351"/>
      <c r="R54" s="1351" t="str">
        <f>'print 10 lane'!U53</f>
        <v>Kathryn Edwards</v>
      </c>
      <c r="S54" s="1351"/>
      <c r="T54" s="1351"/>
      <c r="U54" s="1351" t="str">
        <f>'print 10 lane'!X53</f>
        <v>Laura Leksander</v>
      </c>
      <c r="V54" s="1351"/>
      <c r="W54" s="1351"/>
      <c r="X54" s="1340"/>
      <c r="Y54" s="1340"/>
      <c r="Z54" s="1340"/>
      <c r="AA54" s="1340"/>
      <c r="AB54" s="1340"/>
      <c r="AC54" s="1340"/>
      <c r="AD54" s="1340"/>
      <c r="AE54" s="1340"/>
      <c r="AF54" s="1340"/>
      <c r="AG54" s="1341"/>
      <c r="AH54" s="1341"/>
      <c r="AI54" s="1341"/>
      <c r="AJ54" s="883"/>
    </row>
    <row r="55" spans="1:75" ht="30" customHeight="1" x14ac:dyDescent="0.25">
      <c r="B55" s="1349"/>
      <c r="C55" s="1333"/>
      <c r="D55" s="1338"/>
      <c r="E55" s="888" t="s">
        <v>5086</v>
      </c>
      <c r="F55" s="1339">
        <f>'print 10 lane'!I54</f>
        <v>0</v>
      </c>
      <c r="G55" s="1339"/>
      <c r="H55" s="1339"/>
      <c r="I55" s="1339">
        <f>'print 10 lane'!L54</f>
        <v>0</v>
      </c>
      <c r="J55" s="1339"/>
      <c r="K55" s="1339"/>
      <c r="L55" s="1339">
        <f>'print 10 lane'!O54</f>
        <v>0</v>
      </c>
      <c r="M55" s="1339"/>
      <c r="N55" s="1339"/>
      <c r="O55" s="1339">
        <f>'print 10 lane'!R54</f>
        <v>0</v>
      </c>
      <c r="P55" s="1339"/>
      <c r="Q55" s="1339"/>
      <c r="R55" s="1339">
        <f>'print 10 lane'!U54</f>
        <v>0</v>
      </c>
      <c r="S55" s="1339"/>
      <c r="T55" s="1339"/>
      <c r="U55" s="1339">
        <f>'print 10 lane'!X54</f>
        <v>0</v>
      </c>
      <c r="V55" s="1339"/>
      <c r="W55" s="1339"/>
      <c r="X55" s="1345"/>
      <c r="Y55" s="1345"/>
      <c r="Z55" s="1345"/>
      <c r="AA55" s="1345"/>
      <c r="AB55" s="1345"/>
      <c r="AC55" s="1345"/>
      <c r="AD55" s="1345"/>
      <c r="AE55" s="1345"/>
      <c r="AF55" s="1345"/>
      <c r="AG55" s="1346"/>
      <c r="AH55" s="1346"/>
      <c r="AI55" s="1346"/>
      <c r="AJ55" s="883"/>
    </row>
    <row r="56" spans="1:75" ht="30" customHeight="1" x14ac:dyDescent="0.25">
      <c r="B56" s="1349">
        <v>18</v>
      </c>
      <c r="C56" s="1343" t="s">
        <v>5087</v>
      </c>
      <c r="D56" s="1338" t="s">
        <v>5093</v>
      </c>
      <c r="E56" s="1350" t="s">
        <v>5100</v>
      </c>
      <c r="F56" s="878">
        <f>'print 10 lane'!I55</f>
        <v>0</v>
      </c>
      <c r="G56" s="879">
        <f>IF(F56=0,0,IF(G$6=0,0,IF(F56&lt;1,SUM((F56&gt;I56),(F56&gt;L56),(F56&gt;O56),(F56&gt;R56),(F56&gt;U56),(F56&gt;X56),(F56&gt;AA56),(F56&gt;AD56),(F56&gt;AG56),(F56&gt;BB56)))-$AJ56))</f>
        <v>0</v>
      </c>
      <c r="H56" s="879">
        <f>IF(F56=0,0,IF(G$6=0,0,IF(G56=0,0,((11-G56)))-$B$5))</f>
        <v>0</v>
      </c>
      <c r="I56" s="878">
        <f>'print 10 lane'!L55</f>
        <v>1.0456018518518518E-3</v>
      </c>
      <c r="J56" s="879">
        <f>IF(I56=0,0,IF(I$7=0,0,IF(I56&lt;1,SUM((I56&gt;L56),(I56&gt;O56),(I56&gt;R56),(I56&gt;U56),(I56&gt;X56),(I56&gt;AA56),(I56&gt;F56),(I56&gt;AD56),(I56&gt;AG56),(I56&gt;BB56)))-$AJ56))</f>
        <v>5</v>
      </c>
      <c r="K56" s="879">
        <f>IF(I56=0,0,IF(I$7=0,0,IF(J56=0,0,((11-J56)))-$B$5))</f>
        <v>2</v>
      </c>
      <c r="L56" s="878">
        <f>'print 10 lane'!O55</f>
        <v>8.0162037037037018E-4</v>
      </c>
      <c r="M56" s="879">
        <f>IF(L56=0,0,IF(L$7=0,0,IF(L56&lt;1,SUM((L56&gt;I56),(L56&gt;F56),(L56&gt;O56),(L56&gt;R56),(L56&gt;U56),(L56&gt;X56),(L56&gt;AA56),(L56&gt;AD56),(L56&gt;AG56),(L56&gt;BB56)))-$AJ56))</f>
        <v>4</v>
      </c>
      <c r="N56" s="879">
        <f>IF(L56=0,0,IF(L$7=0,0,IF(M56=0,0,((11-M56)))-$B$5))</f>
        <v>3</v>
      </c>
      <c r="O56" s="878">
        <f>'print 10 lane'!R55</f>
        <v>7.4166666666666662E-4</v>
      </c>
      <c r="P56" s="879">
        <f>IF(O56=0,0,IF(O$7=0,0,IF(O56&lt;1,SUM((O56&gt;I56),(O56&gt;L56),(O56&gt;F56),(O56&gt;R56),(O56&gt;U56),(O56&gt;X56),(O56&gt;AA56),(O56&gt;AD56),(O56&gt;AG56),(O56&gt;BB56)))-$AJ56))</f>
        <v>2</v>
      </c>
      <c r="Q56" s="879">
        <f>IF(O56=0,0,IF(O$7=0,0,IF(P56=0,0,((11-P56)))-$B$5))</f>
        <v>5</v>
      </c>
      <c r="R56" s="878">
        <f>'print 10 lane'!U55</f>
        <v>7.594907407407407E-4</v>
      </c>
      <c r="S56" s="879">
        <f>IF(R56=0,0,IF(R$7=0,0,IF(R56&lt;1,SUM((R56&gt;I56),(R56&gt;L56),(R56&gt;O56),(R56&gt;F56),(R56&gt;U56),(R56&gt;X56),(R56&gt;AA56),(R56&gt;AD56),(R56&gt;AG56),(R56&gt;BB56)))-$AJ56))</f>
        <v>3</v>
      </c>
      <c r="T56" s="879">
        <f>IF(R56=0,0,IF(R$7=0,0,IF(S56=0,0,((11-S56)))-$B$5))</f>
        <v>4</v>
      </c>
      <c r="U56" s="878">
        <f>'print 10 lane'!X55</f>
        <v>7.1388888888888891E-4</v>
      </c>
      <c r="V56" s="879">
        <f>IF(U56=0,0,IF(U$7=0,0,IF(U56&lt;1,SUM((U56&gt;I56),(U56&gt;L56),(U56&gt;O56),(U56&gt;R56),(U56&gt;F56),(U56&gt;X56),(U56&gt;AA56),(U56&gt;AD56),(U56&gt;AG56),(U56&gt;BB56)))-$AJ56))</f>
        <v>1</v>
      </c>
      <c r="W56" s="879">
        <f>IF(U56=0,0,IF(U$7=0,0,IF(V56=0,0,((11-V56)))-$B$5))</f>
        <v>6</v>
      </c>
      <c r="X56" s="880"/>
      <c r="Y56" s="881"/>
      <c r="Z56" s="881"/>
      <c r="AA56" s="880"/>
      <c r="AB56" s="881"/>
      <c r="AC56" s="881"/>
      <c r="AD56" s="880"/>
      <c r="AE56" s="881"/>
      <c r="AF56" s="881"/>
      <c r="AG56" s="880"/>
      <c r="AH56" s="881"/>
      <c r="AI56" s="882"/>
      <c r="AJ56" s="883">
        <f>COUNTBLANK(F608:O608)</f>
        <v>5</v>
      </c>
    </row>
    <row r="57" spans="1:75" ht="30" customHeight="1" x14ac:dyDescent="0.25">
      <c r="B57" s="1349"/>
      <c r="C57" s="1343"/>
      <c r="D57" s="1338"/>
      <c r="E57" s="1350"/>
      <c r="F57" s="1351" t="str">
        <f>'print 10 lane'!I56</f>
        <v xml:space="preserve"> </v>
      </c>
      <c r="G57" s="1351"/>
      <c r="H57" s="1351"/>
      <c r="I57" s="1351" t="str">
        <f>'print 10 lane'!L56</f>
        <v>Samuel Heraty</v>
      </c>
      <c r="J57" s="1351"/>
      <c r="K57" s="1351"/>
      <c r="L57" s="1351" t="str">
        <f>'print 10 lane'!O56</f>
        <v>Luke Morley</v>
      </c>
      <c r="M57" s="1351"/>
      <c r="N57" s="1351"/>
      <c r="O57" s="1351" t="str">
        <f>'print 10 lane'!R56</f>
        <v>Ellis Bunce</v>
      </c>
      <c r="P57" s="1351"/>
      <c r="Q57" s="1351"/>
      <c r="R57" s="1351" t="str">
        <f>'print 10 lane'!U56</f>
        <v>Daniel Parker</v>
      </c>
      <c r="S57" s="1351"/>
      <c r="T57" s="1351"/>
      <c r="U57" s="1351" t="str">
        <f>'print 10 lane'!X56</f>
        <v>Shanil Ramaiya</v>
      </c>
      <c r="V57" s="1351"/>
      <c r="W57" s="1351"/>
      <c r="X57" s="1340"/>
      <c r="Y57" s="1340"/>
      <c r="Z57" s="1340"/>
      <c r="AA57" s="1340"/>
      <c r="AB57" s="1340"/>
      <c r="AC57" s="1340"/>
      <c r="AD57" s="1340"/>
      <c r="AE57" s="1340"/>
      <c r="AF57" s="1340"/>
      <c r="AG57" s="1341"/>
      <c r="AH57" s="1341"/>
      <c r="AI57" s="1341"/>
      <c r="AJ57" s="883"/>
    </row>
    <row r="58" spans="1:75" ht="30" customHeight="1" x14ac:dyDescent="0.25">
      <c r="B58" s="1349"/>
      <c r="C58" s="1343"/>
      <c r="D58" s="1338"/>
      <c r="E58" s="888" t="s">
        <v>5086</v>
      </c>
      <c r="F58" s="1339" t="str">
        <f>'print 10 lane'!I57</f>
        <v>DNS</v>
      </c>
      <c r="G58" s="1339"/>
      <c r="H58" s="1339"/>
      <c r="I58" s="1339">
        <f>'print 10 lane'!L57</f>
        <v>0</v>
      </c>
      <c r="J58" s="1339"/>
      <c r="K58" s="1339"/>
      <c r="L58" s="1339">
        <f>'print 10 lane'!O57</f>
        <v>0</v>
      </c>
      <c r="M58" s="1339"/>
      <c r="N58" s="1339"/>
      <c r="O58" s="1339">
        <f>'print 10 lane'!R57</f>
        <v>0</v>
      </c>
      <c r="P58" s="1339"/>
      <c r="Q58" s="1339"/>
      <c r="R58" s="1339">
        <f>'print 10 lane'!U57</f>
        <v>0</v>
      </c>
      <c r="S58" s="1339"/>
      <c r="T58" s="1339"/>
      <c r="U58" s="1339">
        <f>'print 10 lane'!X57</f>
        <v>0</v>
      </c>
      <c r="V58" s="1339"/>
      <c r="W58" s="1339"/>
      <c r="X58" s="1345"/>
      <c r="Y58" s="1345"/>
      <c r="Z58" s="1345"/>
      <c r="AA58" s="1345"/>
      <c r="AB58" s="1345"/>
      <c r="AC58" s="1345"/>
      <c r="AD58" s="1345"/>
      <c r="AE58" s="1345"/>
      <c r="AF58" s="1345"/>
      <c r="AG58" s="1346"/>
      <c r="AH58" s="1346"/>
      <c r="AI58" s="1346"/>
      <c r="AJ58" s="883"/>
    </row>
    <row r="59" spans="1:75" ht="30" customHeight="1" x14ac:dyDescent="0.25">
      <c r="B59" s="1349">
        <v>19</v>
      </c>
      <c r="C59" s="1333" t="s">
        <v>5083</v>
      </c>
      <c r="D59" s="1348" t="s">
        <v>5094</v>
      </c>
      <c r="E59" s="1350" t="s">
        <v>5101</v>
      </c>
      <c r="F59" s="878">
        <f>'print 10 lane'!I58</f>
        <v>4.4745370370370365E-4</v>
      </c>
      <c r="G59" s="879">
        <f>IF(F59=0,0,IF(G$6=0,0,IF(F59&lt;1,SUM((F59&gt;I59),(F59&gt;L59),(F59&gt;O59),(F59&gt;R59),(F59&gt;U59),(F59&gt;X59),(F59&gt;AA59),(F59&gt;AD59),(F59&gt;AG59),(F59&gt;BB59)))-$AJ59))</f>
        <v>1</v>
      </c>
      <c r="H59" s="879">
        <f>IF(F59=0,0,IF(G$6=0,0,IF(G59=0,0,((11-G59)))-$B$5))</f>
        <v>6</v>
      </c>
      <c r="I59" s="878">
        <f>'print 10 lane'!L58</f>
        <v>5.0428240740740739E-4</v>
      </c>
      <c r="J59" s="879">
        <f>IF(I59=0,0,IF(I$7=0,0,IF(I59&lt;1,SUM((I59&gt;L59),(I59&gt;O59),(I59&gt;R59),(I59&gt;U59),(I59&gt;X59),(I59&gt;AA59),(I59&gt;F59),(I59&gt;AD59),(I59&gt;AG59),(I59&gt;BB59)))-$AJ59))</f>
        <v>3</v>
      </c>
      <c r="K59" s="879">
        <f>IF(I59=0,0,IF(I$7=0,0,IF(J59=0,0,((11-J59)))-$B$5))</f>
        <v>4</v>
      </c>
      <c r="L59" s="878">
        <f>'print 10 lane'!O58</f>
        <v>4.9270833333333339E-4</v>
      </c>
      <c r="M59" s="879">
        <f>IF(L59=0,0,IF(L$7=0,0,IF(L59&lt;1,SUM((L59&gt;I59),(L59&gt;F59),(L59&gt;O59),(L59&gt;R59),(L59&gt;U59),(L59&gt;X59),(L59&gt;AA59),(L59&gt;AD59),(L59&gt;AG59),(L59&gt;BB59)))-$AJ59))</f>
        <v>2</v>
      </c>
      <c r="N59" s="879">
        <f>IF(L59=0,0,IF(L$7=0,0,IF(M59=0,0,((11-M59)))-$B$5))</f>
        <v>5</v>
      </c>
      <c r="O59" s="878">
        <f>'print 10 lane'!R58</f>
        <v>5.276620370370371E-4</v>
      </c>
      <c r="P59" s="879">
        <f>IF(O59=0,0,IF(O$7=0,0,IF(O59&lt;1,SUM((O59&gt;I59),(O59&gt;L59),(O59&gt;F59),(O59&gt;R59),(O59&gt;U59),(O59&gt;X59),(O59&gt;AA59),(O59&gt;AD59),(O59&gt;AG59),(O59&gt;BB59)))-$AJ59))</f>
        <v>4</v>
      </c>
      <c r="Q59" s="879">
        <f>IF(O59=0,0,IF(O$7=0,0,IF(P59=0,0,((11-P59)))-$B$5))</f>
        <v>3</v>
      </c>
      <c r="R59" s="878">
        <f>'print 10 lane'!U58</f>
        <v>5.4780092592592586E-4</v>
      </c>
      <c r="S59" s="879">
        <f>IF(R59=0,0,IF(R$7=0,0,IF(R59&lt;1,SUM((R59&gt;I59),(R59&gt;L59),(R59&gt;O59),(R59&gt;F59),(R59&gt;U59),(R59&gt;X59),(R59&gt;AA59),(R59&gt;AD59),(R59&gt;AG59),(R59&gt;BB59)))-$AJ59))</f>
        <v>6</v>
      </c>
      <c r="T59" s="879">
        <f>IF(R59=0,0,IF(R$7=0,0,IF(S59=0,0,((11-S59)))-$B$5))</f>
        <v>1</v>
      </c>
      <c r="U59" s="878">
        <f>'print 10 lane'!X58</f>
        <v>5.398148148148148E-4</v>
      </c>
      <c r="V59" s="879">
        <f>IF(U59=0,0,IF(U$7=0,0,IF(U59&lt;1,SUM((U59&gt;I59),(U59&gt;L59),(U59&gt;O59),(U59&gt;R59),(U59&gt;F59),(U59&gt;X59),(U59&gt;AA59),(U59&gt;AD59),(U59&gt;AG59),(U59&gt;BB59)))-$AJ59))</f>
        <v>5</v>
      </c>
      <c r="W59" s="879">
        <f>IF(U59=0,0,IF(U$7=0,0,IF(V59=0,0,((11-V59)))-$B$5))</f>
        <v>2</v>
      </c>
      <c r="X59" s="880"/>
      <c r="Y59" s="881"/>
      <c r="Z59" s="881"/>
      <c r="AA59" s="880"/>
      <c r="AB59" s="881"/>
      <c r="AC59" s="881"/>
      <c r="AD59" s="880"/>
      <c r="AE59" s="881"/>
      <c r="AF59" s="881"/>
      <c r="AG59" s="880"/>
      <c r="AH59" s="881"/>
      <c r="AI59" s="882"/>
      <c r="AJ59" s="883">
        <f>COUNTBLANK(F609:O609)</f>
        <v>4</v>
      </c>
    </row>
    <row r="60" spans="1:75" ht="30" customHeight="1" x14ac:dyDescent="0.25">
      <c r="B60" s="1349"/>
      <c r="C60" s="1333"/>
      <c r="D60" s="1348"/>
      <c r="E60" s="1350"/>
      <c r="F60" s="1351" t="str">
        <f>'print 10 lane'!I59</f>
        <v>Claudia Savov</v>
      </c>
      <c r="G60" s="1351"/>
      <c r="H60" s="1351"/>
      <c r="I60" s="1351" t="str">
        <f>'print 10 lane'!L59</f>
        <v>Maya Wegner</v>
      </c>
      <c r="J60" s="1351"/>
      <c r="K60" s="1351"/>
      <c r="L60" s="1351" t="str">
        <f>'print 10 lane'!O59</f>
        <v>Scarlett Omand</v>
      </c>
      <c r="M60" s="1351"/>
      <c r="N60" s="1351"/>
      <c r="O60" s="1351" t="str">
        <f>'print 10 lane'!R59</f>
        <v>Willow Brownbridge</v>
      </c>
      <c r="P60" s="1351"/>
      <c r="Q60" s="1351"/>
      <c r="R60" s="1351" t="str">
        <f>'print 10 lane'!U59</f>
        <v>Caoife Long</v>
      </c>
      <c r="S60" s="1351"/>
      <c r="T60" s="1351"/>
      <c r="U60" s="1351" t="str">
        <f>'print 10 lane'!X59</f>
        <v>Miraya  Patel</v>
      </c>
      <c r="V60" s="1351"/>
      <c r="W60" s="1351"/>
      <c r="X60" s="1340"/>
      <c r="Y60" s="1340"/>
      <c r="Z60" s="1340"/>
      <c r="AA60" s="1340"/>
      <c r="AB60" s="1340"/>
      <c r="AC60" s="1340"/>
      <c r="AD60" s="1340"/>
      <c r="AE60" s="1340"/>
      <c r="AF60" s="1340"/>
      <c r="AG60" s="1341"/>
      <c r="AH60" s="1341"/>
      <c r="AI60" s="1341"/>
      <c r="AJ60" s="883"/>
    </row>
    <row r="61" spans="1:75" ht="30" customHeight="1" x14ac:dyDescent="0.25">
      <c r="B61" s="1349"/>
      <c r="C61" s="1333"/>
      <c r="D61" s="1348"/>
      <c r="E61" s="888" t="s">
        <v>5086</v>
      </c>
      <c r="F61" s="1339">
        <f>'print 10 lane'!I60</f>
        <v>0</v>
      </c>
      <c r="G61" s="1339"/>
      <c r="H61" s="1339"/>
      <c r="I61" s="1339">
        <f>'print 10 lane'!L60</f>
        <v>0</v>
      </c>
      <c r="J61" s="1339"/>
      <c r="K61" s="1339"/>
      <c r="L61" s="1339">
        <f>'print 10 lane'!O60</f>
        <v>0</v>
      </c>
      <c r="M61" s="1339"/>
      <c r="N61" s="1339"/>
      <c r="O61" s="1339">
        <f>'print 10 lane'!R60</f>
        <v>0</v>
      </c>
      <c r="P61" s="1339"/>
      <c r="Q61" s="1339"/>
      <c r="R61" s="1339">
        <f>'print 10 lane'!U60</f>
        <v>0</v>
      </c>
      <c r="S61" s="1339"/>
      <c r="T61" s="1339"/>
      <c r="U61" s="1339">
        <f>'print 10 lane'!X60</f>
        <v>0</v>
      </c>
      <c r="V61" s="1339"/>
      <c r="W61" s="1339"/>
      <c r="X61" s="1345"/>
      <c r="Y61" s="1345"/>
      <c r="Z61" s="1345"/>
      <c r="AA61" s="1345"/>
      <c r="AB61" s="1345"/>
      <c r="AC61" s="1345"/>
      <c r="AD61" s="1345"/>
      <c r="AE61" s="1345"/>
      <c r="AF61" s="1345"/>
      <c r="AG61" s="1345"/>
      <c r="AH61" s="1345"/>
      <c r="AI61" s="1345"/>
      <c r="AJ61" s="883"/>
    </row>
    <row r="62" spans="1:75" ht="30" customHeight="1" x14ac:dyDescent="0.25">
      <c r="B62" s="1349">
        <v>20</v>
      </c>
      <c r="C62" s="1343" t="s">
        <v>5087</v>
      </c>
      <c r="D62" s="1348" t="s">
        <v>5094</v>
      </c>
      <c r="E62" s="1350" t="s">
        <v>5101</v>
      </c>
      <c r="F62" s="878">
        <f>'print 10 lane'!I61</f>
        <v>6.6365740740740751E-4</v>
      </c>
      <c r="G62" s="879">
        <f>IF(F62=0,0,IF(G$6=0,0,IF(F62&lt;1,SUM((F62&gt;I62),(F62&gt;L62),(F62&gt;O62),(F62&gt;R62),(F62&gt;U62),(F62&gt;X62),(F62&gt;AA62),(F62&gt;AD62),(F62&gt;AG62),(F62&gt;BB62)))-$AJ62))</f>
        <v>5</v>
      </c>
      <c r="H62" s="879">
        <f>IF(F62=0,0,IF(G$6=0,0,IF(G62=0,0,((11-G62)))-$B$5))</f>
        <v>2</v>
      </c>
      <c r="I62" s="878">
        <f>'print 10 lane'!L61</f>
        <v>4.5636574074074074E-4</v>
      </c>
      <c r="J62" s="879">
        <f>IF(I62=0,0,IF(I$7=0,0,IF(I62&lt;1,SUM((I62&gt;L62),(I62&gt;O62),(I62&gt;R62),(I62&gt;U62),(I62&gt;X62),(I62&gt;AA62),(I62&gt;F62),(I62&gt;AD62),(I62&gt;AG62),(I62&gt;BB62)))-$AJ62))</f>
        <v>1</v>
      </c>
      <c r="K62" s="879">
        <f>IF(I62=0,0,IF(I$7=0,0,IF(J62=0,0,((11-J62)))-$B$5))</f>
        <v>6</v>
      </c>
      <c r="L62" s="878">
        <f>'print 10 lane'!O61</f>
        <v>5.5312500000000001E-4</v>
      </c>
      <c r="M62" s="879">
        <f>IF(L62=0,0,IF(L$7=0,0,IF(L62&lt;1,SUM((L62&gt;I62),(L62&gt;F62),(L62&gt;O62),(L62&gt;R62),(L62&gt;U62),(L62&gt;X62),(L62&gt;AA62),(L62&gt;AD62),(L62&gt;AG62),(L62&gt;BB62)))-$AJ62))</f>
        <v>3</v>
      </c>
      <c r="N62" s="879">
        <f>IF(L62=0,0,IF(L$7=0,0,IF(M62=0,0,((11-M62)))-$B$5))</f>
        <v>4</v>
      </c>
      <c r="O62" s="878">
        <f>'print 10 lane'!R61</f>
        <v>0</v>
      </c>
      <c r="P62" s="879">
        <f>IF(O62=0,0,IF(O$7=0,0,IF(O62&lt;1,SUM((O62&gt;I62),(O62&gt;L62),(O62&gt;F62),(O62&gt;R62),(O62&gt;U62),(O62&gt;X62),(O62&gt;AA62),(O62&gt;AD62),(O62&gt;AG62),(O62&gt;BB62)))-$AJ62))</f>
        <v>0</v>
      </c>
      <c r="Q62" s="879">
        <f>IF(O62=0,0,IF(O$7=0,0,IF(P62=0,0,((11-P62)))-$B$5))</f>
        <v>0</v>
      </c>
      <c r="R62" s="878">
        <f>'print 10 lane'!U61</f>
        <v>5.807870370370371E-4</v>
      </c>
      <c r="S62" s="879">
        <f>IF(R62=0,0,IF(R$7=0,0,IF(R62&lt;1,SUM((R62&gt;I62),(R62&gt;L62),(R62&gt;O62),(R62&gt;F62),(R62&gt;U62),(R62&gt;X62),(R62&gt;AA62),(R62&gt;AD62),(R62&gt;AG62),(R62&gt;BB62)))-$AJ62))</f>
        <v>4</v>
      </c>
      <c r="T62" s="879">
        <f>IF(R62=0,0,IF(R$7=0,0,IF(S62=0,0,((11-S62)))-$B$5))</f>
        <v>3</v>
      </c>
      <c r="U62" s="878">
        <f>'print 10 lane'!X61</f>
        <v>4.7685185185185195E-4</v>
      </c>
      <c r="V62" s="879">
        <f>IF(U62=0,0,IF(U$7=0,0,IF(U62&lt;1,SUM((U62&gt;I62),(U62&gt;L62),(U62&gt;O62),(U62&gt;R62),(U62&gt;F62),(U62&gt;X62),(U62&gt;AA62),(U62&gt;AD62),(U62&gt;AG62),(U62&gt;BB62)))-$AJ62))</f>
        <v>2</v>
      </c>
      <c r="W62" s="879">
        <f>IF(U62=0,0,IF(U$7=0,0,IF(V62=0,0,((11-V62)))-$B$5))</f>
        <v>5</v>
      </c>
      <c r="X62" s="880"/>
      <c r="Y62" s="881"/>
      <c r="Z62" s="881"/>
      <c r="AA62" s="880"/>
      <c r="AB62" s="881"/>
      <c r="AC62" s="881"/>
      <c r="AD62" s="880"/>
      <c r="AE62" s="881"/>
      <c r="AF62" s="881"/>
      <c r="AG62" s="880"/>
      <c r="AH62" s="881"/>
      <c r="AI62" s="882"/>
      <c r="AJ62" s="883">
        <f>COUNTBLANK(F610:O610)</f>
        <v>5</v>
      </c>
    </row>
    <row r="63" spans="1:75" ht="30" customHeight="1" x14ac:dyDescent="0.25">
      <c r="B63" s="1349"/>
      <c r="C63" s="1343"/>
      <c r="D63" s="1348"/>
      <c r="E63" s="1350"/>
      <c r="F63" s="1351" t="str">
        <f>'print 10 lane'!I62</f>
        <v>Kornel Kern-Konyar</v>
      </c>
      <c r="G63" s="1351"/>
      <c r="H63" s="1351"/>
      <c r="I63" s="1351" t="str">
        <f>'print 10 lane'!L62</f>
        <v>James Winter</v>
      </c>
      <c r="J63" s="1351"/>
      <c r="K63" s="1351"/>
      <c r="L63" s="1351" t="str">
        <f>'print 10 lane'!O62</f>
        <v>Maxwell Croft</v>
      </c>
      <c r="M63" s="1351"/>
      <c r="N63" s="1351"/>
      <c r="O63" s="1351" t="str">
        <f>'print 10 lane'!R62</f>
        <v>Simon Rosa</v>
      </c>
      <c r="P63" s="1351"/>
      <c r="Q63" s="1351"/>
      <c r="R63" s="1351" t="str">
        <f>'print 10 lane'!U62</f>
        <v>Myron Young</v>
      </c>
      <c r="S63" s="1351"/>
      <c r="T63" s="1351"/>
      <c r="U63" s="1351" t="str">
        <f>'print 10 lane'!X62</f>
        <v>Mikhail Fedorov</v>
      </c>
      <c r="V63" s="1351"/>
      <c r="W63" s="1351"/>
      <c r="X63" s="1340"/>
      <c r="Y63" s="1340"/>
      <c r="Z63" s="1340"/>
      <c r="AA63" s="1340"/>
      <c r="AB63" s="1340"/>
      <c r="AC63" s="1340"/>
      <c r="AD63" s="1340"/>
      <c r="AE63" s="1340"/>
      <c r="AF63" s="1340"/>
      <c r="AG63" s="1341"/>
      <c r="AH63" s="1341"/>
      <c r="AI63" s="1341"/>
      <c r="AJ63" s="883"/>
    </row>
    <row r="64" spans="1:75" ht="30" customHeight="1" x14ac:dyDescent="0.25">
      <c r="B64" s="1349"/>
      <c r="C64" s="1343"/>
      <c r="D64" s="1348"/>
      <c r="E64" s="888" t="s">
        <v>5086</v>
      </c>
      <c r="F64" s="1339">
        <f>'print 10 lane'!I63</f>
        <v>0</v>
      </c>
      <c r="G64" s="1339"/>
      <c r="H64" s="1339"/>
      <c r="I64" s="1339">
        <f>'print 10 lane'!L63</f>
        <v>0</v>
      </c>
      <c r="J64" s="1339"/>
      <c r="K64" s="1339"/>
      <c r="L64" s="1339">
        <f>'print 10 lane'!O63</f>
        <v>0</v>
      </c>
      <c r="M64" s="1339"/>
      <c r="N64" s="1339"/>
      <c r="O64" s="1339" t="str">
        <f>'print 10 lane'!R63</f>
        <v>8.2 non simultaneous arms</v>
      </c>
      <c r="P64" s="1339"/>
      <c r="Q64" s="1339"/>
      <c r="R64" s="1339">
        <f>'print 10 lane'!U63</f>
        <v>0</v>
      </c>
      <c r="S64" s="1339"/>
      <c r="T64" s="1339"/>
      <c r="U64" s="1339">
        <f>'print 10 lane'!X63</f>
        <v>0</v>
      </c>
      <c r="V64" s="1339"/>
      <c r="W64" s="1339"/>
      <c r="X64" s="1345"/>
      <c r="Y64" s="1345"/>
      <c r="Z64" s="1345"/>
      <c r="AA64" s="1345"/>
      <c r="AB64" s="1345"/>
      <c r="AC64" s="1345"/>
      <c r="AD64" s="1345"/>
      <c r="AE64" s="1345"/>
      <c r="AF64" s="1345"/>
      <c r="AG64" s="1345"/>
      <c r="AH64" s="1345"/>
      <c r="AI64" s="1345"/>
      <c r="AJ64" s="883"/>
    </row>
    <row r="65" spans="2:36" ht="30" customHeight="1" x14ac:dyDescent="0.25">
      <c r="B65" s="1349">
        <v>21</v>
      </c>
      <c r="C65" s="1333" t="s">
        <v>5083</v>
      </c>
      <c r="D65" s="1338" t="s">
        <v>5090</v>
      </c>
      <c r="E65" s="1350" t="s">
        <v>5099</v>
      </c>
      <c r="F65" s="878">
        <f>'print 10 lane'!I64</f>
        <v>1.0196759259259258E-3</v>
      </c>
      <c r="G65" s="879">
        <f>IF(F65=0,0,IF(G$6=0,0,IF(F65&lt;1,SUM((F65&gt;I65),(F65&gt;L65),(F65&gt;O65),(F65&gt;R65),(F65&gt;U65),(F65&gt;X65),(F65&gt;AA65),(F65&gt;AD65),(F65&gt;AG65),(F65&gt;BB65)))-$AJ65))</f>
        <v>6</v>
      </c>
      <c r="H65" s="879">
        <f>IF(F65=0,0,IF(G$6=0,0,IF(G65=0,0,((11-G65)))-$B$5))</f>
        <v>1</v>
      </c>
      <c r="I65" s="878">
        <f>'print 10 lane'!L64</f>
        <v>9.2986111111111101E-4</v>
      </c>
      <c r="J65" s="879">
        <f>IF(I65=0,0,IF(I$7=0,0,IF(I65&lt;1,SUM((I65&gt;L65),(I65&gt;O65),(I65&gt;R65),(I65&gt;U65),(I65&gt;X65),(I65&gt;AA65),(I65&gt;F65),(I65&gt;AD65),(I65&gt;AG65),(I65&gt;BB65)))-$AJ65))</f>
        <v>4</v>
      </c>
      <c r="K65" s="879">
        <f>IF(I65=0,0,IF(I$7=0,0,IF(J65=0,0,((11-J65)))-$B$5))</f>
        <v>3</v>
      </c>
      <c r="L65" s="878">
        <f>'print 10 lane'!O64</f>
        <v>9.0185185185185192E-4</v>
      </c>
      <c r="M65" s="879">
        <f>IF(L65=0,0,IF(L$7=0,0,IF(L65&lt;1,SUM((L65&gt;I65),(L65&gt;F65),(L65&gt;O65),(L65&gt;R65),(L65&gt;U65),(L65&gt;X65),(L65&gt;AA65),(L65&gt;AD65),(L65&gt;AG65),(L65&gt;BB65)))-$AJ65))</f>
        <v>2</v>
      </c>
      <c r="N65" s="879">
        <f>IF(L65=0,0,IF(L$7=0,0,IF(M65=0,0,((11-M65)))-$B$5))</f>
        <v>5</v>
      </c>
      <c r="O65" s="878">
        <f>'print 10 lane'!R64</f>
        <v>8.8587962962962969E-4</v>
      </c>
      <c r="P65" s="879">
        <f>IF(O65=0,0,IF(O$7=0,0,IF(O65&lt;1,SUM((O65&gt;I65),(O65&gt;L65),(O65&gt;F65),(O65&gt;R65),(O65&gt;U65),(O65&gt;X65),(O65&gt;AA65),(O65&gt;AD65),(O65&gt;AG65),(O65&gt;BB65)))-$AJ65))</f>
        <v>1</v>
      </c>
      <c r="Q65" s="879">
        <f>IF(O65=0,0,IF(O$7=0,0,IF(P65=0,0,((11-P65)))-$B$5))</f>
        <v>6</v>
      </c>
      <c r="R65" s="878">
        <f>'print 10 lane'!U64</f>
        <v>9.4004629629629614E-4</v>
      </c>
      <c r="S65" s="879">
        <f>IF(R65=0,0,IF(R$7=0,0,IF(R65&lt;1,SUM((R65&gt;I65),(R65&gt;L65),(R65&gt;O65),(R65&gt;F65),(R65&gt;U65),(R65&gt;X65),(R65&gt;AA65),(R65&gt;AD65),(R65&gt;AG65),(R65&gt;BB65)))-$AJ65))</f>
        <v>5</v>
      </c>
      <c r="T65" s="879">
        <f>IF(R65=0,0,IF(R$7=0,0,IF(S65=0,0,((11-S65)))-$B$5))</f>
        <v>2</v>
      </c>
      <c r="U65" s="878">
        <f>'print 10 lane'!X64</f>
        <v>9.2581018518518522E-4</v>
      </c>
      <c r="V65" s="879">
        <f>IF(U65=0,0,IF(U$7=0,0,IF(U65&lt;1,SUM((U65&gt;I65),(U65&gt;L65),(U65&gt;O65),(U65&gt;R65),(U65&gt;F65),(U65&gt;X65),(U65&gt;AA65),(U65&gt;AD65),(U65&gt;AG65),(U65&gt;BB65)))-$AJ65))</f>
        <v>3</v>
      </c>
      <c r="W65" s="879">
        <f>IF(U65=0,0,IF(U$7=0,0,IF(V65=0,0,((11-V65)))-$B$5))</f>
        <v>4</v>
      </c>
      <c r="X65" s="880"/>
      <c r="Y65" s="881"/>
      <c r="Z65" s="881"/>
      <c r="AA65" s="880"/>
      <c r="AB65" s="881"/>
      <c r="AC65" s="881"/>
      <c r="AD65" s="880"/>
      <c r="AE65" s="881"/>
      <c r="AF65" s="881"/>
      <c r="AG65" s="880"/>
      <c r="AH65" s="881"/>
      <c r="AI65" s="882"/>
      <c r="AJ65" s="883">
        <f>COUNTBLANK(F611:O611)</f>
        <v>4</v>
      </c>
    </row>
    <row r="66" spans="2:36" ht="30" customHeight="1" x14ac:dyDescent="0.25">
      <c r="B66" s="1349"/>
      <c r="C66" s="1333"/>
      <c r="D66" s="1338"/>
      <c r="E66" s="1350"/>
      <c r="F66" s="1351" t="str">
        <f>'print 10 lane'!I65</f>
        <v>Ane Pedraza-Eguia</v>
      </c>
      <c r="G66" s="1351"/>
      <c r="H66" s="1351"/>
      <c r="I66" s="1351" t="str">
        <f>'print 10 lane'!L65</f>
        <v>Sophie Heraty</v>
      </c>
      <c r="J66" s="1351"/>
      <c r="K66" s="1351"/>
      <c r="L66" s="1351" t="str">
        <f>'print 10 lane'!O65</f>
        <v>Maya Robu</v>
      </c>
      <c r="M66" s="1351"/>
      <c r="N66" s="1351"/>
      <c r="O66" s="1351" t="str">
        <f>'print 10 lane'!R65</f>
        <v>Frances Starsmore</v>
      </c>
      <c r="P66" s="1351"/>
      <c r="Q66" s="1351"/>
      <c r="R66" s="1351" t="str">
        <f>'print 10 lane'!U65</f>
        <v>Orlagh Northgrave</v>
      </c>
      <c r="S66" s="1351"/>
      <c r="T66" s="1351"/>
      <c r="U66" s="1351" t="str">
        <f>'print 10 lane'!X65</f>
        <v>Polina  Fedorova</v>
      </c>
      <c r="V66" s="1351"/>
      <c r="W66" s="1351"/>
      <c r="X66" s="1340"/>
      <c r="Y66" s="1340"/>
      <c r="Z66" s="1340"/>
      <c r="AA66" s="1340"/>
      <c r="AB66" s="1340"/>
      <c r="AC66" s="1340"/>
      <c r="AD66" s="1340"/>
      <c r="AE66" s="1340"/>
      <c r="AF66" s="1340"/>
      <c r="AG66" s="1341"/>
      <c r="AH66" s="1341"/>
      <c r="AI66" s="1341"/>
      <c r="AJ66" s="883"/>
    </row>
    <row r="67" spans="2:36" ht="30" customHeight="1" x14ac:dyDescent="0.25">
      <c r="B67" s="1349"/>
      <c r="C67" s="1333"/>
      <c r="D67" s="1338"/>
      <c r="E67" s="888" t="s">
        <v>5086</v>
      </c>
      <c r="F67" s="1339">
        <f>'print 10 lane'!I66</f>
        <v>0</v>
      </c>
      <c r="G67" s="1339"/>
      <c r="H67" s="1339"/>
      <c r="I67" s="1339">
        <f>'print 10 lane'!L66</f>
        <v>0</v>
      </c>
      <c r="J67" s="1339"/>
      <c r="K67" s="1339"/>
      <c r="L67" s="1339">
        <f>'print 10 lane'!O66</f>
        <v>0</v>
      </c>
      <c r="M67" s="1339"/>
      <c r="N67" s="1339"/>
      <c r="O67" s="1339">
        <f>'print 10 lane'!R66</f>
        <v>0</v>
      </c>
      <c r="P67" s="1339"/>
      <c r="Q67" s="1339"/>
      <c r="R67" s="1339">
        <f>'print 10 lane'!U66</f>
        <v>0</v>
      </c>
      <c r="S67" s="1339"/>
      <c r="T67" s="1339"/>
      <c r="U67" s="1339">
        <f>'print 10 lane'!X66</f>
        <v>0</v>
      </c>
      <c r="V67" s="1339"/>
      <c r="W67" s="1339"/>
      <c r="X67" s="1345"/>
      <c r="Y67" s="1345"/>
      <c r="Z67" s="1345"/>
      <c r="AA67" s="1345"/>
      <c r="AB67" s="1345"/>
      <c r="AC67" s="1345"/>
      <c r="AD67" s="1345"/>
      <c r="AE67" s="1345"/>
      <c r="AF67" s="1345"/>
      <c r="AG67" s="1345"/>
      <c r="AH67" s="1345"/>
      <c r="AI67" s="1345"/>
      <c r="AJ67" s="883"/>
    </row>
    <row r="68" spans="2:36" ht="30" customHeight="1" x14ac:dyDescent="0.25">
      <c r="B68" s="1349">
        <v>22</v>
      </c>
      <c r="C68" s="1343" t="s">
        <v>5087</v>
      </c>
      <c r="D68" s="1338" t="s">
        <v>5090</v>
      </c>
      <c r="E68" s="1350" t="s">
        <v>5099</v>
      </c>
      <c r="F68" s="878">
        <f>'print 10 lane'!I67</f>
        <v>9.3923611111111117E-4</v>
      </c>
      <c r="G68" s="879">
        <f>IF(F68=0,0,IF(G$6=0,0,IF(F68&lt;1,SUM((F68&gt;I68),(F68&gt;L68),(F68&gt;O68),(F68&gt;R68),(F68&gt;U68),(F68&gt;X68),(F68&gt;AA68),(F68&gt;AD68),(F68&gt;AG68),(F68&gt;BB68)))-$AJ68))</f>
        <v>4</v>
      </c>
      <c r="H68" s="879">
        <f>IF(F68=0,0,IF(G$6=0,0,IF(G68=0,0,((11-G68)))-$B$5))</f>
        <v>3</v>
      </c>
      <c r="I68" s="878">
        <f>'print 10 lane'!L67</f>
        <v>1.0121527777777778E-3</v>
      </c>
      <c r="J68" s="879">
        <f>IF(I68=0,0,IF(I$7=0,0,IF(I68&lt;1,SUM((I68&gt;L68),(I68&gt;O68),(I68&gt;R68),(I68&gt;U68),(I68&gt;X68),(I68&gt;AA68),(I68&gt;F68),(I68&gt;AD68),(I68&gt;AG68),(I68&gt;BB68)))-$AJ68))</f>
        <v>5</v>
      </c>
      <c r="K68" s="879">
        <f>IF(I68=0,0,IF(I$7=0,0,IF(J68=0,0,((11-J68)))-$B$5))</f>
        <v>2</v>
      </c>
      <c r="L68" s="878">
        <f>'print 10 lane'!O67</f>
        <v>9.3715277777777775E-4</v>
      </c>
      <c r="M68" s="879">
        <f>IF(L68=0,0,IF(L$7=0,0,IF(L68&lt;1,SUM((L68&gt;I68),(L68&gt;F68),(L68&gt;O68),(L68&gt;R68),(L68&gt;U68),(L68&gt;X68),(L68&gt;AA68),(L68&gt;AD68),(L68&gt;AG68),(L68&gt;BB68)))-$AJ68))</f>
        <v>3</v>
      </c>
      <c r="N68" s="879">
        <f>IF(L68=0,0,IF(L$7=0,0,IF(M68=0,0,((11-M68)))-$B$5))</f>
        <v>4</v>
      </c>
      <c r="O68" s="878">
        <f>'print 10 lane'!R67</f>
        <v>1.0128472222222221E-3</v>
      </c>
      <c r="P68" s="879">
        <f>IF(O68=0,0,IF(O$7=0,0,IF(O68&lt;1,SUM((O68&gt;I68),(O68&gt;L68),(O68&gt;F68),(O68&gt;R68),(O68&gt;U68),(O68&gt;X68),(O68&gt;AA68),(O68&gt;AD68),(O68&gt;AG68),(O68&gt;BB68)))-$AJ68))</f>
        <v>6</v>
      </c>
      <c r="Q68" s="879">
        <f>IF(O68=0,0,IF(O$7=0,0,IF(P68=0,0,((11-P68)))-$B$5))</f>
        <v>1</v>
      </c>
      <c r="R68" s="878">
        <f>'print 10 lane'!U67</f>
        <v>9.032407407407408E-4</v>
      </c>
      <c r="S68" s="879">
        <f>IF(R68=0,0,IF(R$7=0,0,IF(R68&lt;1,SUM((R68&gt;I68),(R68&gt;L68),(R68&gt;O68),(R68&gt;F68),(R68&gt;U68),(R68&gt;X68),(R68&gt;AA68),(R68&gt;AD68),(R68&gt;AG68),(R68&gt;BB68)))-$AJ68))</f>
        <v>2</v>
      </c>
      <c r="T68" s="879">
        <f>IF(R68=0,0,IF(R$7=0,0,IF(S68=0,0,((11-S68)))-$B$5))</f>
        <v>5</v>
      </c>
      <c r="U68" s="878">
        <f>'print 10 lane'!X67</f>
        <v>7.9201388888888898E-4</v>
      </c>
      <c r="V68" s="879">
        <f>IF(U68=0,0,IF(U$7=0,0,IF(U68&lt;1,SUM((U68&gt;I68),(U68&gt;L68),(U68&gt;O68),(U68&gt;R68),(U68&gt;F68),(U68&gt;X68),(U68&gt;AA68),(U68&gt;AD68),(U68&gt;AG68),(U68&gt;BB68)))-$AJ68))</f>
        <v>1</v>
      </c>
      <c r="W68" s="879">
        <f>IF(U68=0,0,IF(U$7=0,0,IF(V68=0,0,((11-V68)))-$B$5))</f>
        <v>6</v>
      </c>
      <c r="X68" s="880"/>
      <c r="Y68" s="881"/>
      <c r="Z68" s="881"/>
      <c r="AA68" s="880"/>
      <c r="AB68" s="881"/>
      <c r="AC68" s="881"/>
      <c r="AD68" s="880"/>
      <c r="AE68" s="881"/>
      <c r="AF68" s="881"/>
      <c r="AG68" s="880"/>
      <c r="AH68" s="881"/>
      <c r="AI68" s="882"/>
      <c r="AJ68" s="883">
        <f>COUNTBLANK(F612:O612)</f>
        <v>4</v>
      </c>
    </row>
    <row r="69" spans="2:36" ht="30" customHeight="1" x14ac:dyDescent="0.25">
      <c r="B69" s="1349"/>
      <c r="C69" s="1343"/>
      <c r="D69" s="1338"/>
      <c r="E69" s="1350"/>
      <c r="F69" s="1351" t="str">
        <f>'print 10 lane'!I68</f>
        <v>Yigit Ilhan</v>
      </c>
      <c r="G69" s="1351"/>
      <c r="H69" s="1351"/>
      <c r="I69" s="1351" t="str">
        <f>'print 10 lane'!L68</f>
        <v>James Winter</v>
      </c>
      <c r="J69" s="1351"/>
      <c r="K69" s="1351"/>
      <c r="L69" s="1351" t="str">
        <f>'print 10 lane'!O68</f>
        <v>Ryan Wimpenny</v>
      </c>
      <c r="M69" s="1351"/>
      <c r="N69" s="1351"/>
      <c r="O69" s="1351" t="str">
        <f>'print 10 lane'!R68</f>
        <v>Samuel Rosa</v>
      </c>
      <c r="P69" s="1351"/>
      <c r="Q69" s="1351"/>
      <c r="R69" s="1351" t="str">
        <f>'print 10 lane'!U68</f>
        <v>Liam Hurst</v>
      </c>
      <c r="S69" s="1351"/>
      <c r="T69" s="1351"/>
      <c r="U69" s="1351" t="str">
        <f>'print 10 lane'!X68</f>
        <v>Gert Zeqiri</v>
      </c>
      <c r="V69" s="1351"/>
      <c r="W69" s="1351"/>
      <c r="X69" s="1340"/>
      <c r="Y69" s="1340"/>
      <c r="Z69" s="1340"/>
      <c r="AA69" s="1340"/>
      <c r="AB69" s="1340"/>
      <c r="AC69" s="1340"/>
      <c r="AD69" s="1340"/>
      <c r="AE69" s="1340"/>
      <c r="AF69" s="1340"/>
      <c r="AG69" s="1341"/>
      <c r="AH69" s="1341"/>
      <c r="AI69" s="1341"/>
      <c r="AJ69" s="883"/>
    </row>
    <row r="70" spans="2:36" ht="30" customHeight="1" x14ac:dyDescent="0.25">
      <c r="B70" s="1349"/>
      <c r="C70" s="1343"/>
      <c r="D70" s="1338"/>
      <c r="E70" s="888" t="s">
        <v>5086</v>
      </c>
      <c r="F70" s="1339">
        <f>'print 10 lane'!I69</f>
        <v>0</v>
      </c>
      <c r="G70" s="1339"/>
      <c r="H70" s="1339"/>
      <c r="I70" s="1339">
        <f>'print 10 lane'!L69</f>
        <v>0</v>
      </c>
      <c r="J70" s="1339"/>
      <c r="K70" s="1339"/>
      <c r="L70" s="1339">
        <f>'print 10 lane'!O69</f>
        <v>0</v>
      </c>
      <c r="M70" s="1339"/>
      <c r="N70" s="1339"/>
      <c r="O70" s="1339">
        <f>'print 10 lane'!R69</f>
        <v>0</v>
      </c>
      <c r="P70" s="1339"/>
      <c r="Q70" s="1339"/>
      <c r="R70" s="1339">
        <f>'print 10 lane'!U69</f>
        <v>0</v>
      </c>
      <c r="S70" s="1339"/>
      <c r="T70" s="1339"/>
      <c r="U70" s="1339">
        <f>'print 10 lane'!X69</f>
        <v>0</v>
      </c>
      <c r="V70" s="1339"/>
      <c r="W70" s="1339"/>
      <c r="X70" s="1345"/>
      <c r="Y70" s="1345"/>
      <c r="Z70" s="1345"/>
      <c r="AA70" s="1345"/>
      <c r="AB70" s="1345"/>
      <c r="AC70" s="1345"/>
      <c r="AD70" s="1345"/>
      <c r="AE70" s="1345"/>
      <c r="AF70" s="1345"/>
      <c r="AG70" s="1345"/>
      <c r="AH70" s="1345"/>
      <c r="AI70" s="1345"/>
      <c r="AJ70" s="883"/>
    </row>
    <row r="71" spans="2:36" ht="30" customHeight="1" x14ac:dyDescent="0.25">
      <c r="B71" s="1349">
        <v>23</v>
      </c>
      <c r="C71" s="1333" t="s">
        <v>5083</v>
      </c>
      <c r="D71" s="1338" t="s">
        <v>5092</v>
      </c>
      <c r="E71" s="1350" t="s">
        <v>5100</v>
      </c>
      <c r="F71" s="878">
        <f>'print 10 lane'!I70</f>
        <v>8.8113425925925913E-4</v>
      </c>
      <c r="G71" s="879">
        <f>IF(F71=0,0,IF(G$6=0,0,IF(F71&lt;1,SUM((F71&gt;I71),(F71&gt;L71),(F71&gt;O71),(F71&gt;R71),(F71&gt;U71),(F71&gt;X71),(F71&gt;AA71),(F71&gt;AD71),(F71&gt;AG71),(F71&gt;BB71)))-$AJ71))</f>
        <v>3</v>
      </c>
      <c r="H71" s="879">
        <f>IF(F71=0,0,IF(G$6=0,0,IF(G71=0,0,((11-G71)))-$B$5))</f>
        <v>4</v>
      </c>
      <c r="I71" s="878">
        <f>'print 10 lane'!L70</f>
        <v>9.0543981481481476E-4</v>
      </c>
      <c r="J71" s="879">
        <f>IF(I71=0,0,IF(I$7=0,0,IF(I71&lt;1,SUM((I71&gt;L71),(I71&gt;O71),(I71&gt;R71),(I71&gt;U71),(I71&gt;X71),(I71&gt;AA71),(I71&gt;F71),(I71&gt;AD71),(I71&gt;AG71),(I71&gt;BB71)))-$AJ71))</f>
        <v>4</v>
      </c>
      <c r="K71" s="879">
        <f>IF(I71=0,0,IF(I$7=0,0,IF(J71=0,0,((11-J71)))-$B$5))</f>
        <v>3</v>
      </c>
      <c r="L71" s="878">
        <f>'print 10 lane'!O70</f>
        <v>8.7824074074074063E-4</v>
      </c>
      <c r="M71" s="879">
        <f>IF(L71=0,0,IF(L$7=0,0,IF(L71&lt;1,SUM((L71&gt;I71),(L71&gt;F71),(L71&gt;O71),(L71&gt;R71),(L71&gt;U71),(L71&gt;X71),(L71&gt;AA71),(L71&gt;AD71),(L71&gt;AG71),(L71&gt;BB71)))-$AJ71))</f>
        <v>2</v>
      </c>
      <c r="N71" s="879">
        <f>IF(L71=0,0,IF(L$7=0,0,IF(M71=0,0,((11-M71)))-$B$5))</f>
        <v>5</v>
      </c>
      <c r="O71" s="878">
        <f>'print 10 lane'!R70</f>
        <v>9.1539351851851851E-4</v>
      </c>
      <c r="P71" s="879">
        <f>IF(O71=0,0,IF(O$7=0,0,IF(O71&lt;1,SUM((O71&gt;I71),(O71&gt;L71),(O71&gt;F71),(O71&gt;R71),(O71&gt;U71),(O71&gt;X71),(O71&gt;AA71),(O71&gt;AD71),(O71&gt;AG71),(O71&gt;BB71)))-$AJ71))</f>
        <v>5</v>
      </c>
      <c r="Q71" s="879">
        <f>IF(O71=0,0,IF(O$7=0,0,IF(P71=0,0,((11-P71)))-$B$5))</f>
        <v>2</v>
      </c>
      <c r="R71" s="878">
        <f>'print 10 lane'!U70</f>
        <v>8.155092592592592E-4</v>
      </c>
      <c r="S71" s="879">
        <f>IF(R71=0,0,IF(R$7=0,0,IF(R71&lt;1,SUM((R71&gt;I71),(R71&gt;L71),(R71&gt;O71),(R71&gt;F71),(R71&gt;U71),(R71&gt;X71),(R71&gt;AA71),(R71&gt;AD71),(R71&gt;AG71),(R71&gt;BB71)))-$AJ71))</f>
        <v>1</v>
      </c>
      <c r="T71" s="879">
        <f>IF(R71=0,0,IF(R$7=0,0,IF(S71=0,0,((11-S71)))-$B$5))</f>
        <v>6</v>
      </c>
      <c r="U71" s="878">
        <f>'print 10 lane'!X70</f>
        <v>9.3287037037037036E-4</v>
      </c>
      <c r="V71" s="879">
        <f>IF(U71=0,0,IF(U$7=0,0,IF(U71&lt;1,SUM((U71&gt;I71),(U71&gt;L71),(U71&gt;O71),(U71&gt;R71),(U71&gt;F71),(U71&gt;X71),(U71&gt;AA71),(U71&gt;AD71),(U71&gt;AG71),(U71&gt;BB71)))-$AJ71))</f>
        <v>6</v>
      </c>
      <c r="W71" s="879">
        <f>IF(U71=0,0,IF(U$7=0,0,IF(V71=0,0,((11-V71)))-$B$5))</f>
        <v>1</v>
      </c>
      <c r="X71" s="880"/>
      <c r="Y71" s="881"/>
      <c r="Z71" s="881"/>
      <c r="AA71" s="880"/>
      <c r="AB71" s="881"/>
      <c r="AC71" s="881"/>
      <c r="AD71" s="880"/>
      <c r="AE71" s="881"/>
      <c r="AF71" s="881"/>
      <c r="AG71" s="880"/>
      <c r="AH71" s="881"/>
      <c r="AI71" s="882"/>
      <c r="AJ71" s="883">
        <f>COUNTBLANK(F613:O613)</f>
        <v>4</v>
      </c>
    </row>
    <row r="72" spans="2:36" ht="30" customHeight="1" x14ac:dyDescent="0.25">
      <c r="B72" s="1349"/>
      <c r="C72" s="1333"/>
      <c r="D72" s="1338"/>
      <c r="E72" s="1350"/>
      <c r="F72" s="1351" t="str">
        <f>'print 10 lane'!I71</f>
        <v>Zoe Panayi</v>
      </c>
      <c r="G72" s="1351"/>
      <c r="H72" s="1351"/>
      <c r="I72" s="1351" t="str">
        <f>'print 10 lane'!L71</f>
        <v>Charlotte Lyon</v>
      </c>
      <c r="J72" s="1351"/>
      <c r="K72" s="1351"/>
      <c r="L72" s="1351" t="str">
        <f>'print 10 lane'!O71</f>
        <v>Hannah Lovelock</v>
      </c>
      <c r="M72" s="1351"/>
      <c r="N72" s="1351"/>
      <c r="O72" s="1351" t="str">
        <f>'print 10 lane'!R71</f>
        <v>Annabella Cojeen</v>
      </c>
      <c r="P72" s="1351"/>
      <c r="Q72" s="1351"/>
      <c r="R72" s="1351" t="str">
        <f>'print 10 lane'!U71</f>
        <v>Mia Macklin</v>
      </c>
      <c r="S72" s="1351"/>
      <c r="T72" s="1351"/>
      <c r="U72" s="1351" t="str">
        <f>'print 10 lane'!X71</f>
        <v>Crina Stefania  Bostan</v>
      </c>
      <c r="V72" s="1351"/>
      <c r="W72" s="1351"/>
      <c r="X72" s="1340"/>
      <c r="Y72" s="1340"/>
      <c r="Z72" s="1340"/>
      <c r="AA72" s="1340"/>
      <c r="AB72" s="1340"/>
      <c r="AC72" s="1340"/>
      <c r="AD72" s="1340"/>
      <c r="AE72" s="1340"/>
      <c r="AF72" s="1340"/>
      <c r="AG72" s="1341"/>
      <c r="AH72" s="1341"/>
      <c r="AI72" s="1341"/>
      <c r="AJ72" s="883"/>
    </row>
    <row r="73" spans="2:36" ht="30" customHeight="1" x14ac:dyDescent="0.25">
      <c r="B73" s="1349"/>
      <c r="C73" s="1333"/>
      <c r="D73" s="1338"/>
      <c r="E73" s="888" t="s">
        <v>5086</v>
      </c>
      <c r="F73" s="1339">
        <f>'print 10 lane'!I72</f>
        <v>0</v>
      </c>
      <c r="G73" s="1339"/>
      <c r="H73" s="1339"/>
      <c r="I73" s="1339">
        <f>'print 10 lane'!L72</f>
        <v>0</v>
      </c>
      <c r="J73" s="1339"/>
      <c r="K73" s="1339"/>
      <c r="L73" s="1339">
        <f>'print 10 lane'!O72</f>
        <v>0</v>
      </c>
      <c r="M73" s="1339"/>
      <c r="N73" s="1339"/>
      <c r="O73" s="1339">
        <f>'print 10 lane'!R72</f>
        <v>0</v>
      </c>
      <c r="P73" s="1339"/>
      <c r="Q73" s="1339"/>
      <c r="R73" s="1339">
        <f>'print 10 lane'!U72</f>
        <v>0</v>
      </c>
      <c r="S73" s="1339"/>
      <c r="T73" s="1339"/>
      <c r="U73" s="1339">
        <f>'print 10 lane'!X72</f>
        <v>0</v>
      </c>
      <c r="V73" s="1339"/>
      <c r="W73" s="1339"/>
      <c r="X73" s="1345"/>
      <c r="Y73" s="1345"/>
      <c r="Z73" s="1345"/>
      <c r="AA73" s="1345"/>
      <c r="AB73" s="1345"/>
      <c r="AC73" s="1345"/>
      <c r="AD73" s="1345"/>
      <c r="AE73" s="1345"/>
      <c r="AF73" s="1345"/>
      <c r="AG73" s="1345"/>
      <c r="AH73" s="1345"/>
      <c r="AI73" s="1345"/>
      <c r="AJ73" s="883"/>
    </row>
    <row r="74" spans="2:36" ht="30" customHeight="1" x14ac:dyDescent="0.25">
      <c r="B74" s="1349">
        <v>24</v>
      </c>
      <c r="C74" s="1343" t="s">
        <v>5087</v>
      </c>
      <c r="D74" s="1338" t="s">
        <v>5092</v>
      </c>
      <c r="E74" s="1350" t="s">
        <v>5100</v>
      </c>
      <c r="F74" s="878">
        <f>'print 10 lane'!I73</f>
        <v>0</v>
      </c>
      <c r="G74" s="879">
        <f>IF(F74=0,0,IF(G$6=0,0,IF(F74&lt;1,SUM((F74&gt;I74),(F74&gt;L74),(F74&gt;O74),(F74&gt;R74),(F74&gt;U74),(F74&gt;X74),(F74&gt;AA74),(F74&gt;AD74),(F74&gt;AG74),(F74&gt;BB74)))-$AJ74))</f>
        <v>0</v>
      </c>
      <c r="H74" s="879">
        <f>IF(F74=0,0,IF(G$6=0,0,IF(G74=0,0,((11-G74)))-$B$5))</f>
        <v>0</v>
      </c>
      <c r="I74" s="878">
        <f>'print 10 lane'!L73</f>
        <v>9.9282407407407414E-4</v>
      </c>
      <c r="J74" s="879">
        <f>IF(I74=0,0,IF(I$7=0,0,IF(I74&lt;1,SUM((I74&gt;L74),(I74&gt;O74),(I74&gt;R74),(I74&gt;U74),(I74&gt;X74),(I74&gt;AA74),(I74&gt;F74),(I74&gt;AD74),(I74&gt;AG74),(I74&gt;BB74)))-$AJ74))</f>
        <v>5</v>
      </c>
      <c r="K74" s="879">
        <f>IF(I74=0,0,IF(I$7=0,0,IF(J74=0,0,((11-J74)))-$B$5))</f>
        <v>2</v>
      </c>
      <c r="L74" s="878">
        <f>'print 10 lane'!O73</f>
        <v>8.9733796296296295E-4</v>
      </c>
      <c r="M74" s="879">
        <f>IF(L74=0,0,IF(L$7=0,0,IF(L74&lt;1,SUM((L74&gt;I74),(L74&gt;F74),(L74&gt;O74),(L74&gt;R74),(L74&gt;U74),(L74&gt;X74),(L74&gt;AA74),(L74&gt;AD74),(L74&gt;AG74),(L74&gt;BB74)))-$AJ74))</f>
        <v>4</v>
      </c>
      <c r="N74" s="879">
        <f>IF(L74=0,0,IF(L$7=0,0,IF(M74=0,0,((11-M74)))-$B$5))</f>
        <v>3</v>
      </c>
      <c r="O74" s="878">
        <f>'print 10 lane'!R73</f>
        <v>7.7939814814814809E-4</v>
      </c>
      <c r="P74" s="879">
        <f>IF(O74=0,0,IF(O$7=0,0,IF(O74&lt;1,SUM((O74&gt;I74),(O74&gt;L74),(O74&gt;F74),(O74&gt;R74),(O74&gt;U74),(O74&gt;X74),(O74&gt;AA74),(O74&gt;AD74),(O74&gt;AG74),(O74&gt;BB74)))-$AJ74))</f>
        <v>3</v>
      </c>
      <c r="Q74" s="879">
        <f>IF(O74=0,0,IF(O$7=0,0,IF(P74=0,0,((11-P74)))-$B$5))</f>
        <v>4</v>
      </c>
      <c r="R74" s="878">
        <f>'print 10 lane'!U73</f>
        <v>7.0729166666666672E-4</v>
      </c>
      <c r="S74" s="879">
        <f>IF(R74=0,0,IF(R$7=0,0,IF(R74&lt;1,SUM((R74&gt;I74),(R74&gt;L74),(R74&gt;O74),(R74&gt;F74),(R74&gt;U74),(R74&gt;X74),(R74&gt;AA74),(R74&gt;AD74),(R74&gt;AG74),(R74&gt;BB74)))-$AJ74))</f>
        <v>1</v>
      </c>
      <c r="T74" s="879">
        <f>IF(R74=0,0,IF(R$7=0,0,IF(S74=0,0,((11-S74)))-$B$5))</f>
        <v>6</v>
      </c>
      <c r="U74" s="878">
        <f>'print 10 lane'!X73</f>
        <v>7.3865740740740749E-4</v>
      </c>
      <c r="V74" s="879">
        <f>IF(U74=0,0,IF(U$7=0,0,IF(U74&lt;1,SUM((U74&gt;I74),(U74&gt;L74),(U74&gt;O74),(U74&gt;R74),(U74&gt;F74),(U74&gt;X74),(U74&gt;AA74),(U74&gt;AD74),(U74&gt;AG74),(U74&gt;BB74)))-$AJ74))</f>
        <v>2</v>
      </c>
      <c r="W74" s="879">
        <f>IF(U74=0,0,IF(U$7=0,0,IF(V74=0,0,((11-V74)))-$B$5))</f>
        <v>5</v>
      </c>
      <c r="X74" s="880"/>
      <c r="Y74" s="881"/>
      <c r="Z74" s="881"/>
      <c r="AA74" s="880"/>
      <c r="AB74" s="881"/>
      <c r="AC74" s="881"/>
      <c r="AD74" s="880"/>
      <c r="AE74" s="881"/>
      <c r="AF74" s="881"/>
      <c r="AG74" s="880"/>
      <c r="AH74" s="881"/>
      <c r="AI74" s="882"/>
      <c r="AJ74" s="883">
        <f>COUNTBLANK(F614:O614)</f>
        <v>5</v>
      </c>
    </row>
    <row r="75" spans="2:36" ht="30" customHeight="1" x14ac:dyDescent="0.25">
      <c r="B75" s="1349"/>
      <c r="C75" s="1343"/>
      <c r="D75" s="1338"/>
      <c r="E75" s="1350"/>
      <c r="F75" s="1351" t="str">
        <f>'print 10 lane'!I74</f>
        <v xml:space="preserve"> </v>
      </c>
      <c r="G75" s="1351"/>
      <c r="H75" s="1351"/>
      <c r="I75" s="1351" t="str">
        <f>'print 10 lane'!L74</f>
        <v>Oliver Tubridy</v>
      </c>
      <c r="J75" s="1351"/>
      <c r="K75" s="1351"/>
      <c r="L75" s="1351" t="str">
        <f>'print 10 lane'!O74</f>
        <v>Alfie Bullock</v>
      </c>
      <c r="M75" s="1351"/>
      <c r="N75" s="1351"/>
      <c r="O75" s="1351" t="str">
        <f>'print 10 lane'!R74</f>
        <v>Rafi Gibson</v>
      </c>
      <c r="P75" s="1351"/>
      <c r="Q75" s="1351"/>
      <c r="R75" s="1351" t="str">
        <f>'print 10 lane'!U74</f>
        <v>Joshua Parker</v>
      </c>
      <c r="S75" s="1351"/>
      <c r="T75" s="1351"/>
      <c r="U75" s="1351" t="str">
        <f>'print 10 lane'!X74</f>
        <v xml:space="preserve">Owen  Roberts </v>
      </c>
      <c r="V75" s="1351"/>
      <c r="W75" s="1351"/>
      <c r="X75" s="1340"/>
      <c r="Y75" s="1340"/>
      <c r="Z75" s="1340"/>
      <c r="AA75" s="1340"/>
      <c r="AB75" s="1340"/>
      <c r="AC75" s="1340"/>
      <c r="AD75" s="1340"/>
      <c r="AE75" s="1340"/>
      <c r="AF75" s="1340"/>
      <c r="AG75" s="1341"/>
      <c r="AH75" s="1341"/>
      <c r="AI75" s="1341"/>
      <c r="AJ75" s="883"/>
    </row>
    <row r="76" spans="2:36" ht="30" customHeight="1" x14ac:dyDescent="0.25">
      <c r="B76" s="1349"/>
      <c r="C76" s="1343"/>
      <c r="D76" s="1338"/>
      <c r="E76" s="888" t="s">
        <v>5086</v>
      </c>
      <c r="F76" s="1339" t="str">
        <f>'print 10 lane'!I75</f>
        <v>dns</v>
      </c>
      <c r="G76" s="1339"/>
      <c r="H76" s="1339"/>
      <c r="I76" s="1339">
        <f>'print 10 lane'!L75</f>
        <v>0</v>
      </c>
      <c r="J76" s="1339"/>
      <c r="K76" s="1339"/>
      <c r="L76" s="1339">
        <f>'print 10 lane'!O75</f>
        <v>0</v>
      </c>
      <c r="M76" s="1339"/>
      <c r="N76" s="1339"/>
      <c r="O76" s="1339">
        <f>'print 10 lane'!R75</f>
        <v>0</v>
      </c>
      <c r="P76" s="1339"/>
      <c r="Q76" s="1339"/>
      <c r="R76" s="1339">
        <f>'print 10 lane'!U75</f>
        <v>0</v>
      </c>
      <c r="S76" s="1339"/>
      <c r="T76" s="1339"/>
      <c r="U76" s="1339">
        <f>'print 10 lane'!X75</f>
        <v>0</v>
      </c>
      <c r="V76" s="1339"/>
      <c r="W76" s="1339"/>
      <c r="X76" s="1345"/>
      <c r="Y76" s="1345"/>
      <c r="Z76" s="1345"/>
      <c r="AA76" s="1345"/>
      <c r="AB76" s="1345"/>
      <c r="AC76" s="1345"/>
      <c r="AD76" s="1345"/>
      <c r="AE76" s="1345"/>
      <c r="AF76" s="1345"/>
      <c r="AG76" s="1345"/>
      <c r="AH76" s="1345"/>
      <c r="AI76" s="1345"/>
      <c r="AJ76" s="883"/>
    </row>
    <row r="77" spans="2:36" ht="30" customHeight="1" x14ac:dyDescent="0.25">
      <c r="B77" s="1349">
        <v>25</v>
      </c>
      <c r="C77" s="1333" t="s">
        <v>5083</v>
      </c>
      <c r="D77" s="1338" t="s">
        <v>5093</v>
      </c>
      <c r="E77" s="1350" t="s">
        <v>5099</v>
      </c>
      <c r="F77" s="878">
        <f>'print 10 lane'!I76</f>
        <v>9.5601851851851848E-4</v>
      </c>
      <c r="G77" s="879">
        <f>IF(F77=0,0,IF(G$6=0,0,IF(F77&lt;1,SUM((F77&gt;I77),(F77&gt;L77),(F77&gt;O77),(F77&gt;R77),(F77&gt;U77),(F77&gt;X77),(F77&gt;AA77),(F77&gt;AD77),(F77&gt;AG77),(F77&gt;BB77)))-$AJ77))</f>
        <v>6</v>
      </c>
      <c r="H77" s="879">
        <f>IF(F77=0,0,IF(G$6=0,0,IF(G77=0,0,((11-G77)))-$B$5))</f>
        <v>1</v>
      </c>
      <c r="I77" s="878">
        <f>'print 10 lane'!L76</f>
        <v>8.688657407407408E-4</v>
      </c>
      <c r="J77" s="879">
        <f>IF(I77=0,0,IF(I$7=0,0,IF(I77&lt;1,SUM((I77&gt;L77),(I77&gt;O77),(I77&gt;R77),(I77&gt;U77),(I77&gt;X77),(I77&gt;AA77),(I77&gt;F77),(I77&gt;AD77),(I77&gt;AG77),(I77&gt;BB77)))-$AJ77))</f>
        <v>3</v>
      </c>
      <c r="K77" s="879">
        <f>IF(I77=0,0,IF(I$7=0,0,IF(J77=0,0,((11-J77)))-$B$5))</f>
        <v>4</v>
      </c>
      <c r="L77" s="878">
        <f>'print 10 lane'!O76</f>
        <v>8.9016203703703707E-4</v>
      </c>
      <c r="M77" s="879">
        <f>IF(L77=0,0,IF(L$7=0,0,IF(L77&lt;1,SUM((L77&gt;I77),(L77&gt;F77),(L77&gt;O77),(L77&gt;R77),(L77&gt;U77),(L77&gt;X77),(L77&gt;AA77),(L77&gt;AD77),(L77&gt;AG77),(L77&gt;BB77)))-$AJ77))</f>
        <v>4</v>
      </c>
      <c r="N77" s="879">
        <f>IF(L77=0,0,IF(L$7=0,0,IF(M77=0,0,((11-M77)))-$B$5))</f>
        <v>3</v>
      </c>
      <c r="O77" s="878">
        <f>'print 10 lane'!R76</f>
        <v>7.8784722222222233E-4</v>
      </c>
      <c r="P77" s="879">
        <f>IF(O77=0,0,IF(O$7=0,0,IF(O77&lt;1,SUM((O77&gt;I77),(O77&gt;L77),(O77&gt;F77),(O77&gt;R77),(O77&gt;U77),(O77&gt;X77),(O77&gt;AA77),(O77&gt;AD77),(O77&gt;AG77),(O77&gt;BB77)))-$AJ77))</f>
        <v>1</v>
      </c>
      <c r="Q77" s="879">
        <f>IF(O77=0,0,IF(O$7=0,0,IF(P77=0,0,((11-P77)))-$B$5))</f>
        <v>6</v>
      </c>
      <c r="R77" s="878">
        <f>'print 10 lane'!U76</f>
        <v>8.3194444444444451E-4</v>
      </c>
      <c r="S77" s="879">
        <f>IF(R77=0,0,IF(R$7=0,0,IF(R77&lt;1,SUM((R77&gt;I77),(R77&gt;L77),(R77&gt;O77),(R77&gt;F77),(R77&gt;U77),(R77&gt;X77),(R77&gt;AA77),(R77&gt;AD77),(R77&gt;AG77),(R77&gt;BB77)))-$AJ77))</f>
        <v>2</v>
      </c>
      <c r="T77" s="879">
        <f>IF(R77=0,0,IF(R$7=0,0,IF(S77=0,0,((11-S77)))-$B$5))</f>
        <v>5</v>
      </c>
      <c r="U77" s="878">
        <f>'print 10 lane'!X76</f>
        <v>9.0694444444444449E-4</v>
      </c>
      <c r="V77" s="879">
        <f>IF(U77=0,0,IF(U$7=0,0,IF(U77&lt;1,SUM((U77&gt;I77),(U77&gt;L77),(U77&gt;O77),(U77&gt;R77),(U77&gt;F77),(U77&gt;X77),(U77&gt;AA77),(U77&gt;AD77),(U77&gt;AG77),(U77&gt;BB77)))-$AJ77))</f>
        <v>5</v>
      </c>
      <c r="W77" s="879">
        <f>IF(U77=0,0,IF(U$7=0,0,IF(V77=0,0,((11-V77)))-$B$5))</f>
        <v>2</v>
      </c>
      <c r="X77" s="880"/>
      <c r="Y77" s="881"/>
      <c r="Z77" s="881"/>
      <c r="AA77" s="880"/>
      <c r="AB77" s="881"/>
      <c r="AC77" s="881"/>
      <c r="AD77" s="880"/>
      <c r="AE77" s="881"/>
      <c r="AF77" s="881"/>
      <c r="AG77" s="880"/>
      <c r="AH77" s="881"/>
      <c r="AI77" s="882"/>
      <c r="AJ77" s="883">
        <f>COUNTBLANK(F615:O615)</f>
        <v>4</v>
      </c>
    </row>
    <row r="78" spans="2:36" ht="30" customHeight="1" x14ac:dyDescent="0.25">
      <c r="B78" s="1349"/>
      <c r="C78" s="1333"/>
      <c r="D78" s="1338"/>
      <c r="E78" s="1350"/>
      <c r="F78" s="1351" t="str">
        <f>'print 10 lane'!I77</f>
        <v>Isabel Spyrou</v>
      </c>
      <c r="G78" s="1351"/>
      <c r="H78" s="1351"/>
      <c r="I78" s="1351" t="str">
        <f>'print 10 lane'!L77</f>
        <v>Sophie Lyon</v>
      </c>
      <c r="J78" s="1351"/>
      <c r="K78" s="1351"/>
      <c r="L78" s="1351" t="str">
        <f>'print 10 lane'!O77</f>
        <v>Grace Sofokleous-Ames</v>
      </c>
      <c r="M78" s="1351"/>
      <c r="N78" s="1351"/>
      <c r="O78" s="1351" t="str">
        <f>'print 10 lane'!R77</f>
        <v>Megan Johnson</v>
      </c>
      <c r="P78" s="1351"/>
      <c r="Q78" s="1351"/>
      <c r="R78" s="1351" t="str">
        <f>'print 10 lane'!U77</f>
        <v>Isabelle Talbot</v>
      </c>
      <c r="S78" s="1351"/>
      <c r="T78" s="1351"/>
      <c r="U78" s="1351" t="str">
        <f>'print 10 lane'!X77</f>
        <v>Hannah Barrios</v>
      </c>
      <c r="V78" s="1351"/>
      <c r="W78" s="1351"/>
      <c r="X78" s="1340"/>
      <c r="Y78" s="1340"/>
      <c r="Z78" s="1340"/>
      <c r="AA78" s="1340"/>
      <c r="AB78" s="1340"/>
      <c r="AC78" s="1340"/>
      <c r="AD78" s="1340"/>
      <c r="AE78" s="1340"/>
      <c r="AF78" s="1340"/>
      <c r="AG78" s="1341"/>
      <c r="AH78" s="1341"/>
      <c r="AI78" s="1341"/>
      <c r="AJ78" s="883"/>
    </row>
    <row r="79" spans="2:36" ht="30" customHeight="1" x14ac:dyDescent="0.25">
      <c r="B79" s="1349"/>
      <c r="C79" s="1333"/>
      <c r="D79" s="1338"/>
      <c r="E79" s="888" t="s">
        <v>5086</v>
      </c>
      <c r="F79" s="1339">
        <f>'print 10 lane'!I78</f>
        <v>0</v>
      </c>
      <c r="G79" s="1339"/>
      <c r="H79" s="1339"/>
      <c r="I79" s="1339">
        <f>'print 10 lane'!L78</f>
        <v>0</v>
      </c>
      <c r="J79" s="1339"/>
      <c r="K79" s="1339"/>
      <c r="L79" s="1339">
        <f>'print 10 lane'!O78</f>
        <v>0</v>
      </c>
      <c r="M79" s="1339"/>
      <c r="N79" s="1339"/>
      <c r="O79" s="1339">
        <f>'print 10 lane'!R78</f>
        <v>0</v>
      </c>
      <c r="P79" s="1339"/>
      <c r="Q79" s="1339"/>
      <c r="R79" s="1339">
        <f>'print 10 lane'!U78</f>
        <v>0</v>
      </c>
      <c r="S79" s="1339"/>
      <c r="T79" s="1339"/>
      <c r="U79" s="1339">
        <f>'print 10 lane'!X78</f>
        <v>0</v>
      </c>
      <c r="V79" s="1339"/>
      <c r="W79" s="1339"/>
      <c r="X79" s="1345"/>
      <c r="Y79" s="1345"/>
      <c r="Z79" s="1345"/>
      <c r="AA79" s="1345"/>
      <c r="AB79" s="1345"/>
      <c r="AC79" s="1345"/>
      <c r="AD79" s="1345"/>
      <c r="AE79" s="1345"/>
      <c r="AF79" s="1345"/>
      <c r="AG79" s="1345"/>
      <c r="AH79" s="1345"/>
      <c r="AI79" s="1345"/>
      <c r="AJ79" s="883"/>
    </row>
    <row r="80" spans="2:36" ht="30" customHeight="1" x14ac:dyDescent="0.25">
      <c r="B80" s="1349">
        <v>26</v>
      </c>
      <c r="C80" s="1343" t="s">
        <v>5087</v>
      </c>
      <c r="D80" s="1338" t="s">
        <v>5093</v>
      </c>
      <c r="E80" s="1350" t="s">
        <v>5099</v>
      </c>
      <c r="F80" s="878">
        <f>'print 10 lane'!I79</f>
        <v>8.2303240740740741E-4</v>
      </c>
      <c r="G80" s="879">
        <f>IF(F80=0,0,IF(G$6=0,0,IF(F80&lt;1,SUM((F80&gt;I80),(F80&gt;L80),(F80&gt;O80),(F80&gt;R80),(F80&gt;U80),(F80&gt;X80),(F80&gt;AA80),(F80&gt;AD80),(F80&gt;AG80),(F80&gt;BB80)))-$AJ80))</f>
        <v>5</v>
      </c>
      <c r="H80" s="879">
        <f>IF(F80=0,0,IF(G$6=0,0,IF(G80=0,0,((11-G80)))-$B$5))</f>
        <v>2</v>
      </c>
      <c r="I80" s="878">
        <f>'print 10 lane'!L79</f>
        <v>7.9606481481481466E-4</v>
      </c>
      <c r="J80" s="879">
        <f>IF(I80=0,0,IF(I$7=0,0,IF(I80&lt;1,SUM((I80&gt;L80),(I80&gt;O80),(I80&gt;R80),(I80&gt;U80),(I80&gt;X80),(I80&gt;AA80),(I80&gt;F80),(I80&gt;AD80),(I80&gt;AG80),(I80&gt;BB80)))-$AJ80))</f>
        <v>4</v>
      </c>
      <c r="K80" s="879">
        <f>IF(I80=0,0,IF(I$7=0,0,IF(J80=0,0,((11-J80)))-$B$5))</f>
        <v>3</v>
      </c>
      <c r="L80" s="878">
        <f>'print 10 lane'!O79</f>
        <v>0</v>
      </c>
      <c r="M80" s="879">
        <f>IF(L80=0,0,IF(L$7=0,0,IF(L80&lt;1,SUM((L80&gt;I80),(L80&gt;F80),(L80&gt;O80),(L80&gt;R80),(L80&gt;U80),(L80&gt;X80),(L80&gt;AA80),(L80&gt;AD80),(L80&gt;AG80),(L80&gt;BB80)))-$AJ80))</f>
        <v>0</v>
      </c>
      <c r="N80" s="879">
        <f>IF(L80=0,0,IF(L$7=0,0,IF(M80=0,0,((11-M80)))-$B$5))</f>
        <v>0</v>
      </c>
      <c r="O80" s="878">
        <f>'print 10 lane'!R79</f>
        <v>7.1481481481481483E-4</v>
      </c>
      <c r="P80" s="879">
        <f>IF(O80=0,0,IF(O$7=0,0,IF(O80&lt;1,SUM((O80&gt;I80),(O80&gt;L80),(O80&gt;F80),(O80&gt;R80),(O80&gt;U80),(O80&gt;X80),(O80&gt;AA80),(O80&gt;AD80),(O80&gt;AG80),(O80&gt;BB80)))-$AJ80))</f>
        <v>1</v>
      </c>
      <c r="Q80" s="879">
        <f>IF(O80=0,0,IF(O$7=0,0,IF(P80=0,0,((11-P80)))-$B$5))</f>
        <v>6</v>
      </c>
      <c r="R80" s="878">
        <f>'print 10 lane'!U79</f>
        <v>7.6111111111111117E-4</v>
      </c>
      <c r="S80" s="879">
        <f>IF(R80=0,0,IF(R$7=0,0,IF(R80&lt;1,SUM((R80&gt;I80),(R80&gt;L80),(R80&gt;O80),(R80&gt;F80),(R80&gt;U80),(R80&gt;X80),(R80&gt;AA80),(R80&gt;AD80),(R80&gt;AG80),(R80&gt;BB80)))-$AJ80))</f>
        <v>2</v>
      </c>
      <c r="T80" s="879">
        <f>IF(R80=0,0,IF(R$7=0,0,IF(S80=0,0,((11-S80)))-$B$5))</f>
        <v>5</v>
      </c>
      <c r="U80" s="878">
        <f>'print 10 lane'!X79</f>
        <v>7.7326388888888887E-4</v>
      </c>
      <c r="V80" s="879">
        <f>IF(U80=0,0,IF(U$7=0,0,IF(U80&lt;1,SUM((U80&gt;I80),(U80&gt;L80),(U80&gt;O80),(U80&gt;R80),(U80&gt;F80),(U80&gt;X80),(U80&gt;AA80),(U80&gt;AD80),(U80&gt;AG80),(U80&gt;BB80)))-$AJ80))</f>
        <v>3</v>
      </c>
      <c r="W80" s="879">
        <f>IF(U80=0,0,IF(U$7=0,0,IF(V80=0,0,((11-V80)))-$B$5))</f>
        <v>4</v>
      </c>
      <c r="X80" s="880"/>
      <c r="Y80" s="881"/>
      <c r="Z80" s="881"/>
      <c r="AA80" s="880"/>
      <c r="AB80" s="881"/>
      <c r="AC80" s="881"/>
      <c r="AD80" s="880"/>
      <c r="AE80" s="881"/>
      <c r="AF80" s="881"/>
      <c r="AG80" s="880"/>
      <c r="AH80" s="881"/>
      <c r="AI80" s="882"/>
      <c r="AJ80" s="883">
        <f>COUNTBLANK(F616:O616)</f>
        <v>5</v>
      </c>
    </row>
    <row r="81" spans="2:36" ht="30" customHeight="1" x14ac:dyDescent="0.25">
      <c r="B81" s="1349"/>
      <c r="C81" s="1343"/>
      <c r="D81" s="1338"/>
      <c r="E81" s="1350"/>
      <c r="F81" s="1351" t="str">
        <f>'print 10 lane'!I80</f>
        <v>James Smeaton</v>
      </c>
      <c r="G81" s="1351"/>
      <c r="H81" s="1351"/>
      <c r="I81" s="1351" t="str">
        <f>'print 10 lane'!L80</f>
        <v>Matthew Costello</v>
      </c>
      <c r="J81" s="1351"/>
      <c r="K81" s="1351"/>
      <c r="L81" s="1351" t="str">
        <f>'print 10 lane'!O80</f>
        <v>Charlie Cropley</v>
      </c>
      <c r="M81" s="1351"/>
      <c r="N81" s="1351"/>
      <c r="O81" s="1351" t="str">
        <f>'print 10 lane'!R80</f>
        <v>Matthew Masters</v>
      </c>
      <c r="P81" s="1351"/>
      <c r="Q81" s="1351"/>
      <c r="R81" s="1351" t="str">
        <f>'print 10 lane'!U80</f>
        <v>Jamie Hartnup</v>
      </c>
      <c r="S81" s="1351"/>
      <c r="T81" s="1351"/>
      <c r="U81" s="1351" t="str">
        <f>'print 10 lane'!X80</f>
        <v>Owen Roberts</v>
      </c>
      <c r="V81" s="1351"/>
      <c r="W81" s="1351"/>
      <c r="X81" s="1340"/>
      <c r="Y81" s="1340"/>
      <c r="Z81" s="1340"/>
      <c r="AA81" s="1340"/>
      <c r="AB81" s="1340"/>
      <c r="AC81" s="1340"/>
      <c r="AD81" s="1340"/>
      <c r="AE81" s="1340"/>
      <c r="AF81" s="1340"/>
      <c r="AG81" s="1341"/>
      <c r="AH81" s="1341"/>
      <c r="AI81" s="1341"/>
      <c r="AJ81" s="883"/>
    </row>
    <row r="82" spans="2:36" ht="30" customHeight="1" x14ac:dyDescent="0.25">
      <c r="B82" s="1349"/>
      <c r="C82" s="1343"/>
      <c r="D82" s="1338"/>
      <c r="E82" s="888" t="s">
        <v>5086</v>
      </c>
      <c r="F82" s="1339">
        <f>'print 10 lane'!I81</f>
        <v>0</v>
      </c>
      <c r="G82" s="1339"/>
      <c r="H82" s="1339"/>
      <c r="I82" s="1339">
        <f>'print 10 lane'!L81</f>
        <v>0</v>
      </c>
      <c r="J82" s="1339"/>
      <c r="K82" s="1339"/>
      <c r="L82" s="1339" t="str">
        <f>'print 10 lane'!O81</f>
        <v>6.4 did not immediately initiate turn</v>
      </c>
      <c r="M82" s="1339"/>
      <c r="N82" s="1339"/>
      <c r="O82" s="1339">
        <f>'print 10 lane'!R81</f>
        <v>0</v>
      </c>
      <c r="P82" s="1339"/>
      <c r="Q82" s="1339"/>
      <c r="R82" s="1339">
        <f>'print 10 lane'!U81</f>
        <v>0</v>
      </c>
      <c r="S82" s="1339"/>
      <c r="T82" s="1339"/>
      <c r="U82" s="1339">
        <f>'print 10 lane'!X81</f>
        <v>0</v>
      </c>
      <c r="V82" s="1339"/>
      <c r="W82" s="1339"/>
      <c r="X82" s="1345"/>
      <c r="Y82" s="1345"/>
      <c r="Z82" s="1345"/>
      <c r="AA82" s="1345"/>
      <c r="AB82" s="1345"/>
      <c r="AC82" s="1345"/>
      <c r="AD82" s="1345"/>
      <c r="AE82" s="1345"/>
      <c r="AF82" s="1345"/>
      <c r="AG82" s="1345"/>
      <c r="AH82" s="1345"/>
      <c r="AI82" s="1345"/>
      <c r="AJ82" s="883"/>
    </row>
    <row r="83" spans="2:36" ht="30" customHeight="1" x14ac:dyDescent="0.25">
      <c r="B83" s="1349">
        <v>27</v>
      </c>
      <c r="C83" s="1333" t="s">
        <v>5083</v>
      </c>
      <c r="D83" s="1348" t="s">
        <v>5094</v>
      </c>
      <c r="E83" s="1350" t="s">
        <v>5102</v>
      </c>
      <c r="F83" s="878">
        <f>'print 10 lane'!I82</f>
        <v>5.8287037037037042E-4</v>
      </c>
      <c r="G83" s="879">
        <f>IF(F83=0,0,IF(G$6=0,0,IF(F83&lt;1,SUM((F83&gt;I83),(F83&gt;L83),(F83&gt;O83),(F83&gt;R83),(F83&gt;U83),(F83&gt;X83),(F83&gt;AA83),(F83&gt;AD83),(F83&gt;AG83),(F83&gt;BB83)))-$AJ83))</f>
        <v>4</v>
      </c>
      <c r="H83" s="879">
        <f>IF(F83=0,0,IF(G$6=0,0,IF(G83=0,0,((11-G83)))-$B$5))</f>
        <v>3</v>
      </c>
      <c r="I83" s="878">
        <f>'print 10 lane'!L82</f>
        <v>6.0682870370370372E-4</v>
      </c>
      <c r="J83" s="879">
        <f>IF(I83=0,0,IF(I$7=0,0,IF(I83&lt;1,SUM((I83&gt;L83),(I83&gt;O83),(I83&gt;R83),(I83&gt;U83),(I83&gt;X83),(I83&gt;AA83),(I83&gt;F83),(I83&gt;AD83),(I83&gt;AG83),(I83&gt;BB83)))-$AJ83))</f>
        <v>5</v>
      </c>
      <c r="K83" s="879">
        <f>IF(I83=0,0,IF(I$7=0,0,IF(J83=0,0,((11-J83)))-$B$5))</f>
        <v>2</v>
      </c>
      <c r="L83" s="878">
        <f>'print 10 lane'!O82</f>
        <v>0</v>
      </c>
      <c r="M83" s="879">
        <f>IF(L83=0,0,IF(L$7=0,0,IF(L83&lt;1,SUM((L83&gt;I83),(L83&gt;F83),(L83&gt;O83),(L83&gt;R83),(L83&gt;U83),(L83&gt;X83),(L83&gt;AA83),(L83&gt;AD83),(L83&gt;AG83),(L83&gt;BB83)))-$AJ83))</f>
        <v>0</v>
      </c>
      <c r="N83" s="879">
        <f>IF(L83=0,0,IF(L$7=0,0,IF(M83=0,0,((11-M83)))-$B$5))</f>
        <v>0</v>
      </c>
      <c r="O83" s="878">
        <f>'print 10 lane'!R82</f>
        <v>5.7696759259259257E-4</v>
      </c>
      <c r="P83" s="879">
        <f>IF(O83=0,0,IF(O$7=0,0,IF(O83&lt;1,SUM((O83&gt;I83),(O83&gt;L83),(O83&gt;F83),(O83&gt;R83),(O83&gt;U83),(O83&gt;X83),(O83&gt;AA83),(O83&gt;AD83),(O83&gt;AG83),(O83&gt;BB83)))-$AJ83))</f>
        <v>1</v>
      </c>
      <c r="Q83" s="879">
        <f>IF(O83=0,0,IF(O$7=0,0,IF(P83=0,0,((11-P83)))-$B$5))</f>
        <v>6</v>
      </c>
      <c r="R83" s="878">
        <f>'print 10 lane'!U82</f>
        <v>5.8101851851851858E-4</v>
      </c>
      <c r="S83" s="879">
        <f>IF(R83=0,0,IF(R$7=0,0,IF(R83&lt;1,SUM((R83&gt;I83),(R83&gt;L83),(R83&gt;O83),(R83&gt;F83),(R83&gt;U83),(R83&gt;X83),(R83&gt;AA83),(R83&gt;AD83),(R83&gt;AG83),(R83&gt;BB83)))-$AJ83))</f>
        <v>3</v>
      </c>
      <c r="T83" s="879">
        <f>IF(R83=0,0,IF(R$7=0,0,IF(S83=0,0,((11-S83)))-$B$5))</f>
        <v>4</v>
      </c>
      <c r="U83" s="878">
        <f>'print 10 lane'!X82</f>
        <v>5.8090277777777773E-4</v>
      </c>
      <c r="V83" s="879">
        <f>IF(U83=0,0,IF(U$7=0,0,IF(U83&lt;1,SUM((U83&gt;I83),(U83&gt;L83),(U83&gt;O83),(U83&gt;R83),(U83&gt;F83),(U83&gt;X83),(U83&gt;AA83),(U83&gt;AD83),(U83&gt;AG83),(U83&gt;BB83)))-$AJ83))</f>
        <v>2</v>
      </c>
      <c r="W83" s="879">
        <f>IF(U83=0,0,IF(U$7=0,0,IF(V83=0,0,((11-V83)))-$B$5))</f>
        <v>5</v>
      </c>
      <c r="X83" s="880"/>
      <c r="Y83" s="881"/>
      <c r="Z83" s="881"/>
      <c r="AA83" s="880"/>
      <c r="AB83" s="881"/>
      <c r="AC83" s="881"/>
      <c r="AD83" s="880"/>
      <c r="AE83" s="881"/>
      <c r="AF83" s="881"/>
      <c r="AG83" s="880"/>
      <c r="AH83" s="881"/>
      <c r="AI83" s="882"/>
      <c r="AJ83" s="883">
        <f>COUNTBLANK(F617:O617)</f>
        <v>5</v>
      </c>
    </row>
    <row r="84" spans="2:36" ht="30" customHeight="1" x14ac:dyDescent="0.25">
      <c r="B84" s="1349"/>
      <c r="C84" s="1333"/>
      <c r="D84" s="1348"/>
      <c r="E84" s="1350"/>
      <c r="F84" s="1351" t="str">
        <f>'print 10 lane'!I83</f>
        <v>Ines Puente</v>
      </c>
      <c r="G84" s="1351"/>
      <c r="H84" s="1351"/>
      <c r="I84" s="1351" t="str">
        <f>'print 10 lane'!L83</f>
        <v>Seren Cooper</v>
      </c>
      <c r="J84" s="1351"/>
      <c r="K84" s="1351"/>
      <c r="L84" s="1351" t="str">
        <f>'print 10 lane'!O83</f>
        <v>Hannah Jounor</v>
      </c>
      <c r="M84" s="1351"/>
      <c r="N84" s="1351"/>
      <c r="O84" s="1351" t="str">
        <f>'print 10 lane'!R83</f>
        <v>Mia Zubcevic</v>
      </c>
      <c r="P84" s="1351"/>
      <c r="Q84" s="1351"/>
      <c r="R84" s="1351" t="str">
        <f>'print 10 lane'!U83</f>
        <v>Caoife Long</v>
      </c>
      <c r="S84" s="1351"/>
      <c r="T84" s="1351"/>
      <c r="U84" s="1351" t="str">
        <f>'print 10 lane'!X83</f>
        <v>Miraya  Patel</v>
      </c>
      <c r="V84" s="1351"/>
      <c r="W84" s="1351"/>
      <c r="X84" s="1340"/>
      <c r="Y84" s="1340"/>
      <c r="Z84" s="1340"/>
      <c r="AA84" s="1340"/>
      <c r="AB84" s="1340"/>
      <c r="AC84" s="1340"/>
      <c r="AD84" s="1340"/>
      <c r="AE84" s="1340"/>
      <c r="AF84" s="1340"/>
      <c r="AG84" s="1341"/>
      <c r="AH84" s="1341"/>
      <c r="AI84" s="1341"/>
      <c r="AJ84" s="883"/>
    </row>
    <row r="85" spans="2:36" ht="30" customHeight="1" x14ac:dyDescent="0.25">
      <c r="B85" s="1349"/>
      <c r="C85" s="1333"/>
      <c r="D85" s="1348"/>
      <c r="E85" s="888" t="s">
        <v>5086</v>
      </c>
      <c r="F85" s="1339">
        <f>'print 10 lane'!I84</f>
        <v>0</v>
      </c>
      <c r="G85" s="1339"/>
      <c r="H85" s="1339"/>
      <c r="I85" s="1339">
        <f>'print 10 lane'!L84</f>
        <v>0</v>
      </c>
      <c r="J85" s="1339"/>
      <c r="K85" s="1339"/>
      <c r="L85" s="1339">
        <f>'print 10 lane'!O84</f>
        <v>0</v>
      </c>
      <c r="M85" s="1339"/>
      <c r="N85" s="1339"/>
      <c r="O85" s="1339">
        <f>'print 10 lane'!R84</f>
        <v>0</v>
      </c>
      <c r="P85" s="1339"/>
      <c r="Q85" s="1339"/>
      <c r="R85" s="1339">
        <f>'print 10 lane'!U84</f>
        <v>0</v>
      </c>
      <c r="S85" s="1339"/>
      <c r="T85" s="1339"/>
      <c r="U85" s="1339">
        <f>'print 10 lane'!X84</f>
        <v>0</v>
      </c>
      <c r="V85" s="1339"/>
      <c r="W85" s="1339"/>
      <c r="X85" s="1345"/>
      <c r="Y85" s="1345"/>
      <c r="Z85" s="1345"/>
      <c r="AA85" s="1345"/>
      <c r="AB85" s="1345"/>
      <c r="AC85" s="1345"/>
      <c r="AD85" s="1345"/>
      <c r="AE85" s="1345"/>
      <c r="AF85" s="1345"/>
      <c r="AG85" s="1346"/>
      <c r="AH85" s="1346"/>
      <c r="AI85" s="1346"/>
      <c r="AJ85" s="883"/>
    </row>
    <row r="86" spans="2:36" ht="30" customHeight="1" x14ac:dyDescent="0.25">
      <c r="B86" s="1349">
        <v>28</v>
      </c>
      <c r="C86" s="1343" t="s">
        <v>5087</v>
      </c>
      <c r="D86" s="1348" t="s">
        <v>5094</v>
      </c>
      <c r="E86" s="1350" t="s">
        <v>5102</v>
      </c>
      <c r="F86" s="878">
        <f>'print 10 lane'!I85</f>
        <v>0</v>
      </c>
      <c r="G86" s="879">
        <f>IF(F86=0,0,IF(G$6=0,0,IF(F86&lt;1,SUM((F86&gt;I86),(F86&gt;L86),(F86&gt;O86),(F86&gt;R86),(F86&gt;U86),(F86&gt;X86),(F86&gt;AA86),(F86&gt;AD86),(F86&gt;AG86),(F86&gt;BB86)))-$AJ86))</f>
        <v>0</v>
      </c>
      <c r="H86" s="879">
        <f>IF(F86=0,0,IF(G$6=0,0,IF(G86=0,0,((11-G86)))-$B$5))</f>
        <v>0</v>
      </c>
      <c r="I86" s="878">
        <f>'print 10 lane'!L85</f>
        <v>4.9606481481481485E-4</v>
      </c>
      <c r="J86" s="879">
        <f>IF(I86=0,0,IF(I$7=0,0,IF(I86&lt;1,SUM((I86&gt;L86),(I86&gt;O86),(I86&gt;R86),(I86&gt;U86),(I86&gt;X86),(I86&gt;AA86),(I86&gt;F86),(I86&gt;AD86),(I86&gt;AG86),(I86&gt;BB86)))-$AJ86))</f>
        <v>1</v>
      </c>
      <c r="K86" s="879">
        <f>IF(I86=0,0,IF(I$7=0,0,IF(J86=0,0,((11-J86)))-$B$5))</f>
        <v>6</v>
      </c>
      <c r="L86" s="878">
        <f>'print 10 lane'!O85</f>
        <v>6.1481481481481478E-4</v>
      </c>
      <c r="M86" s="879">
        <f>IF(L86=0,0,IF(L$7=0,0,IF(L86&lt;1,SUM((L86&gt;I86),(L86&gt;F86),(L86&gt;O86),(L86&gt;R86),(L86&gt;U86),(L86&gt;X86),(L86&gt;AA86),(L86&gt;AD86),(L86&gt;AG86),(L86&gt;BB86)))-$AJ86))</f>
        <v>5</v>
      </c>
      <c r="N86" s="879">
        <f>IF(L86=0,0,IF(L$7=0,0,IF(M86=0,0,((11-M86)))-$B$5))</f>
        <v>2</v>
      </c>
      <c r="O86" s="878">
        <f>'print 10 lane'!R85</f>
        <v>5.7210648148148149E-4</v>
      </c>
      <c r="P86" s="879">
        <f>IF(O86=0,0,IF(O$7=0,0,IF(O86&lt;1,SUM((O86&gt;I86),(O86&gt;L86),(O86&gt;F86),(O86&gt;R86),(O86&gt;U86),(O86&gt;X86),(O86&gt;AA86),(O86&gt;AD86),(O86&gt;AG86),(O86&gt;BB86)))-$AJ86))</f>
        <v>4</v>
      </c>
      <c r="Q86" s="879">
        <f>IF(O86=0,0,IF(O$7=0,0,IF(P86=0,0,((11-P86)))-$B$5))</f>
        <v>3</v>
      </c>
      <c r="R86" s="878">
        <f>'print 10 lane'!U85</f>
        <v>5.1655092592592594E-4</v>
      </c>
      <c r="S86" s="879">
        <f>IF(R86=0,0,IF(R$7=0,0,IF(R86&lt;1,SUM((R86&gt;I86),(R86&gt;L86),(R86&gt;O86),(R86&gt;F86),(R86&gt;U86),(R86&gt;X86),(R86&gt;AA86),(R86&gt;AD86),(R86&gt;AG86),(R86&gt;BB86)))-$AJ86))</f>
        <v>2</v>
      </c>
      <c r="T86" s="879">
        <f>IF(R86=0,0,IF(R$7=0,0,IF(S86=0,0,((11-S86)))-$B$5))</f>
        <v>5</v>
      </c>
      <c r="U86" s="878">
        <f>'print 10 lane'!X85</f>
        <v>5.7083333333333324E-4</v>
      </c>
      <c r="V86" s="879">
        <f>IF(U86=0,0,IF(U$7=0,0,IF(U86&lt;1,SUM((U86&gt;I86),(U86&gt;L86),(U86&gt;O86),(U86&gt;R86),(U86&gt;F86),(U86&gt;X86),(U86&gt;AA86),(U86&gt;AD86),(U86&gt;AG86),(U86&gt;BB86)))-$AJ86))</f>
        <v>3</v>
      </c>
      <c r="W86" s="879">
        <f>IF(U86=0,0,IF(U$7=0,0,IF(V86=0,0,((11-V86)))-$B$5))</f>
        <v>4</v>
      </c>
      <c r="X86" s="880"/>
      <c r="Y86" s="881"/>
      <c r="Z86" s="881"/>
      <c r="AA86" s="880"/>
      <c r="AB86" s="881"/>
      <c r="AC86" s="881"/>
      <c r="AD86" s="880"/>
      <c r="AE86" s="881"/>
      <c r="AF86" s="881"/>
      <c r="AG86" s="880"/>
      <c r="AH86" s="881"/>
      <c r="AI86" s="882"/>
      <c r="AJ86" s="883">
        <f>COUNTBLANK(F618:O618)</f>
        <v>5</v>
      </c>
    </row>
    <row r="87" spans="2:36" ht="30" customHeight="1" x14ac:dyDescent="0.25">
      <c r="B87" s="1349"/>
      <c r="C87" s="1343"/>
      <c r="D87" s="1348"/>
      <c r="E87" s="1350"/>
      <c r="F87" s="1351" t="str">
        <f>'print 10 lane'!I86</f>
        <v>Leonardo Goad</v>
      </c>
      <c r="G87" s="1351"/>
      <c r="H87" s="1351"/>
      <c r="I87" s="1351" t="str">
        <f>'print 10 lane'!L86</f>
        <v>Kai Jun Wai Cheung</v>
      </c>
      <c r="J87" s="1351"/>
      <c r="K87" s="1351"/>
      <c r="L87" s="1351" t="str">
        <f>'print 10 lane'!O86</f>
        <v>Harry Lythgoe</v>
      </c>
      <c r="M87" s="1351"/>
      <c r="N87" s="1351"/>
      <c r="O87" s="1351" t="str">
        <f>'print 10 lane'!R86</f>
        <v>James Mohammed</v>
      </c>
      <c r="P87" s="1351"/>
      <c r="Q87" s="1351"/>
      <c r="R87" s="1351" t="str">
        <f>'print 10 lane'!U86</f>
        <v>Braden Barnacle</v>
      </c>
      <c r="S87" s="1351"/>
      <c r="T87" s="1351"/>
      <c r="U87" s="1351" t="str">
        <f>'print 10 lane'!X86</f>
        <v>Macsen Roberts</v>
      </c>
      <c r="V87" s="1351"/>
      <c r="W87" s="1351"/>
      <c r="X87" s="1340"/>
      <c r="Y87" s="1340"/>
      <c r="Z87" s="1340"/>
      <c r="AA87" s="1340"/>
      <c r="AB87" s="1340"/>
      <c r="AC87" s="1340"/>
      <c r="AD87" s="1340"/>
      <c r="AE87" s="1340"/>
      <c r="AF87" s="1340"/>
      <c r="AG87" s="1341"/>
      <c r="AH87" s="1341"/>
      <c r="AI87" s="1341"/>
      <c r="AJ87" s="883"/>
    </row>
    <row r="88" spans="2:36" ht="30" customHeight="1" x14ac:dyDescent="0.25">
      <c r="B88" s="1349"/>
      <c r="C88" s="1343"/>
      <c r="D88" s="1348"/>
      <c r="E88" s="899" t="s">
        <v>5086</v>
      </c>
      <c r="F88" s="1339" t="str">
        <f>'print 10 lane'!I87</f>
        <v>7.2 arms not simultaneuous</v>
      </c>
      <c r="G88" s="1339"/>
      <c r="H88" s="1339"/>
      <c r="I88" s="1339">
        <f>'print 10 lane'!L87</f>
        <v>0</v>
      </c>
      <c r="J88" s="1339"/>
      <c r="K88" s="1339"/>
      <c r="L88" s="1339">
        <f>'print 10 lane'!O87</f>
        <v>0</v>
      </c>
      <c r="M88" s="1339"/>
      <c r="N88" s="1339"/>
      <c r="O88" s="1339">
        <f>'print 10 lane'!R87</f>
        <v>0</v>
      </c>
      <c r="P88" s="1339"/>
      <c r="Q88" s="1339"/>
      <c r="R88" s="1339">
        <f>'print 10 lane'!U87</f>
        <v>0</v>
      </c>
      <c r="S88" s="1339"/>
      <c r="T88" s="1339"/>
      <c r="U88" s="1339">
        <f>'print 10 lane'!X87</f>
        <v>0</v>
      </c>
      <c r="V88" s="1339"/>
      <c r="W88" s="1339"/>
      <c r="X88" s="1345"/>
      <c r="Y88" s="1345"/>
      <c r="Z88" s="1345"/>
      <c r="AA88" s="1345"/>
      <c r="AB88" s="1345"/>
      <c r="AC88" s="1345"/>
      <c r="AD88" s="1345"/>
      <c r="AE88" s="1345"/>
      <c r="AF88" s="1345"/>
      <c r="AG88" s="1346"/>
      <c r="AH88" s="1346"/>
      <c r="AI88" s="1346"/>
      <c r="AJ88" s="883"/>
    </row>
    <row r="89" spans="2:36" ht="30" customHeight="1" x14ac:dyDescent="0.25">
      <c r="B89" s="1349">
        <v>29</v>
      </c>
      <c r="C89" s="1333" t="s">
        <v>5083</v>
      </c>
      <c r="D89" s="1338" t="s">
        <v>5090</v>
      </c>
      <c r="E89" s="1350" t="s">
        <v>5100</v>
      </c>
      <c r="F89" s="878">
        <f>'print 10 lane'!I88</f>
        <v>9.662037037037036E-4</v>
      </c>
      <c r="G89" s="879">
        <f>IF(F89=0,0,IF(G$6=0,0,IF(F89&lt;1,SUM((F89&gt;I89),(F89&gt;L89),(F89&gt;O89),(F89&gt;R89),(F89&gt;U89),(F89&gt;X89),(F89&gt;AA89),(F89&gt;AD89),(F89&gt;AG89),(F89&gt;BB89)))-$AJ89))</f>
        <v>4</v>
      </c>
      <c r="H89" s="879">
        <f>IF(F89=0,0,IF(G$6=0,0,IF(G89=0,0,((11-G89)))-$B$5))</f>
        <v>3</v>
      </c>
      <c r="I89" s="878">
        <f>'print 10 lane'!L88</f>
        <v>1.0836805555555556E-3</v>
      </c>
      <c r="J89" s="879">
        <f>IF(I89=0,0,IF(I$7=0,0,IF(I89&lt;1,SUM((I89&gt;L89),(I89&gt;O89),(I89&gt;R89),(I89&gt;U89),(I89&gt;X89),(I89&gt;AA89),(I89&gt;F89),(I89&gt;AD89),(I89&gt;AG89),(I89&gt;BB89)))-$AJ89))</f>
        <v>6</v>
      </c>
      <c r="K89" s="879">
        <f>IF(I89=0,0,IF(I$7=0,0,IF(J89=0,0,((11-J89)))-$B$5))</f>
        <v>1</v>
      </c>
      <c r="L89" s="878">
        <f>'print 10 lane'!O88</f>
        <v>9.8414351851851853E-4</v>
      </c>
      <c r="M89" s="879">
        <f>IF(L89=0,0,IF(L$7=0,0,IF(L89&lt;1,SUM((L89&gt;I89),(L89&gt;F89),(L89&gt;O89),(L89&gt;R89),(L89&gt;U89),(L89&gt;X89),(L89&gt;AA89),(L89&gt;AD89),(L89&gt;AG89),(L89&gt;BB89)))-$AJ89))</f>
        <v>5</v>
      </c>
      <c r="N89" s="879">
        <f>IF(L89=0,0,IF(L$7=0,0,IF(M89=0,0,((11-M89)))-$B$5))</f>
        <v>2</v>
      </c>
      <c r="O89" s="878">
        <f>'print 10 lane'!R88</f>
        <v>9.0659722222222216E-4</v>
      </c>
      <c r="P89" s="879">
        <f>IF(O89=0,0,IF(O$7=0,0,IF(O89&lt;1,SUM((O89&gt;I89),(O89&gt;L89),(O89&gt;F89),(O89&gt;R89),(O89&gt;U89),(O89&gt;X89),(O89&gt;AA89),(O89&gt;AD89),(O89&gt;AG89),(O89&gt;BB89)))-$AJ89))</f>
        <v>1</v>
      </c>
      <c r="Q89" s="879">
        <f>IF(O89=0,0,IF(O$7=0,0,IF(P89=0,0,((11-P89)))-$B$5))</f>
        <v>6</v>
      </c>
      <c r="R89" s="878">
        <f>'print 10 lane'!U88</f>
        <v>9.0937499999999992E-4</v>
      </c>
      <c r="S89" s="879">
        <f>IF(R89=0,0,IF(R$7=0,0,IF(R89&lt;1,SUM((R89&gt;I89),(R89&gt;L89),(R89&gt;O89),(R89&gt;F89),(R89&gt;U89),(R89&gt;X89),(R89&gt;AA89),(R89&gt;AD89),(R89&gt;AG89),(R89&gt;BB89)))-$AJ89))</f>
        <v>2</v>
      </c>
      <c r="T89" s="879">
        <f>IF(R89=0,0,IF(R$7=0,0,IF(S89=0,0,((11-S89)))-$B$5))</f>
        <v>5</v>
      </c>
      <c r="U89" s="878">
        <f>'print 10 lane'!X88</f>
        <v>9.300925925925926E-4</v>
      </c>
      <c r="V89" s="879">
        <f>IF(U89=0,0,IF(U$7=0,0,IF(U89&lt;1,SUM((U89&gt;I89),(U89&gt;L89),(U89&gt;O89),(U89&gt;R89),(U89&gt;F89),(U89&gt;X89),(U89&gt;AA89),(U89&gt;AD89),(U89&gt;AG89),(U89&gt;BB89)))-$AJ89))</f>
        <v>3</v>
      </c>
      <c r="W89" s="879">
        <f>IF(U89=0,0,IF(U$7=0,0,IF(V89=0,0,((11-V89)))-$B$5))</f>
        <v>4</v>
      </c>
      <c r="X89" s="880"/>
      <c r="Y89" s="881"/>
      <c r="Z89" s="881"/>
      <c r="AA89" s="880"/>
      <c r="AB89" s="881"/>
      <c r="AC89" s="881"/>
      <c r="AD89" s="880"/>
      <c r="AE89" s="881"/>
      <c r="AF89" s="881"/>
      <c r="AG89" s="880"/>
      <c r="AH89" s="881"/>
      <c r="AI89" s="882"/>
      <c r="AJ89" s="883">
        <f>COUNTBLANK(F619:O619)</f>
        <v>4</v>
      </c>
    </row>
    <row r="90" spans="2:36" ht="30" customHeight="1" x14ac:dyDescent="0.25">
      <c r="B90" s="1349"/>
      <c r="C90" s="1333"/>
      <c r="D90" s="1338"/>
      <c r="E90" s="1350"/>
      <c r="F90" s="1351" t="str">
        <f>'print 10 lane'!I89</f>
        <v>Edanur Yigit</v>
      </c>
      <c r="G90" s="1351"/>
      <c r="H90" s="1351"/>
      <c r="I90" s="1351" t="str">
        <f>'print 10 lane'!L89</f>
        <v>Jasmin Hunt</v>
      </c>
      <c r="J90" s="1351"/>
      <c r="K90" s="1351"/>
      <c r="L90" s="1351" t="str">
        <f>'print 10 lane'!O89</f>
        <v>Niamh Holland</v>
      </c>
      <c r="M90" s="1351"/>
      <c r="N90" s="1351"/>
      <c r="O90" s="1351" t="str">
        <f>'print 10 lane'!R89</f>
        <v>Isla Mohammed</v>
      </c>
      <c r="P90" s="1351"/>
      <c r="Q90" s="1351"/>
      <c r="R90" s="1351" t="str">
        <f>'print 10 lane'!U89</f>
        <v>Aimee Baker</v>
      </c>
      <c r="S90" s="1351"/>
      <c r="T90" s="1351"/>
      <c r="U90" s="1351" t="str">
        <f>'print 10 lane'!X89</f>
        <v>Emma Sum</v>
      </c>
      <c r="V90" s="1351"/>
      <c r="W90" s="1351"/>
      <c r="X90" s="1340"/>
      <c r="Y90" s="1340"/>
      <c r="Z90" s="1340"/>
      <c r="AA90" s="1340"/>
      <c r="AB90" s="1340"/>
      <c r="AC90" s="1340"/>
      <c r="AD90" s="1340"/>
      <c r="AE90" s="1340"/>
      <c r="AF90" s="1340"/>
      <c r="AG90" s="1341"/>
      <c r="AH90" s="1341"/>
      <c r="AI90" s="1341"/>
      <c r="AJ90" s="883"/>
    </row>
    <row r="91" spans="2:36" ht="30" customHeight="1" x14ac:dyDescent="0.25">
      <c r="B91" s="1349"/>
      <c r="C91" s="1333"/>
      <c r="D91" s="1338"/>
      <c r="E91" s="899" t="s">
        <v>5086</v>
      </c>
      <c r="F91" s="1339">
        <f>'print 10 lane'!I90</f>
        <v>0</v>
      </c>
      <c r="G91" s="1339"/>
      <c r="H91" s="1339"/>
      <c r="I91" s="1339">
        <f>'print 10 lane'!L90</f>
        <v>0</v>
      </c>
      <c r="J91" s="1339"/>
      <c r="K91" s="1339"/>
      <c r="L91" s="1339">
        <f>'print 10 lane'!O90</f>
        <v>0</v>
      </c>
      <c r="M91" s="1339"/>
      <c r="N91" s="1339"/>
      <c r="O91" s="1339">
        <f>'print 10 lane'!R90</f>
        <v>0</v>
      </c>
      <c r="P91" s="1339"/>
      <c r="Q91" s="1339"/>
      <c r="R91" s="1339">
        <f>'print 10 lane'!U90</f>
        <v>0</v>
      </c>
      <c r="S91" s="1339"/>
      <c r="T91" s="1339"/>
      <c r="U91" s="1339">
        <f>'print 10 lane'!X90</f>
        <v>0</v>
      </c>
      <c r="V91" s="1339"/>
      <c r="W91" s="1339"/>
      <c r="X91" s="1345"/>
      <c r="Y91" s="1345"/>
      <c r="Z91" s="1345"/>
      <c r="AA91" s="1345"/>
      <c r="AB91" s="1345"/>
      <c r="AC91" s="1345"/>
      <c r="AD91" s="1345"/>
      <c r="AE91" s="1345"/>
      <c r="AF91" s="1345"/>
      <c r="AG91" s="1346"/>
      <c r="AH91" s="1346"/>
      <c r="AI91" s="1346"/>
      <c r="AJ91" s="883"/>
    </row>
    <row r="92" spans="2:36" ht="30" customHeight="1" x14ac:dyDescent="0.25">
      <c r="B92" s="1349">
        <v>30</v>
      </c>
      <c r="C92" s="1343" t="s">
        <v>5087</v>
      </c>
      <c r="D92" s="1338" t="s">
        <v>5090</v>
      </c>
      <c r="E92" s="1350" t="s">
        <v>5100</v>
      </c>
      <c r="F92" s="878">
        <f>'print 10 lane'!I91</f>
        <v>9.8692129629629629E-4</v>
      </c>
      <c r="G92" s="879">
        <f>IF(F92=0,0,IF(G$6=0,0,IF(F92&lt;1,SUM((F92&gt;I92),(F92&gt;L92),(F92&gt;O92),(F92&gt;R92),(F92&gt;U92),(F92&gt;X92),(F92&gt;AA92),(F92&gt;AD92),(F92&gt;AG92),(F92&gt;BB92)))-$AJ92))</f>
        <v>3</v>
      </c>
      <c r="H92" s="879">
        <f>IF(F92=0,0,IF(G$6=0,0,IF(G92=0,0,((11-G92)))-$B$5))</f>
        <v>4</v>
      </c>
      <c r="I92" s="878">
        <f>'print 10 lane'!L91</f>
        <v>1.004976851851852E-3</v>
      </c>
      <c r="J92" s="879">
        <f>IF(I92=0,0,IF(I$7=0,0,IF(I92&lt;1,SUM((I92&gt;L92),(I92&gt;O92),(I92&gt;R92),(I92&gt;U92),(I92&gt;X92),(I92&gt;AA92),(I92&gt;F92),(I92&gt;AD92),(I92&gt;AG92),(I92&gt;BB92)))-$AJ92))</f>
        <v>4</v>
      </c>
      <c r="K92" s="879">
        <f>IF(I92=0,0,IF(I$7=0,0,IF(J92=0,0,((11-J92)))-$B$5))</f>
        <v>3</v>
      </c>
      <c r="L92" s="878">
        <f>'print 10 lane'!O91</f>
        <v>9.1284722222222212E-4</v>
      </c>
      <c r="M92" s="879">
        <f>IF(L92=0,0,IF(L$7=0,0,IF(L92&lt;1,SUM((L92&gt;I92),(L92&gt;F92),(L92&gt;O92),(L92&gt;R92),(L92&gt;U92),(L92&gt;X92),(L92&gt;AA92),(L92&gt;AD92),(L92&gt;AG92),(L92&gt;BB92)))-$AJ92))</f>
        <v>1</v>
      </c>
      <c r="N92" s="879">
        <f>IF(L92=0,0,IF(L$7=0,0,IF(M92=0,0,((11-M92)))-$B$5))</f>
        <v>6</v>
      </c>
      <c r="O92" s="878">
        <f>'print 10 lane'!R91</f>
        <v>1.0731481481481479E-3</v>
      </c>
      <c r="P92" s="879">
        <f>IF(O92=0,0,IF(O$7=0,0,IF(O92&lt;1,SUM((O92&gt;I92),(O92&gt;L92),(O92&gt;F92),(O92&gt;R92),(O92&gt;U92),(O92&gt;X92),(O92&gt;AA92),(O92&gt;AD92),(O92&gt;AG92),(O92&gt;BB92)))-$AJ92))</f>
        <v>5</v>
      </c>
      <c r="Q92" s="879">
        <f>IF(O92=0,0,IF(O$7=0,0,IF(P92=0,0,((11-P92)))-$B$5))</f>
        <v>2</v>
      </c>
      <c r="R92" s="878">
        <f>'print 10 lane'!U91</f>
        <v>1.2238425925925926E-3</v>
      </c>
      <c r="S92" s="879">
        <f>IF(R92=0,0,IF(R$7=0,0,IF(R92&lt;1,SUM((R92&gt;I92),(R92&gt;L92),(R92&gt;O92),(R92&gt;F92),(R92&gt;U92),(R92&gt;X92),(R92&gt;AA92),(R92&gt;AD92),(R92&gt;AG92),(R92&gt;BB92)))-$AJ92))</f>
        <v>6</v>
      </c>
      <c r="T92" s="879">
        <f>IF(R92=0,0,IF(R$7=0,0,IF(S92=0,0,((11-S92)))-$B$5))</f>
        <v>1</v>
      </c>
      <c r="U92" s="878">
        <f>'print 10 lane'!X91</f>
        <v>9.4016203703703699E-4</v>
      </c>
      <c r="V92" s="879">
        <f>IF(U92=0,0,IF(U$7=0,0,IF(U92&lt;1,SUM((U92&gt;I92),(U92&gt;L92),(U92&gt;O92),(U92&gt;R92),(U92&gt;F92),(U92&gt;X92),(U92&gt;AA92),(U92&gt;AD92),(U92&gt;AG92),(U92&gt;BB92)))-$AJ92))</f>
        <v>2</v>
      </c>
      <c r="W92" s="879">
        <f>IF(U92=0,0,IF(U$7=0,0,IF(V92=0,0,((11-V92)))-$B$5))</f>
        <v>5</v>
      </c>
      <c r="X92" s="880"/>
      <c r="Y92" s="881"/>
      <c r="Z92" s="881"/>
      <c r="AA92" s="880"/>
      <c r="AB92" s="881"/>
      <c r="AC92" s="881"/>
      <c r="AD92" s="880"/>
      <c r="AE92" s="881"/>
      <c r="AF92" s="881"/>
      <c r="AG92" s="880"/>
      <c r="AH92" s="881"/>
      <c r="AI92" s="882"/>
      <c r="AJ92" s="883">
        <f>COUNTBLANK(F620:O620)</f>
        <v>4</v>
      </c>
    </row>
    <row r="93" spans="2:36" ht="30" customHeight="1" x14ac:dyDescent="0.25">
      <c r="B93" s="1349"/>
      <c r="C93" s="1343"/>
      <c r="D93" s="1338"/>
      <c r="E93" s="1350"/>
      <c r="F93" s="1351" t="str">
        <f>'print 10 lane'!I92</f>
        <v>Ned Peter Andrews</v>
      </c>
      <c r="G93" s="1351"/>
      <c r="H93" s="1351"/>
      <c r="I93" s="1351" t="str">
        <f>'print 10 lane'!L92</f>
        <v>Oliver Tubridy</v>
      </c>
      <c r="J93" s="1351"/>
      <c r="K93" s="1351"/>
      <c r="L93" s="1351" t="str">
        <f>'print 10 lane'!O92</f>
        <v>Mikhail Zharinov</v>
      </c>
      <c r="M93" s="1351"/>
      <c r="N93" s="1351"/>
      <c r="O93" s="1351" t="str">
        <f>'print 10 lane'!R92</f>
        <v>Riley Bunce</v>
      </c>
      <c r="P93" s="1351"/>
      <c r="Q93" s="1351"/>
      <c r="R93" s="1351" t="str">
        <f>'print 10 lane'!U92</f>
        <v>Poyraz Akbiyik</v>
      </c>
      <c r="S93" s="1351"/>
      <c r="T93" s="1351"/>
      <c r="U93" s="1351" t="str">
        <f>'print 10 lane'!X92</f>
        <v>Cosmin Ioan  Iojan</v>
      </c>
      <c r="V93" s="1351"/>
      <c r="W93" s="1351"/>
      <c r="X93" s="1340"/>
      <c r="Y93" s="1340"/>
      <c r="Z93" s="1340"/>
      <c r="AA93" s="1340"/>
      <c r="AB93" s="1340"/>
      <c r="AC93" s="1340"/>
      <c r="AD93" s="1340"/>
      <c r="AE93" s="1340"/>
      <c r="AF93" s="1340"/>
      <c r="AG93" s="1341"/>
      <c r="AH93" s="1341"/>
      <c r="AI93" s="1341"/>
      <c r="AJ93" s="883"/>
    </row>
    <row r="94" spans="2:36" ht="30" customHeight="1" x14ac:dyDescent="0.25">
      <c r="B94" s="1349"/>
      <c r="C94" s="1343"/>
      <c r="D94" s="1338"/>
      <c r="E94" s="899" t="s">
        <v>5086</v>
      </c>
      <c r="F94" s="1339">
        <f>'print 10 lane'!I93</f>
        <v>0</v>
      </c>
      <c r="G94" s="1339"/>
      <c r="H94" s="1339"/>
      <c r="I94" s="1339">
        <f>'print 10 lane'!L93</f>
        <v>0</v>
      </c>
      <c r="J94" s="1339"/>
      <c r="K94" s="1339"/>
      <c r="L94" s="1339">
        <f>'print 10 lane'!O93</f>
        <v>0</v>
      </c>
      <c r="M94" s="1339"/>
      <c r="N94" s="1339"/>
      <c r="O94" s="1339">
        <f>'print 10 lane'!R93</f>
        <v>0</v>
      </c>
      <c r="P94" s="1339"/>
      <c r="Q94" s="1339"/>
      <c r="R94" s="1339">
        <f>'print 10 lane'!U93</f>
        <v>0</v>
      </c>
      <c r="S94" s="1339"/>
      <c r="T94" s="1339"/>
      <c r="U94" s="1339">
        <f>'print 10 lane'!X93</f>
        <v>0</v>
      </c>
      <c r="V94" s="1339"/>
      <c r="W94" s="1339"/>
      <c r="X94" s="1345"/>
      <c r="Y94" s="1345"/>
      <c r="Z94" s="1345"/>
      <c r="AA94" s="1345"/>
      <c r="AB94" s="1345"/>
      <c r="AC94" s="1345"/>
      <c r="AD94" s="1345"/>
      <c r="AE94" s="1345"/>
      <c r="AF94" s="1345"/>
      <c r="AG94" s="1346"/>
      <c r="AH94" s="1346"/>
      <c r="AI94" s="1346"/>
      <c r="AJ94" s="883"/>
    </row>
    <row r="95" spans="2:36" ht="30" customHeight="1" x14ac:dyDescent="0.25">
      <c r="B95" s="1349">
        <v>31</v>
      </c>
      <c r="C95" s="1333" t="s">
        <v>5083</v>
      </c>
      <c r="D95" s="1338" t="s">
        <v>5092</v>
      </c>
      <c r="E95" s="1350" t="s">
        <v>5103</v>
      </c>
      <c r="F95" s="878">
        <f>'print 10 lane'!I94</f>
        <v>8.273148148148149E-4</v>
      </c>
      <c r="G95" s="879">
        <f>IF(F95=0,0,IF(G$6=0,0,IF(F95&lt;1,SUM((F95&gt;I95),(F95&gt;L95),(F95&gt;O95),(F95&gt;R95),(F95&gt;U95),(F95&gt;X95),(F95&gt;AA95),(F95&gt;AD95),(F95&gt;AG95),(F95&gt;BB95)))-$AJ95))</f>
        <v>6</v>
      </c>
      <c r="H95" s="879">
        <f>IF(F95=0,0,IF(G$6=0,0,IF(G95=0,0,((11-G95)))-$B$5))</f>
        <v>1</v>
      </c>
      <c r="I95" s="878">
        <f>'print 10 lane'!L94</f>
        <v>7.3935185185185182E-4</v>
      </c>
      <c r="J95" s="879">
        <f>IF(I95=0,0,IF(I$7=0,0,IF(I95&lt;1,SUM((I95&gt;L95),(I95&gt;O95),(I95&gt;R95),(I95&gt;U95),(I95&gt;X95),(I95&gt;AA95),(I95&gt;F95),(I95&gt;AD95),(I95&gt;AG95),(I95&gt;BB95)))-$AJ95))</f>
        <v>2</v>
      </c>
      <c r="K95" s="879">
        <f>IF(I95=0,0,IF(I$7=0,0,IF(J95=0,0,((11-J95)))-$B$5))</f>
        <v>5</v>
      </c>
      <c r="L95" s="878">
        <f>'print 10 lane'!O94</f>
        <v>7.7731481481481477E-4</v>
      </c>
      <c r="M95" s="879">
        <f>IF(L95=0,0,IF(L$7=0,0,IF(L95&lt;1,SUM((L95&gt;I95),(L95&gt;F95),(L95&gt;O95),(L95&gt;R95),(L95&gt;U95),(L95&gt;X95),(L95&gt;AA95),(L95&gt;AD95),(L95&gt;AG95),(L95&gt;BB95)))-$AJ95))</f>
        <v>5</v>
      </c>
      <c r="N95" s="879">
        <f>IF(L95=0,0,IF(L$7=0,0,IF(M95=0,0,((11-M95)))-$B$5))</f>
        <v>2</v>
      </c>
      <c r="O95" s="878">
        <f>'print 10 lane'!R94</f>
        <v>7.6041666666666662E-4</v>
      </c>
      <c r="P95" s="879">
        <f>IF(O95=0,0,IF(O$7=0,0,IF(O95&lt;1,SUM((O95&gt;I95),(O95&gt;L95),(O95&gt;F95),(O95&gt;R95),(O95&gt;U95),(O95&gt;X95),(O95&gt;AA95),(O95&gt;AD95),(O95&gt;AG95),(O95&gt;BB95)))-$AJ95))</f>
        <v>4</v>
      </c>
      <c r="Q95" s="879">
        <f>IF(O95=0,0,IF(O$7=0,0,IF(P95=0,0,((11-P95)))-$B$5))</f>
        <v>3</v>
      </c>
      <c r="R95" s="878">
        <f>'print 10 lane'!U94</f>
        <v>7.3888888888888886E-4</v>
      </c>
      <c r="S95" s="879">
        <f>IF(R95=0,0,IF(R$7=0,0,IF(R95&lt;1,SUM((R95&gt;I95),(R95&gt;L95),(R95&gt;O95),(R95&gt;F95),(R95&gt;U95),(R95&gt;X95),(R95&gt;AA95),(R95&gt;AD95),(R95&gt;AG95),(R95&gt;BB95)))-$AJ95))</f>
        <v>1</v>
      </c>
      <c r="T95" s="879">
        <f>IF(R95=0,0,IF(R$7=0,0,IF(S95=0,0,((11-S95)))-$B$5))</f>
        <v>6</v>
      </c>
      <c r="U95" s="878">
        <f>'print 10 lane'!X94</f>
        <v>7.5868055555555552E-4</v>
      </c>
      <c r="V95" s="879">
        <f>IF(U95=0,0,IF(U$7=0,0,IF(U95&lt;1,SUM((U95&gt;I95),(U95&gt;L95),(U95&gt;O95),(U95&gt;R95),(U95&gt;F95),(U95&gt;X95),(U95&gt;AA95),(U95&gt;AD95),(U95&gt;AG95),(U95&gt;BB95)))-$AJ95))</f>
        <v>3</v>
      </c>
      <c r="W95" s="879">
        <f>IF(U95=0,0,IF(U$7=0,0,IF(V95=0,0,((11-V95)))-$B$5))</f>
        <v>4</v>
      </c>
      <c r="X95" s="880"/>
      <c r="Y95" s="881"/>
      <c r="Z95" s="881"/>
      <c r="AA95" s="880"/>
      <c r="AB95" s="881"/>
      <c r="AC95" s="881"/>
      <c r="AD95" s="880"/>
      <c r="AE95" s="881"/>
      <c r="AF95" s="881"/>
      <c r="AG95" s="880"/>
      <c r="AH95" s="881"/>
      <c r="AI95" s="882"/>
      <c r="AJ95" s="883">
        <f>COUNTBLANK(F621:O621)</f>
        <v>4</v>
      </c>
    </row>
    <row r="96" spans="2:36" ht="30" customHeight="1" x14ac:dyDescent="0.25">
      <c r="B96" s="1349"/>
      <c r="C96" s="1333"/>
      <c r="D96" s="1338"/>
      <c r="E96" s="1350"/>
      <c r="F96" s="1351" t="str">
        <f>'print 10 lane'!I95</f>
        <v>Emily Hudszky</v>
      </c>
      <c r="G96" s="1351"/>
      <c r="H96" s="1351"/>
      <c r="I96" s="1351" t="str">
        <f>'print 10 lane'!L95</f>
        <v>Sophie Stelmach</v>
      </c>
      <c r="J96" s="1351"/>
      <c r="K96" s="1351"/>
      <c r="L96" s="1351" t="str">
        <f>'print 10 lane'!O95</f>
        <v>Isabel Mullings</v>
      </c>
      <c r="M96" s="1351"/>
      <c r="N96" s="1351"/>
      <c r="O96" s="1351" t="str">
        <f>'print 10 lane'!R95</f>
        <v>Abigail Johnson</v>
      </c>
      <c r="P96" s="1351"/>
      <c r="Q96" s="1351"/>
      <c r="R96" s="1351" t="str">
        <f>'print 10 lane'!U95</f>
        <v>Mia Macklin</v>
      </c>
      <c r="S96" s="1351"/>
      <c r="T96" s="1351"/>
      <c r="U96" s="1351" t="str">
        <f>'print 10 lane'!X95</f>
        <v>Alice  Sharrock</v>
      </c>
      <c r="V96" s="1351"/>
      <c r="W96" s="1351"/>
      <c r="X96" s="1340"/>
      <c r="Y96" s="1340"/>
      <c r="Z96" s="1340"/>
      <c r="AA96" s="1340"/>
      <c r="AB96" s="1340"/>
      <c r="AC96" s="1340"/>
      <c r="AD96" s="1340"/>
      <c r="AE96" s="1340"/>
      <c r="AF96" s="1340"/>
      <c r="AG96" s="1341"/>
      <c r="AH96" s="1341"/>
      <c r="AI96" s="1341"/>
      <c r="AJ96" s="883"/>
    </row>
    <row r="97" spans="1:75" ht="30" customHeight="1" x14ac:dyDescent="0.25">
      <c r="B97" s="1349"/>
      <c r="C97" s="1333"/>
      <c r="D97" s="1338"/>
      <c r="E97" s="899" t="s">
        <v>5086</v>
      </c>
      <c r="F97" s="1339">
        <f>'print 10 lane'!I96</f>
        <v>0</v>
      </c>
      <c r="G97" s="1339"/>
      <c r="H97" s="1339"/>
      <c r="I97" s="1339">
        <f>'print 10 lane'!L96</f>
        <v>0</v>
      </c>
      <c r="J97" s="1339"/>
      <c r="K97" s="1339"/>
      <c r="L97" s="1339">
        <f>'print 10 lane'!O96</f>
        <v>0</v>
      </c>
      <c r="M97" s="1339"/>
      <c r="N97" s="1339"/>
      <c r="O97" s="1339">
        <f>'print 10 lane'!R96</f>
        <v>0</v>
      </c>
      <c r="P97" s="1339"/>
      <c r="Q97" s="1339"/>
      <c r="R97" s="1339">
        <f>'print 10 lane'!U96</f>
        <v>0</v>
      </c>
      <c r="S97" s="1339"/>
      <c r="T97" s="1339"/>
      <c r="U97" s="1339">
        <f>'print 10 lane'!X96</f>
        <v>0</v>
      </c>
      <c r="V97" s="1339"/>
      <c r="W97" s="1339"/>
      <c r="X97" s="1345"/>
      <c r="Y97" s="1345"/>
      <c r="Z97" s="1345"/>
      <c r="AA97" s="1345"/>
      <c r="AB97" s="1345"/>
      <c r="AC97" s="1345"/>
      <c r="AD97" s="1345"/>
      <c r="AE97" s="1345"/>
      <c r="AF97" s="1345"/>
      <c r="AG97" s="1346"/>
      <c r="AH97" s="1346"/>
      <c r="AI97" s="1346"/>
      <c r="AJ97" s="883"/>
    </row>
    <row r="98" spans="1:75" ht="30" customHeight="1" x14ac:dyDescent="0.25">
      <c r="B98" s="1349">
        <v>32</v>
      </c>
      <c r="C98" s="1343" t="s">
        <v>5087</v>
      </c>
      <c r="D98" s="1338" t="s">
        <v>5092</v>
      </c>
      <c r="E98" s="1350" t="s">
        <v>5103</v>
      </c>
      <c r="F98" s="878">
        <f>'print 10 lane'!I97</f>
        <v>7.817129629629629E-4</v>
      </c>
      <c r="G98" s="879">
        <f>IF(F98=0,0,IF(G$6=0,0,IF(F98&lt;1,SUM((F98&gt;I98),(F98&gt;L98),(F98&gt;O98),(F98&gt;R98),(F98&gt;U98),(F98&gt;X98),(F98&gt;AA98),(F98&gt;AD98),(F98&gt;AG98),(F98&gt;BB98)))-$AJ98))</f>
        <v>5</v>
      </c>
      <c r="H98" s="879">
        <f>IF(F98=0,0,IF(G$6=0,0,IF(G98=0,0,((11-G98)))-$B$5))</f>
        <v>2</v>
      </c>
      <c r="I98" s="878">
        <f>'print 10 lane'!L97</f>
        <v>7.4780092592592595E-4</v>
      </c>
      <c r="J98" s="879">
        <f>IF(I98=0,0,IF(I$7=0,0,IF(I98&lt;1,SUM((I98&gt;L98),(I98&gt;O98),(I98&gt;R98),(I98&gt;U98),(I98&gt;X98),(I98&gt;AA98),(I98&gt;F98),(I98&gt;AD98),(I98&gt;AG98),(I98&gt;BB98)))-$AJ98))</f>
        <v>3</v>
      </c>
      <c r="K98" s="879">
        <f>IF(I98=0,0,IF(I$7=0,0,IF(J98=0,0,((11-J98)))-$B$5))</f>
        <v>4</v>
      </c>
      <c r="L98" s="878">
        <f>'print 10 lane'!O97</f>
        <v>7.6770833333333335E-4</v>
      </c>
      <c r="M98" s="879">
        <f>IF(L98=0,0,IF(L$7=0,0,IF(L98&lt;1,SUM((L98&gt;I98),(L98&gt;F98),(L98&gt;O98),(L98&gt;R98),(L98&gt;U98),(L98&gt;X98),(L98&gt;AA98),(L98&gt;AD98),(L98&gt;AG98),(L98&gt;BB98)))-$AJ98))</f>
        <v>4</v>
      </c>
      <c r="N98" s="879">
        <f>IF(L98=0,0,IF(L$7=0,0,IF(M98=0,0,((11-M98)))-$B$5))</f>
        <v>3</v>
      </c>
      <c r="O98" s="878">
        <f>'print 10 lane'!R97</f>
        <v>6.8576388888888897E-4</v>
      </c>
      <c r="P98" s="879">
        <f>IF(O98=0,0,IF(O$7=0,0,IF(O98&lt;1,SUM((O98&gt;I98),(O98&gt;L98),(O98&gt;F98),(O98&gt;R98),(O98&gt;U98),(O98&gt;X98),(O98&gt;AA98),(O98&gt;AD98),(O98&gt;AG98),(O98&gt;BB98)))-$AJ98))</f>
        <v>2</v>
      </c>
      <c r="Q98" s="879">
        <f>IF(O98=0,0,IF(O$7=0,0,IF(P98=0,0,((11-P98)))-$B$5))</f>
        <v>5</v>
      </c>
      <c r="R98" s="878">
        <f>'print 10 lane'!U97</f>
        <v>6.3321759259259266E-4</v>
      </c>
      <c r="S98" s="879">
        <f>IF(R98=0,0,IF(R$7=0,0,IF(R98&lt;1,SUM((R98&gt;I98),(R98&gt;L98),(R98&gt;O98),(R98&gt;F98),(R98&gt;U98),(R98&gt;X98),(R98&gt;AA98),(R98&gt;AD98),(R98&gt;AG98),(R98&gt;BB98)))-$AJ98))</f>
        <v>1</v>
      </c>
      <c r="T98" s="879">
        <f>IF(R98=0,0,IF(R$7=0,0,IF(S98=0,0,((11-S98)))-$B$5))</f>
        <v>6</v>
      </c>
      <c r="U98" s="878">
        <f>'print 10 lane'!X97</f>
        <v>0</v>
      </c>
      <c r="V98" s="879">
        <f>IF(U98=0,0,IF(U$7=0,0,IF(U98&lt;1,SUM((U98&gt;I98),(U98&gt;L98),(U98&gt;O98),(U98&gt;R98),(U98&gt;F98),(U98&gt;X98),(U98&gt;AA98),(U98&gt;AD98),(U98&gt;AG98),(U98&gt;BB98)))-$AJ98))</f>
        <v>0</v>
      </c>
      <c r="W98" s="879">
        <f>IF(U98=0,0,IF(U$7=0,0,IF(V98=0,0,((11-V98)))-$B$5))</f>
        <v>0</v>
      </c>
      <c r="X98" s="880"/>
      <c r="Y98" s="881"/>
      <c r="Z98" s="881"/>
      <c r="AA98" s="880"/>
      <c r="AB98" s="881"/>
      <c r="AC98" s="881"/>
      <c r="AD98" s="880"/>
      <c r="AE98" s="881"/>
      <c r="AF98" s="881"/>
      <c r="AG98" s="880"/>
      <c r="AH98" s="881"/>
      <c r="AI98" s="882"/>
      <c r="AJ98" s="883">
        <f>COUNTBLANK(F622:O622)</f>
        <v>5</v>
      </c>
    </row>
    <row r="99" spans="1:75" ht="30" customHeight="1" x14ac:dyDescent="0.25">
      <c r="B99" s="1349"/>
      <c r="C99" s="1343"/>
      <c r="D99" s="1338"/>
      <c r="E99" s="1350"/>
      <c r="F99" s="1351" t="str">
        <f>'print 10 lane'!I98</f>
        <v>Zalan Tornay</v>
      </c>
      <c r="G99" s="1351"/>
      <c r="H99" s="1351"/>
      <c r="I99" s="1351" t="str">
        <f>'print 10 lane'!L98</f>
        <v>Daniel Humphreys</v>
      </c>
      <c r="J99" s="1351"/>
      <c r="K99" s="1351"/>
      <c r="L99" s="1351" t="str">
        <f>'print 10 lane'!O98</f>
        <v>Ewan Thompson</v>
      </c>
      <c r="M99" s="1351"/>
      <c r="N99" s="1351"/>
      <c r="O99" s="1351" t="str">
        <f>'print 10 lane'!R98</f>
        <v>Charles Raines</v>
      </c>
      <c r="P99" s="1351"/>
      <c r="Q99" s="1351"/>
      <c r="R99" s="1351" t="str">
        <f>'print 10 lane'!U98</f>
        <v>Joshua Parker</v>
      </c>
      <c r="S99" s="1351"/>
      <c r="T99" s="1351"/>
      <c r="U99" s="1351" t="str">
        <f>'print 10 lane'!X98</f>
        <v xml:space="preserve"> </v>
      </c>
      <c r="V99" s="1351"/>
      <c r="W99" s="1351"/>
      <c r="X99" s="1340"/>
      <c r="Y99" s="1340"/>
      <c r="Z99" s="1340"/>
      <c r="AA99" s="1340"/>
      <c r="AB99" s="1340"/>
      <c r="AC99" s="1340"/>
      <c r="AD99" s="1340"/>
      <c r="AE99" s="1340"/>
      <c r="AF99" s="1340"/>
      <c r="AG99" s="1341"/>
      <c r="AH99" s="1341"/>
      <c r="AI99" s="1341"/>
      <c r="AJ99" s="883"/>
    </row>
    <row r="100" spans="1:75" ht="30" customHeight="1" x14ac:dyDescent="0.25">
      <c r="B100" s="1349"/>
      <c r="C100" s="1343"/>
      <c r="D100" s="1338"/>
      <c r="E100" s="899" t="s">
        <v>5086</v>
      </c>
      <c r="F100" s="1339">
        <f>'print 10 lane'!I99</f>
        <v>0</v>
      </c>
      <c r="G100" s="1339"/>
      <c r="H100" s="1339"/>
      <c r="I100" s="1339">
        <f>'print 10 lane'!L99</f>
        <v>0</v>
      </c>
      <c r="J100" s="1339"/>
      <c r="K100" s="1339"/>
      <c r="L100" s="1339">
        <f>'print 10 lane'!O99</f>
        <v>0</v>
      </c>
      <c r="M100" s="1339"/>
      <c r="N100" s="1339"/>
      <c r="O100" s="1339">
        <f>'print 10 lane'!R99</f>
        <v>0</v>
      </c>
      <c r="P100" s="1339"/>
      <c r="Q100" s="1339"/>
      <c r="R100" s="1339">
        <f>'print 10 lane'!U99</f>
        <v>0</v>
      </c>
      <c r="S100" s="1339"/>
      <c r="T100" s="1339"/>
      <c r="U100" s="1339" t="str">
        <f>'print 10 lane'!X99</f>
        <v>ns</v>
      </c>
      <c r="V100" s="1339"/>
      <c r="W100" s="1339"/>
      <c r="X100" s="1345"/>
      <c r="Y100" s="1345"/>
      <c r="Z100" s="1345"/>
      <c r="AA100" s="1345"/>
      <c r="AB100" s="1345"/>
      <c r="AC100" s="1345"/>
      <c r="AD100" s="1345"/>
      <c r="AE100" s="1345"/>
      <c r="AF100" s="1345"/>
      <c r="AG100" s="1346"/>
      <c r="AH100" s="1346"/>
      <c r="AI100" s="1346"/>
      <c r="AJ100" s="883"/>
    </row>
    <row r="101" spans="1:75" ht="30" customHeight="1" x14ac:dyDescent="0.25">
      <c r="B101" s="1349">
        <v>33</v>
      </c>
      <c r="C101" s="1333" t="s">
        <v>5083</v>
      </c>
      <c r="D101" s="1338" t="s">
        <v>5093</v>
      </c>
      <c r="E101" s="1350" t="s">
        <v>5097</v>
      </c>
      <c r="F101" s="878">
        <f>'print 10 lane'!I100</f>
        <v>9.0185185185185192E-4</v>
      </c>
      <c r="G101" s="879">
        <f>IF(F101=0,0,IF(G$6=0,0,IF(F101&lt;1,SUM((F101&gt;I101),(F101&gt;L101),(F101&gt;O101),(F101&gt;R101),(F101&gt;U101),(F101&gt;X101),(F101&gt;AA101),(F101&gt;AD101),(F101&gt;AG101),(F101&gt;BB101)))-$AJ101))</f>
        <v>1</v>
      </c>
      <c r="H101" s="879">
        <f>IF(F101=0,0,IF(G$6=0,0,IF(G101=0,0,((11-G101)))-$B$5))</f>
        <v>6</v>
      </c>
      <c r="I101" s="878">
        <f>'print 10 lane'!L100</f>
        <v>1.0266203703703702E-3</v>
      </c>
      <c r="J101" s="879">
        <f>IF(I101=0,0,IF(I$7=0,0,IF(I101&lt;1,SUM((I101&gt;L101),(I101&gt;O101),(I101&gt;R101),(I101&gt;U101),(I101&gt;X101),(I101&gt;AA101),(I101&gt;F101),(I101&gt;AD101),(I101&gt;AG101),(I101&gt;BB101)))-$AJ101))</f>
        <v>6</v>
      </c>
      <c r="K101" s="879">
        <f>IF(I101=0,0,IF(I$7=0,0,IF(J101=0,0,((11-J101)))-$B$5))</f>
        <v>1</v>
      </c>
      <c r="L101" s="878">
        <f>'print 10 lane'!O100</f>
        <v>9.638888888888888E-4</v>
      </c>
      <c r="M101" s="879">
        <f>IF(L101=0,0,IF(L$7=0,0,IF(L101&lt;1,SUM((L101&gt;I101),(L101&gt;F101),(L101&gt;O101),(L101&gt;R101),(L101&gt;U101),(L101&gt;X101),(L101&gt;AA101),(L101&gt;AD101),(L101&gt;AG101),(L101&gt;BB101)))-$AJ101))</f>
        <v>3</v>
      </c>
      <c r="N101" s="879">
        <f>IF(L101=0,0,IF(L$7=0,0,IF(M101=0,0,((11-M101)))-$B$5))</f>
        <v>4</v>
      </c>
      <c r="O101" s="878">
        <f>'print 10 lane'!R100</f>
        <v>9.4085648148148143E-4</v>
      </c>
      <c r="P101" s="879">
        <f>IF(O101=0,0,IF(O$7=0,0,IF(O101&lt;1,SUM((O101&gt;I101),(O101&gt;L101),(O101&gt;F101),(O101&gt;R101),(O101&gt;U101),(O101&gt;X101),(O101&gt;AA101),(O101&gt;AD101),(O101&gt;AG101),(O101&gt;BB101)))-$AJ101))</f>
        <v>2</v>
      </c>
      <c r="Q101" s="879">
        <f>IF(O101=0,0,IF(O$7=0,0,IF(P101=0,0,((11-P101)))-$B$5))</f>
        <v>5</v>
      </c>
      <c r="R101" s="878">
        <f>'print 10 lane'!U100</f>
        <v>9.7719907407407412E-4</v>
      </c>
      <c r="S101" s="879">
        <f>IF(R101=0,0,IF(R$7=0,0,IF(R101&lt;1,SUM((R101&gt;I101),(R101&gt;L101),(R101&gt;O101),(R101&gt;F101),(R101&gt;U101),(R101&gt;X101),(R101&gt;AA101),(R101&gt;AD101),(R101&gt;AG101),(R101&gt;BB101)))-$AJ101))</f>
        <v>4</v>
      </c>
      <c r="T101" s="879">
        <f>IF(R101=0,0,IF(R$7=0,0,IF(S101=0,0,((11-S101)))-$B$5))</f>
        <v>3</v>
      </c>
      <c r="U101" s="878">
        <f>'print 10 lane'!X100</f>
        <v>9.8564814814814804E-4</v>
      </c>
      <c r="V101" s="879">
        <f>IF(U101=0,0,IF(U$7=0,0,IF(U101&lt;1,SUM((U101&gt;I101),(U101&gt;L101),(U101&gt;O101),(U101&gt;R101),(U101&gt;F101),(U101&gt;X101),(U101&gt;AA101),(U101&gt;AD101),(U101&gt;AG101),(U101&gt;BB101)))-$AJ101))</f>
        <v>5</v>
      </c>
      <c r="W101" s="879">
        <f>IF(U101=0,0,IF(U$7=0,0,IF(V101=0,0,((11-V101)))-$B$5))</f>
        <v>2</v>
      </c>
      <c r="X101" s="880"/>
      <c r="Y101" s="881"/>
      <c r="Z101" s="881"/>
      <c r="AA101" s="880"/>
      <c r="AB101" s="881"/>
      <c r="AC101" s="881"/>
      <c r="AD101" s="880"/>
      <c r="AE101" s="881"/>
      <c r="AF101" s="881"/>
      <c r="AG101" s="880"/>
      <c r="AH101" s="881"/>
      <c r="AI101" s="882"/>
      <c r="AJ101" s="883">
        <f>COUNTBLANK(F623:O623)</f>
        <v>4</v>
      </c>
    </row>
    <row r="102" spans="1:75" ht="30" customHeight="1" x14ac:dyDescent="0.25">
      <c r="B102" s="1349"/>
      <c r="C102" s="1333"/>
      <c r="D102" s="1338"/>
      <c r="E102" s="1350"/>
      <c r="F102" s="1351" t="str">
        <f>'print 10 lane'!I101</f>
        <v>Bianca Gomez-Velasco</v>
      </c>
      <c r="G102" s="1351"/>
      <c r="H102" s="1351"/>
      <c r="I102" s="1351" t="str">
        <f>'print 10 lane'!L101</f>
        <v>Sophie Lyon</v>
      </c>
      <c r="J102" s="1351"/>
      <c r="K102" s="1351"/>
      <c r="L102" s="1351" t="str">
        <f>'print 10 lane'!O101</f>
        <v>Mia Nelson</v>
      </c>
      <c r="M102" s="1351"/>
      <c r="N102" s="1351"/>
      <c r="O102" s="1351" t="str">
        <f>'print 10 lane'!R101</f>
        <v>Amber Curtis</v>
      </c>
      <c r="P102" s="1351"/>
      <c r="Q102" s="1351"/>
      <c r="R102" s="1351" t="str">
        <f>'print 10 lane'!U101</f>
        <v>Marcie Aley</v>
      </c>
      <c r="S102" s="1351"/>
      <c r="T102" s="1351"/>
      <c r="U102" s="1351" t="str">
        <f>'print 10 lane'!X101</f>
        <v>Mina  Safahe</v>
      </c>
      <c r="V102" s="1351"/>
      <c r="W102" s="1351"/>
      <c r="X102" s="1340"/>
      <c r="Y102" s="1340"/>
      <c r="Z102" s="1340"/>
      <c r="AA102" s="1340"/>
      <c r="AB102" s="1340"/>
      <c r="AC102" s="1340"/>
      <c r="AD102" s="1340"/>
      <c r="AE102" s="1340"/>
      <c r="AF102" s="1340"/>
      <c r="AG102" s="1341"/>
      <c r="AH102" s="1341"/>
      <c r="AI102" s="1341"/>
      <c r="AJ102" s="883"/>
    </row>
    <row r="103" spans="1:75" ht="30" customHeight="1" x14ac:dyDescent="0.25">
      <c r="B103" s="1349"/>
      <c r="C103" s="1333"/>
      <c r="D103" s="1338"/>
      <c r="E103" s="899" t="s">
        <v>5086</v>
      </c>
      <c r="F103" s="1339">
        <f>'print 10 lane'!I102</f>
        <v>0</v>
      </c>
      <c r="G103" s="1339"/>
      <c r="H103" s="1339"/>
      <c r="I103" s="1339">
        <f>'print 10 lane'!L102</f>
        <v>0</v>
      </c>
      <c r="J103" s="1339"/>
      <c r="K103" s="1339"/>
      <c r="L103" s="1339">
        <f>'print 10 lane'!O102</f>
        <v>0</v>
      </c>
      <c r="M103" s="1339"/>
      <c r="N103" s="1339"/>
      <c r="O103" s="1339">
        <f>'print 10 lane'!R102</f>
        <v>0</v>
      </c>
      <c r="P103" s="1339"/>
      <c r="Q103" s="1339"/>
      <c r="R103" s="1339">
        <f>'print 10 lane'!U102</f>
        <v>0</v>
      </c>
      <c r="S103" s="1339"/>
      <c r="T103" s="1339"/>
      <c r="U103" s="1339">
        <f>'print 10 lane'!X102</f>
        <v>0</v>
      </c>
      <c r="V103" s="1339"/>
      <c r="W103" s="1339"/>
      <c r="X103" s="1345"/>
      <c r="Y103" s="1345"/>
      <c r="Z103" s="1345"/>
      <c r="AA103" s="1345"/>
      <c r="AB103" s="1345"/>
      <c r="AC103" s="1345"/>
      <c r="AD103" s="1345"/>
      <c r="AE103" s="1345"/>
      <c r="AF103" s="1345"/>
      <c r="AG103" s="1346"/>
      <c r="AH103" s="1346"/>
      <c r="AI103" s="1346"/>
      <c r="AJ103" s="883"/>
    </row>
    <row r="104" spans="1:75" ht="30" customHeight="1" x14ac:dyDescent="0.25">
      <c r="B104" s="1349">
        <v>34</v>
      </c>
      <c r="C104" s="1343" t="s">
        <v>5087</v>
      </c>
      <c r="D104" s="1338" t="s">
        <v>5093</v>
      </c>
      <c r="E104" s="1350" t="s">
        <v>5097</v>
      </c>
      <c r="F104" s="878">
        <f>'print 10 lane'!I103</f>
        <v>9.3692129629629627E-4</v>
      </c>
      <c r="G104" s="879">
        <f>IF(F104=0,0,IF(G$6=0,0,IF(F104&lt;1,SUM((F104&gt;I104),(F104&gt;L104),(F104&gt;O104),(F104&gt;R104),(F104&gt;U104),(F104&gt;X104),(F104&gt;AA104),(F104&gt;AD104),(F104&gt;AG104),(F104&gt;BB104)))-$AJ104))</f>
        <v>5</v>
      </c>
      <c r="H104" s="879">
        <f>IF(F104=0,0,IF(G$6=0,0,IF(G104=0,0,((11-G104)))-$B$5))</f>
        <v>2</v>
      </c>
      <c r="I104" s="878">
        <f>'print 10 lane'!L103</f>
        <v>1.0325231481481481E-3</v>
      </c>
      <c r="J104" s="879">
        <f>IF(I104=0,0,IF(I$7=0,0,IF(I104&lt;1,SUM((I104&gt;L104),(I104&gt;O104),(I104&gt;R104),(I104&gt;U104),(I104&gt;X104),(I104&gt;AA104),(I104&gt;F104),(I104&gt;AD104),(I104&gt;AG104),(I104&gt;BB104)))-$AJ104))</f>
        <v>6</v>
      </c>
      <c r="K104" s="879">
        <f>IF(I104=0,0,IF(I$7=0,0,IF(J104=0,0,((11-J104)))-$B$5))</f>
        <v>1</v>
      </c>
      <c r="L104" s="878">
        <f>'print 10 lane'!O103</f>
        <v>8.0763888888888888E-4</v>
      </c>
      <c r="M104" s="879">
        <f>IF(L104=0,0,IF(L$7=0,0,IF(L104&lt;1,SUM((L104&gt;I104),(L104&gt;F104),(L104&gt;O104),(L104&gt;R104),(L104&gt;U104),(L104&gt;X104),(L104&gt;AA104),(L104&gt;AD104),(L104&gt;AG104),(L104&gt;BB104)))-$AJ104))</f>
        <v>1</v>
      </c>
      <c r="N104" s="879">
        <f>IF(L104=0,0,IF(L$7=0,0,IF(M104=0,0,((11-M104)))-$B$5))</f>
        <v>6</v>
      </c>
      <c r="O104" s="878">
        <f>'print 10 lane'!R103</f>
        <v>8.902777777777777E-4</v>
      </c>
      <c r="P104" s="879">
        <f>IF(O104=0,0,IF(O$7=0,0,IF(O104&lt;1,SUM((O104&gt;I104),(O104&gt;L104),(O104&gt;F104),(O104&gt;R104),(O104&gt;U104),(O104&gt;X104),(O104&gt;AA104),(O104&gt;AD104),(O104&gt;AG104),(O104&gt;BB104)))-$AJ104))</f>
        <v>4</v>
      </c>
      <c r="Q104" s="879">
        <f>IF(O104=0,0,IF(O$7=0,0,IF(P104=0,0,((11-P104)))-$B$5))</f>
        <v>3</v>
      </c>
      <c r="R104" s="878">
        <f>'print 10 lane'!U103</f>
        <v>8.2581018518518518E-4</v>
      </c>
      <c r="S104" s="879">
        <f>IF(R104=0,0,IF(R$7=0,0,IF(R104&lt;1,SUM((R104&gt;I104),(R104&gt;L104),(R104&gt;O104),(R104&gt;F104),(R104&gt;U104),(R104&gt;X104),(R104&gt;AA104),(R104&gt;AD104),(R104&gt;AG104),(R104&gt;BB104)))-$AJ104))</f>
        <v>2</v>
      </c>
      <c r="T104" s="879">
        <f>IF(R104=0,0,IF(R$7=0,0,IF(S104=0,0,((11-S104)))-$B$5))</f>
        <v>5</v>
      </c>
      <c r="U104" s="878">
        <f>'print 10 lane'!X103</f>
        <v>8.2638888888888877E-4</v>
      </c>
      <c r="V104" s="879">
        <f>IF(U104=0,0,IF(U$7=0,0,IF(U104&lt;1,SUM((U104&gt;I104),(U104&gt;L104),(U104&gt;O104),(U104&gt;R104),(U104&gt;F104),(U104&gt;X104),(U104&gt;AA104),(U104&gt;AD104),(U104&gt;AG104),(U104&gt;BB104)))-$AJ104))</f>
        <v>3</v>
      </c>
      <c r="W104" s="879">
        <f>IF(U104=0,0,IF(U$7=0,0,IF(V104=0,0,((11-V104)))-$B$5))</f>
        <v>4</v>
      </c>
      <c r="X104" s="880"/>
      <c r="Y104" s="881"/>
      <c r="Z104" s="881"/>
      <c r="AA104" s="880"/>
      <c r="AB104" s="881"/>
      <c r="AC104" s="881"/>
      <c r="AD104" s="880"/>
      <c r="AE104" s="881"/>
      <c r="AF104" s="881"/>
      <c r="AG104" s="880"/>
      <c r="AH104" s="881"/>
      <c r="AI104" s="882"/>
      <c r="AJ104" s="883">
        <f>COUNTBLANK(F624:O624)</f>
        <v>4</v>
      </c>
    </row>
    <row r="105" spans="1:75" ht="30" customHeight="1" x14ac:dyDescent="0.25">
      <c r="A105" s="897"/>
      <c r="B105" s="1349"/>
      <c r="C105" s="1343"/>
      <c r="D105" s="1338"/>
      <c r="E105" s="1350"/>
      <c r="F105" s="1351" t="str">
        <f>'print 10 lane'!I104</f>
        <v>Gabriel Bhonsle</v>
      </c>
      <c r="G105" s="1351"/>
      <c r="H105" s="1351"/>
      <c r="I105" s="1351" t="str">
        <f>'print 10 lane'!L104</f>
        <v>Daniel Humphreys</v>
      </c>
      <c r="J105" s="1351"/>
      <c r="K105" s="1351"/>
      <c r="L105" s="1351" t="str">
        <f>'print 10 lane'!O104</f>
        <v>George Lovelock</v>
      </c>
      <c r="M105" s="1351"/>
      <c r="N105" s="1351"/>
      <c r="O105" s="1351" t="str">
        <f>'print 10 lane'!R104</f>
        <v>Max Waller</v>
      </c>
      <c r="P105" s="1351"/>
      <c r="Q105" s="1351"/>
      <c r="R105" s="1351" t="str">
        <f>'print 10 lane'!U104</f>
        <v>Robert Elliston</v>
      </c>
      <c r="S105" s="1351"/>
      <c r="T105" s="1351"/>
      <c r="U105" s="1351" t="str">
        <f>'print 10 lane'!X104</f>
        <v>Wiktor  Brejnak</v>
      </c>
      <c r="V105" s="1351"/>
      <c r="W105" s="1351"/>
      <c r="X105" s="1340"/>
      <c r="Y105" s="1340"/>
      <c r="Z105" s="1340"/>
      <c r="AA105" s="1340"/>
      <c r="AB105" s="1340"/>
      <c r="AC105" s="1340"/>
      <c r="AD105" s="1340"/>
      <c r="AE105" s="1340"/>
      <c r="AF105" s="1340"/>
      <c r="AG105" s="1341"/>
      <c r="AH105" s="1341"/>
      <c r="AI105" s="1341"/>
      <c r="AJ105" s="883"/>
      <c r="AK105" s="897"/>
      <c r="AL105" s="897"/>
      <c r="AM105" s="897"/>
      <c r="AN105" s="897"/>
      <c r="AO105" s="897"/>
      <c r="AP105" s="897"/>
      <c r="AQ105" s="897"/>
      <c r="AR105" s="897"/>
      <c r="AS105" s="897"/>
      <c r="AT105" s="897"/>
      <c r="AU105" s="897"/>
      <c r="AV105" s="897"/>
      <c r="AW105" s="897"/>
      <c r="AX105" s="897"/>
      <c r="AY105" s="897"/>
      <c r="AZ105" s="897"/>
      <c r="BA105" s="897"/>
      <c r="BB105" s="897"/>
      <c r="BC105" s="897"/>
      <c r="BD105" s="897"/>
      <c r="BE105" s="897"/>
      <c r="BF105" s="897"/>
      <c r="BG105" s="897"/>
      <c r="BH105" s="897"/>
      <c r="BI105" s="897"/>
      <c r="BJ105" s="897"/>
      <c r="BK105" s="897"/>
      <c r="BL105" s="897"/>
      <c r="BM105" s="897"/>
      <c r="BN105" s="897"/>
      <c r="BO105" s="897"/>
      <c r="BP105" s="897"/>
      <c r="BQ105" s="897"/>
      <c r="BR105" s="897"/>
      <c r="BS105" s="897"/>
      <c r="BT105" s="897"/>
      <c r="BU105" s="897"/>
      <c r="BV105" s="897"/>
      <c r="BW105" s="898"/>
    </row>
    <row r="106" spans="1:75" ht="30" customHeight="1" x14ac:dyDescent="0.25">
      <c r="A106" s="897"/>
      <c r="B106" s="1349"/>
      <c r="C106" s="1343"/>
      <c r="D106" s="1338"/>
      <c r="E106" s="899" t="s">
        <v>5086</v>
      </c>
      <c r="F106" s="1339">
        <f>'print 10 lane'!I105</f>
        <v>0</v>
      </c>
      <c r="G106" s="1339"/>
      <c r="H106" s="1339"/>
      <c r="I106" s="1339">
        <f>'print 10 lane'!L105</f>
        <v>0</v>
      </c>
      <c r="J106" s="1339"/>
      <c r="K106" s="1339"/>
      <c r="L106" s="1339">
        <f>'print 10 lane'!O105</f>
        <v>0</v>
      </c>
      <c r="M106" s="1339"/>
      <c r="N106" s="1339"/>
      <c r="O106" s="1339">
        <f>'print 10 lane'!R105</f>
        <v>0</v>
      </c>
      <c r="P106" s="1339"/>
      <c r="Q106" s="1339"/>
      <c r="R106" s="1339">
        <f>'print 10 lane'!U105</f>
        <v>0</v>
      </c>
      <c r="S106" s="1339"/>
      <c r="T106" s="1339"/>
      <c r="U106" s="1339">
        <f>'print 10 lane'!X105</f>
        <v>0</v>
      </c>
      <c r="V106" s="1339"/>
      <c r="W106" s="1339"/>
      <c r="X106" s="1345"/>
      <c r="Y106" s="1345"/>
      <c r="Z106" s="1345"/>
      <c r="AA106" s="1345"/>
      <c r="AB106" s="1345"/>
      <c r="AC106" s="1345"/>
      <c r="AD106" s="1345"/>
      <c r="AE106" s="1345"/>
      <c r="AF106" s="1345"/>
      <c r="AG106" s="1346"/>
      <c r="AH106" s="1346"/>
      <c r="AI106" s="1346"/>
      <c r="AJ106" s="883"/>
      <c r="AK106" s="897"/>
      <c r="AL106" s="897"/>
      <c r="AM106" s="897"/>
      <c r="AN106" s="897"/>
      <c r="AO106" s="897"/>
      <c r="AP106" s="897"/>
      <c r="AQ106" s="897"/>
      <c r="AR106" s="897"/>
      <c r="AS106" s="897"/>
      <c r="AT106" s="897"/>
      <c r="AU106" s="897"/>
      <c r="AV106" s="897"/>
      <c r="AW106" s="897"/>
      <c r="AX106" s="897"/>
      <c r="AY106" s="897"/>
      <c r="AZ106" s="897"/>
      <c r="BA106" s="897"/>
      <c r="BB106" s="897"/>
      <c r="BC106" s="897"/>
      <c r="BD106" s="897"/>
      <c r="BE106" s="897"/>
      <c r="BF106" s="897"/>
      <c r="BG106" s="897"/>
      <c r="BH106" s="897"/>
      <c r="BI106" s="897"/>
      <c r="BJ106" s="897"/>
      <c r="BK106" s="897"/>
      <c r="BL106" s="897"/>
      <c r="BM106" s="897"/>
      <c r="BN106" s="897"/>
      <c r="BO106" s="897"/>
      <c r="BP106" s="897"/>
      <c r="BQ106" s="897"/>
      <c r="BR106" s="897"/>
      <c r="BS106" s="897"/>
      <c r="BT106" s="897"/>
      <c r="BU106" s="897"/>
      <c r="BV106" s="897"/>
      <c r="BW106" s="898"/>
    </row>
    <row r="107" spans="1:75" ht="30" customHeight="1" x14ac:dyDescent="0.25">
      <c r="B107" s="1349">
        <v>35</v>
      </c>
      <c r="C107" s="1333" t="s">
        <v>5083</v>
      </c>
      <c r="D107" s="1348" t="s">
        <v>5094</v>
      </c>
      <c r="E107" s="1350" t="s">
        <v>5104</v>
      </c>
      <c r="F107" s="878">
        <f>'print 10 lane'!I106</f>
        <v>3.996527777777778E-4</v>
      </c>
      <c r="G107" s="879">
        <f>IF(F107=0,0,IF(G$6=0,0,IF(F107&lt;1,SUM((F107&gt;I107),(F107&gt;L107),(F107&gt;O107),(F107&gt;R107),(F107&gt;U107),(F107&gt;X107),(F107&gt;AA107),(F107&gt;AD107),(F107&gt;AG107),(F107&gt;BB107)))-$AJ107))</f>
        <v>1</v>
      </c>
      <c r="H107" s="879">
        <f>IF(F107=0,0,IF(G$6=0,0,IF(G107=0,0,((11-G107)))-$B$5))</f>
        <v>6</v>
      </c>
      <c r="I107" s="878">
        <f>'print 10 lane'!L106</f>
        <v>4.4780092592592587E-4</v>
      </c>
      <c r="J107" s="879">
        <f>IF(I107=0,0,IF(I$7=0,0,IF(I107&lt;1,SUM((I107&gt;L107),(I107&gt;O107),(I107&gt;R107),(I107&gt;U107),(I107&gt;X107),(I107&gt;AA107),(I107&gt;F107),(I107&gt;AD107),(I107&gt;AG107),(I107&gt;BB107)))-$AJ107))</f>
        <v>5</v>
      </c>
      <c r="K107" s="879">
        <f>IF(I107=0,0,IF(I$7=0,0,IF(J107=0,0,((11-J107)))-$B$5))</f>
        <v>2</v>
      </c>
      <c r="L107" s="878">
        <f>'print 10 lane'!O106</f>
        <v>4.3414351851851855E-4</v>
      </c>
      <c r="M107" s="879">
        <f>IF(L107=0,0,IF(L$7=0,0,IF(L107&lt;1,SUM((L107&gt;I107),(L107&gt;F107),(L107&gt;O107),(L107&gt;R107),(L107&gt;U107),(L107&gt;X107),(L107&gt;AA107),(L107&gt;AD107),(L107&gt;AG107),(L107&gt;BB107)))-$AJ107))</f>
        <v>4</v>
      </c>
      <c r="N107" s="879">
        <f>IF(L107=0,0,IF(L$7=0,0,IF(M107=0,0,((11-M107)))-$B$5))</f>
        <v>3</v>
      </c>
      <c r="O107" s="878">
        <f>'print 10 lane'!R106</f>
        <v>4.1967592592592593E-4</v>
      </c>
      <c r="P107" s="879">
        <f>IF(O107=0,0,IF(O$7=0,0,IF(O107&lt;1,SUM((O107&gt;I107),(O107&gt;L107),(O107&gt;F107),(O107&gt;R107),(O107&gt;U107),(O107&gt;X107),(O107&gt;AA107),(O107&gt;AD107),(O107&gt;AG107),(O107&gt;BB107)))-$AJ107))</f>
        <v>2</v>
      </c>
      <c r="Q107" s="879">
        <f>IF(O107=0,0,IF(O$7=0,0,IF(P107=0,0,((11-P107)))-$B$5))</f>
        <v>5</v>
      </c>
      <c r="R107" s="878">
        <f>'print 10 lane'!U106</f>
        <v>4.2754629629629626E-4</v>
      </c>
      <c r="S107" s="879">
        <f>IF(R107=0,0,IF(R$7=0,0,IF(R107&lt;1,SUM((R107&gt;I107),(R107&gt;L107),(R107&gt;O107),(R107&gt;F107),(R107&gt;U107),(R107&gt;X107),(R107&gt;AA107),(R107&gt;AD107),(R107&gt;AG107),(R107&gt;BB107)))-$AJ107))</f>
        <v>3</v>
      </c>
      <c r="T107" s="879">
        <f>IF(R107=0,0,IF(R$7=0,0,IF(S107=0,0,((11-S107)))-$B$5))</f>
        <v>4</v>
      </c>
      <c r="U107" s="878">
        <f>'print 10 lane'!X106</f>
        <v>4.7604166666666666E-4</v>
      </c>
      <c r="V107" s="879">
        <f>IF(U107=0,0,IF(U$7=0,0,IF(U107&lt;1,SUM((U107&gt;I107),(U107&gt;L107),(U107&gt;O107),(U107&gt;R107),(U107&gt;F107),(U107&gt;X107),(U107&gt;AA107),(U107&gt;AD107),(U107&gt;AG107),(U107&gt;BB107)))-$AJ107))</f>
        <v>6</v>
      </c>
      <c r="W107" s="879">
        <f>IF(U107=0,0,IF(U$7=0,0,IF(V107=0,0,((11-V107)))-$B$5))</f>
        <v>1</v>
      </c>
      <c r="X107" s="880"/>
      <c r="Y107" s="881"/>
      <c r="Z107" s="881"/>
      <c r="AA107" s="880"/>
      <c r="AB107" s="881"/>
      <c r="AC107" s="881"/>
      <c r="AD107" s="880"/>
      <c r="AE107" s="881"/>
      <c r="AF107" s="881"/>
      <c r="AG107" s="880"/>
      <c r="AH107" s="881"/>
      <c r="AI107" s="882"/>
      <c r="AJ107" s="883">
        <f>COUNTBLANK(F625:O625)</f>
        <v>4</v>
      </c>
    </row>
    <row r="108" spans="1:75" ht="30" customHeight="1" x14ac:dyDescent="0.25">
      <c r="B108" s="1349"/>
      <c r="C108" s="1333"/>
      <c r="D108" s="1348"/>
      <c r="E108" s="1350"/>
      <c r="F108" s="1351" t="str">
        <f>'print 10 lane'!I107</f>
        <v>Claudia Savov</v>
      </c>
      <c r="G108" s="1351"/>
      <c r="H108" s="1351"/>
      <c r="I108" s="1351" t="str">
        <f>'print 10 lane'!L107</f>
        <v>Annabelle Harris</v>
      </c>
      <c r="J108" s="1351"/>
      <c r="K108" s="1351"/>
      <c r="L108" s="1351" t="str">
        <f>'print 10 lane'!O107</f>
        <v>Scarlett Omand</v>
      </c>
      <c r="M108" s="1351"/>
      <c r="N108" s="1351"/>
      <c r="O108" s="1351" t="str">
        <f>'print 10 lane'!R107</f>
        <v>Chelsea Dare</v>
      </c>
      <c r="P108" s="1351"/>
      <c r="Q108" s="1351"/>
      <c r="R108" s="1351" t="str">
        <f>'print 10 lane'!U107</f>
        <v>Maisie Cooper</v>
      </c>
      <c r="S108" s="1351"/>
      <c r="T108" s="1351"/>
      <c r="U108" s="1351" t="str">
        <f>'print 10 lane'!X107</f>
        <v>Mahika Chandrashekar</v>
      </c>
      <c r="V108" s="1351"/>
      <c r="W108" s="1351"/>
      <c r="X108" s="1340"/>
      <c r="Y108" s="1340"/>
      <c r="Z108" s="1340"/>
      <c r="AA108" s="1340"/>
      <c r="AB108" s="1340"/>
      <c r="AC108" s="1340"/>
      <c r="AD108" s="1340"/>
      <c r="AE108" s="1340"/>
      <c r="AF108" s="1340"/>
      <c r="AG108" s="1341"/>
      <c r="AH108" s="1341"/>
      <c r="AI108" s="1341"/>
      <c r="AJ108" s="883"/>
    </row>
    <row r="109" spans="1:75" ht="30" customHeight="1" x14ac:dyDescent="0.25">
      <c r="B109" s="1349"/>
      <c r="C109" s="1333"/>
      <c r="D109" s="1348"/>
      <c r="E109" s="899" t="s">
        <v>5086</v>
      </c>
      <c r="F109" s="1339">
        <f>'print 10 lane'!I108</f>
        <v>0</v>
      </c>
      <c r="G109" s="1339"/>
      <c r="H109" s="1339"/>
      <c r="I109" s="1339">
        <f>'print 10 lane'!L108</f>
        <v>0</v>
      </c>
      <c r="J109" s="1339"/>
      <c r="K109" s="1339"/>
      <c r="L109" s="1339">
        <f>'print 10 lane'!O108</f>
        <v>0</v>
      </c>
      <c r="M109" s="1339"/>
      <c r="N109" s="1339"/>
      <c r="O109" s="1339">
        <f>'print 10 lane'!R108</f>
        <v>0</v>
      </c>
      <c r="P109" s="1339"/>
      <c r="Q109" s="1339"/>
      <c r="R109" s="1339">
        <f>'print 10 lane'!U108</f>
        <v>0</v>
      </c>
      <c r="S109" s="1339"/>
      <c r="T109" s="1339"/>
      <c r="U109" s="1339">
        <f>'print 10 lane'!X108</f>
        <v>0</v>
      </c>
      <c r="V109" s="1339"/>
      <c r="W109" s="1339"/>
      <c r="X109" s="1345"/>
      <c r="Y109" s="1345"/>
      <c r="Z109" s="1345"/>
      <c r="AA109" s="1345"/>
      <c r="AB109" s="1345"/>
      <c r="AC109" s="1345"/>
      <c r="AD109" s="1345"/>
      <c r="AE109" s="1345"/>
      <c r="AF109" s="1345"/>
      <c r="AG109" s="1346"/>
      <c r="AH109" s="1346"/>
      <c r="AI109" s="1346"/>
      <c r="AJ109" s="883"/>
    </row>
    <row r="110" spans="1:75" ht="30" customHeight="1" x14ac:dyDescent="0.25">
      <c r="B110" s="1349">
        <v>36</v>
      </c>
      <c r="C110" s="1343" t="s">
        <v>5087</v>
      </c>
      <c r="D110" s="1348" t="s">
        <v>5094</v>
      </c>
      <c r="E110" s="1350" t="s">
        <v>5104</v>
      </c>
      <c r="F110" s="878">
        <f>'print 10 lane'!I109</f>
        <v>5.3078703703703697E-4</v>
      </c>
      <c r="G110" s="879">
        <f>IF(F110=0,0,IF(G$6=0,0,IF(F110&lt;1,SUM((F110&gt;I110),(F110&gt;L110),(F110&gt;O110),(F110&gt;R110),(F110&gt;U110),(F110&gt;X110),(F110&gt;AA110),(F110&gt;AD110),(F110&gt;AG110),(F110&gt;BB110)))-$AJ110))</f>
        <v>6</v>
      </c>
      <c r="H110" s="879">
        <f>IF(F110=0,0,IF(G$6=0,0,IF(G110=0,0,((11-G110)))-$B$5))</f>
        <v>1</v>
      </c>
      <c r="I110" s="878">
        <f>'print 10 lane'!L109</f>
        <v>4.4502314814814817E-4</v>
      </c>
      <c r="J110" s="879">
        <f>IF(I110=0,0,IF(I$7=0,0,IF(I110&lt;1,SUM((I110&gt;L110),(I110&gt;O110),(I110&gt;R110),(I110&gt;U110),(I110&gt;X110),(I110&gt;AA110),(I110&gt;F110),(I110&gt;AD110),(I110&gt;AG110),(I110&gt;BB110)))-$AJ110))</f>
        <v>5</v>
      </c>
      <c r="K110" s="879">
        <f>IF(I110=0,0,IF(I$7=0,0,IF(J110=0,0,((11-J110)))-$B$5))</f>
        <v>2</v>
      </c>
      <c r="L110" s="878">
        <f>'print 10 lane'!O109</f>
        <v>4.4016203703703708E-4</v>
      </c>
      <c r="M110" s="879">
        <f>IF(L110=0,0,IF(L$7=0,0,IF(L110&lt;1,SUM((L110&gt;I110),(L110&gt;F110),(L110&gt;O110),(L110&gt;R110),(L110&gt;U110),(L110&gt;X110),(L110&gt;AA110),(L110&gt;AD110),(L110&gt;AG110),(L110&gt;BB110)))-$AJ110))</f>
        <v>4</v>
      </c>
      <c r="N110" s="879">
        <f>IF(L110=0,0,IF(L$7=0,0,IF(M110=0,0,((11-M110)))-$B$5))</f>
        <v>3</v>
      </c>
      <c r="O110" s="878">
        <f>'print 10 lane'!R109</f>
        <v>4.2395833333333332E-4</v>
      </c>
      <c r="P110" s="879">
        <f>IF(O110=0,0,IF(O$7=0,0,IF(O110&lt;1,SUM((O110&gt;I110),(O110&gt;L110),(O110&gt;F110),(O110&gt;R110),(O110&gt;U110),(O110&gt;X110),(O110&gt;AA110),(O110&gt;AD110),(O110&gt;AG110),(O110&gt;BB110)))-$AJ110))</f>
        <v>3</v>
      </c>
      <c r="Q110" s="879">
        <f>IF(O110=0,0,IF(O$7=0,0,IF(P110=0,0,((11-P110)))-$B$5))</f>
        <v>4</v>
      </c>
      <c r="R110" s="878">
        <f>'print 10 lane'!U109</f>
        <v>4.096064814814815E-4</v>
      </c>
      <c r="S110" s="879">
        <f>IF(R110=0,0,IF(R$7=0,0,IF(R110&lt;1,SUM((R110&gt;I110),(R110&gt;L110),(R110&gt;O110),(R110&gt;F110),(R110&gt;U110),(R110&gt;X110),(R110&gt;AA110),(R110&gt;AD110),(R110&gt;AG110),(R110&gt;BB110)))-$AJ110))</f>
        <v>1</v>
      </c>
      <c r="T110" s="879">
        <f>IF(R110=0,0,IF(R$7=0,0,IF(S110=0,0,((11-S110)))-$B$5))</f>
        <v>6</v>
      </c>
      <c r="U110" s="878">
        <f>'print 10 lane'!X109</f>
        <v>4.0983796296296292E-4</v>
      </c>
      <c r="V110" s="879">
        <f>IF(U110=0,0,IF(U$7=0,0,IF(U110&lt;1,SUM((U110&gt;I110),(U110&gt;L110),(U110&gt;O110),(U110&gt;R110),(U110&gt;F110),(U110&gt;X110),(U110&gt;AA110),(U110&gt;AD110),(U110&gt;AG110),(U110&gt;BB110)))-$AJ110))</f>
        <v>2</v>
      </c>
      <c r="W110" s="879">
        <f>IF(U110=0,0,IF(U$7=0,0,IF(V110=0,0,((11-V110)))-$B$5))</f>
        <v>5</v>
      </c>
      <c r="X110" s="880"/>
      <c r="Y110" s="881"/>
      <c r="Z110" s="881"/>
      <c r="AA110" s="880"/>
      <c r="AB110" s="881"/>
      <c r="AC110" s="881"/>
      <c r="AD110" s="880"/>
      <c r="AE110" s="881"/>
      <c r="AF110" s="881"/>
      <c r="AG110" s="880"/>
      <c r="AH110" s="881"/>
      <c r="AI110" s="882"/>
      <c r="AJ110" s="883">
        <f>COUNTBLANK(F626:O626)</f>
        <v>4</v>
      </c>
    </row>
    <row r="111" spans="1:75" ht="30" customHeight="1" x14ac:dyDescent="0.25">
      <c r="B111" s="1349"/>
      <c r="C111" s="1343"/>
      <c r="D111" s="1348"/>
      <c r="E111" s="1350"/>
      <c r="F111" s="1351" t="str">
        <f>'print 10 lane'!I110</f>
        <v>Kornel Kern-Konyar</v>
      </c>
      <c r="G111" s="1351"/>
      <c r="H111" s="1351"/>
      <c r="I111" s="1351" t="str">
        <f>'print 10 lane'!L110</f>
        <v>Alex Cash</v>
      </c>
      <c r="J111" s="1351"/>
      <c r="K111" s="1351"/>
      <c r="L111" s="1351" t="str">
        <f>'print 10 lane'!O110</f>
        <v>Fabio Giambrone</v>
      </c>
      <c r="M111" s="1351"/>
      <c r="N111" s="1351"/>
      <c r="O111" s="1351" t="str">
        <f>'print 10 lane'!R110</f>
        <v>James Mohammed</v>
      </c>
      <c r="P111" s="1351"/>
      <c r="Q111" s="1351"/>
      <c r="R111" s="1351" t="str">
        <f>'print 10 lane'!U110</f>
        <v>Braden Barnacle</v>
      </c>
      <c r="S111" s="1351"/>
      <c r="T111" s="1351"/>
      <c r="U111" s="1351" t="str">
        <f>'print 10 lane'!X110</f>
        <v>Mikhail Fedorov</v>
      </c>
      <c r="V111" s="1351"/>
      <c r="W111" s="1351"/>
      <c r="X111" s="1340"/>
      <c r="Y111" s="1340"/>
      <c r="Z111" s="1340"/>
      <c r="AA111" s="1340"/>
      <c r="AB111" s="1340"/>
      <c r="AC111" s="1340"/>
      <c r="AD111" s="1340"/>
      <c r="AE111" s="1340"/>
      <c r="AF111" s="1340"/>
      <c r="AG111" s="1341"/>
      <c r="AH111" s="1341"/>
      <c r="AI111" s="1341"/>
      <c r="AJ111" s="883"/>
    </row>
    <row r="112" spans="1:75" ht="30" customHeight="1" x14ac:dyDescent="0.25">
      <c r="B112" s="1349"/>
      <c r="C112" s="1343"/>
      <c r="D112" s="1348"/>
      <c r="E112" s="899" t="s">
        <v>5086</v>
      </c>
      <c r="F112" s="1339">
        <f>'print 10 lane'!I111</f>
        <v>0</v>
      </c>
      <c r="G112" s="1339"/>
      <c r="H112" s="1339"/>
      <c r="I112" s="1339">
        <f>'print 10 lane'!L111</f>
        <v>0</v>
      </c>
      <c r="J112" s="1339"/>
      <c r="K112" s="1339"/>
      <c r="L112" s="1339">
        <f>'print 10 lane'!O111</f>
        <v>0</v>
      </c>
      <c r="M112" s="1339"/>
      <c r="N112" s="1339"/>
      <c r="O112" s="1339">
        <f>'print 10 lane'!R111</f>
        <v>0</v>
      </c>
      <c r="P112" s="1339"/>
      <c r="Q112" s="1339"/>
      <c r="R112" s="1339">
        <f>'print 10 lane'!U111</f>
        <v>0</v>
      </c>
      <c r="S112" s="1339"/>
      <c r="T112" s="1339"/>
      <c r="U112" s="1339">
        <f>'print 10 lane'!X111</f>
        <v>0</v>
      </c>
      <c r="V112" s="1339"/>
      <c r="W112" s="1339"/>
      <c r="X112" s="1345"/>
      <c r="Y112" s="1345"/>
      <c r="Z112" s="1345"/>
      <c r="AA112" s="1345"/>
      <c r="AB112" s="1345"/>
      <c r="AC112" s="1345"/>
      <c r="AD112" s="1345"/>
      <c r="AE112" s="1345"/>
      <c r="AF112" s="1345"/>
      <c r="AG112" s="1346"/>
      <c r="AH112" s="1346"/>
      <c r="AI112" s="1346"/>
      <c r="AJ112" s="883"/>
    </row>
    <row r="113" spans="2:36" ht="30" customHeight="1" x14ac:dyDescent="0.25">
      <c r="B113" s="1349">
        <v>37</v>
      </c>
      <c r="C113" s="1333" t="s">
        <v>5083</v>
      </c>
      <c r="D113" s="1338" t="s">
        <v>5090</v>
      </c>
      <c r="E113" s="1350" t="s">
        <v>5103</v>
      </c>
      <c r="F113" s="878">
        <f>'print 10 lane'!I112</f>
        <v>8.0532407407407408E-4</v>
      </c>
      <c r="G113" s="879">
        <f>IF(F113=0,0,IF(G$6=0,0,IF(F113&lt;1,SUM((F113&gt;I113),(F113&gt;L113),(F113&gt;O113),(F113&gt;R113),(F113&gt;U113),(F113&gt;X113),(F113&gt;AA113),(F113&gt;AD113),(F113&gt;AG113),(F113&gt;BB113)))-$AJ113))</f>
        <v>3</v>
      </c>
      <c r="H113" s="879">
        <f>IF(F113=0,0,IF(G$6=0,0,IF(G113=0,0,((11-G113)))-$B$5))</f>
        <v>4</v>
      </c>
      <c r="I113" s="878">
        <f>'print 10 lane'!L112</f>
        <v>8.2650462962962962E-4</v>
      </c>
      <c r="J113" s="879">
        <f>IF(I113=0,0,IF(I$7=0,0,IF(I113&lt;1,SUM((I113&gt;L113),(I113&gt;O113),(I113&gt;R113),(I113&gt;U113),(I113&gt;X113),(I113&gt;AA113),(I113&gt;F113),(I113&gt;AD113),(I113&gt;AG113),(I113&gt;BB113)))-$AJ113))</f>
        <v>6</v>
      </c>
      <c r="K113" s="879">
        <f>IF(I113=0,0,IF(I$7=0,0,IF(J113=0,0,((11-J113)))-$B$5))</f>
        <v>1</v>
      </c>
      <c r="L113" s="878">
        <f>'print 10 lane'!O112</f>
        <v>7.6724537037037039E-4</v>
      </c>
      <c r="M113" s="879">
        <f>IF(L113=0,0,IF(L$7=0,0,IF(L113&lt;1,SUM((L113&gt;I113),(L113&gt;F113),(L113&gt;O113),(L113&gt;R113),(L113&gt;U113),(L113&gt;X113),(L113&gt;AA113),(L113&gt;AD113),(L113&gt;AG113),(L113&gt;BB113)))-$AJ113))</f>
        <v>2</v>
      </c>
      <c r="N113" s="879">
        <f>IF(L113=0,0,IF(L$7=0,0,IF(M113=0,0,((11-M113)))-$B$5))</f>
        <v>5</v>
      </c>
      <c r="O113" s="878">
        <f>'print 10 lane'!R112</f>
        <v>7.6041666666666662E-4</v>
      </c>
      <c r="P113" s="879">
        <f>IF(O113=0,0,IF(O$7=0,0,IF(O113&lt;1,SUM((O113&gt;I113),(O113&gt;L113),(O113&gt;F113),(O113&gt;R113),(O113&gt;U113),(O113&gt;X113),(O113&gt;AA113),(O113&gt;AD113),(O113&gt;AG113),(O113&gt;BB113)))-$AJ113))</f>
        <v>1</v>
      </c>
      <c r="Q113" s="879">
        <f>IF(O113=0,0,IF(O$7=0,0,IF(P113=0,0,((11-P113)))-$B$5))</f>
        <v>6</v>
      </c>
      <c r="R113" s="878">
        <f>'print 10 lane'!U112</f>
        <v>8.0844907407407395E-4</v>
      </c>
      <c r="S113" s="879">
        <f>IF(R113=0,0,IF(R$7=0,0,IF(R113&lt;1,SUM((R113&gt;I113),(R113&gt;L113),(R113&gt;O113),(R113&gt;F113),(R113&gt;U113),(R113&gt;X113),(R113&gt;AA113),(R113&gt;AD113),(R113&gt;AG113),(R113&gt;BB113)))-$AJ113))</f>
        <v>5</v>
      </c>
      <c r="T113" s="879">
        <f>IF(R113=0,0,IF(R$7=0,0,IF(S113=0,0,((11-S113)))-$B$5))</f>
        <v>2</v>
      </c>
      <c r="U113" s="878">
        <f>'print 10 lane'!X112</f>
        <v>8.0833333333333321E-4</v>
      </c>
      <c r="V113" s="879">
        <f>IF(U113=0,0,IF(U$7=0,0,IF(U113&lt;1,SUM((U113&gt;I113),(U113&gt;L113),(U113&gt;O113),(U113&gt;R113),(U113&gt;F113),(U113&gt;X113),(U113&gt;AA113),(U113&gt;AD113),(U113&gt;AG113),(U113&gt;BB113)))-$AJ113))</f>
        <v>4</v>
      </c>
      <c r="W113" s="879">
        <f>IF(U113=0,0,IF(U$7=0,0,IF(V113=0,0,((11-V113)))-$B$5))</f>
        <v>3</v>
      </c>
      <c r="X113" s="880"/>
      <c r="Y113" s="881"/>
      <c r="Z113" s="881"/>
      <c r="AA113" s="880"/>
      <c r="AB113" s="881"/>
      <c r="AC113" s="881"/>
      <c r="AD113" s="880"/>
      <c r="AE113" s="881"/>
      <c r="AF113" s="881"/>
      <c r="AG113" s="880"/>
      <c r="AH113" s="881"/>
      <c r="AI113" s="882"/>
      <c r="AJ113" s="883">
        <f>COUNTBLANK(F627:O627)</f>
        <v>4</v>
      </c>
    </row>
    <row r="114" spans="2:36" ht="30" customHeight="1" x14ac:dyDescent="0.25">
      <c r="B114" s="1349"/>
      <c r="C114" s="1333"/>
      <c r="D114" s="1338"/>
      <c r="E114" s="1350"/>
      <c r="F114" s="1351" t="str">
        <f>'print 10 lane'!I113</f>
        <v>Amy Hanson</v>
      </c>
      <c r="G114" s="1351"/>
      <c r="H114" s="1351"/>
      <c r="I114" s="1351" t="str">
        <f>'print 10 lane'!L113</f>
        <v>Gracie Fleming-Jacobs</v>
      </c>
      <c r="J114" s="1351"/>
      <c r="K114" s="1351"/>
      <c r="L114" s="1351" t="str">
        <f>'print 10 lane'!O113</f>
        <v>Mia Nelson</v>
      </c>
      <c r="M114" s="1351"/>
      <c r="N114" s="1351"/>
      <c r="O114" s="1351" t="str">
        <f>'print 10 lane'!R113</f>
        <v>Annabella Cojeen</v>
      </c>
      <c r="P114" s="1351"/>
      <c r="Q114" s="1351"/>
      <c r="R114" s="1351" t="str">
        <f>'print 10 lane'!U113</f>
        <v>Aimee Baker</v>
      </c>
      <c r="S114" s="1351"/>
      <c r="T114" s="1351"/>
      <c r="U114" s="1351" t="str">
        <f>'print 10 lane'!X113</f>
        <v>Polina Fedorova</v>
      </c>
      <c r="V114" s="1351"/>
      <c r="W114" s="1351"/>
      <c r="X114" s="1340"/>
      <c r="Y114" s="1340"/>
      <c r="Z114" s="1340"/>
      <c r="AA114" s="1340"/>
      <c r="AB114" s="1340"/>
      <c r="AC114" s="1340"/>
      <c r="AD114" s="1340"/>
      <c r="AE114" s="1340"/>
      <c r="AF114" s="1340"/>
      <c r="AG114" s="1341"/>
      <c r="AH114" s="1341"/>
      <c r="AI114" s="1341"/>
      <c r="AJ114" s="883"/>
    </row>
    <row r="115" spans="2:36" ht="30" customHeight="1" x14ac:dyDescent="0.25">
      <c r="B115" s="1349"/>
      <c r="C115" s="1333"/>
      <c r="D115" s="1338"/>
      <c r="E115" s="899" t="s">
        <v>5086</v>
      </c>
      <c r="F115" s="1339">
        <f>'print 10 lane'!I114</f>
        <v>0</v>
      </c>
      <c r="G115" s="1339"/>
      <c r="H115" s="1339"/>
      <c r="I115" s="1339">
        <f>'print 10 lane'!L114</f>
        <v>0</v>
      </c>
      <c r="J115" s="1339"/>
      <c r="K115" s="1339"/>
      <c r="L115" s="1339">
        <f>'print 10 lane'!O114</f>
        <v>0</v>
      </c>
      <c r="M115" s="1339"/>
      <c r="N115" s="1339"/>
      <c r="O115" s="1339">
        <f>'print 10 lane'!R114</f>
        <v>0</v>
      </c>
      <c r="P115" s="1339"/>
      <c r="Q115" s="1339"/>
      <c r="R115" s="1339">
        <f>'print 10 lane'!U114</f>
        <v>0</v>
      </c>
      <c r="S115" s="1339"/>
      <c r="T115" s="1339"/>
      <c r="U115" s="1339">
        <f>'print 10 lane'!X114</f>
        <v>0</v>
      </c>
      <c r="V115" s="1339"/>
      <c r="W115" s="1339"/>
      <c r="X115" s="1345"/>
      <c r="Y115" s="1345"/>
      <c r="Z115" s="1345"/>
      <c r="AA115" s="1345"/>
      <c r="AB115" s="1345"/>
      <c r="AC115" s="1345"/>
      <c r="AD115" s="1345"/>
      <c r="AE115" s="1345"/>
      <c r="AF115" s="1345"/>
      <c r="AG115" s="1346"/>
      <c r="AH115" s="1346"/>
      <c r="AI115" s="1346"/>
      <c r="AJ115" s="883"/>
    </row>
    <row r="116" spans="2:36" ht="30" customHeight="1" x14ac:dyDescent="0.25">
      <c r="B116" s="1349">
        <v>38</v>
      </c>
      <c r="C116" s="1343" t="s">
        <v>5087</v>
      </c>
      <c r="D116" s="1338" t="s">
        <v>5090</v>
      </c>
      <c r="E116" s="1350" t="s">
        <v>5103</v>
      </c>
      <c r="F116" s="878">
        <f>'print 10 lane'!I115</f>
        <v>7.5578703703703702E-4</v>
      </c>
      <c r="G116" s="879">
        <f>IF(F116=0,0,IF(G$6=0,0,IF(F116&lt;1,SUM((F116&gt;I116),(F116&gt;L116),(F116&gt;O116),(F116&gt;R116),(F116&gt;U116),(F116&gt;X116),(F116&gt;AA116),(F116&gt;AD116),(F116&gt;AG116),(F116&gt;BB116)))-$AJ116))</f>
        <v>2</v>
      </c>
      <c r="H116" s="879">
        <f>IF(F116=0,0,IF(G$6=0,0,IF(G116=0,0,((11-G116)))-$B$5))</f>
        <v>5</v>
      </c>
      <c r="I116" s="878">
        <f>'print 10 lane'!L115</f>
        <v>7.6261574074074079E-4</v>
      </c>
      <c r="J116" s="879">
        <f>IF(I116=0,0,IF(I$7=0,0,IF(I116&lt;1,SUM((I116&gt;L116),(I116&gt;O116),(I116&gt;R116),(I116&gt;U116),(I116&gt;X116),(I116&gt;AA116),(I116&gt;F116),(I116&gt;AD116),(I116&gt;AG116),(I116&gt;BB116)))-$AJ116))</f>
        <v>3</v>
      </c>
      <c r="K116" s="879">
        <f>IF(I116=0,0,IF(I$7=0,0,IF(J116=0,0,((11-J116)))-$B$5))</f>
        <v>4</v>
      </c>
      <c r="L116" s="878">
        <f>'print 10 lane'!O115</f>
        <v>7.693287037037036E-4</v>
      </c>
      <c r="M116" s="879">
        <f>IF(L116=0,0,IF(L$7=0,0,IF(L116&lt;1,SUM((L116&gt;I116),(L116&gt;F116),(L116&gt;O116),(L116&gt;R116),(L116&gt;U116),(L116&gt;X116),(L116&gt;AA116),(L116&gt;AD116),(L116&gt;AG116),(L116&gt;BB116)))-$AJ116))</f>
        <v>4</v>
      </c>
      <c r="N116" s="879">
        <f>IF(L116=0,0,IF(L$7=0,0,IF(M116=0,0,((11-M116)))-$B$5))</f>
        <v>3</v>
      </c>
      <c r="O116" s="878">
        <f>'print 10 lane'!R115</f>
        <v>8.0902777777777787E-4</v>
      </c>
      <c r="P116" s="879">
        <f>IF(O116=0,0,IF(O$7=0,0,IF(O116&lt;1,SUM((O116&gt;I116),(O116&gt;L116),(O116&gt;F116),(O116&gt;R116),(O116&gt;U116),(O116&gt;X116),(O116&gt;AA116),(O116&gt;AD116),(O116&gt;AG116),(O116&gt;BB116)))-$AJ116))</f>
        <v>5</v>
      </c>
      <c r="Q116" s="879">
        <f>IF(O116=0,0,IF(O$7=0,0,IF(P116=0,0,((11-P116)))-$B$5))</f>
        <v>2</v>
      </c>
      <c r="R116" s="878">
        <f>'print 10 lane'!U115</f>
        <v>9.4976851851851852E-4</v>
      </c>
      <c r="S116" s="879">
        <f>IF(R116=0,0,IF(R$7=0,0,IF(R116&lt;1,SUM((R116&gt;I116),(R116&gt;L116),(R116&gt;O116),(R116&gt;F116),(R116&gt;U116),(R116&gt;X116),(R116&gt;AA116),(R116&gt;AD116),(R116&gt;AG116),(R116&gt;BB116)))-$AJ116))</f>
        <v>6</v>
      </c>
      <c r="T116" s="879">
        <f>IF(R116=0,0,IF(R$7=0,0,IF(S116=0,0,((11-S116)))-$B$5))</f>
        <v>1</v>
      </c>
      <c r="U116" s="878">
        <f>'print 10 lane'!X115</f>
        <v>7.1898148148148158E-4</v>
      </c>
      <c r="V116" s="879">
        <f>IF(U116=0,0,IF(U$7=0,0,IF(U116&lt;1,SUM((U116&gt;I116),(U116&gt;L116),(U116&gt;O116),(U116&gt;R116),(U116&gt;F116),(U116&gt;X116),(U116&gt;AA116),(U116&gt;AD116),(U116&gt;AG116),(U116&gt;BB116)))-$AJ116))</f>
        <v>1</v>
      </c>
      <c r="W116" s="879">
        <f>IF(U116=0,0,IF(U$7=0,0,IF(V116=0,0,((11-V116)))-$B$5))</f>
        <v>6</v>
      </c>
      <c r="X116" s="880"/>
      <c r="Y116" s="881"/>
      <c r="Z116" s="881"/>
      <c r="AA116" s="880"/>
      <c r="AB116" s="881"/>
      <c r="AC116" s="881"/>
      <c r="AD116" s="880"/>
      <c r="AE116" s="881"/>
      <c r="AF116" s="881"/>
      <c r="AG116" s="880"/>
      <c r="AH116" s="881"/>
      <c r="AI116" s="882"/>
      <c r="AJ116" s="883">
        <f>COUNTBLANK(F628:O628)</f>
        <v>4</v>
      </c>
    </row>
    <row r="117" spans="2:36" ht="30" customHeight="1" x14ac:dyDescent="0.25">
      <c r="B117" s="1349"/>
      <c r="C117" s="1343"/>
      <c r="D117" s="1338"/>
      <c r="E117" s="1350"/>
      <c r="F117" s="1351" t="str">
        <f>'print 10 lane'!I116</f>
        <v>Yigit Ilhan</v>
      </c>
      <c r="G117" s="1351"/>
      <c r="H117" s="1351"/>
      <c r="I117" s="1351" t="str">
        <f>'print 10 lane'!L116</f>
        <v>Joseph Bagshaw</v>
      </c>
      <c r="J117" s="1351"/>
      <c r="K117" s="1351"/>
      <c r="L117" s="1351" t="str">
        <f>'print 10 lane'!O116</f>
        <v>Mikhail Zharinov</v>
      </c>
      <c r="M117" s="1351"/>
      <c r="N117" s="1351"/>
      <c r="O117" s="1351" t="str">
        <f>'print 10 lane'!R116</f>
        <v>Riley Bunce</v>
      </c>
      <c r="P117" s="1351"/>
      <c r="Q117" s="1351"/>
      <c r="R117" s="1351" t="str">
        <f>'print 10 lane'!U116</f>
        <v>Mohammed Malek</v>
      </c>
      <c r="S117" s="1351"/>
      <c r="T117" s="1351"/>
      <c r="U117" s="1351" t="str">
        <f>'print 10 lane'!X116</f>
        <v>Gert  Zeqiri</v>
      </c>
      <c r="V117" s="1351"/>
      <c r="W117" s="1351"/>
      <c r="X117" s="1340"/>
      <c r="Y117" s="1340"/>
      <c r="Z117" s="1340"/>
      <c r="AA117" s="1340"/>
      <c r="AB117" s="1340"/>
      <c r="AC117" s="1340"/>
      <c r="AD117" s="1340"/>
      <c r="AE117" s="1340"/>
      <c r="AF117" s="1340"/>
      <c r="AG117" s="1341"/>
      <c r="AH117" s="1341"/>
      <c r="AI117" s="1341"/>
      <c r="AJ117" s="883"/>
    </row>
    <row r="118" spans="2:36" ht="30" customHeight="1" x14ac:dyDescent="0.25">
      <c r="B118" s="1349"/>
      <c r="C118" s="1343"/>
      <c r="D118" s="1338"/>
      <c r="E118" s="899" t="s">
        <v>5086</v>
      </c>
      <c r="F118" s="1339">
        <f>'print 10 lane'!I117</f>
        <v>0</v>
      </c>
      <c r="G118" s="1339"/>
      <c r="H118" s="1339"/>
      <c r="I118" s="1339">
        <f>'print 10 lane'!L117</f>
        <v>0</v>
      </c>
      <c r="J118" s="1339"/>
      <c r="K118" s="1339"/>
      <c r="L118" s="1339">
        <f>'print 10 lane'!O117</f>
        <v>0</v>
      </c>
      <c r="M118" s="1339"/>
      <c r="N118" s="1339"/>
      <c r="O118" s="1339">
        <f>'print 10 lane'!R117</f>
        <v>0</v>
      </c>
      <c r="P118" s="1339"/>
      <c r="Q118" s="1339"/>
      <c r="R118" s="1339">
        <f>'print 10 lane'!U117</f>
        <v>0</v>
      </c>
      <c r="S118" s="1339"/>
      <c r="T118" s="1339"/>
      <c r="U118" s="1339">
        <f>'print 10 lane'!X117</f>
        <v>0</v>
      </c>
      <c r="V118" s="1339"/>
      <c r="W118" s="1339"/>
      <c r="X118" s="1345"/>
      <c r="Y118" s="1345"/>
      <c r="Z118" s="1345"/>
      <c r="AA118" s="1345"/>
      <c r="AB118" s="1345"/>
      <c r="AC118" s="1345"/>
      <c r="AD118" s="1345"/>
      <c r="AE118" s="1345"/>
      <c r="AF118" s="1345"/>
      <c r="AG118" s="1346"/>
      <c r="AH118" s="1346"/>
      <c r="AI118" s="1346"/>
      <c r="AJ118" s="883"/>
    </row>
    <row r="119" spans="2:36" ht="30" customHeight="1" x14ac:dyDescent="0.25">
      <c r="B119" s="1349">
        <v>39</v>
      </c>
      <c r="C119" s="1333" t="s">
        <v>5083</v>
      </c>
      <c r="D119" s="1338" t="s">
        <v>5092</v>
      </c>
      <c r="E119" s="1350" t="s">
        <v>5097</v>
      </c>
      <c r="F119" s="878">
        <f>'print 10 lane'!I118</f>
        <v>1.0129629629629631E-3</v>
      </c>
      <c r="G119" s="879">
        <f>IF(F119=0,0,IF(G$6=0,0,IF(F119&lt;1,SUM((F119&gt;I119),(F119&gt;L119),(F119&gt;O119),(F119&gt;R119),(F119&gt;U119),(F119&gt;X119),(F119&gt;AA119),(F119&gt;AD119),(F119&gt;AG119),(F119&gt;BB119)))-$AJ119))</f>
        <v>4</v>
      </c>
      <c r="H119" s="879">
        <f>IF(F119=0,0,IF(G$6=0,0,IF(G119=0,0,((11-G119)))-$B$5))</f>
        <v>3</v>
      </c>
      <c r="I119" s="878">
        <f>'print 10 lane'!L118</f>
        <v>1.0931712962962963E-3</v>
      </c>
      <c r="J119" s="879">
        <f>IF(I119=0,0,IF(I$7=0,0,IF(I119&lt;1,SUM((I119&gt;L119),(I119&gt;O119),(I119&gt;R119),(I119&gt;U119),(I119&gt;X119),(I119&gt;AA119),(I119&gt;F119),(I119&gt;AD119),(I119&gt;AG119),(I119&gt;BB119)))-$AJ119))</f>
        <v>6</v>
      </c>
      <c r="K119" s="879">
        <f>IF(I119=0,0,IF(I$7=0,0,IF(J119=0,0,((11-J119)))-$B$5))</f>
        <v>1</v>
      </c>
      <c r="L119" s="878">
        <f>'print 10 lane'!O118</f>
        <v>9.5104166666666655E-4</v>
      </c>
      <c r="M119" s="879">
        <f>IF(L119=0,0,IF(L$7=0,0,IF(L119&lt;1,SUM((L119&gt;I119),(L119&gt;F119),(L119&gt;O119),(L119&gt;R119),(L119&gt;U119),(L119&gt;X119),(L119&gt;AA119),(L119&gt;AD119),(L119&gt;AG119),(L119&gt;BB119)))-$AJ119))</f>
        <v>2</v>
      </c>
      <c r="N119" s="879">
        <f>IF(L119=0,0,IF(L$7=0,0,IF(M119=0,0,((11-M119)))-$B$5))</f>
        <v>5</v>
      </c>
      <c r="O119" s="878">
        <f>'print 10 lane'!R118</f>
        <v>1.0902777777777779E-3</v>
      </c>
      <c r="P119" s="879">
        <f>IF(O119=0,0,IF(O$7=0,0,IF(O119&lt;1,SUM((O119&gt;I119),(O119&gt;L119),(O119&gt;F119),(O119&gt;R119),(O119&gt;U119),(O119&gt;X119),(O119&gt;AA119),(O119&gt;AD119),(O119&gt;AG119),(O119&gt;BB119)))-$AJ119))</f>
        <v>5</v>
      </c>
      <c r="Q119" s="879">
        <f>IF(O119=0,0,IF(O$7=0,0,IF(P119=0,0,((11-P119)))-$B$5))</f>
        <v>2</v>
      </c>
      <c r="R119" s="878">
        <f>'print 10 lane'!U118</f>
        <v>9.3217592592592603E-4</v>
      </c>
      <c r="S119" s="879">
        <f>IF(R119=0,0,IF(R$7=0,0,IF(R119&lt;1,SUM((R119&gt;I119),(R119&gt;L119),(R119&gt;O119),(R119&gt;F119),(R119&gt;U119),(R119&gt;X119),(R119&gt;AA119),(R119&gt;AD119),(R119&gt;AG119),(R119&gt;BB119)))-$AJ119))</f>
        <v>1</v>
      </c>
      <c r="T119" s="879">
        <f>IF(R119=0,0,IF(R$7=0,0,IF(S119=0,0,((11-S119)))-$B$5))</f>
        <v>6</v>
      </c>
      <c r="U119" s="878">
        <f>'print 10 lane'!X118</f>
        <v>9.9178240740740759E-4</v>
      </c>
      <c r="V119" s="879">
        <f>IF(U119=0,0,IF(U$7=0,0,IF(U119&lt;1,SUM((U119&gt;I119),(U119&gt;L119),(U119&gt;O119),(U119&gt;R119),(U119&gt;F119),(U119&gt;X119),(U119&gt;AA119),(U119&gt;AD119),(U119&gt;AG119),(U119&gt;BB119)))-$AJ119))</f>
        <v>3</v>
      </c>
      <c r="W119" s="879">
        <f>IF(U119=0,0,IF(U$7=0,0,IF(V119=0,0,((11-V119)))-$B$5))</f>
        <v>4</v>
      </c>
      <c r="X119" s="880"/>
      <c r="Y119" s="881"/>
      <c r="Z119" s="881"/>
      <c r="AA119" s="880"/>
      <c r="AB119" s="881"/>
      <c r="AC119" s="881"/>
      <c r="AD119" s="880"/>
      <c r="AE119" s="881"/>
      <c r="AF119" s="881"/>
      <c r="AG119" s="880"/>
      <c r="AH119" s="881"/>
      <c r="AI119" s="882"/>
      <c r="AJ119" s="883">
        <f>COUNTBLANK(F629:O629)</f>
        <v>4</v>
      </c>
    </row>
    <row r="120" spans="2:36" ht="30" customHeight="1" x14ac:dyDescent="0.25">
      <c r="B120" s="1349"/>
      <c r="C120" s="1333"/>
      <c r="D120" s="1338"/>
      <c r="E120" s="1350"/>
      <c r="F120" s="1351" t="str">
        <f>'print 10 lane'!I119</f>
        <v>Taisia Flury</v>
      </c>
      <c r="G120" s="1351"/>
      <c r="H120" s="1351"/>
      <c r="I120" s="1351" t="str">
        <f>'print 10 lane'!L119</f>
        <v>Daisy Harradine</v>
      </c>
      <c r="J120" s="1351"/>
      <c r="K120" s="1351"/>
      <c r="L120" s="1351" t="str">
        <f>'print 10 lane'!O119</f>
        <v>Molly Bartup</v>
      </c>
      <c r="M120" s="1351"/>
      <c r="N120" s="1351"/>
      <c r="O120" s="1351" t="str">
        <f>'print 10 lane'!R119</f>
        <v>Zahra Waller</v>
      </c>
      <c r="P120" s="1351"/>
      <c r="Q120" s="1351"/>
      <c r="R120" s="1351" t="str">
        <f>'print 10 lane'!U119</f>
        <v>Hollie Heighes</v>
      </c>
      <c r="S120" s="1351"/>
      <c r="T120" s="1351"/>
      <c r="U120" s="1351" t="str">
        <f>'print 10 lane'!X119</f>
        <v>Mina Safahe</v>
      </c>
      <c r="V120" s="1351"/>
      <c r="W120" s="1351"/>
      <c r="X120" s="1340"/>
      <c r="Y120" s="1340"/>
      <c r="Z120" s="1340"/>
      <c r="AA120" s="1340"/>
      <c r="AB120" s="1340"/>
      <c r="AC120" s="1340"/>
      <c r="AD120" s="1340"/>
      <c r="AE120" s="1340"/>
      <c r="AF120" s="1340"/>
      <c r="AG120" s="1341"/>
      <c r="AH120" s="1341"/>
      <c r="AI120" s="1341"/>
      <c r="AJ120" s="883"/>
    </row>
    <row r="121" spans="2:36" ht="30" customHeight="1" x14ac:dyDescent="0.25">
      <c r="B121" s="1349"/>
      <c r="C121" s="1333"/>
      <c r="D121" s="1338"/>
      <c r="E121" s="899" t="s">
        <v>5086</v>
      </c>
      <c r="F121" s="1339">
        <f>'print 10 lane'!I120</f>
        <v>0</v>
      </c>
      <c r="G121" s="1339"/>
      <c r="H121" s="1339"/>
      <c r="I121" s="1339">
        <f>'print 10 lane'!L120</f>
        <v>0</v>
      </c>
      <c r="J121" s="1339"/>
      <c r="K121" s="1339"/>
      <c r="L121" s="1339">
        <f>'print 10 lane'!O120</f>
        <v>0</v>
      </c>
      <c r="M121" s="1339"/>
      <c r="N121" s="1339"/>
      <c r="O121" s="1339">
        <f>'print 10 lane'!R120</f>
        <v>0</v>
      </c>
      <c r="P121" s="1339"/>
      <c r="Q121" s="1339"/>
      <c r="R121" s="1339">
        <f>'print 10 lane'!U120</f>
        <v>0</v>
      </c>
      <c r="S121" s="1339"/>
      <c r="T121" s="1339"/>
      <c r="U121" s="1339">
        <f>'print 10 lane'!X120</f>
        <v>0</v>
      </c>
      <c r="V121" s="1339"/>
      <c r="W121" s="1339"/>
      <c r="X121" s="1345"/>
      <c r="Y121" s="1345"/>
      <c r="Z121" s="1345"/>
      <c r="AA121" s="1345"/>
      <c r="AB121" s="1345"/>
      <c r="AC121" s="1345"/>
      <c r="AD121" s="1345"/>
      <c r="AE121" s="1345"/>
      <c r="AF121" s="1345"/>
      <c r="AG121" s="1346"/>
      <c r="AH121" s="1346"/>
      <c r="AI121" s="1346"/>
      <c r="AJ121" s="883"/>
    </row>
    <row r="122" spans="2:36" ht="30" customHeight="1" x14ac:dyDescent="0.25">
      <c r="B122" s="1349">
        <v>40</v>
      </c>
      <c r="C122" s="1343" t="s">
        <v>5087</v>
      </c>
      <c r="D122" s="1338" t="s">
        <v>5092</v>
      </c>
      <c r="E122" s="1350" t="s">
        <v>5097</v>
      </c>
      <c r="F122" s="878">
        <f>'print 10 lane'!I121</f>
        <v>1.0069444444444444E-3</v>
      </c>
      <c r="G122" s="879">
        <f>IF(F122=0,0,IF(G$6=0,0,IF(F122&lt;1,SUM((F122&gt;I122),(F122&gt;L122),(F122&gt;O122),(F122&gt;R122),(F122&gt;U122),(F122&gt;X122),(F122&gt;AA122),(F122&gt;AD122),(F122&gt;AG122),(F122&gt;BB122)))-$AJ122))</f>
        <v>6</v>
      </c>
      <c r="H122" s="879">
        <f>IF(F122=0,0,IF(G$6=0,0,IF(G122=0,0,((11-G122)))-$B$5))</f>
        <v>1</v>
      </c>
      <c r="I122" s="878">
        <f>'print 10 lane'!L121</f>
        <v>9.3819444444444451E-4</v>
      </c>
      <c r="J122" s="879">
        <f>IF(I122=0,0,IF(I$7=0,0,IF(I122&lt;1,SUM((I122&gt;L122),(I122&gt;O122),(I122&gt;R122),(I122&gt;U122),(I122&gt;X122),(I122&gt;AA122),(I122&gt;F122),(I122&gt;AD122),(I122&gt;AG122),(I122&gt;BB122)))-$AJ122))</f>
        <v>5</v>
      </c>
      <c r="K122" s="879">
        <f>IF(I122=0,0,IF(I$7=0,0,IF(J122=0,0,((11-J122)))-$B$5))</f>
        <v>2</v>
      </c>
      <c r="L122" s="878">
        <f>'print 10 lane'!O121</f>
        <v>9.0844907407407411E-4</v>
      </c>
      <c r="M122" s="879">
        <f>IF(L122=0,0,IF(L$7=0,0,IF(L122&lt;1,SUM((L122&gt;I122),(L122&gt;F122),(L122&gt;O122),(L122&gt;R122),(L122&gt;U122),(L122&gt;X122),(L122&gt;AA122),(L122&gt;AD122),(L122&gt;AG122),(L122&gt;BB122)))-$AJ122))</f>
        <v>3</v>
      </c>
      <c r="N122" s="879">
        <f>IF(L122=0,0,IF(L$7=0,0,IF(M122=0,0,((11-M122)))-$B$5))</f>
        <v>4</v>
      </c>
      <c r="O122" s="878">
        <f>'print 10 lane'!R121</f>
        <v>9.0567129629629635E-4</v>
      </c>
      <c r="P122" s="879">
        <f>IF(O122=0,0,IF(O$7=0,0,IF(O122&lt;1,SUM((O122&gt;I122),(O122&gt;L122),(O122&gt;F122),(O122&gt;R122),(O122&gt;U122),(O122&gt;X122),(O122&gt;AA122),(O122&gt;AD122),(O122&gt;AG122),(O122&gt;BB122)))-$AJ122))</f>
        <v>1</v>
      </c>
      <c r="Q122" s="879">
        <f>IF(O122=0,0,IF(O$7=0,0,IF(P122=0,0,((11-P122)))-$B$5))</f>
        <v>6</v>
      </c>
      <c r="R122" s="878">
        <f>'print 10 lane'!U121</f>
        <v>9.0636574074074068E-4</v>
      </c>
      <c r="S122" s="879">
        <f>IF(R122=0,0,IF(R$7=0,0,IF(R122&lt;1,SUM((R122&gt;I122),(R122&gt;L122),(R122&gt;O122),(R122&gt;F122),(R122&gt;U122),(R122&gt;X122),(R122&gt;AA122),(R122&gt;AD122),(R122&gt;AG122),(R122&gt;BB122)))-$AJ122))</f>
        <v>2</v>
      </c>
      <c r="T122" s="879">
        <f>IF(R122=0,0,IF(R$7=0,0,IF(S122=0,0,((11-S122)))-$B$5))</f>
        <v>5</v>
      </c>
      <c r="U122" s="878">
        <f>'print 10 lane'!X121</f>
        <v>9.1944444444444452E-4</v>
      </c>
      <c r="V122" s="879">
        <f>IF(U122=0,0,IF(U$7=0,0,IF(U122&lt;1,SUM((U122&gt;I122),(U122&gt;L122),(U122&gt;O122),(U122&gt;R122),(U122&gt;F122),(U122&gt;X122),(U122&gt;AA122),(U122&gt;AD122),(U122&gt;AG122),(U122&gt;BB122)))-$AJ122))</f>
        <v>4</v>
      </c>
      <c r="W122" s="879">
        <f>IF(U122=0,0,IF(U$7=0,0,IF(V122=0,0,((11-V122)))-$B$5))</f>
        <v>3</v>
      </c>
      <c r="X122" s="880"/>
      <c r="Y122" s="881"/>
      <c r="Z122" s="881"/>
      <c r="AA122" s="880"/>
      <c r="AB122" s="881"/>
      <c r="AC122" s="881"/>
      <c r="AD122" s="880"/>
      <c r="AE122" s="881"/>
      <c r="AF122" s="881"/>
      <c r="AG122" s="880"/>
      <c r="AH122" s="881"/>
      <c r="AI122" s="882"/>
      <c r="AJ122" s="883">
        <f>COUNTBLANK(F630:O630)</f>
        <v>4</v>
      </c>
    </row>
    <row r="123" spans="2:36" ht="30" customHeight="1" x14ac:dyDescent="0.25">
      <c r="B123" s="1349"/>
      <c r="C123" s="1343"/>
      <c r="D123" s="1338"/>
      <c r="E123" s="1350"/>
      <c r="F123" s="1351" t="str">
        <f>'print 10 lane'!I122</f>
        <v>Michael Manassero</v>
      </c>
      <c r="G123" s="1351"/>
      <c r="H123" s="1351"/>
      <c r="I123" s="1351" t="str">
        <f>'print 10 lane'!L122</f>
        <v>Samuel Heraty</v>
      </c>
      <c r="J123" s="1351"/>
      <c r="K123" s="1351"/>
      <c r="L123" s="1351" t="str">
        <f>'print 10 lane'!O122</f>
        <v>Theo Smith</v>
      </c>
      <c r="M123" s="1351"/>
      <c r="N123" s="1351"/>
      <c r="O123" s="1351" t="str">
        <f>'print 10 lane'!R122</f>
        <v>Rafi Gibson</v>
      </c>
      <c r="P123" s="1351"/>
      <c r="Q123" s="1351"/>
      <c r="R123" s="1351" t="str">
        <f>'print 10 lane'!U122</f>
        <v>Nathaniel Coburn</v>
      </c>
      <c r="S123" s="1351"/>
      <c r="T123" s="1351"/>
      <c r="U123" s="1351" t="str">
        <f>'print 10 lane'!X122</f>
        <v>Gabriel Rebelo</v>
      </c>
      <c r="V123" s="1351"/>
      <c r="W123" s="1351"/>
      <c r="X123" s="1340"/>
      <c r="Y123" s="1340"/>
      <c r="Z123" s="1340"/>
      <c r="AA123" s="1340"/>
      <c r="AB123" s="1340"/>
      <c r="AC123" s="1340"/>
      <c r="AD123" s="1340"/>
      <c r="AE123" s="1340"/>
      <c r="AF123" s="1340"/>
      <c r="AG123" s="1341"/>
      <c r="AH123" s="1341"/>
      <c r="AI123" s="1341"/>
      <c r="AJ123" s="883"/>
    </row>
    <row r="124" spans="2:36" ht="30" customHeight="1" x14ac:dyDescent="0.25">
      <c r="B124" s="1349"/>
      <c r="C124" s="1343"/>
      <c r="D124" s="1338"/>
      <c r="E124" s="899" t="s">
        <v>5086</v>
      </c>
      <c r="F124" s="1339">
        <f>'print 10 lane'!I123</f>
        <v>0</v>
      </c>
      <c r="G124" s="1339"/>
      <c r="H124" s="1339"/>
      <c r="I124" s="1339">
        <f>'print 10 lane'!L123</f>
        <v>0</v>
      </c>
      <c r="J124" s="1339"/>
      <c r="K124" s="1339"/>
      <c r="L124" s="1339">
        <f>'print 10 lane'!O123</f>
        <v>0</v>
      </c>
      <c r="M124" s="1339"/>
      <c r="N124" s="1339"/>
      <c r="O124" s="1339">
        <f>'print 10 lane'!R123</f>
        <v>0</v>
      </c>
      <c r="P124" s="1339"/>
      <c r="Q124" s="1339"/>
      <c r="R124" s="1339">
        <f>'print 10 lane'!U123</f>
        <v>0</v>
      </c>
      <c r="S124" s="1339"/>
      <c r="T124" s="1339"/>
      <c r="U124" s="1339">
        <f>'print 10 lane'!X123</f>
        <v>0</v>
      </c>
      <c r="V124" s="1339"/>
      <c r="W124" s="1339"/>
      <c r="X124" s="1345"/>
      <c r="Y124" s="1345"/>
      <c r="Z124" s="1345"/>
      <c r="AA124" s="1345"/>
      <c r="AB124" s="1345"/>
      <c r="AC124" s="1345"/>
      <c r="AD124" s="1345"/>
      <c r="AE124" s="1345"/>
      <c r="AF124" s="1345"/>
      <c r="AG124" s="1346"/>
      <c r="AH124" s="1346"/>
      <c r="AI124" s="1346"/>
      <c r="AJ124" s="883"/>
    </row>
    <row r="125" spans="2:36" ht="30" customHeight="1" x14ac:dyDescent="0.25">
      <c r="B125" s="1349">
        <v>41</v>
      </c>
      <c r="C125" s="1333" t="s">
        <v>5083</v>
      </c>
      <c r="D125" s="1338" t="s">
        <v>5093</v>
      </c>
      <c r="E125" s="1350" t="s">
        <v>5103</v>
      </c>
      <c r="F125" s="878">
        <f>'print 10 lane'!I124</f>
        <v>7.4201388888888884E-4</v>
      </c>
      <c r="G125" s="879">
        <f>IF(F125=0,0,IF(G$6=0,0,IF(F125&lt;1,SUM((F125&gt;I125),(F125&gt;L125),(F125&gt;O125),(F125&gt;R125),(F125&gt;U125),(F125&gt;X125),(F125&gt;AA125),(F125&gt;AD125),(F125&gt;AG125),(F125&gt;BB125)))-$AJ125))</f>
        <v>1</v>
      </c>
      <c r="H125" s="879">
        <f>IF(F125=0,0,IF(G$6=0,0,IF(G125=0,0,((11-G125)))-$B$5))</f>
        <v>6</v>
      </c>
      <c r="I125" s="878">
        <f>'print 10 lane'!L124</f>
        <v>7.799768518518519E-4</v>
      </c>
      <c r="J125" s="879">
        <f>IF(I125=0,0,IF(I$7=0,0,IF(I125&lt;1,SUM((I125&gt;L125),(I125&gt;O125),(I125&gt;R125),(I125&gt;U125),(I125&gt;X125),(I125&gt;AA125),(I125&gt;F125),(I125&gt;AD125),(I125&gt;AG125),(I125&gt;BB125)))-$AJ125))</f>
        <v>6</v>
      </c>
      <c r="K125" s="879">
        <f>IF(I125=0,0,IF(I$7=0,0,IF(J125=0,0,((11-J125)))-$B$5))</f>
        <v>1</v>
      </c>
      <c r="L125" s="878">
        <f>'print 10 lane'!O124</f>
        <v>7.7418981481481479E-4</v>
      </c>
      <c r="M125" s="879">
        <f>IF(L125=0,0,IF(L$7=0,0,IF(L125&lt;1,SUM((L125&gt;I125),(L125&gt;F125),(L125&gt;O125),(L125&gt;R125),(L125&gt;U125),(L125&gt;X125),(L125&gt;AA125),(L125&gt;AD125),(L125&gt;AG125),(L125&gt;BB125)))-$AJ125))</f>
        <v>5</v>
      </c>
      <c r="N125" s="879">
        <f>IF(L125=0,0,IF(L$7=0,0,IF(M125=0,0,((11-M125)))-$B$5))</f>
        <v>2</v>
      </c>
      <c r="O125" s="878">
        <f>'print 10 lane'!R124</f>
        <v>7.6076388888888884E-4</v>
      </c>
      <c r="P125" s="879">
        <f>IF(O125=0,0,IF(O$7=0,0,IF(O125&lt;1,SUM((O125&gt;I125),(O125&gt;L125),(O125&gt;F125),(O125&gt;R125),(O125&gt;U125),(O125&gt;X125),(O125&gt;AA125),(O125&gt;AD125),(O125&gt;AG125),(O125&gt;BB125)))-$AJ125))</f>
        <v>2</v>
      </c>
      <c r="Q125" s="879">
        <f>IF(O125=0,0,IF(O$7=0,0,IF(P125=0,0,((11-P125)))-$B$5))</f>
        <v>5</v>
      </c>
      <c r="R125" s="878">
        <f>'print 10 lane'!U124</f>
        <v>7.618055555555555E-4</v>
      </c>
      <c r="S125" s="879">
        <f>IF(R125=0,0,IF(R$7=0,0,IF(R125&lt;1,SUM((R125&gt;I125),(R125&gt;L125),(R125&gt;O125),(R125&gt;F125),(R125&gt;U125),(R125&gt;X125),(R125&gt;AA125),(R125&gt;AD125),(R125&gt;AG125),(R125&gt;BB125)))-$AJ125))</f>
        <v>3</v>
      </c>
      <c r="T125" s="879">
        <f>IF(R125=0,0,IF(R$7=0,0,IF(S125=0,0,((11-S125)))-$B$5))</f>
        <v>4</v>
      </c>
      <c r="U125" s="878">
        <f>'print 10 lane'!X124</f>
        <v>7.6412037037037041E-4</v>
      </c>
      <c r="V125" s="879">
        <f>IF(U125=0,0,IF(U$7=0,0,IF(U125&lt;1,SUM((U125&gt;I125),(U125&gt;L125),(U125&gt;O125),(U125&gt;R125),(U125&gt;F125),(U125&gt;X125),(U125&gt;AA125),(U125&gt;AD125),(U125&gt;AG125),(U125&gt;BB125)))-$AJ125))</f>
        <v>4</v>
      </c>
      <c r="W125" s="879">
        <f>IF(U125=0,0,IF(U$7=0,0,IF(V125=0,0,((11-V125)))-$B$5))</f>
        <v>3</v>
      </c>
      <c r="X125" s="880"/>
      <c r="Y125" s="881"/>
      <c r="Z125" s="881"/>
      <c r="AA125" s="880"/>
      <c r="AB125" s="881"/>
      <c r="AC125" s="881"/>
      <c r="AD125" s="880"/>
      <c r="AE125" s="881"/>
      <c r="AF125" s="881"/>
      <c r="AG125" s="880"/>
      <c r="AH125" s="881"/>
      <c r="AI125" s="882"/>
      <c r="AJ125" s="883">
        <f>COUNTBLANK(F631:O631)</f>
        <v>4</v>
      </c>
    </row>
    <row r="126" spans="2:36" ht="30" customHeight="1" x14ac:dyDescent="0.25">
      <c r="B126" s="1349"/>
      <c r="C126" s="1333"/>
      <c r="D126" s="1338"/>
      <c r="E126" s="1350"/>
      <c r="F126" s="1351" t="str">
        <f>'print 10 lane'!I125</f>
        <v>Maja Grzybek</v>
      </c>
      <c r="G126" s="1351"/>
      <c r="H126" s="1351"/>
      <c r="I126" s="1351" t="str">
        <f>'print 10 lane'!L125</f>
        <v>Madeleine Bailiss</v>
      </c>
      <c r="J126" s="1351"/>
      <c r="K126" s="1351"/>
      <c r="L126" s="1351" t="str">
        <f>'print 10 lane'!O125</f>
        <v>Charlotte Brakenbury</v>
      </c>
      <c r="M126" s="1351"/>
      <c r="N126" s="1351"/>
      <c r="O126" s="1351" t="str">
        <f>'print 10 lane'!R125</f>
        <v>Lucy Burnham</v>
      </c>
      <c r="P126" s="1351"/>
      <c r="Q126" s="1351"/>
      <c r="R126" s="1351" t="str">
        <f>'print 10 lane'!U125</f>
        <v>Lily Threadgold</v>
      </c>
      <c r="S126" s="1351"/>
      <c r="T126" s="1351"/>
      <c r="U126" s="1351" t="str">
        <f>'print 10 lane'!X125</f>
        <v>Alice  Sharrock</v>
      </c>
      <c r="V126" s="1351"/>
      <c r="W126" s="1351"/>
      <c r="X126" s="1340"/>
      <c r="Y126" s="1340"/>
      <c r="Z126" s="1340"/>
      <c r="AA126" s="1340"/>
      <c r="AB126" s="1340"/>
      <c r="AC126" s="1340"/>
      <c r="AD126" s="1340"/>
      <c r="AE126" s="1340"/>
      <c r="AF126" s="1340"/>
      <c r="AG126" s="1341"/>
      <c r="AH126" s="1341"/>
      <c r="AI126" s="1341"/>
      <c r="AJ126" s="883"/>
    </row>
    <row r="127" spans="2:36" ht="30" customHeight="1" x14ac:dyDescent="0.25">
      <c r="B127" s="1349"/>
      <c r="C127" s="1333"/>
      <c r="D127" s="1338"/>
      <c r="E127" s="899" t="s">
        <v>5086</v>
      </c>
      <c r="F127" s="1339">
        <f>'print 10 lane'!I126</f>
        <v>0</v>
      </c>
      <c r="G127" s="1339"/>
      <c r="H127" s="1339"/>
      <c r="I127" s="1339">
        <f>'print 10 lane'!L126</f>
        <v>0</v>
      </c>
      <c r="J127" s="1339"/>
      <c r="K127" s="1339"/>
      <c r="L127" s="1339">
        <f>'print 10 lane'!O126</f>
        <v>0</v>
      </c>
      <c r="M127" s="1339"/>
      <c r="N127" s="1339"/>
      <c r="O127" s="1339">
        <f>'print 10 lane'!R126</f>
        <v>0</v>
      </c>
      <c r="P127" s="1339"/>
      <c r="Q127" s="1339"/>
      <c r="R127" s="1339">
        <f>'print 10 lane'!U126</f>
        <v>0</v>
      </c>
      <c r="S127" s="1339"/>
      <c r="T127" s="1339"/>
      <c r="U127" s="1339">
        <f>'print 10 lane'!X126</f>
        <v>0</v>
      </c>
      <c r="V127" s="1339"/>
      <c r="W127" s="1339"/>
      <c r="X127" s="1345"/>
      <c r="Y127" s="1345"/>
      <c r="Z127" s="1345"/>
      <c r="AA127" s="1345"/>
      <c r="AB127" s="1345"/>
      <c r="AC127" s="1345"/>
      <c r="AD127" s="1345"/>
      <c r="AE127" s="1345"/>
      <c r="AF127" s="1345"/>
      <c r="AG127" s="1346"/>
      <c r="AH127" s="1346"/>
      <c r="AI127" s="1346"/>
      <c r="AJ127" s="883"/>
    </row>
    <row r="128" spans="2:36" ht="30" customHeight="1" x14ac:dyDescent="0.25">
      <c r="B128" s="1349">
        <v>42</v>
      </c>
      <c r="C128" s="1343" t="s">
        <v>5087</v>
      </c>
      <c r="D128" s="1338" t="s">
        <v>5093</v>
      </c>
      <c r="E128" s="1350" t="s">
        <v>5103</v>
      </c>
      <c r="F128" s="878">
        <f>'print 10 lane'!I127</f>
        <v>7.2094907407407405E-4</v>
      </c>
      <c r="G128" s="879">
        <f>IF(F128=0,0,IF(G$6=0,0,IF(F128&lt;1,SUM((F128&gt;I128),(F128&gt;L128),(F128&gt;O128),(F128&gt;R128),(F128&gt;U128),(F128&gt;X128),(F128&gt;AA128),(F128&gt;AD128),(F128&gt;AG128),(F128&gt;BB128)))-$AJ128))</f>
        <v>6</v>
      </c>
      <c r="H128" s="879">
        <f>IF(F128=0,0,IF(G$6=0,0,IF(G128=0,0,((11-G128)))-$B$5))</f>
        <v>1</v>
      </c>
      <c r="I128" s="878">
        <f>'print 10 lane'!L127</f>
        <v>7.1099537037037041E-4</v>
      </c>
      <c r="J128" s="879">
        <f>IF(I128=0,0,IF(I$7=0,0,IF(I128&lt;1,SUM((I128&gt;L128),(I128&gt;O128),(I128&gt;R128),(I128&gt;U128),(I128&gt;X128),(I128&gt;AA128),(I128&gt;F128),(I128&gt;AD128),(I128&gt;AG128),(I128&gt;BB128)))-$AJ128))</f>
        <v>5</v>
      </c>
      <c r="K128" s="879">
        <f>IF(I128=0,0,IF(I$7=0,0,IF(J128=0,0,((11-J128)))-$B$5))</f>
        <v>2</v>
      </c>
      <c r="L128" s="878">
        <f>'print 10 lane'!O127</f>
        <v>7.0335648148148145E-4</v>
      </c>
      <c r="M128" s="879">
        <f>IF(L128=0,0,IF(L$7=0,0,IF(L128&lt;1,SUM((L128&gt;I128),(L128&gt;F128),(L128&gt;O128),(L128&gt;R128),(L128&gt;U128),(L128&gt;X128),(L128&gt;AA128),(L128&gt;AD128),(L128&gt;AG128),(L128&gt;BB128)))-$AJ128))</f>
        <v>4</v>
      </c>
      <c r="N128" s="879">
        <f>IF(L128=0,0,IF(L$7=0,0,IF(M128=0,0,((11-M128)))-$B$5))</f>
        <v>3</v>
      </c>
      <c r="O128" s="878">
        <f>'print 10 lane'!R127</f>
        <v>6.5474537037037031E-4</v>
      </c>
      <c r="P128" s="879">
        <f>IF(O128=0,0,IF(O$7=0,0,IF(O128&lt;1,SUM((O128&gt;I128),(O128&gt;L128),(O128&gt;F128),(O128&gt;R128),(O128&gt;U128),(O128&gt;X128),(O128&gt;AA128),(O128&gt;AD128),(O128&gt;AG128),(O128&gt;BB128)))-$AJ128))</f>
        <v>2</v>
      </c>
      <c r="Q128" s="879">
        <f>IF(O128=0,0,IF(O$7=0,0,IF(P128=0,0,((11-P128)))-$B$5))</f>
        <v>5</v>
      </c>
      <c r="R128" s="878">
        <f>'print 10 lane'!U127</f>
        <v>6.7881944444444446E-4</v>
      </c>
      <c r="S128" s="879">
        <f>IF(R128=0,0,IF(R$7=0,0,IF(R128&lt;1,SUM((R128&gt;I128),(R128&gt;L128),(R128&gt;O128),(R128&gt;F128),(R128&gt;U128),(R128&gt;X128),(R128&gt;AA128),(R128&gt;AD128),(R128&gt;AG128),(R128&gt;BB128)))-$AJ128))</f>
        <v>3</v>
      </c>
      <c r="T128" s="879">
        <f>IF(R128=0,0,IF(R$7=0,0,IF(S128=0,0,((11-S128)))-$B$5))</f>
        <v>4</v>
      </c>
      <c r="U128" s="878">
        <f>'print 10 lane'!X127</f>
        <v>6.4444444444444445E-4</v>
      </c>
      <c r="V128" s="879">
        <f>IF(U128=0,0,IF(U$7=0,0,IF(U128&lt;1,SUM((U128&gt;I128),(U128&gt;L128),(U128&gt;O128),(U128&gt;R128),(U128&gt;F128),(U128&gt;X128),(U128&gt;AA128),(U128&gt;AD128),(U128&gt;AG128),(U128&gt;BB128)))-$AJ128))</f>
        <v>1</v>
      </c>
      <c r="W128" s="879">
        <f>IF(U128=0,0,IF(U$7=0,0,IF(V128=0,0,((11-V128)))-$B$5))</f>
        <v>6</v>
      </c>
      <c r="X128" s="880"/>
      <c r="Y128" s="881"/>
      <c r="Z128" s="881"/>
      <c r="AA128" s="880"/>
      <c r="AB128" s="881"/>
      <c r="AC128" s="881"/>
      <c r="AD128" s="880"/>
      <c r="AE128" s="881"/>
      <c r="AF128" s="881"/>
      <c r="AG128" s="880"/>
      <c r="AH128" s="881"/>
      <c r="AI128" s="882"/>
      <c r="AJ128" s="883">
        <f>COUNTBLANK(F632:O632)</f>
        <v>4</v>
      </c>
    </row>
    <row r="129" spans="2:36" ht="30" customHeight="1" x14ac:dyDescent="0.25">
      <c r="B129" s="1349"/>
      <c r="C129" s="1343"/>
      <c r="D129" s="1338"/>
      <c r="E129" s="1350"/>
      <c r="F129" s="1351" t="str">
        <f>'print 10 lane'!I128</f>
        <v>James Smeaton</v>
      </c>
      <c r="G129" s="1351"/>
      <c r="H129" s="1351"/>
      <c r="I129" s="1351" t="str">
        <f>'print 10 lane'!L128</f>
        <v>Harry Chapman</v>
      </c>
      <c r="J129" s="1351"/>
      <c r="K129" s="1351"/>
      <c r="L129" s="1351" t="str">
        <f>'print 10 lane'!O128</f>
        <v>Luke Morley</v>
      </c>
      <c r="M129" s="1351"/>
      <c r="N129" s="1351"/>
      <c r="O129" s="1351" t="str">
        <f>'print 10 lane'!R128</f>
        <v>Matthew Masters</v>
      </c>
      <c r="P129" s="1351"/>
      <c r="Q129" s="1351"/>
      <c r="R129" s="1351" t="str">
        <f>'print 10 lane'!U128</f>
        <v>Robert Elliston</v>
      </c>
      <c r="S129" s="1351"/>
      <c r="T129" s="1351"/>
      <c r="U129" s="1351" t="str">
        <f>'print 10 lane'!X128</f>
        <v>Razvan Lembac</v>
      </c>
      <c r="V129" s="1351"/>
      <c r="W129" s="1351"/>
      <c r="X129" s="1340"/>
      <c r="Y129" s="1340"/>
      <c r="Z129" s="1340"/>
      <c r="AA129" s="1340"/>
      <c r="AB129" s="1340"/>
      <c r="AC129" s="1340"/>
      <c r="AD129" s="1340"/>
      <c r="AE129" s="1340"/>
      <c r="AF129" s="1340"/>
      <c r="AG129" s="1341"/>
      <c r="AH129" s="1341"/>
      <c r="AI129" s="1341"/>
      <c r="AJ129" s="883"/>
    </row>
    <row r="130" spans="2:36" ht="30" customHeight="1" x14ac:dyDescent="0.25">
      <c r="B130" s="1349"/>
      <c r="C130" s="1343"/>
      <c r="D130" s="1338"/>
      <c r="E130" s="899" t="s">
        <v>5086</v>
      </c>
      <c r="F130" s="1339">
        <f>'print 10 lane'!I129</f>
        <v>0</v>
      </c>
      <c r="G130" s="1339"/>
      <c r="H130" s="1339"/>
      <c r="I130" s="1339">
        <f>'print 10 lane'!L129</f>
        <v>0</v>
      </c>
      <c r="J130" s="1339"/>
      <c r="K130" s="1339"/>
      <c r="L130" s="1339">
        <f>'print 10 lane'!O129</f>
        <v>0</v>
      </c>
      <c r="M130" s="1339"/>
      <c r="N130" s="1339"/>
      <c r="O130" s="1339">
        <f>'print 10 lane'!R129</f>
        <v>0</v>
      </c>
      <c r="P130" s="1339"/>
      <c r="Q130" s="1339"/>
      <c r="R130" s="1339">
        <f>'print 10 lane'!U129</f>
        <v>0</v>
      </c>
      <c r="S130" s="1339"/>
      <c r="T130" s="1339"/>
      <c r="U130" s="1339">
        <f>'print 10 lane'!X129</f>
        <v>0</v>
      </c>
      <c r="V130" s="1339"/>
      <c r="W130" s="1339"/>
      <c r="X130" s="900"/>
      <c r="Y130" s="901"/>
      <c r="Z130" s="902"/>
      <c r="AA130" s="900"/>
      <c r="AB130" s="901"/>
      <c r="AC130" s="902"/>
      <c r="AD130" s="900"/>
      <c r="AE130" s="901"/>
      <c r="AF130" s="902"/>
      <c r="AG130" s="900"/>
      <c r="AH130" s="901"/>
      <c r="AI130" s="903"/>
      <c r="AJ130" s="883"/>
    </row>
    <row r="131" spans="2:36" ht="30" customHeight="1" x14ac:dyDescent="0.25">
      <c r="B131" s="1347">
        <v>43</v>
      </c>
      <c r="C131" s="1333" t="s">
        <v>5083</v>
      </c>
      <c r="D131" s="1348" t="s">
        <v>5105</v>
      </c>
      <c r="E131" s="891" t="s">
        <v>5091</v>
      </c>
      <c r="F131" s="878">
        <f>'print 10 lane'!I130</f>
        <v>2.0284722222222219E-3</v>
      </c>
      <c r="G131" s="879">
        <f>IF(F131=0,0,IF(G$6=0,0,IF(F131&lt;1,SUM((F131&gt;I131),(F131&gt;L131),(F131&gt;O131),(F131&gt;R131),(F131&gt;U131),(F131&gt;X131),(F131&gt;AA131),(F131&gt;AD131),(F131&gt;AG131),(F131&gt;BB131)))-$AJ131))</f>
        <v>1</v>
      </c>
      <c r="H131" s="879">
        <f>IF(F131=0,0,IF(G$6=0,0,IF(G131=0,0,((11-G131)))-$B$5))</f>
        <v>6</v>
      </c>
      <c r="I131" s="878">
        <f>'print 10 lane'!L130</f>
        <v>2.1328703703703705E-3</v>
      </c>
      <c r="J131" s="879">
        <f>IF(I131=0,0,IF(I$7=0,0,IF(I131&lt;1,SUM((I131&gt;L131),(I131&gt;O131),(I131&gt;R131),(I131&gt;U131),(I131&gt;X131),(I131&gt;AA131),(I131&gt;F131),(I131&gt;AD131),(I131&gt;AG131),(I131&gt;BB131)))-$AJ131))</f>
        <v>3</v>
      </c>
      <c r="K131" s="879">
        <f>IF(I131=0,0,IF(I$7=0,0,IF(J131=0,0,((11-J131)))-$B$5))</f>
        <v>4</v>
      </c>
      <c r="L131" s="878">
        <f>'print 10 lane'!O130</f>
        <v>0</v>
      </c>
      <c r="M131" s="879">
        <f>IF(L131=0,0,IF(L$7=0,0,IF(L131&lt;1,SUM((L131&gt;I131),(L131&gt;F131),(L131&gt;O131),(L131&gt;R131),(L131&gt;U131),(L131&gt;X131),(L131&gt;AA131),(L131&gt;AD131),(L131&gt;AG131),(L131&gt;BB131)))-$AJ131))</f>
        <v>0</v>
      </c>
      <c r="N131" s="879">
        <f>IF(L131=0,0,IF(L$7=0,0,IF(M131=0,0,((11-M131)))-$B$5))</f>
        <v>0</v>
      </c>
      <c r="O131" s="878">
        <f>'print 10 lane'!R130</f>
        <v>2.0923611111111112E-3</v>
      </c>
      <c r="P131" s="879">
        <f>IF(O131=0,0,IF(O$7=0,0,IF(O131&lt;1,SUM((O131&gt;I131),(O131&gt;L131),(O131&gt;F131),(O131&gt;R131),(O131&gt;U131),(O131&gt;X131),(O131&gt;AA131),(O131&gt;AD131),(O131&gt;AG131),(O131&gt;BB131)))-$AJ131))</f>
        <v>2</v>
      </c>
      <c r="Q131" s="879">
        <f>IF(O131=0,0,IF(O$7=0,0,IF(P131=0,0,((11-P131)))-$B$5))</f>
        <v>5</v>
      </c>
      <c r="R131" s="878">
        <f>'print 10 lane'!U130</f>
        <v>2.1501157407407406E-3</v>
      </c>
      <c r="S131" s="879">
        <f>IF(R131=0,0,IF(R$7=0,0,IF(R131&lt;1,SUM((R131&gt;I131),(R131&gt;L131),(R131&gt;O131),(R131&gt;F131),(R131&gt;U131),(R131&gt;X131),(R131&gt;AA131),(R131&gt;AD131),(R131&gt;AG131),(R131&gt;BB131)))-$AJ131))</f>
        <v>4</v>
      </c>
      <c r="T131" s="879">
        <f>IF(R131=0,0,IF(R$7=0,0,IF(S131=0,0,((11-S131)))-$B$5))</f>
        <v>3</v>
      </c>
      <c r="U131" s="878">
        <f>'print 10 lane'!X130</f>
        <v>2.2398148148148147E-3</v>
      </c>
      <c r="V131" s="879">
        <f>IF(U131=0,0,IF(U$7=0,0,IF(U131&lt;1,SUM((U131&gt;I131),(U131&gt;L131),(U131&gt;O131),(U131&gt;R131),(U131&gt;F131),(U131&gt;X131),(U131&gt;AA131),(U131&gt;AD131),(U131&gt;AG131),(U131&gt;BB131)))-$AJ131))</f>
        <v>5</v>
      </c>
      <c r="W131" s="879">
        <f>IF(U131=0,0,IF(U$7=0,0,IF(V131=0,0,((11-V131)))-$B$5))</f>
        <v>2</v>
      </c>
      <c r="X131" s="880"/>
      <c r="Y131" s="881"/>
      <c r="Z131" s="881"/>
      <c r="AA131" s="880"/>
      <c r="AB131" s="881"/>
      <c r="AC131" s="881"/>
      <c r="AD131" s="880"/>
      <c r="AE131" s="881"/>
      <c r="AF131" s="881"/>
      <c r="AG131" s="880"/>
      <c r="AH131" s="881"/>
      <c r="AI131" s="882"/>
      <c r="AJ131" s="883">
        <f>COUNTBLANK(F633:O633)</f>
        <v>5</v>
      </c>
    </row>
    <row r="132" spans="2:36" ht="30" customHeight="1" x14ac:dyDescent="0.25">
      <c r="B132" s="1347"/>
      <c r="C132" s="1333"/>
      <c r="D132" s="1348"/>
      <c r="E132" s="899" t="s">
        <v>5086</v>
      </c>
      <c r="F132" s="1339">
        <f>'print 10 lane'!I131</f>
        <v>0</v>
      </c>
      <c r="G132" s="1339"/>
      <c r="H132" s="1339"/>
      <c r="I132" s="1339">
        <f>'print 10 lane'!L131</f>
        <v>0</v>
      </c>
      <c r="J132" s="1339"/>
      <c r="K132" s="1339"/>
      <c r="L132" s="1339">
        <f>'print 10 lane'!O131</f>
        <v>0</v>
      </c>
      <c r="M132" s="1339"/>
      <c r="N132" s="1339"/>
      <c r="O132" s="1339">
        <f>'print 10 lane'!R131</f>
        <v>0</v>
      </c>
      <c r="P132" s="1339"/>
      <c r="Q132" s="1339"/>
      <c r="R132" s="1339">
        <f>'print 10 lane'!U131</f>
        <v>0</v>
      </c>
      <c r="S132" s="1339"/>
      <c r="T132" s="1339"/>
      <c r="U132" s="1339">
        <f>'print 10 lane'!X131</f>
        <v>0</v>
      </c>
      <c r="V132" s="1339"/>
      <c r="W132" s="1339"/>
      <c r="X132" s="1340"/>
      <c r="Y132" s="1340"/>
      <c r="Z132" s="1340"/>
      <c r="AA132" s="1340"/>
      <c r="AB132" s="1340"/>
      <c r="AC132" s="1340"/>
      <c r="AD132" s="1340"/>
      <c r="AE132" s="1340"/>
      <c r="AF132" s="1340"/>
      <c r="AG132" s="1341"/>
      <c r="AH132" s="1341"/>
      <c r="AI132" s="1341"/>
      <c r="AJ132" s="883"/>
    </row>
    <row r="133" spans="2:36" ht="30" customHeight="1" x14ac:dyDescent="0.25">
      <c r="B133" s="1337">
        <v>44</v>
      </c>
      <c r="C133" s="1343" t="s">
        <v>5087</v>
      </c>
      <c r="D133" s="1348" t="s">
        <v>5105</v>
      </c>
      <c r="E133" s="891" t="s">
        <v>5091</v>
      </c>
      <c r="F133" s="878">
        <f>'print 10 lane'!I132</f>
        <v>0</v>
      </c>
      <c r="G133" s="879">
        <f>IF(F133=0,0,IF(G$6=0,0,IF(F133&lt;1,SUM((F133&gt;I133),(F133&gt;L133),(F133&gt;O133),(F133&gt;R133),(F133&gt;U133),(F133&gt;X133),(F133&gt;AA133),(F133&gt;AD133),(F133&gt;AG133),(F133&gt;BB133)))-$AJ133))</f>
        <v>0</v>
      </c>
      <c r="H133" s="879">
        <f>IF(F133=0,0,IF(G$6=0,0,IF(G133=0,0,((11-G133)))-$B$5))</f>
        <v>0</v>
      </c>
      <c r="I133" s="878">
        <f>'print 10 lane'!L132</f>
        <v>1.8879629629629628E-3</v>
      </c>
      <c r="J133" s="879">
        <f>IF(I133=0,0,IF(I$7=0,0,IF(I133&lt;1,SUM((I133&gt;L133),(I133&gt;O133),(I133&gt;R133),(I133&gt;U133),(I133&gt;X133),(I133&gt;AA133),(I133&gt;F133),(I133&gt;AD133),(I133&gt;AG133),(I133&gt;BB133)))-$AJ133))</f>
        <v>1</v>
      </c>
      <c r="K133" s="879">
        <f>IF(I133=0,0,IF(I$7=0,0,IF(J133=0,0,((11-J133)))-$B$5))</f>
        <v>6</v>
      </c>
      <c r="L133" s="878">
        <f>'print 10 lane'!O132</f>
        <v>0</v>
      </c>
      <c r="M133" s="879">
        <f>IF(L133=0,0,IF(L$7=0,0,IF(L133&lt;1,SUM((L133&gt;I133),(L133&gt;F133),(L133&gt;O133),(L133&gt;R133),(L133&gt;U133),(L133&gt;X133),(L133&gt;AA133),(L133&gt;AD133),(L133&gt;AG133),(L133&gt;BB133)))-$AJ133))</f>
        <v>0</v>
      </c>
      <c r="N133" s="879">
        <f>IF(L133=0,0,IF(L$7=0,0,IF(M133=0,0,((11-M133)))-$B$5))</f>
        <v>0</v>
      </c>
      <c r="O133" s="878">
        <f>'print 10 lane'!R132</f>
        <v>2.379050925925926E-3</v>
      </c>
      <c r="P133" s="879">
        <f>IF(O133=0,0,IF(O$7=0,0,IF(O133&lt;1,SUM((O133&gt;I133),(O133&gt;L133),(O133&gt;F133),(O133&gt;R133),(O133&gt;U133),(O133&gt;X133),(O133&gt;AA133),(O133&gt;AD133),(O133&gt;AG133),(O133&gt;BB133)))-$AJ133))</f>
        <v>3</v>
      </c>
      <c r="Q133" s="879">
        <f>IF(O133=0,0,IF(O$7=0,0,IF(P133=0,0,((11-P133)))-$B$5))</f>
        <v>4</v>
      </c>
      <c r="R133" s="878">
        <f>'print 10 lane'!U132</f>
        <v>2.0459490740740742E-3</v>
      </c>
      <c r="S133" s="879">
        <f>IF(R133=0,0,IF(R$7=0,0,IF(R133&lt;1,SUM((R133&gt;I133),(R133&gt;L133),(R133&gt;O133),(R133&gt;F133),(R133&gt;U133),(R133&gt;X133),(R133&gt;AA133),(R133&gt;AD133),(R133&gt;AG133),(R133&gt;BB133)))-$AJ133))</f>
        <v>2</v>
      </c>
      <c r="T133" s="879">
        <f>IF(R133=0,0,IF(R$7=0,0,IF(S133=0,0,((11-S133)))-$B$5))</f>
        <v>5</v>
      </c>
      <c r="U133" s="878">
        <f>'print 10 lane'!X132</f>
        <v>0</v>
      </c>
      <c r="V133" s="879">
        <f>IF(U133=0,0,IF(U$7=0,0,IF(U133&lt;1,SUM((U133&gt;I133),(U133&gt;L133),(U133&gt;O133),(U133&gt;R133),(U133&gt;F133),(U133&gt;X133),(U133&gt;AA133),(U133&gt;AD133),(U133&gt;AG133),(U133&gt;BB133)))-$AJ133))</f>
        <v>0</v>
      </c>
      <c r="W133" s="879">
        <f>IF(U133=0,0,IF(U$7=0,0,IF(V133=0,0,((11-V133)))-$B$5))</f>
        <v>0</v>
      </c>
      <c r="X133" s="892"/>
      <c r="Y133" s="889"/>
      <c r="Z133" s="889"/>
      <c r="AA133" s="892"/>
      <c r="AB133" s="889"/>
      <c r="AC133" s="889"/>
      <c r="AD133" s="892"/>
      <c r="AE133" s="889"/>
      <c r="AF133" s="889"/>
      <c r="AG133" s="892"/>
      <c r="AH133" s="889"/>
      <c r="AI133" s="890"/>
      <c r="AJ133" s="883">
        <f>COUNTBLANK(F634:O634)</f>
        <v>7</v>
      </c>
    </row>
    <row r="134" spans="2:36" ht="30" customHeight="1" x14ac:dyDescent="0.25">
      <c r="B134" s="1337"/>
      <c r="C134" s="1343"/>
      <c r="D134" s="1348"/>
      <c r="E134" s="899" t="s">
        <v>5086</v>
      </c>
      <c r="F134" s="1339" t="str">
        <f>'print 10 lane'!I133</f>
        <v>DNS</v>
      </c>
      <c r="G134" s="1339"/>
      <c r="H134" s="1339"/>
      <c r="I134" s="1339">
        <f>'print 10 lane'!L133</f>
        <v>0</v>
      </c>
      <c r="J134" s="1339"/>
      <c r="K134" s="1339"/>
      <c r="L134" s="1339">
        <f>'print 10 lane'!O133</f>
        <v>0</v>
      </c>
      <c r="M134" s="1339"/>
      <c r="N134" s="1339"/>
      <c r="O134" s="1339">
        <f>'print 10 lane'!R133</f>
        <v>0</v>
      </c>
      <c r="P134" s="1339"/>
      <c r="Q134" s="1339"/>
      <c r="R134" s="1339">
        <f>'print 10 lane'!U133</f>
        <v>0</v>
      </c>
      <c r="S134" s="1339"/>
      <c r="T134" s="1339"/>
      <c r="U134" s="1339" t="str">
        <f>'print 10 lane'!X133</f>
        <v>10.12 feet lost touch with starting platform before incoming swimmer touched the wall</v>
      </c>
      <c r="V134" s="1339"/>
      <c r="W134" s="1339"/>
      <c r="X134" s="1340"/>
      <c r="Y134" s="1340"/>
      <c r="Z134" s="1340"/>
      <c r="AA134" s="1340"/>
      <c r="AB134" s="1340"/>
      <c r="AC134" s="1340"/>
      <c r="AD134" s="1340"/>
      <c r="AE134" s="1340"/>
      <c r="AF134" s="1340"/>
      <c r="AG134" s="1341"/>
      <c r="AH134" s="1341"/>
      <c r="AI134" s="1341"/>
      <c r="AJ134" s="883"/>
    </row>
    <row r="135" spans="2:36" ht="30" customHeight="1" x14ac:dyDescent="0.25">
      <c r="B135" s="1337">
        <v>45</v>
      </c>
      <c r="C135" s="1333" t="s">
        <v>5083</v>
      </c>
      <c r="D135" s="1338" t="s">
        <v>5090</v>
      </c>
      <c r="E135" s="891" t="s">
        <v>5089</v>
      </c>
      <c r="F135" s="878">
        <f>'print 10 lane'!I134</f>
        <v>1.5287037037037038E-3</v>
      </c>
      <c r="G135" s="879">
        <f>IF(F135=0,0,IF(G$6=0,0,IF(F135&lt;1,SUM((F135&gt;I135),(F135&gt;L135),(F135&gt;O135),(F135&gt;R135),(F135&gt;U135),(F135&gt;X135),(F135&gt;AA135),(F135&gt;AD135),(F135&gt;AG135),(F135&gt;BB135)))-$AJ135))</f>
        <v>3</v>
      </c>
      <c r="H135" s="879">
        <f>IF(F135=0,0,IF(G$6=0,0,IF(G135=0,0,((11-G135)))-$B$5))</f>
        <v>4</v>
      </c>
      <c r="I135" s="878">
        <f>'print 10 lane'!L134</f>
        <v>1.5825231481481482E-3</v>
      </c>
      <c r="J135" s="879">
        <f>IF(I135=0,0,IF(I$7=0,0,IF(I135&lt;1,SUM((I135&gt;L135),(I135&gt;O135),(I135&gt;R135),(I135&gt;U135),(I135&gt;X135),(I135&gt;AA135),(I135&gt;F135),(I135&gt;AD135),(I135&gt;AG135),(I135&gt;BB135)))-$AJ135))</f>
        <v>5</v>
      </c>
      <c r="K135" s="879">
        <f>IF(I135=0,0,IF(I$7=0,0,IF(J135=0,0,((11-J135)))-$B$5))</f>
        <v>2</v>
      </c>
      <c r="L135" s="878">
        <f>'print 10 lane'!O134</f>
        <v>1.4799768518518519E-3</v>
      </c>
      <c r="M135" s="879">
        <f>IF(L135=0,0,IF(L$7=0,0,IF(L135&lt;1,SUM((L135&gt;I135),(L135&gt;F135),(L135&gt;O135),(L135&gt;R135),(L135&gt;U135),(L135&gt;X135),(L135&gt;AA135),(L135&gt;AD135),(L135&gt;AG135),(L135&gt;BB135)))-$AJ135))</f>
        <v>2</v>
      </c>
      <c r="N135" s="879">
        <f>IF(L135=0,0,IF(L$7=0,0,IF(M135=0,0,((11-M135)))-$B$5))</f>
        <v>5</v>
      </c>
      <c r="O135" s="878">
        <f>'print 10 lane'!R134</f>
        <v>1.4490740740740742E-3</v>
      </c>
      <c r="P135" s="879">
        <f>IF(O135=0,0,IF(O$7=0,0,IF(O135&lt;1,SUM((O135&gt;I135),(O135&gt;L135),(O135&gt;F135),(O135&gt;R135),(O135&gt;U135),(O135&gt;X135),(O135&gt;AA135),(O135&gt;AD135),(O135&gt;AG135),(O135&gt;BB135)))-$AJ135))</f>
        <v>1</v>
      </c>
      <c r="Q135" s="879">
        <f>IF(O135=0,0,IF(O$7=0,0,IF(P135=0,0,((11-P135)))-$B$5))</f>
        <v>6</v>
      </c>
      <c r="R135" s="878">
        <f>'print 10 lane'!U134</f>
        <v>1.5416666666666669E-3</v>
      </c>
      <c r="S135" s="879">
        <f>IF(R135=0,0,IF(R$7=0,0,IF(R135&lt;1,SUM((R135&gt;I135),(R135&gt;L135),(R135&gt;O135),(R135&gt;F135),(R135&gt;U135),(R135&gt;X135),(R135&gt;AA135),(R135&gt;AD135),(R135&gt;AG135),(R135&gt;BB135)))-$AJ135))</f>
        <v>4</v>
      </c>
      <c r="T135" s="879">
        <f>IF(R135=0,0,IF(R$7=0,0,IF(S135=0,0,((11-S135)))-$B$5))</f>
        <v>3</v>
      </c>
      <c r="U135" s="878">
        <f>'print 10 lane'!X134</f>
        <v>1.7312499999999999E-3</v>
      </c>
      <c r="V135" s="879">
        <f>IF(U135=0,0,IF(U$7=0,0,IF(U135&lt;1,SUM((U135&gt;I135),(U135&gt;L135),(U135&gt;O135),(U135&gt;R135),(U135&gt;F135),(U135&gt;X135),(U135&gt;AA135),(U135&gt;AD135),(U135&gt;AG135),(U135&gt;BB135)))-$AJ135))</f>
        <v>6</v>
      </c>
      <c r="W135" s="879">
        <f>IF(U135=0,0,IF(U$7=0,0,IF(V135=0,0,((11-V135)))-$B$5))</f>
        <v>1</v>
      </c>
      <c r="X135" s="892"/>
      <c r="Y135" s="889"/>
      <c r="Z135" s="889"/>
      <c r="AA135" s="892"/>
      <c r="AB135" s="889"/>
      <c r="AC135" s="889"/>
      <c r="AD135" s="892"/>
      <c r="AE135" s="889"/>
      <c r="AF135" s="889"/>
      <c r="AG135" s="892"/>
      <c r="AH135" s="889"/>
      <c r="AI135" s="890"/>
      <c r="AJ135" s="883">
        <f>COUNTBLANK(F635:O635)</f>
        <v>4</v>
      </c>
    </row>
    <row r="136" spans="2:36" ht="30" customHeight="1" x14ac:dyDescent="0.25">
      <c r="B136" s="1337"/>
      <c r="C136" s="1333"/>
      <c r="D136" s="1338"/>
      <c r="E136" s="899" t="s">
        <v>5086</v>
      </c>
      <c r="F136" s="1339">
        <f>'print 10 lane'!I135</f>
        <v>0</v>
      </c>
      <c r="G136" s="1339"/>
      <c r="H136" s="1339"/>
      <c r="I136" s="1339">
        <f>'print 10 lane'!L135</f>
        <v>0</v>
      </c>
      <c r="J136" s="1339"/>
      <c r="K136" s="1339"/>
      <c r="L136" s="1339">
        <f>'print 10 lane'!O135</f>
        <v>0</v>
      </c>
      <c r="M136" s="1339"/>
      <c r="N136" s="1339"/>
      <c r="O136" s="1339">
        <f>'print 10 lane'!R135</f>
        <v>0</v>
      </c>
      <c r="P136" s="1339"/>
      <c r="Q136" s="1339"/>
      <c r="R136" s="1339">
        <f>'print 10 lane'!U135</f>
        <v>0</v>
      </c>
      <c r="S136" s="1339"/>
      <c r="T136" s="1339"/>
      <c r="U136" s="1339">
        <f>'print 10 lane'!X135</f>
        <v>0</v>
      </c>
      <c r="V136" s="1339"/>
      <c r="W136" s="1339"/>
      <c r="X136" s="1340"/>
      <c r="Y136" s="1340"/>
      <c r="Z136" s="1340"/>
      <c r="AA136" s="1340"/>
      <c r="AB136" s="1340"/>
      <c r="AC136" s="1340"/>
      <c r="AD136" s="1340"/>
      <c r="AE136" s="1340"/>
      <c r="AF136" s="1340"/>
      <c r="AG136" s="1341"/>
      <c r="AH136" s="1341"/>
      <c r="AI136" s="1341"/>
      <c r="AJ136" s="883"/>
    </row>
    <row r="137" spans="2:36" ht="30" customHeight="1" x14ac:dyDescent="0.25">
      <c r="B137" s="1337">
        <v>46</v>
      </c>
      <c r="C137" s="1343" t="s">
        <v>5087</v>
      </c>
      <c r="D137" s="1338" t="s">
        <v>5090</v>
      </c>
      <c r="E137" s="891" t="s">
        <v>5089</v>
      </c>
      <c r="F137" s="878">
        <f>'print 10 lane'!I136</f>
        <v>1.5355324074074073E-3</v>
      </c>
      <c r="G137" s="879">
        <f>IF(F137=0,0,IF(G$6=0,0,IF(F137&lt;1,SUM((F137&gt;I137),(F137&gt;L137),(F137&gt;O137),(F137&gt;R137),(F137&gt;U137),(F137&gt;X137),(F137&gt;AA137),(F137&gt;AD137),(F137&gt;AG137),(F137&gt;BB137)))-$AJ137))</f>
        <v>3</v>
      </c>
      <c r="H137" s="879">
        <f>IF(F137=0,0,IF(G$6=0,0,IF(G137=0,0,((11-G137)))-$B$5))</f>
        <v>4</v>
      </c>
      <c r="I137" s="878">
        <f>'print 10 lane'!L136</f>
        <v>1.5901620370370368E-3</v>
      </c>
      <c r="J137" s="879">
        <f>IF(I137=0,0,IF(I$7=0,0,IF(I137&lt;1,SUM((I137&gt;L137),(I137&gt;O137),(I137&gt;R137),(I137&gt;U137),(I137&gt;X137),(I137&gt;AA137),(I137&gt;F137),(I137&gt;AD137),(I137&gt;AG137),(I137&gt;BB137)))-$AJ137))</f>
        <v>4</v>
      </c>
      <c r="K137" s="879">
        <f>IF(I137=0,0,IF(I$7=0,0,IF(J137=0,0,((11-J137)))-$B$5))</f>
        <v>3</v>
      </c>
      <c r="L137" s="878">
        <f>'print 10 lane'!O136</f>
        <v>1.4519675925925926E-3</v>
      </c>
      <c r="M137" s="879">
        <f>IF(L137=0,0,IF(L$7=0,0,IF(L137&lt;1,SUM((L137&gt;I137),(L137&gt;F137),(L137&gt;O137),(L137&gt;R137),(L137&gt;U137),(L137&gt;X137),(L137&gt;AA137),(L137&gt;AD137),(L137&gt;AG137),(L137&gt;BB137)))-$AJ137))</f>
        <v>2</v>
      </c>
      <c r="N137" s="879">
        <f>IF(L137=0,0,IF(L$7=0,0,IF(M137=0,0,((11-M137)))-$B$5))</f>
        <v>5</v>
      </c>
      <c r="O137" s="878">
        <f>'print 10 lane'!R136</f>
        <v>1.6111111111111109E-3</v>
      </c>
      <c r="P137" s="879">
        <f>IF(O137=0,0,IF(O$7=0,0,IF(O137&lt;1,SUM((O137&gt;I137),(O137&gt;L137),(O137&gt;F137),(O137&gt;R137),(O137&gt;U137),(O137&gt;X137),(O137&gt;AA137),(O137&gt;AD137),(O137&gt;AG137),(O137&gt;BB137)))-$AJ137))</f>
        <v>6</v>
      </c>
      <c r="Q137" s="879">
        <f>IF(O137=0,0,IF(O$7=0,0,IF(P137=0,0,((11-P137)))-$B$5))</f>
        <v>1</v>
      </c>
      <c r="R137" s="878">
        <f>'print 10 lane'!U136</f>
        <v>1.6079861111111112E-3</v>
      </c>
      <c r="S137" s="879">
        <f>IF(R137=0,0,IF(R$7=0,0,IF(R137&lt;1,SUM((R137&gt;I137),(R137&gt;L137),(R137&gt;O137),(R137&gt;F137),(R137&gt;U137),(R137&gt;X137),(R137&gt;AA137),(R137&gt;AD137),(R137&gt;AG137),(R137&gt;BB137)))-$AJ137))</f>
        <v>5</v>
      </c>
      <c r="T137" s="879">
        <f>IF(R137=0,0,IF(R$7=0,0,IF(S137=0,0,((11-S137)))-$B$5))</f>
        <v>2</v>
      </c>
      <c r="U137" s="878">
        <f>'print 10 lane'!X136</f>
        <v>1.3805555555555557E-3</v>
      </c>
      <c r="V137" s="879">
        <f>IF(U137=0,0,IF(U$7=0,0,IF(U137&lt;1,SUM((U137&gt;I137),(U137&gt;L137),(U137&gt;O137),(U137&gt;R137),(U137&gt;F137),(U137&gt;X137),(U137&gt;AA137),(U137&gt;AD137),(U137&gt;AG137),(U137&gt;BB137)))-$AJ137))</f>
        <v>1</v>
      </c>
      <c r="W137" s="879">
        <f>IF(U137=0,0,IF(U$7=0,0,IF(V137=0,0,((11-V137)))-$B$5))</f>
        <v>6</v>
      </c>
      <c r="X137" s="892"/>
      <c r="Y137" s="889"/>
      <c r="Z137" s="889"/>
      <c r="AA137" s="892"/>
      <c r="AB137" s="889"/>
      <c r="AC137" s="889"/>
      <c r="AD137" s="892"/>
      <c r="AE137" s="889"/>
      <c r="AF137" s="889"/>
      <c r="AG137" s="892"/>
      <c r="AH137" s="889"/>
      <c r="AI137" s="890"/>
      <c r="AJ137" s="883">
        <f>COUNTBLANK(F636:O636)</f>
        <v>4</v>
      </c>
    </row>
    <row r="138" spans="2:36" ht="30" customHeight="1" x14ac:dyDescent="0.25">
      <c r="B138" s="1337"/>
      <c r="C138" s="1343"/>
      <c r="D138" s="1338"/>
      <c r="E138" s="899" t="s">
        <v>5086</v>
      </c>
      <c r="F138" s="1339">
        <f>'print 10 lane'!I137</f>
        <v>0</v>
      </c>
      <c r="G138" s="1339"/>
      <c r="H138" s="1339"/>
      <c r="I138" s="1339">
        <f>'print 10 lane'!L137</f>
        <v>0</v>
      </c>
      <c r="J138" s="1339"/>
      <c r="K138" s="1339"/>
      <c r="L138" s="1339">
        <f>'print 10 lane'!O137</f>
        <v>0</v>
      </c>
      <c r="M138" s="1339"/>
      <c r="N138" s="1339"/>
      <c r="O138" s="1339">
        <f>'print 10 lane'!R137</f>
        <v>0</v>
      </c>
      <c r="P138" s="1339"/>
      <c r="Q138" s="1339"/>
      <c r="R138" s="1339">
        <f>'print 10 lane'!U137</f>
        <v>0</v>
      </c>
      <c r="S138" s="1339"/>
      <c r="T138" s="1339"/>
      <c r="U138" s="1339">
        <f>'print 10 lane'!X137</f>
        <v>0</v>
      </c>
      <c r="V138" s="1339"/>
      <c r="W138" s="1339"/>
      <c r="X138" s="1340"/>
      <c r="Y138" s="1340"/>
      <c r="Z138" s="1340"/>
      <c r="AA138" s="1340"/>
      <c r="AB138" s="1340"/>
      <c r="AC138" s="1340"/>
      <c r="AD138" s="1340"/>
      <c r="AE138" s="1340"/>
      <c r="AF138" s="1340"/>
      <c r="AG138" s="1341"/>
      <c r="AH138" s="1341"/>
      <c r="AI138" s="1341"/>
      <c r="AJ138" s="883"/>
    </row>
    <row r="139" spans="2:36" ht="30" customHeight="1" x14ac:dyDescent="0.25">
      <c r="B139" s="1337">
        <v>47</v>
      </c>
      <c r="C139" s="1333" t="s">
        <v>5083</v>
      </c>
      <c r="D139" s="1338" t="s">
        <v>5092</v>
      </c>
      <c r="E139" s="891" t="s">
        <v>5091</v>
      </c>
      <c r="F139" s="878">
        <f>'print 10 lane'!I138</f>
        <v>1.663310185185185E-3</v>
      </c>
      <c r="G139" s="879">
        <f>IF(F139=0,0,IF(G$6=0,0,IF(F139&lt;1,SUM((F139&gt;I139),(F139&gt;L139),(F139&gt;O139),(F139&gt;R139),(F139&gt;U139),(F139&gt;X139),(F139&gt;AA139),(F139&gt;AD139),(F139&gt;AG139),(F139&gt;BB139)))-$AJ139))</f>
        <v>4</v>
      </c>
      <c r="H139" s="879">
        <f>IF(F139=0,0,IF(G$6=0,0,IF(G139=0,0,((11-G139)))-$B$5))</f>
        <v>3</v>
      </c>
      <c r="I139" s="878">
        <f>'print 10 lane'!L138</f>
        <v>1.7428240740740739E-3</v>
      </c>
      <c r="J139" s="879">
        <f>IF(I139=0,0,IF(I$7=0,0,IF(I139&lt;1,SUM((I139&gt;L139),(I139&gt;O139),(I139&gt;R139),(I139&gt;U139),(I139&gt;X139),(I139&gt;AA139),(I139&gt;F139),(I139&gt;AD139),(I139&gt;AG139),(I139&gt;BB139)))-$AJ139))</f>
        <v>6</v>
      </c>
      <c r="K139" s="879">
        <f>IF(I139=0,0,IF(I$7=0,0,IF(J139=0,0,((11-J139)))-$B$5))</f>
        <v>1</v>
      </c>
      <c r="L139" s="878">
        <f>'print 10 lane'!O138</f>
        <v>1.6858796296296294E-3</v>
      </c>
      <c r="M139" s="879">
        <f>IF(L139=0,0,IF(L$7=0,0,IF(L139&lt;1,SUM((L139&gt;I139),(L139&gt;F139),(L139&gt;O139),(L139&gt;R139),(L139&gt;U139),(L139&gt;X139),(L139&gt;AA139),(L139&gt;AD139),(L139&gt;AG139),(L139&gt;BB139)))-$AJ139))</f>
        <v>5</v>
      </c>
      <c r="N139" s="879">
        <f>IF(L139=0,0,IF(L$7=0,0,IF(M139=0,0,((11-M139)))-$B$5))</f>
        <v>2</v>
      </c>
      <c r="O139" s="878">
        <f>'print 10 lane'!R138</f>
        <v>1.6114583333333334E-3</v>
      </c>
      <c r="P139" s="879">
        <f>IF(O139=0,0,IF(O$7=0,0,IF(O139&lt;1,SUM((O139&gt;I139),(O139&gt;L139),(O139&gt;F139),(O139&gt;R139),(O139&gt;U139),(O139&gt;X139),(O139&gt;AA139),(O139&gt;AD139),(O139&gt;AG139),(O139&gt;BB139)))-$AJ139))</f>
        <v>3</v>
      </c>
      <c r="Q139" s="879">
        <f>IF(O139=0,0,IF(O$7=0,0,IF(P139=0,0,((11-P139)))-$B$5))</f>
        <v>4</v>
      </c>
      <c r="R139" s="878">
        <f>'print 10 lane'!U138</f>
        <v>1.5557870370370372E-3</v>
      </c>
      <c r="S139" s="879">
        <f>IF(R139=0,0,IF(R$7=0,0,IF(R139&lt;1,SUM((R139&gt;I139),(R139&gt;L139),(R139&gt;O139),(R139&gt;F139),(R139&gt;U139),(R139&gt;X139),(R139&gt;AA139),(R139&gt;AD139),(R139&gt;AG139),(R139&gt;BB139)))-$AJ139))</f>
        <v>1</v>
      </c>
      <c r="T139" s="879">
        <f>IF(R139=0,0,IF(R$7=0,0,IF(S139=0,0,((11-S139)))-$B$5))</f>
        <v>6</v>
      </c>
      <c r="U139" s="878">
        <f>'print 10 lane'!X138</f>
        <v>1.5972222222222221E-3</v>
      </c>
      <c r="V139" s="879">
        <f>IF(U139=0,0,IF(U$7=0,0,IF(U139&lt;1,SUM((U139&gt;I139),(U139&gt;L139),(U139&gt;O139),(U139&gt;R139),(U139&gt;F139),(U139&gt;X139),(U139&gt;AA139),(U139&gt;AD139),(U139&gt;AG139),(U139&gt;BB139)))-$AJ139))</f>
        <v>2</v>
      </c>
      <c r="W139" s="879">
        <f>IF(U139=0,0,IF(U$7=0,0,IF(V139=0,0,((11-V139)))-$B$5))</f>
        <v>5</v>
      </c>
      <c r="X139" s="892"/>
      <c r="Y139" s="889"/>
      <c r="Z139" s="889"/>
      <c r="AA139" s="892"/>
      <c r="AB139" s="889"/>
      <c r="AC139" s="889"/>
      <c r="AD139" s="892"/>
      <c r="AE139" s="889"/>
      <c r="AF139" s="889"/>
      <c r="AG139" s="892"/>
      <c r="AH139" s="889"/>
      <c r="AI139" s="890"/>
      <c r="AJ139" s="883">
        <f>COUNTBLANK(F637:O637)</f>
        <v>4</v>
      </c>
    </row>
    <row r="140" spans="2:36" ht="30" customHeight="1" x14ac:dyDescent="0.25">
      <c r="B140" s="1337"/>
      <c r="C140" s="1333"/>
      <c r="D140" s="1338"/>
      <c r="E140" s="899" t="s">
        <v>5086</v>
      </c>
      <c r="F140" s="1339">
        <f>'print 10 lane'!I139</f>
        <v>0</v>
      </c>
      <c r="G140" s="1339"/>
      <c r="H140" s="1339"/>
      <c r="I140" s="1339">
        <f>'print 10 lane'!L139</f>
        <v>0</v>
      </c>
      <c r="J140" s="1339"/>
      <c r="K140" s="1339"/>
      <c r="L140" s="1339">
        <f>'print 10 lane'!O139</f>
        <v>0</v>
      </c>
      <c r="M140" s="1339"/>
      <c r="N140" s="1339"/>
      <c r="O140" s="1339">
        <f>'print 10 lane'!R139</f>
        <v>0</v>
      </c>
      <c r="P140" s="1339"/>
      <c r="Q140" s="1339"/>
      <c r="R140" s="1339">
        <f>'print 10 lane'!U139</f>
        <v>0</v>
      </c>
      <c r="S140" s="1339"/>
      <c r="T140" s="1339"/>
      <c r="U140" s="1339">
        <f>'print 10 lane'!X139</f>
        <v>0</v>
      </c>
      <c r="V140" s="1339"/>
      <c r="W140" s="1339"/>
      <c r="X140" s="1340"/>
      <c r="Y140" s="1340"/>
      <c r="Z140" s="1340"/>
      <c r="AA140" s="1340"/>
      <c r="AB140" s="1340"/>
      <c r="AC140" s="1340"/>
      <c r="AD140" s="1340"/>
      <c r="AE140" s="1340"/>
      <c r="AF140" s="1340"/>
      <c r="AG140" s="1341"/>
      <c r="AH140" s="1341"/>
      <c r="AI140" s="1341"/>
      <c r="AJ140" s="883"/>
    </row>
    <row r="141" spans="2:36" ht="30" customHeight="1" x14ac:dyDescent="0.25">
      <c r="B141" s="1337">
        <v>48</v>
      </c>
      <c r="C141" s="1343" t="s">
        <v>5087</v>
      </c>
      <c r="D141" s="1338" t="s">
        <v>5092</v>
      </c>
      <c r="E141" s="891" t="s">
        <v>5091</v>
      </c>
      <c r="F141" s="878">
        <f>'print 10 lane'!I140</f>
        <v>1.7131944444444445E-3</v>
      </c>
      <c r="G141" s="879">
        <f>IF(F141=0,0,IF(G$6=0,0,IF(F141&lt;1,SUM((F141&gt;I141),(F141&gt;L141),(F141&gt;O141),(F141&gt;R141),(F141&gt;U141),(F141&gt;X141),(F141&gt;AA141),(F141&gt;AD141),(F141&gt;AG141),(F141&gt;BB141)))-$AJ141))</f>
        <v>5</v>
      </c>
      <c r="H141" s="879">
        <f>IF(F141=0,0,IF(G$6=0,0,IF(G141=0,0,((11-G141)))-$B$5))</f>
        <v>2</v>
      </c>
      <c r="I141" s="878">
        <f>'print 10 lane'!L140</f>
        <v>1.6046296296296297E-3</v>
      </c>
      <c r="J141" s="879">
        <f>IF(I141=0,0,IF(I$7=0,0,IF(I141&lt;1,SUM((I141&gt;L141),(I141&gt;O141),(I141&gt;R141),(I141&gt;U141),(I141&gt;X141),(I141&gt;AA141),(I141&gt;F141),(I141&gt;AD141),(I141&gt;AG141),(I141&gt;BB141)))-$AJ141))</f>
        <v>3</v>
      </c>
      <c r="K141" s="879">
        <f>IF(I141=0,0,IF(I$7=0,0,IF(J141=0,0,((11-J141)))-$B$5))</f>
        <v>4</v>
      </c>
      <c r="L141" s="878">
        <f>'print 10 lane'!O140</f>
        <v>1.612962962962963E-3</v>
      </c>
      <c r="M141" s="879">
        <f>IF(L141=0,0,IF(L$7=0,0,IF(L141&lt;1,SUM((L141&gt;I141),(L141&gt;F141),(L141&gt;O141),(L141&gt;R141),(L141&gt;U141),(L141&gt;X141),(L141&gt;AA141),(L141&gt;AD141),(L141&gt;AG141),(L141&gt;BB141)))-$AJ141))</f>
        <v>4</v>
      </c>
      <c r="N141" s="879">
        <f>IF(L141=0,0,IF(L$7=0,0,IF(M141=0,0,((11-M141)))-$B$5))</f>
        <v>3</v>
      </c>
      <c r="O141" s="878">
        <f>'print 10 lane'!R140</f>
        <v>0</v>
      </c>
      <c r="P141" s="879">
        <f>IF(O141=0,0,IF(O$7=0,0,IF(O141&lt;1,SUM((O141&gt;I141),(O141&gt;L141),(O141&gt;F141),(O141&gt;R141),(O141&gt;U141),(O141&gt;X141),(O141&gt;AA141),(O141&gt;AD141),(O141&gt;AG141),(O141&gt;BB141)))-$AJ141))</f>
        <v>0</v>
      </c>
      <c r="Q141" s="879">
        <f>IF(O141=0,0,IF(O$7=0,0,IF(P141=0,0,((11-P141)))-$B$5))</f>
        <v>0</v>
      </c>
      <c r="R141" s="878">
        <f>'print 10 lane'!U140</f>
        <v>1.4068287037037038E-3</v>
      </c>
      <c r="S141" s="879">
        <f>IF(R141=0,0,IF(R$7=0,0,IF(R141&lt;1,SUM((R141&gt;I141),(R141&gt;L141),(R141&gt;O141),(R141&gt;F141),(R141&gt;U141),(R141&gt;X141),(R141&gt;AA141),(R141&gt;AD141),(R141&gt;AG141),(R141&gt;BB141)))-$AJ141))</f>
        <v>1</v>
      </c>
      <c r="T141" s="879">
        <f>IF(R141=0,0,IF(R$7=0,0,IF(S141=0,0,((11-S141)))-$B$5))</f>
        <v>6</v>
      </c>
      <c r="U141" s="878">
        <f>'print 10 lane'!X140</f>
        <v>1.4570601851851854E-3</v>
      </c>
      <c r="V141" s="879">
        <f>IF(U141=0,0,IF(U$7=0,0,IF(U141&lt;1,SUM((U141&gt;I141),(U141&gt;L141),(U141&gt;O141),(U141&gt;R141),(U141&gt;F141),(U141&gt;X141),(U141&gt;AA141),(U141&gt;AD141),(U141&gt;AG141),(U141&gt;BB141)))-$AJ141))</f>
        <v>2</v>
      </c>
      <c r="W141" s="879">
        <f>IF(U141=0,0,IF(U$7=0,0,IF(V141=0,0,((11-V141)))-$B$5))</f>
        <v>5</v>
      </c>
      <c r="X141" s="892"/>
      <c r="Y141" s="889"/>
      <c r="Z141" s="889"/>
      <c r="AA141" s="892"/>
      <c r="AB141" s="889"/>
      <c r="AC141" s="889"/>
      <c r="AD141" s="892"/>
      <c r="AE141" s="889"/>
      <c r="AF141" s="889"/>
      <c r="AG141" s="892"/>
      <c r="AH141" s="889"/>
      <c r="AI141" s="890"/>
      <c r="AJ141" s="883">
        <f>COUNTBLANK(F638:O638)</f>
        <v>5</v>
      </c>
    </row>
    <row r="142" spans="2:36" ht="30" customHeight="1" x14ac:dyDescent="0.25">
      <c r="B142" s="1337"/>
      <c r="C142" s="1343"/>
      <c r="D142" s="1338"/>
      <c r="E142" s="899" t="s">
        <v>5086</v>
      </c>
      <c r="F142" s="1339">
        <f>'print 10 lane'!I141</f>
        <v>0</v>
      </c>
      <c r="G142" s="1339"/>
      <c r="H142" s="1339"/>
      <c r="I142" s="1339">
        <f>'print 10 lane'!L141</f>
        <v>0</v>
      </c>
      <c r="J142" s="1339"/>
      <c r="K142" s="1339"/>
      <c r="L142" s="1339">
        <f>'print 10 lane'!O141</f>
        <v>0</v>
      </c>
      <c r="M142" s="1339"/>
      <c r="N142" s="1339"/>
      <c r="O142" s="1339" t="str">
        <f>'print 10 lane'!R141</f>
        <v>10.8 Obstructed swimmer in lane 3</v>
      </c>
      <c r="P142" s="1339"/>
      <c r="Q142" s="1339"/>
      <c r="R142" s="1339">
        <f>'print 10 lane'!U141</f>
        <v>0</v>
      </c>
      <c r="S142" s="1339"/>
      <c r="T142" s="1339"/>
      <c r="U142" s="1339">
        <f>'print 10 lane'!X141</f>
        <v>0</v>
      </c>
      <c r="V142" s="1339"/>
      <c r="W142" s="1339"/>
      <c r="X142" s="1340"/>
      <c r="Y142" s="1340"/>
      <c r="Z142" s="1340"/>
      <c r="AA142" s="1340"/>
      <c r="AB142" s="1340"/>
      <c r="AC142" s="1340"/>
      <c r="AD142" s="1340"/>
      <c r="AE142" s="1340"/>
      <c r="AF142" s="1340"/>
      <c r="AG142" s="1341"/>
      <c r="AH142" s="1341"/>
      <c r="AI142" s="1341"/>
      <c r="AJ142" s="883"/>
    </row>
    <row r="143" spans="2:36" ht="30" customHeight="1" x14ac:dyDescent="0.25">
      <c r="B143" s="1337">
        <v>49</v>
      </c>
      <c r="C143" s="1333" t="s">
        <v>5083</v>
      </c>
      <c r="D143" s="1338" t="s">
        <v>5093</v>
      </c>
      <c r="E143" s="891" t="s">
        <v>5089</v>
      </c>
      <c r="F143" s="878">
        <f>'print 10 lane'!I142</f>
        <v>1.4341435185185186E-3</v>
      </c>
      <c r="G143" s="879">
        <f>IF(F143=0,0,IF(G$6=0,0,IF(F143&lt;1,SUM((F143&gt;I143),(F143&gt;L143),(F143&gt;O143),(F143&gt;R143),(F143&gt;U143),(F143&gt;X143),(F143&gt;AA143),(F143&gt;AD143),(F143&gt;AG143),(F143&gt;BB143)))-$AJ143))</f>
        <v>3</v>
      </c>
      <c r="H143" s="879">
        <f>IF(F143=0,0,IF(G$6=0,0,IF(G143=0,0,((11-G143)))-$B$5))</f>
        <v>4</v>
      </c>
      <c r="I143" s="878">
        <f>'print 10 lane'!L142</f>
        <v>1.5045138888888888E-3</v>
      </c>
      <c r="J143" s="879">
        <f>IF(I143=0,0,IF(I$7=0,0,IF(I143&lt;1,SUM((I143&gt;L143),(I143&gt;O143),(I143&gt;R143),(I143&gt;U143),(I143&gt;X143),(I143&gt;AA143),(I143&gt;F143),(I143&gt;AD143),(I143&gt;AG143),(I143&gt;BB143)))-$AJ143))</f>
        <v>6</v>
      </c>
      <c r="K143" s="879">
        <f>IF(I143=0,0,IF(I$7=0,0,IF(J143=0,0,((11-J143)))-$B$5))</f>
        <v>1</v>
      </c>
      <c r="L143" s="878">
        <f>'print 10 lane'!O142</f>
        <v>1.4663194444444444E-3</v>
      </c>
      <c r="M143" s="879">
        <f>IF(L143=0,0,IF(L$7=0,0,IF(L143&lt;1,SUM((L143&gt;I143),(L143&gt;F143),(L143&gt;O143),(L143&gt;R143),(L143&gt;U143),(L143&gt;X143),(L143&gt;AA143),(L143&gt;AD143),(L143&gt;AG143),(L143&gt;BB143)))-$AJ143))</f>
        <v>5</v>
      </c>
      <c r="N143" s="879">
        <f>IF(L143=0,0,IF(L$7=0,0,IF(M143=0,0,((11-M143)))-$B$5))</f>
        <v>2</v>
      </c>
      <c r="O143" s="878">
        <f>'print 10 lane'!R142</f>
        <v>1.3895833333333332E-3</v>
      </c>
      <c r="P143" s="879">
        <f>IF(O143=0,0,IF(O$7=0,0,IF(O143&lt;1,SUM((O143&gt;I143),(O143&gt;L143),(O143&gt;F143),(O143&gt;R143),(O143&gt;U143),(O143&gt;X143),(O143&gt;AA143),(O143&gt;AD143),(O143&gt;AG143),(O143&gt;BB143)))-$AJ143))</f>
        <v>2</v>
      </c>
      <c r="Q143" s="879">
        <f>IF(O143=0,0,IF(O$7=0,0,IF(P143=0,0,((11-P143)))-$B$5))</f>
        <v>5</v>
      </c>
      <c r="R143" s="878">
        <f>'print 10 lane'!U142</f>
        <v>1.387962962962963E-3</v>
      </c>
      <c r="S143" s="879">
        <f>IF(R143=0,0,IF(R$7=0,0,IF(R143&lt;1,SUM((R143&gt;I143),(R143&gt;L143),(R143&gt;O143),(R143&gt;F143),(R143&gt;U143),(R143&gt;X143),(R143&gt;AA143),(R143&gt;AD143),(R143&gt;AG143),(R143&gt;BB143)))-$AJ143))</f>
        <v>1</v>
      </c>
      <c r="T143" s="879">
        <f>IF(R143=0,0,IF(R$7=0,0,IF(S143=0,0,((11-S143)))-$B$5))</f>
        <v>6</v>
      </c>
      <c r="U143" s="878">
        <f>'print 10 lane'!X142</f>
        <v>1.4398148148148148E-3</v>
      </c>
      <c r="V143" s="879">
        <f>IF(U143=0,0,IF(U$7=0,0,IF(U143&lt;1,SUM((U143&gt;I143),(U143&gt;L143),(U143&gt;O143),(U143&gt;R143),(U143&gt;F143),(U143&gt;X143),(U143&gt;AA143),(U143&gt;AD143),(U143&gt;AG143),(U143&gt;BB143)))-$AJ143))</f>
        <v>4</v>
      </c>
      <c r="W143" s="879">
        <f>IF(U143=0,0,IF(U$7=0,0,IF(V143=0,0,((11-V143)))-$B$5))</f>
        <v>3</v>
      </c>
      <c r="X143" s="892"/>
      <c r="Y143" s="889"/>
      <c r="Z143" s="889"/>
      <c r="AA143" s="892"/>
      <c r="AB143" s="889"/>
      <c r="AC143" s="889"/>
      <c r="AD143" s="892"/>
      <c r="AE143" s="889"/>
      <c r="AF143" s="889"/>
      <c r="AG143" s="892"/>
      <c r="AH143" s="889"/>
      <c r="AI143" s="890"/>
      <c r="AJ143" s="883">
        <f>COUNTBLANK(F639:O639)</f>
        <v>4</v>
      </c>
    </row>
    <row r="144" spans="2:36" ht="30" customHeight="1" x14ac:dyDescent="0.25">
      <c r="B144" s="1337"/>
      <c r="C144" s="1333"/>
      <c r="D144" s="1338"/>
      <c r="E144" s="899" t="s">
        <v>5086</v>
      </c>
      <c r="F144" s="1339">
        <f>'print 10 lane'!I143</f>
        <v>0</v>
      </c>
      <c r="G144" s="1339"/>
      <c r="H144" s="1339"/>
      <c r="I144" s="1339">
        <f>'print 10 lane'!L143</f>
        <v>0</v>
      </c>
      <c r="J144" s="1339"/>
      <c r="K144" s="1339"/>
      <c r="L144" s="1339">
        <f>'print 10 lane'!O143</f>
        <v>0</v>
      </c>
      <c r="M144" s="1339"/>
      <c r="N144" s="1339"/>
      <c r="O144" s="1339">
        <f>'print 10 lane'!R143</f>
        <v>0</v>
      </c>
      <c r="P144" s="1339"/>
      <c r="Q144" s="1339"/>
      <c r="R144" s="1339">
        <f>'print 10 lane'!U143</f>
        <v>0</v>
      </c>
      <c r="S144" s="1339"/>
      <c r="T144" s="1339"/>
      <c r="U144" s="1339">
        <f>'print 10 lane'!X143</f>
        <v>0</v>
      </c>
      <c r="V144" s="1339"/>
      <c r="W144" s="1339"/>
      <c r="X144" s="1340"/>
      <c r="Y144" s="1340"/>
      <c r="Z144" s="1340"/>
      <c r="AA144" s="1340"/>
      <c r="AB144" s="1340"/>
      <c r="AC144" s="1340"/>
      <c r="AD144" s="1340"/>
      <c r="AE144" s="1340"/>
      <c r="AF144" s="1340"/>
      <c r="AG144" s="1341"/>
      <c r="AH144" s="1341"/>
      <c r="AI144" s="1341"/>
      <c r="AJ144" s="883"/>
    </row>
    <row r="145" spans="2:36" ht="30" customHeight="1" x14ac:dyDescent="0.25">
      <c r="B145" s="1342">
        <v>50</v>
      </c>
      <c r="C145" s="1343" t="s">
        <v>5087</v>
      </c>
      <c r="D145" s="1344" t="s">
        <v>5093</v>
      </c>
      <c r="E145" s="891" t="s">
        <v>5089</v>
      </c>
      <c r="F145" s="878">
        <f>'print 10 lane'!I144</f>
        <v>1.3858796296296295E-3</v>
      </c>
      <c r="G145" s="879">
        <f>IF(F145=0,0,IF(G$6=0,0,IF(F145&lt;1,SUM((F145&gt;I145),(F145&gt;L145),(F145&gt;O145),(F145&gt;R145),(F145&gt;U145),(F145&gt;X145),(F145&gt;AA145),(F145&gt;AD145),(F145&gt;AG145),(F145&gt;BB145)))-$AJ145))</f>
        <v>6</v>
      </c>
      <c r="H145" s="879">
        <f>IF(F145=0,0,IF(G$6=0,0,IF(G145=0,0,((11-G145)))-$B$5))</f>
        <v>1</v>
      </c>
      <c r="I145" s="878">
        <f>'print 10 lane'!L144</f>
        <v>1.3265046296296295E-3</v>
      </c>
      <c r="J145" s="879">
        <f>IF(I145=0,0,IF(I$7=0,0,IF(I145&lt;1,SUM((I145&gt;L145),(I145&gt;O145),(I145&gt;R145),(I145&gt;U145),(I145&gt;X145),(I145&gt;AA145),(I145&gt;F145),(I145&gt;AD145),(I145&gt;AG145),(I145&gt;BB145)))-$AJ145))</f>
        <v>5</v>
      </c>
      <c r="K145" s="879">
        <f>IF(I145=0,0,IF(I$7=0,0,IF(J145=0,0,((11-J145)))-$B$5))</f>
        <v>2</v>
      </c>
      <c r="L145" s="878">
        <f>'print 10 lane'!O144</f>
        <v>1.3187499999999998E-3</v>
      </c>
      <c r="M145" s="879">
        <f>IF(L145=0,0,IF(L$7=0,0,IF(L145&lt;1,SUM((L145&gt;I145),(L145&gt;F145),(L145&gt;O145),(L145&gt;R145),(L145&gt;U145),(L145&gt;X145),(L145&gt;AA145),(L145&gt;AD145),(L145&gt;AG145),(L145&gt;BB145)))-$AJ145))</f>
        <v>4</v>
      </c>
      <c r="N145" s="879">
        <f>IF(L145=0,0,IF(L$7=0,0,IF(M145=0,0,((11-M145)))-$B$5))</f>
        <v>3</v>
      </c>
      <c r="O145" s="878">
        <f>'print 10 lane'!R144</f>
        <v>1.2317129629629629E-3</v>
      </c>
      <c r="P145" s="879">
        <f>IF(O145=0,0,IF(O$7=0,0,IF(O145&lt;1,SUM((O145&gt;I145),(O145&gt;L145),(O145&gt;F145),(O145&gt;R145),(O145&gt;U145),(O145&gt;X145),(O145&gt;AA145),(O145&gt;AD145),(O145&gt;AG145),(O145&gt;BB145)))-$AJ145))</f>
        <v>2</v>
      </c>
      <c r="Q145" s="879">
        <f>IF(O145=0,0,IF(O$7=0,0,IF(P145=0,0,((11-P145)))-$B$5))</f>
        <v>5</v>
      </c>
      <c r="R145" s="878">
        <f>'print 10 lane'!U144</f>
        <v>1.2390046296296296E-3</v>
      </c>
      <c r="S145" s="879">
        <f>IF(R145=0,0,IF(R$7=0,0,IF(R145&lt;1,SUM((R145&gt;I145),(R145&gt;L145),(R145&gt;O145),(R145&gt;F145),(R145&gt;U145),(R145&gt;X145),(R145&gt;AA145),(R145&gt;AD145),(R145&gt;AG145),(R145&gt;BB145)))-$AJ145))</f>
        <v>3</v>
      </c>
      <c r="T145" s="879">
        <f>IF(R145=0,0,IF(R$7=0,0,IF(S145=0,0,((11-S145)))-$B$5))</f>
        <v>4</v>
      </c>
      <c r="U145" s="878">
        <f>'print 10 lane'!X144</f>
        <v>1.2075231481481483E-3</v>
      </c>
      <c r="V145" s="879">
        <f>IF(U145=0,0,IF(U$7=0,0,IF(U145&lt;1,SUM((U145&gt;I145),(U145&gt;L145),(U145&gt;O145),(U145&gt;R145),(U145&gt;F145),(U145&gt;X145),(U145&gt;AA145),(U145&gt;AD145),(U145&gt;AG145),(U145&gt;BB145)))-$AJ145))</f>
        <v>1</v>
      </c>
      <c r="W145" s="879">
        <f>IF(U145=0,0,IF(U$7=0,0,IF(V145=0,0,((11-V145)))-$B$5))</f>
        <v>6</v>
      </c>
      <c r="X145" s="892"/>
      <c r="Y145" s="889"/>
      <c r="Z145" s="889"/>
      <c r="AA145" s="892"/>
      <c r="AB145" s="889"/>
      <c r="AC145" s="889"/>
      <c r="AD145" s="892"/>
      <c r="AE145" s="889"/>
      <c r="AF145" s="889"/>
      <c r="AG145" s="892"/>
      <c r="AH145" s="889"/>
      <c r="AI145" s="890"/>
      <c r="AJ145" s="883">
        <f>COUNTBLANK(F640:O640)</f>
        <v>4</v>
      </c>
    </row>
    <row r="146" spans="2:36" ht="30" customHeight="1" x14ac:dyDescent="0.25">
      <c r="B146" s="1342"/>
      <c r="C146" s="1343"/>
      <c r="D146" s="1344"/>
      <c r="E146" s="904" t="s">
        <v>5086</v>
      </c>
      <c r="F146" s="1334">
        <f>'print 10 lane'!I145</f>
        <v>0</v>
      </c>
      <c r="G146" s="1334"/>
      <c r="H146" s="1334"/>
      <c r="I146" s="1334">
        <f>'print 10 lane'!L145</f>
        <v>0</v>
      </c>
      <c r="J146" s="1334"/>
      <c r="K146" s="1334"/>
      <c r="L146" s="1334">
        <f>'print 10 lane'!O145</f>
        <v>0</v>
      </c>
      <c r="M146" s="1334"/>
      <c r="N146" s="1334"/>
      <c r="O146" s="1334">
        <f>'print 10 lane'!R145</f>
        <v>0</v>
      </c>
      <c r="P146" s="1334"/>
      <c r="Q146" s="1334"/>
      <c r="R146" s="1334">
        <f>'print 10 lane'!U145</f>
        <v>0</v>
      </c>
      <c r="S146" s="1334"/>
      <c r="T146" s="1334"/>
      <c r="U146" s="1334">
        <f>'print 10 lane'!X145</f>
        <v>0</v>
      </c>
      <c r="V146" s="1334"/>
      <c r="W146" s="1334"/>
      <c r="X146" s="1345"/>
      <c r="Y146" s="1345"/>
      <c r="Z146" s="1345"/>
      <c r="AA146" s="1345"/>
      <c r="AB146" s="1345"/>
      <c r="AC146" s="1345"/>
      <c r="AD146" s="1345"/>
      <c r="AE146" s="1345"/>
      <c r="AF146" s="1345"/>
      <c r="AG146" s="1346"/>
      <c r="AH146" s="1346"/>
      <c r="AI146" s="1346"/>
      <c r="AJ146" s="883"/>
    </row>
    <row r="147" spans="2:36" ht="30" customHeight="1" x14ac:dyDescent="0.25">
      <c r="B147" s="1332">
        <v>51</v>
      </c>
      <c r="C147" s="1333" t="s">
        <v>5106</v>
      </c>
      <c r="D147" s="1333"/>
      <c r="E147" s="891" t="s">
        <v>5107</v>
      </c>
      <c r="F147" s="878">
        <f>'print 10 lane'!I146</f>
        <v>3.0379629629629628E-3</v>
      </c>
      <c r="G147" s="879">
        <f>IF(F147=0,0,IF(G$6=0,0,IF(F147&lt;1,SUM((F147&gt;I147),(F147&gt;L147),(F147&gt;O147),(F147&gt;R147),(F147&gt;U147),(F147&gt;X147),(F147&gt;AA147),(F147&gt;AD147),(F147&gt;AG147),(F147&gt;BB147)))-$AJ147))</f>
        <v>4</v>
      </c>
      <c r="H147" s="879">
        <f>IF(F147=0,0,IF(G$6=0,0,IF(G147=0,0,((11-G147)))-$B$5))</f>
        <v>3</v>
      </c>
      <c r="I147" s="878">
        <f>'print 10 lane'!L146</f>
        <v>2.8525462962962962E-3</v>
      </c>
      <c r="J147" s="879">
        <f>IF(I147=0,0,IF(I$7=0,0,IF(I147&lt;1,SUM((I147&gt;L147),(I147&gt;O147),(I147&gt;R147),(I147&gt;U147),(I147&gt;X147),(I147&gt;AA147),(I147&gt;F147),(I147&gt;AD147),(I147&gt;AG147),(I147&gt;BB147)))-$AJ147))</f>
        <v>2</v>
      </c>
      <c r="K147" s="879">
        <f>IF(I147=0,0,IF(I$7=0,0,IF(J147=0,0,((11-J147)))-$B$5))</f>
        <v>5</v>
      </c>
      <c r="L147" s="878">
        <f>'print 10 lane'!O146</f>
        <v>3.0815972222222221E-3</v>
      </c>
      <c r="M147" s="879">
        <f>IF(L147=0,0,IF(L$7=0,0,IF(L147&lt;1,SUM((L147&gt;I147),(L147&gt;F147),(L147&gt;O147),(L147&gt;R147),(L147&gt;U147),(L147&gt;X147),(L147&gt;AA147),(L147&gt;AD147),(L147&gt;AG147),(L147&gt;BB147)))-$AJ147))</f>
        <v>5</v>
      </c>
      <c r="N147" s="879">
        <f>IF(L147=0,0,IF(L$7=0,0,IF(M147=0,0,((11-M147)))-$B$5))</f>
        <v>2</v>
      </c>
      <c r="O147" s="878">
        <f>'print 10 lane'!R146</f>
        <v>2.8396990740740739E-3</v>
      </c>
      <c r="P147" s="879">
        <f>IF(O147=0,0,IF(O$7=0,0,IF(O147&lt;1,SUM((O147&gt;I147),(O147&gt;L147),(O147&gt;F147),(O147&gt;R147),(O147&gt;U147),(O147&gt;X147),(O147&gt;AA147),(O147&gt;AD147),(O147&gt;AG147),(O147&gt;BB147)))-$AJ147))</f>
        <v>1</v>
      </c>
      <c r="Q147" s="879">
        <f>IF(O147=0,0,IF(O$7=0,0,IF(P147=0,0,((11-P147)))-$B$5))</f>
        <v>6</v>
      </c>
      <c r="R147" s="878">
        <f>'print 10 lane'!U146</f>
        <v>2.9663194444444446E-3</v>
      </c>
      <c r="S147" s="879">
        <f>IF(R147=0,0,IF(R$7=0,0,IF(R147&lt;1,SUM((R147&gt;I147),(R147&gt;L147),(R147&gt;O147),(R147&gt;F147),(R147&gt;U147),(R147&gt;X147),(R147&gt;AA147),(R147&gt;AD147),(R147&gt;AG147),(R147&gt;BB147)))-$AJ147))</f>
        <v>3</v>
      </c>
      <c r="T147" s="879">
        <f>IF(R147=0,0,IF(R$7=0,0,IF(S147=0,0,((11-S147)))-$B$5))</f>
        <v>4</v>
      </c>
      <c r="U147" s="878">
        <f>'print 10 lane'!X146</f>
        <v>0</v>
      </c>
      <c r="V147" s="879">
        <f>IF(U147=0,0,IF(U$7=0,0,IF(U147&lt;1,SUM((U147&gt;I147),(U147&gt;L147),(U147&gt;O147),(U147&gt;R147),(U147&gt;F147),(U147&gt;X147),(U147&gt;AA147),(U147&gt;AD147),(U147&gt;AG147),(U147&gt;BB147)))-$AJ147))</f>
        <v>0</v>
      </c>
      <c r="W147" s="879">
        <f>IF(U147=0,0,IF(U$7=0,0,IF(V147=0,0,((11-V147)))-$B$5))</f>
        <v>0</v>
      </c>
      <c r="X147" s="905"/>
      <c r="Y147" s="905"/>
      <c r="Z147" s="905"/>
      <c r="AA147" s="906"/>
      <c r="AB147" s="905"/>
      <c r="AC147" s="905"/>
      <c r="AD147" s="906"/>
      <c r="AE147" s="905"/>
      <c r="AF147" s="905"/>
      <c r="AG147" s="906"/>
      <c r="AH147" s="905"/>
      <c r="AI147" s="907"/>
      <c r="AJ147" s="883">
        <f>COUNTBLANK(F641:O641)</f>
        <v>5</v>
      </c>
    </row>
    <row r="148" spans="2:36" ht="30" customHeight="1" x14ac:dyDescent="0.25">
      <c r="B148" s="1332"/>
      <c r="C148" s="1333"/>
      <c r="D148" s="1333"/>
      <c r="E148" s="899" t="s">
        <v>5108</v>
      </c>
      <c r="F148" s="1334">
        <f>'print 10 lane'!I147</f>
        <v>0</v>
      </c>
      <c r="G148" s="1334"/>
      <c r="H148" s="1334"/>
      <c r="I148" s="1334">
        <f>'print 10 lane'!L147</f>
        <v>0</v>
      </c>
      <c r="J148" s="1334"/>
      <c r="K148" s="1334"/>
      <c r="L148" s="1334">
        <f>'print 10 lane'!O147</f>
        <v>0</v>
      </c>
      <c r="M148" s="1334"/>
      <c r="N148" s="1334"/>
      <c r="O148" s="1334">
        <f>'print 10 lane'!R147</f>
        <v>0</v>
      </c>
      <c r="P148" s="1334"/>
      <c r="Q148" s="1334"/>
      <c r="R148" s="1334">
        <f>'print 10 lane'!U147</f>
        <v>0</v>
      </c>
      <c r="S148" s="1334"/>
      <c r="T148" s="1334"/>
      <c r="U148" s="1334" t="str">
        <f>'print 10 lane'!X147</f>
        <v>5.2 did not touch the wall at the turn</v>
      </c>
      <c r="V148" s="1334"/>
      <c r="W148" s="1334"/>
      <c r="X148" s="905"/>
      <c r="Y148" s="905"/>
      <c r="Z148" s="905"/>
      <c r="AA148" s="906"/>
      <c r="AB148" s="905"/>
      <c r="AC148" s="905"/>
      <c r="AD148" s="906"/>
      <c r="AE148" s="905"/>
      <c r="AF148" s="905"/>
      <c r="AG148" s="906"/>
      <c r="AH148" s="905"/>
      <c r="AI148" s="907"/>
      <c r="AJ148" s="908"/>
    </row>
    <row r="149" spans="2:36" ht="30" customHeight="1" x14ac:dyDescent="0.25">
      <c r="B149" s="1335" t="s">
        <v>5109</v>
      </c>
      <c r="C149" s="1335"/>
      <c r="D149" s="1335"/>
      <c r="E149" s="1335"/>
      <c r="F149" s="909" t="s">
        <v>4606</v>
      </c>
      <c r="G149" s="1336">
        <f>COUNTIF(G13:G147,1)</f>
        <v>7</v>
      </c>
      <c r="H149" s="1336"/>
      <c r="I149" s="909" t="s">
        <v>4606</v>
      </c>
      <c r="J149" s="1336">
        <f>COUNTIF(J13:J147,1)</f>
        <v>5</v>
      </c>
      <c r="K149" s="1336"/>
      <c r="L149" s="909" t="s">
        <v>4606</v>
      </c>
      <c r="M149" s="1336">
        <f>COUNTIF(M13:M147,1)</f>
        <v>3</v>
      </c>
      <c r="N149" s="1336"/>
      <c r="O149" s="909" t="s">
        <v>4606</v>
      </c>
      <c r="P149" s="1336">
        <f>COUNTIF(P13:P147,1)</f>
        <v>13</v>
      </c>
      <c r="Q149" s="1336"/>
      <c r="R149" s="909" t="s">
        <v>4606</v>
      </c>
      <c r="S149" s="1336">
        <f>COUNTIF(S13:S147,1)</f>
        <v>13</v>
      </c>
      <c r="T149" s="1336"/>
      <c r="U149" s="909" t="s">
        <v>4606</v>
      </c>
      <c r="V149" s="1336">
        <f>COUNTIF(V13:V147,1)</f>
        <v>10</v>
      </c>
      <c r="W149" s="1336"/>
      <c r="X149" s="910"/>
      <c r="Y149" s="1326"/>
      <c r="Z149" s="1326"/>
      <c r="AA149" s="911"/>
      <c r="AB149" s="1327"/>
      <c r="AC149" s="1327"/>
      <c r="AD149" s="911"/>
      <c r="AE149" s="1326"/>
      <c r="AF149" s="1326"/>
      <c r="AG149" s="911"/>
      <c r="AH149" s="1327"/>
      <c r="AI149" s="1327"/>
    </row>
    <row r="150" spans="2:36" ht="30" customHeight="1" x14ac:dyDescent="0.25">
      <c r="B150" s="1335"/>
      <c r="C150" s="1335"/>
      <c r="D150" s="1335"/>
      <c r="E150" s="1335"/>
      <c r="F150" s="912" t="s">
        <v>4607</v>
      </c>
      <c r="G150" s="1320">
        <f>COUNTIF(G13:G147,2)</f>
        <v>3</v>
      </c>
      <c r="H150" s="1320"/>
      <c r="I150" s="912" t="s">
        <v>4607</v>
      </c>
      <c r="J150" s="1320">
        <f>COUNTIF(J13:J147,2)</f>
        <v>2</v>
      </c>
      <c r="K150" s="1320"/>
      <c r="L150" s="912" t="s">
        <v>4607</v>
      </c>
      <c r="M150" s="1320">
        <f>COUNTIF(M13:M147,2)</f>
        <v>10</v>
      </c>
      <c r="N150" s="1320"/>
      <c r="O150" s="912" t="s">
        <v>4607</v>
      </c>
      <c r="P150" s="1320">
        <f>COUNTIF(P13:P147,2)</f>
        <v>12</v>
      </c>
      <c r="Q150" s="1320"/>
      <c r="R150" s="912" t="s">
        <v>4607</v>
      </c>
      <c r="S150" s="1320">
        <f>COUNTIF(S13:S147,2)</f>
        <v>16</v>
      </c>
      <c r="T150" s="1320"/>
      <c r="U150" s="912" t="s">
        <v>4607</v>
      </c>
      <c r="V150" s="1320">
        <f>COUNTIF(V13:V147,2)</f>
        <v>8</v>
      </c>
      <c r="W150" s="1320"/>
      <c r="X150" s="914"/>
      <c r="Y150" s="1328"/>
      <c r="Z150" s="1328"/>
      <c r="AA150" s="913"/>
      <c r="AB150" s="1329"/>
      <c r="AC150" s="1329"/>
      <c r="AD150" s="913"/>
      <c r="AE150" s="1328"/>
      <c r="AF150" s="1328"/>
      <c r="AG150" s="913"/>
      <c r="AH150" s="1329"/>
      <c r="AI150" s="1329"/>
    </row>
    <row r="151" spans="2:36" ht="27.75" customHeight="1" x14ac:dyDescent="0.25">
      <c r="B151" s="1335"/>
      <c r="C151" s="1335"/>
      <c r="D151" s="1335"/>
      <c r="E151" s="1335"/>
      <c r="F151" s="915" t="s">
        <v>4608</v>
      </c>
      <c r="G151" s="1320">
        <f>COUNTIF(G$13:G$147,3)</f>
        <v>8</v>
      </c>
      <c r="H151" s="1320"/>
      <c r="I151" s="915" t="s">
        <v>4608</v>
      </c>
      <c r="J151" s="1320">
        <f>COUNTIF(J$13:J$147,3)</f>
        <v>8</v>
      </c>
      <c r="K151" s="1320"/>
      <c r="L151" s="915" t="s">
        <v>4608</v>
      </c>
      <c r="M151" s="1320">
        <f>COUNTIF(M$13:M$147,3)</f>
        <v>6</v>
      </c>
      <c r="N151" s="1320"/>
      <c r="O151" s="915" t="s">
        <v>4608</v>
      </c>
      <c r="P151" s="1320">
        <f>COUNTIF(P$13:P$147,3)</f>
        <v>9</v>
      </c>
      <c r="Q151" s="1320"/>
      <c r="R151" s="915" t="s">
        <v>4608</v>
      </c>
      <c r="S151" s="1320">
        <f>COUNTIF(S$13:S$147,3)</f>
        <v>8</v>
      </c>
      <c r="T151" s="1320"/>
      <c r="U151" s="915" t="s">
        <v>4608</v>
      </c>
      <c r="V151" s="1320">
        <f>COUNTIF(V$13:V$147,3)</f>
        <v>12</v>
      </c>
      <c r="W151" s="1320"/>
      <c r="X151" s="916"/>
      <c r="Y151" s="1330"/>
      <c r="Z151" s="1330"/>
      <c r="AA151" s="917"/>
      <c r="AB151" s="1331"/>
      <c r="AC151" s="1331"/>
      <c r="AD151" s="917"/>
      <c r="AE151" s="1330"/>
      <c r="AF151" s="1330"/>
      <c r="AG151" s="917"/>
      <c r="AH151" s="1331"/>
      <c r="AI151" s="1331"/>
    </row>
    <row r="152" spans="2:36" ht="27.75" customHeight="1" x14ac:dyDescent="0.25">
      <c r="B152" s="1335"/>
      <c r="C152" s="1335"/>
      <c r="D152" s="1335"/>
      <c r="E152" s="1335"/>
      <c r="F152" s="918" t="s">
        <v>4609</v>
      </c>
      <c r="G152" s="1320">
        <f>COUNTIF(G$13:G$147,4)</f>
        <v>8</v>
      </c>
      <c r="H152" s="1320"/>
      <c r="I152" s="918" t="s">
        <v>4609</v>
      </c>
      <c r="J152" s="1320">
        <f>COUNTIF(J$13:J$147,4)</f>
        <v>11</v>
      </c>
      <c r="K152" s="1320"/>
      <c r="L152" s="918" t="s">
        <v>4609</v>
      </c>
      <c r="M152" s="1320">
        <f>COUNTIF(M$13:M$147,4)</f>
        <v>13</v>
      </c>
      <c r="N152" s="1320"/>
      <c r="O152" s="918" t="s">
        <v>4609</v>
      </c>
      <c r="P152" s="1320">
        <f>COUNTIF(P$13:P$147,4)</f>
        <v>7</v>
      </c>
      <c r="Q152" s="1320"/>
      <c r="R152" s="918" t="s">
        <v>4609</v>
      </c>
      <c r="S152" s="1320">
        <f>COUNTIF(S$13:S$147,4)</f>
        <v>4</v>
      </c>
      <c r="T152" s="1320"/>
      <c r="U152" s="918" t="s">
        <v>4609</v>
      </c>
      <c r="V152" s="1320">
        <f>COUNTIF(V$13:V$147,4)</f>
        <v>7</v>
      </c>
      <c r="W152" s="1320"/>
      <c r="X152" s="919"/>
      <c r="Y152" s="919"/>
      <c r="Z152" s="919"/>
      <c r="AA152" s="919"/>
      <c r="AB152" s="919"/>
      <c r="AC152" s="919"/>
      <c r="AD152" s="919"/>
      <c r="AE152" s="919"/>
      <c r="AF152" s="919"/>
      <c r="AG152" s="919"/>
      <c r="AH152" s="919"/>
      <c r="AI152" s="919"/>
    </row>
    <row r="153" spans="2:36" ht="27.75" customHeight="1" x14ac:dyDescent="0.25">
      <c r="B153" s="1335"/>
      <c r="C153" s="1335"/>
      <c r="D153" s="1335"/>
      <c r="E153" s="1335"/>
      <c r="F153" s="918" t="s">
        <v>4610</v>
      </c>
      <c r="G153" s="1320">
        <f>COUNTIF(G$13:G$147,5)</f>
        <v>7</v>
      </c>
      <c r="H153" s="1320"/>
      <c r="I153" s="918" t="s">
        <v>4610</v>
      </c>
      <c r="J153" s="1320">
        <f>COUNTIF(J$13:J$147,5)</f>
        <v>14</v>
      </c>
      <c r="K153" s="1320"/>
      <c r="L153" s="918" t="s">
        <v>4610</v>
      </c>
      <c r="M153" s="1320">
        <f>COUNTIF(M$13:M$147,5)</f>
        <v>11</v>
      </c>
      <c r="N153" s="1320"/>
      <c r="O153" s="918" t="s">
        <v>4610</v>
      </c>
      <c r="P153" s="1320">
        <f>COUNTIF(P$13:P$147,5)</f>
        <v>5</v>
      </c>
      <c r="Q153" s="1320"/>
      <c r="R153" s="918" t="s">
        <v>4610</v>
      </c>
      <c r="S153" s="1320">
        <f>COUNTIF(S$13:S$147,5)</f>
        <v>6</v>
      </c>
      <c r="T153" s="1320"/>
      <c r="U153" s="918" t="s">
        <v>4610</v>
      </c>
      <c r="V153" s="1320">
        <f>COUNTIF(V$13:V$147,5)</f>
        <v>5</v>
      </c>
      <c r="W153" s="1320"/>
      <c r="X153" s="919"/>
      <c r="Y153" s="919"/>
      <c r="Z153" s="919"/>
      <c r="AA153" s="919"/>
      <c r="AB153" s="919"/>
      <c r="AC153" s="919"/>
      <c r="AD153" s="919"/>
      <c r="AE153" s="919"/>
      <c r="AF153" s="919"/>
      <c r="AG153" s="919"/>
      <c r="AH153" s="919"/>
      <c r="AI153" s="919"/>
    </row>
    <row r="154" spans="2:36" ht="27.75" customHeight="1" x14ac:dyDescent="0.25">
      <c r="B154" s="1335"/>
      <c r="C154" s="1335"/>
      <c r="D154" s="1335"/>
      <c r="E154" s="1335"/>
      <c r="F154" s="918" t="s">
        <v>4611</v>
      </c>
      <c r="G154" s="1320">
        <f>COUNTIF(G$13:G$147,6)</f>
        <v>10</v>
      </c>
      <c r="H154" s="1320"/>
      <c r="I154" s="918" t="s">
        <v>4611</v>
      </c>
      <c r="J154" s="1320">
        <f>COUNTIF(J$13:J$147,6)</f>
        <v>10</v>
      </c>
      <c r="K154" s="1320"/>
      <c r="L154" s="918" t="s">
        <v>4611</v>
      </c>
      <c r="M154" s="1320">
        <f>COUNTIF(M$13:M$147,6)</f>
        <v>0</v>
      </c>
      <c r="N154" s="1320"/>
      <c r="O154" s="918" t="s">
        <v>4611</v>
      </c>
      <c r="P154" s="1320">
        <f>COUNTIF(P$13:P$147,6)</f>
        <v>3</v>
      </c>
      <c r="Q154" s="1320"/>
      <c r="R154" s="918" t="s">
        <v>4611</v>
      </c>
      <c r="S154" s="1320">
        <f>COUNTIF(S$13:S$147,6)</f>
        <v>4</v>
      </c>
      <c r="T154" s="1320"/>
      <c r="U154" s="918" t="s">
        <v>4611</v>
      </c>
      <c r="V154" s="1320">
        <f>COUNTIF(V$13:V$147,6)</f>
        <v>5</v>
      </c>
      <c r="W154" s="1320"/>
      <c r="X154" s="919"/>
      <c r="Y154" s="919"/>
      <c r="Z154" s="919"/>
      <c r="AA154" s="919"/>
      <c r="AB154" s="919"/>
      <c r="AC154" s="919"/>
      <c r="AD154" s="919"/>
      <c r="AE154" s="919"/>
      <c r="AF154" s="919"/>
      <c r="AG154" s="919"/>
      <c r="AH154" s="919"/>
      <c r="AI154" s="919"/>
    </row>
    <row r="155" spans="2:36" ht="22.5" hidden="1" customHeight="1" x14ac:dyDescent="0.25">
      <c r="B155" s="920"/>
      <c r="C155" s="921"/>
      <c r="D155" s="922"/>
      <c r="E155" s="920"/>
      <c r="F155" s="923"/>
      <c r="G155" s="919"/>
      <c r="H155" s="919"/>
      <c r="I155" s="923"/>
      <c r="J155" s="919"/>
      <c r="K155" s="919"/>
      <c r="L155" s="923"/>
      <c r="M155" s="919"/>
      <c r="N155" s="919"/>
      <c r="O155" s="923"/>
      <c r="P155" s="919"/>
      <c r="Q155" s="919"/>
      <c r="R155" s="923"/>
      <c r="S155" s="919"/>
      <c r="T155" s="919"/>
      <c r="U155" s="923"/>
      <c r="V155" s="919"/>
      <c r="W155" s="919"/>
      <c r="X155" s="919"/>
      <c r="Y155" s="919"/>
      <c r="Z155" s="919"/>
      <c r="AA155" s="919"/>
      <c r="AB155" s="919"/>
      <c r="AC155" s="919"/>
      <c r="AD155" s="919"/>
      <c r="AE155" s="919"/>
      <c r="AF155" s="919"/>
      <c r="AG155" s="919"/>
      <c r="AH155" s="919"/>
      <c r="AI155" s="919"/>
    </row>
    <row r="156" spans="2:36" ht="18" hidden="1" customHeight="1" x14ac:dyDescent="0.25">
      <c r="B156" s="1321"/>
      <c r="C156" s="1321"/>
      <c r="D156" s="1321"/>
      <c r="E156" s="833"/>
      <c r="F156" s="924"/>
      <c r="G156" s="925"/>
      <c r="H156" s="925"/>
      <c r="I156" s="926"/>
      <c r="J156" s="925"/>
      <c r="K156" s="925"/>
      <c r="L156" s="926"/>
      <c r="M156" s="925"/>
      <c r="N156" s="925"/>
      <c r="O156" s="926"/>
      <c r="P156" s="925"/>
      <c r="Q156" s="925"/>
      <c r="R156" s="926"/>
      <c r="S156" s="925"/>
      <c r="T156" s="925"/>
      <c r="U156" s="926"/>
      <c r="V156" s="925"/>
      <c r="W156" s="925"/>
      <c r="X156" s="925"/>
      <c r="Y156" s="925"/>
      <c r="Z156" s="925"/>
      <c r="AA156" s="925"/>
      <c r="AB156" s="925"/>
      <c r="AC156" s="925"/>
      <c r="AD156" s="927"/>
      <c r="AE156" s="927"/>
      <c r="AF156" s="927"/>
      <c r="AG156" s="927"/>
      <c r="AH156" s="927"/>
      <c r="AI156" s="927"/>
    </row>
    <row r="157" spans="2:36" ht="18" hidden="1" customHeight="1" x14ac:dyDescent="0.25">
      <c r="B157" s="1321"/>
      <c r="C157" s="1321"/>
      <c r="D157" s="1321"/>
      <c r="E157" s="833"/>
      <c r="F157" s="928"/>
      <c r="G157" s="927"/>
      <c r="H157" s="927"/>
      <c r="I157" s="928"/>
      <c r="J157" s="927"/>
      <c r="K157" s="927"/>
      <c r="L157" s="928"/>
      <c r="M157" s="927"/>
      <c r="N157" s="927"/>
      <c r="O157" s="928"/>
      <c r="P157" s="927"/>
      <c r="Q157" s="927"/>
      <c r="R157" s="928"/>
      <c r="S157" s="927"/>
      <c r="T157" s="927"/>
      <c r="U157" s="928"/>
      <c r="V157" s="927"/>
      <c r="W157" s="927"/>
      <c r="X157" s="927"/>
      <c r="Y157" s="927"/>
      <c r="Z157" s="927"/>
      <c r="AA157" s="927"/>
      <c r="AB157" s="927"/>
      <c r="AC157" s="927"/>
      <c r="AD157" s="927"/>
      <c r="AE157" s="927"/>
      <c r="AF157" s="927"/>
      <c r="AG157" s="927"/>
      <c r="AH157" s="927"/>
      <c r="AI157" s="927"/>
    </row>
    <row r="158" spans="2:36" ht="21" hidden="1" customHeight="1" x14ac:dyDescent="0.25"/>
    <row r="159" spans="2:36" ht="21" hidden="1" customHeight="1" x14ac:dyDescent="0.25"/>
    <row r="160" spans="2:36" ht="25.2" hidden="1" x14ac:dyDescent="0.25">
      <c r="B160" s="1322"/>
      <c r="C160" s="1322"/>
      <c r="D160" s="1322"/>
      <c r="E160" s="1322"/>
      <c r="F160" s="930"/>
      <c r="G160" s="931"/>
      <c r="H160" s="931"/>
      <c r="I160" s="930"/>
      <c r="J160" s="931"/>
      <c r="K160" s="931"/>
      <c r="L160" s="930"/>
      <c r="M160" s="931"/>
      <c r="N160" s="931"/>
      <c r="O160" s="930"/>
      <c r="P160" s="931"/>
      <c r="Q160" s="931"/>
      <c r="R160" s="930"/>
      <c r="S160" s="931"/>
      <c r="T160" s="931"/>
      <c r="U160" s="930"/>
      <c r="V160" s="931"/>
      <c r="W160" s="931"/>
      <c r="X160" s="931"/>
      <c r="Y160" s="931"/>
      <c r="Z160" s="931"/>
      <c r="AA160" s="931"/>
      <c r="AB160" s="931"/>
      <c r="AC160" s="931"/>
      <c r="AD160" s="927"/>
      <c r="AE160" s="927"/>
      <c r="AF160" s="927"/>
      <c r="AG160" s="927"/>
      <c r="AH160" s="927"/>
      <c r="AI160" s="927"/>
    </row>
    <row r="161" spans="2:35" ht="51" hidden="1" customHeight="1" x14ac:dyDescent="0.25">
      <c r="B161" s="932"/>
      <c r="C161" s="933"/>
      <c r="D161" s="934"/>
      <c r="E161" s="932"/>
      <c r="F161" s="1323"/>
      <c r="G161" s="1323"/>
      <c r="H161" s="1323"/>
      <c r="I161" s="1323"/>
      <c r="J161" s="1323"/>
      <c r="K161" s="1323"/>
      <c r="L161" s="1323"/>
      <c r="M161" s="1323"/>
      <c r="N161" s="1323"/>
      <c r="O161" s="1323"/>
      <c r="P161" s="1323"/>
      <c r="Q161" s="1323"/>
      <c r="R161" s="1323"/>
      <c r="S161" s="1323"/>
      <c r="T161" s="1323"/>
      <c r="U161" s="1323"/>
      <c r="V161" s="1323"/>
      <c r="W161" s="1323"/>
      <c r="X161" s="1323"/>
      <c r="Y161" s="1323"/>
      <c r="Z161" s="1323"/>
      <c r="AA161" s="1323"/>
      <c r="AB161" s="1323"/>
      <c r="AC161" s="1323"/>
      <c r="AD161" s="935"/>
      <c r="AE161" s="935"/>
      <c r="AF161" s="935"/>
      <c r="AG161" s="935"/>
      <c r="AH161" s="935"/>
      <c r="AI161" s="935"/>
    </row>
    <row r="162" spans="2:35" ht="14.25" customHeight="1" x14ac:dyDescent="0.25">
      <c r="B162" s="1324"/>
      <c r="C162" s="1324"/>
      <c r="D162" s="1324"/>
      <c r="E162" s="1324"/>
      <c r="F162" s="1325" t="str">
        <f>F7</f>
        <v>HARINGEY AQUATICS</v>
      </c>
      <c r="G162" s="1325"/>
      <c r="H162" s="1325"/>
      <c r="I162" s="1325" t="str">
        <f>I7</f>
        <v>STEVENAGE</v>
      </c>
      <c r="J162" s="1325"/>
      <c r="K162" s="1325"/>
      <c r="L162" s="1325" t="str">
        <f>L7</f>
        <v>BORO OF BROXBOURNE</v>
      </c>
      <c r="M162" s="1325"/>
      <c r="N162" s="1325"/>
      <c r="O162" s="1325" t="str">
        <f>O7</f>
        <v>AYLESBURY</v>
      </c>
      <c r="P162" s="1325"/>
      <c r="Q162" s="1325"/>
      <c r="R162" s="1325" t="str">
        <f>R7</f>
        <v>BRAINTREE &amp; BOCKING</v>
      </c>
      <c r="S162" s="1325"/>
      <c r="T162" s="1325"/>
      <c r="U162" s="1325" t="str">
        <f>U7</f>
        <v>Bo of Harrow</v>
      </c>
      <c r="V162" s="1325"/>
      <c r="W162" s="1325"/>
      <c r="X162" s="1319">
        <f>X7</f>
        <v>0</v>
      </c>
      <c r="Y162" s="1319"/>
      <c r="Z162" s="1319"/>
      <c r="AA162" s="1319">
        <f>AA7</f>
        <v>0</v>
      </c>
      <c r="AB162" s="1319"/>
      <c r="AC162" s="1319"/>
      <c r="AD162" s="1319">
        <f>AD7</f>
        <v>0</v>
      </c>
      <c r="AE162" s="1319"/>
      <c r="AF162" s="1319"/>
      <c r="AG162" s="1319">
        <f>AG7</f>
        <v>0</v>
      </c>
      <c r="AH162" s="1319"/>
      <c r="AI162" s="1319"/>
    </row>
    <row r="163" spans="2:35" ht="14.25" customHeight="1" x14ac:dyDescent="0.25">
      <c r="B163" s="1324"/>
      <c r="C163" s="1324"/>
      <c r="D163" s="1324"/>
      <c r="E163" s="1324"/>
      <c r="F163" s="1325"/>
      <c r="G163" s="1325"/>
      <c r="H163" s="1325"/>
      <c r="I163" s="1325"/>
      <c r="J163" s="1325"/>
      <c r="K163" s="1325"/>
      <c r="L163" s="1325"/>
      <c r="M163" s="1325"/>
      <c r="N163" s="1325"/>
      <c r="O163" s="1325"/>
      <c r="P163" s="1325"/>
      <c r="Q163" s="1325"/>
      <c r="R163" s="1325"/>
      <c r="S163" s="1325"/>
      <c r="T163" s="1325"/>
      <c r="U163" s="1325"/>
      <c r="V163" s="1325"/>
      <c r="W163" s="1325"/>
      <c r="X163" s="1319"/>
      <c r="Y163" s="1319"/>
      <c r="Z163" s="1319"/>
      <c r="AA163" s="1319"/>
      <c r="AB163" s="1319"/>
      <c r="AC163" s="1319"/>
      <c r="AD163" s="1319"/>
      <c r="AE163" s="1319"/>
      <c r="AF163" s="1319"/>
      <c r="AG163" s="1319"/>
      <c r="AH163" s="1319"/>
      <c r="AI163" s="1319"/>
    </row>
    <row r="164" spans="2:35" ht="14.25" customHeight="1" x14ac:dyDescent="0.25">
      <c r="B164" s="936"/>
      <c r="C164" s="1310" t="s">
        <v>5110</v>
      </c>
      <c r="D164" s="1310"/>
      <c r="E164" s="1310"/>
      <c r="F164" s="1311">
        <f>SUM(H13:H33)</f>
        <v>23</v>
      </c>
      <c r="G164" s="1311"/>
      <c r="H164" s="1311"/>
      <c r="I164" s="1311">
        <f>SUM(K13:K33)</f>
        <v>27</v>
      </c>
      <c r="J164" s="1311"/>
      <c r="K164" s="1311"/>
      <c r="L164" s="1311">
        <f>SUM(N13:N33)</f>
        <v>27</v>
      </c>
      <c r="M164" s="1311"/>
      <c r="N164" s="1311"/>
      <c r="O164" s="1311">
        <f>SUM(Q13:Q33)</f>
        <v>40</v>
      </c>
      <c r="P164" s="1311"/>
      <c r="Q164" s="1311"/>
      <c r="R164" s="1311">
        <f>SUM(T13:T33)</f>
        <v>40</v>
      </c>
      <c r="S164" s="1311"/>
      <c r="T164" s="1311"/>
      <c r="U164" s="1311">
        <f>SUM(W13:W33)</f>
        <v>44</v>
      </c>
      <c r="V164" s="1311"/>
      <c r="W164" s="1311"/>
      <c r="X164" s="1312">
        <f>SUM(Z13:Z33)</f>
        <v>0</v>
      </c>
      <c r="Y164" s="1312"/>
      <c r="Z164" s="1312"/>
      <c r="AA164" s="1312">
        <f>SUM(AC13:AC33)</f>
        <v>0</v>
      </c>
      <c r="AB164" s="1312"/>
      <c r="AC164" s="1312"/>
      <c r="AD164" s="1312">
        <f>SUM(AF13:AF33)</f>
        <v>0</v>
      </c>
      <c r="AE164" s="1312"/>
      <c r="AF164" s="1312"/>
      <c r="AG164" s="1312">
        <f>SUM(AI13:AI33)</f>
        <v>0</v>
      </c>
      <c r="AH164" s="1312"/>
      <c r="AI164" s="1312"/>
    </row>
    <row r="165" spans="2:35" ht="14.25" customHeight="1" x14ac:dyDescent="0.25">
      <c r="B165" s="937"/>
      <c r="C165" s="1310"/>
      <c r="D165" s="1310"/>
      <c r="E165" s="1310"/>
      <c r="F165" s="1311"/>
      <c r="G165" s="1311"/>
      <c r="H165" s="1311"/>
      <c r="I165" s="1311"/>
      <c r="J165" s="1311"/>
      <c r="K165" s="1311"/>
      <c r="L165" s="1311"/>
      <c r="M165" s="1311"/>
      <c r="N165" s="1311"/>
      <c r="O165" s="1311"/>
      <c r="P165" s="1311"/>
      <c r="Q165" s="1311"/>
      <c r="R165" s="1311"/>
      <c r="S165" s="1311"/>
      <c r="T165" s="1311"/>
      <c r="U165" s="1311"/>
      <c r="V165" s="1311"/>
      <c r="W165" s="1311"/>
      <c r="X165" s="1312"/>
      <c r="Y165" s="1312"/>
      <c r="Z165" s="1312"/>
      <c r="AA165" s="1312"/>
      <c r="AB165" s="1312"/>
      <c r="AC165" s="1312"/>
      <c r="AD165" s="1312"/>
      <c r="AE165" s="1312"/>
      <c r="AF165" s="1312"/>
      <c r="AG165" s="1312"/>
      <c r="AH165" s="1312"/>
      <c r="AI165" s="1312"/>
    </row>
    <row r="166" spans="2:35" ht="14.25" hidden="1" customHeight="1" x14ac:dyDescent="0.25">
      <c r="B166" s="1313" t="s">
        <v>5111</v>
      </c>
      <c r="C166" s="1313"/>
      <c r="D166" s="1313"/>
      <c r="E166" s="1313"/>
      <c r="F166" s="1317">
        <f>G6</f>
        <v>1</v>
      </c>
      <c r="G166" s="1317"/>
      <c r="H166" s="1317"/>
      <c r="I166" s="1317" t="str">
        <f>I7</f>
        <v>STEVENAGE</v>
      </c>
      <c r="J166" s="1317"/>
      <c r="K166" s="1317"/>
      <c r="L166" s="1317" t="str">
        <f>L7</f>
        <v>BORO OF BROXBOURNE</v>
      </c>
      <c r="M166" s="1317"/>
      <c r="N166" s="1317"/>
      <c r="O166" s="1317" t="str">
        <f>O7</f>
        <v>AYLESBURY</v>
      </c>
      <c r="P166" s="1317"/>
      <c r="Q166" s="1317"/>
      <c r="R166" s="1317" t="str">
        <f>R7</f>
        <v>BRAINTREE &amp; BOCKING</v>
      </c>
      <c r="S166" s="1317"/>
      <c r="T166" s="1317"/>
      <c r="U166" s="1317" t="str">
        <f>U7</f>
        <v>Bo of Harrow</v>
      </c>
      <c r="V166" s="1317"/>
      <c r="W166" s="1317"/>
      <c r="X166" s="1319">
        <f>X7</f>
        <v>0</v>
      </c>
      <c r="Y166" s="1319"/>
      <c r="Z166" s="1319"/>
      <c r="AA166" s="1319">
        <f>AA7</f>
        <v>0</v>
      </c>
      <c r="AB166" s="1319"/>
      <c r="AC166" s="1319"/>
      <c r="AD166" s="1319">
        <f>AD7</f>
        <v>0</v>
      </c>
      <c r="AE166" s="1319"/>
      <c r="AF166" s="1319"/>
      <c r="AG166" s="1319">
        <f>AG7</f>
        <v>0</v>
      </c>
      <c r="AH166" s="1319"/>
      <c r="AI166" s="1319"/>
    </row>
    <row r="167" spans="2:35" ht="14.25" hidden="1" customHeight="1" x14ac:dyDescent="0.25">
      <c r="B167" s="1313"/>
      <c r="C167" s="1313"/>
      <c r="D167" s="1313"/>
      <c r="E167" s="1313"/>
      <c r="F167" s="1317"/>
      <c r="G167" s="1317"/>
      <c r="H167" s="1317"/>
      <c r="I167" s="1317"/>
      <c r="J167" s="1317"/>
      <c r="K167" s="1317"/>
      <c r="L167" s="1317"/>
      <c r="M167" s="1317"/>
      <c r="N167" s="1317"/>
      <c r="O167" s="1317"/>
      <c r="P167" s="1317"/>
      <c r="Q167" s="1317"/>
      <c r="R167" s="1317"/>
      <c r="S167" s="1317"/>
      <c r="T167" s="1317"/>
      <c r="U167" s="1317"/>
      <c r="V167" s="1317"/>
      <c r="W167" s="1317"/>
      <c r="X167" s="1319"/>
      <c r="Y167" s="1319"/>
      <c r="Z167" s="1319"/>
      <c r="AA167" s="1319"/>
      <c r="AB167" s="1319"/>
      <c r="AC167" s="1319"/>
      <c r="AD167" s="1319"/>
      <c r="AE167" s="1319"/>
      <c r="AF167" s="1319"/>
      <c r="AG167" s="1319"/>
      <c r="AH167" s="1319"/>
      <c r="AI167" s="1319"/>
    </row>
    <row r="168" spans="2:35" ht="14.25" customHeight="1" x14ac:dyDescent="0.25">
      <c r="B168" s="936"/>
      <c r="C168" s="1310" t="s">
        <v>5112</v>
      </c>
      <c r="D168" s="1310"/>
      <c r="E168" s="1310"/>
      <c r="F168" s="1311">
        <f>IF(F56="","",IF(F56&lt;0,"",SUM(H13:H56)))</f>
        <v>43</v>
      </c>
      <c r="G168" s="1311"/>
      <c r="H168" s="1311"/>
      <c r="I168" s="1311">
        <f>IF(I56="","",IF(I56&lt;0,"",SUM(K13:K56)))</f>
        <v>50</v>
      </c>
      <c r="J168" s="1311"/>
      <c r="K168" s="1311"/>
      <c r="L168" s="1311">
        <f>IF(L56="","",IF(L56&lt;0,"",SUM(N13:N56)))</f>
        <v>49</v>
      </c>
      <c r="M168" s="1311"/>
      <c r="N168" s="1311"/>
      <c r="O168" s="1311">
        <f>IF(O56="","",IF(O56&lt;0,"",SUM(Q13:Q56)))</f>
        <v>76</v>
      </c>
      <c r="P168" s="1311"/>
      <c r="Q168" s="1311"/>
      <c r="R168" s="1311">
        <f>IF(R56="","",IF(R56&lt;0,"",SUM(T13:T56)))</f>
        <v>79</v>
      </c>
      <c r="S168" s="1311"/>
      <c r="T168" s="1311"/>
      <c r="U168" s="1311">
        <f>IF(U56="","",IF(U56&lt;0,"",SUM(W13:W56)))</f>
        <v>68</v>
      </c>
      <c r="V168" s="1311"/>
      <c r="W168" s="1311"/>
      <c r="X168" s="1312" t="str">
        <f>IF(X56="","",IF(X56&lt;0,"",SUM(Z13:Z56)))</f>
        <v/>
      </c>
      <c r="Y168" s="1312"/>
      <c r="Z168" s="1312"/>
      <c r="AA168" s="1312" t="str">
        <f>IF(AA56="","",IF(AA56&lt;0,"",SUM(AC13:AC56)))</f>
        <v/>
      </c>
      <c r="AB168" s="1312"/>
      <c r="AC168" s="1312"/>
      <c r="AD168" s="1312" t="str">
        <f>IF(AD56="","",IF(AD56&lt;0,"",SUM(AF13:AF56)))</f>
        <v/>
      </c>
      <c r="AE168" s="1312"/>
      <c r="AF168" s="1312"/>
      <c r="AG168" s="1312" t="str">
        <f>IF(AG56="","",IF(AG56&lt;0,"",SUM(AI13:AI56)))</f>
        <v/>
      </c>
      <c r="AH168" s="1312"/>
      <c r="AI168" s="1312"/>
    </row>
    <row r="169" spans="2:35" ht="14.25" customHeight="1" x14ac:dyDescent="0.25">
      <c r="B169" s="937"/>
      <c r="C169" s="1310"/>
      <c r="D169" s="1310"/>
      <c r="E169" s="1310"/>
      <c r="F169" s="1311"/>
      <c r="G169" s="1311"/>
      <c r="H169" s="1311"/>
      <c r="I169" s="1311"/>
      <c r="J169" s="1311"/>
      <c r="K169" s="1311"/>
      <c r="L169" s="1311"/>
      <c r="M169" s="1311"/>
      <c r="N169" s="1311"/>
      <c r="O169" s="1311"/>
      <c r="P169" s="1311"/>
      <c r="Q169" s="1311"/>
      <c r="R169" s="1311"/>
      <c r="S169" s="1311"/>
      <c r="T169" s="1311"/>
      <c r="U169" s="1311"/>
      <c r="V169" s="1311"/>
      <c r="W169" s="1311"/>
      <c r="X169" s="1312"/>
      <c r="Y169" s="1312"/>
      <c r="Z169" s="1312"/>
      <c r="AA169" s="1312"/>
      <c r="AB169" s="1312"/>
      <c r="AC169" s="1312"/>
      <c r="AD169" s="1312"/>
      <c r="AE169" s="1312"/>
      <c r="AF169" s="1312"/>
      <c r="AG169" s="1312"/>
      <c r="AH169" s="1312"/>
      <c r="AI169" s="1312"/>
    </row>
    <row r="170" spans="2:35" ht="14.25" hidden="1" customHeight="1" x14ac:dyDescent="0.25">
      <c r="B170" s="1313" t="s">
        <v>5113</v>
      </c>
      <c r="C170" s="1313"/>
      <c r="D170" s="1313"/>
      <c r="E170" s="1313"/>
      <c r="F170" s="1317">
        <f>G6</f>
        <v>1</v>
      </c>
      <c r="G170" s="1317"/>
      <c r="H170" s="1317"/>
      <c r="I170" s="1317" t="str">
        <f>I7</f>
        <v>STEVENAGE</v>
      </c>
      <c r="J170" s="1317"/>
      <c r="K170" s="1317"/>
      <c r="L170" s="1317" t="str">
        <f>L7</f>
        <v>BORO OF BROXBOURNE</v>
      </c>
      <c r="M170" s="1317"/>
      <c r="N170" s="1317"/>
      <c r="O170" s="1317" t="str">
        <f>O7</f>
        <v>AYLESBURY</v>
      </c>
      <c r="P170" s="1317"/>
      <c r="Q170" s="1317"/>
      <c r="R170" s="1317" t="str">
        <f>R7</f>
        <v>BRAINTREE &amp; BOCKING</v>
      </c>
      <c r="S170" s="1317"/>
      <c r="T170" s="1317"/>
      <c r="U170" s="1317" t="str">
        <f>U7</f>
        <v>Bo of Harrow</v>
      </c>
      <c r="V170" s="1317"/>
      <c r="W170" s="1317"/>
      <c r="X170" s="1319">
        <f>X7</f>
        <v>0</v>
      </c>
      <c r="Y170" s="1319"/>
      <c r="Z170" s="1319"/>
      <c r="AA170" s="1319">
        <f>AA7</f>
        <v>0</v>
      </c>
      <c r="AB170" s="1319"/>
      <c r="AC170" s="1319"/>
      <c r="AD170" s="1319">
        <f>AD7</f>
        <v>0</v>
      </c>
      <c r="AE170" s="1319"/>
      <c r="AF170" s="1319"/>
      <c r="AG170" s="1319">
        <f>AG7</f>
        <v>0</v>
      </c>
      <c r="AH170" s="1319"/>
      <c r="AI170" s="1319"/>
    </row>
    <row r="171" spans="2:35" ht="14.25" hidden="1" customHeight="1" x14ac:dyDescent="0.25">
      <c r="B171" s="1313"/>
      <c r="C171" s="1313"/>
      <c r="D171" s="1313"/>
      <c r="E171" s="1313"/>
      <c r="F171" s="1317"/>
      <c r="G171" s="1317"/>
      <c r="H171" s="1317"/>
      <c r="I171" s="1317"/>
      <c r="J171" s="1317"/>
      <c r="K171" s="1317"/>
      <c r="L171" s="1317"/>
      <c r="M171" s="1317"/>
      <c r="N171" s="1317"/>
      <c r="O171" s="1317"/>
      <c r="P171" s="1317"/>
      <c r="Q171" s="1317"/>
      <c r="R171" s="1317"/>
      <c r="S171" s="1317"/>
      <c r="T171" s="1317"/>
      <c r="U171" s="1317"/>
      <c r="V171" s="1317"/>
      <c r="W171" s="1317"/>
      <c r="X171" s="1319"/>
      <c r="Y171" s="1319"/>
      <c r="Z171" s="1319"/>
      <c r="AA171" s="1319"/>
      <c r="AB171" s="1319"/>
      <c r="AC171" s="1319"/>
      <c r="AD171" s="1319"/>
      <c r="AE171" s="1319"/>
      <c r="AF171" s="1319"/>
      <c r="AG171" s="1319"/>
      <c r="AH171" s="1319"/>
      <c r="AI171" s="1319"/>
    </row>
    <row r="172" spans="2:35" ht="14.25" customHeight="1" x14ac:dyDescent="0.25">
      <c r="B172" s="936"/>
      <c r="C172" s="1310" t="s">
        <v>5114</v>
      </c>
      <c r="D172" s="1310"/>
      <c r="E172" s="1310"/>
      <c r="F172" s="1311">
        <f>IF(F80="","",IF(F80&lt;0,"",SUM(H13:H80)))</f>
        <v>62</v>
      </c>
      <c r="G172" s="1311"/>
      <c r="H172" s="1311"/>
      <c r="I172" s="1311">
        <f>IF(I80="","",IF(I80&lt;0,"",SUM(K13:K80)))</f>
        <v>77</v>
      </c>
      <c r="J172" s="1311"/>
      <c r="K172" s="1311"/>
      <c r="L172" s="1311">
        <f>IF(L80="","",IF(L80&lt;0,"",SUM(N13:N80)))</f>
        <v>78</v>
      </c>
      <c r="M172" s="1311"/>
      <c r="N172" s="1311"/>
      <c r="O172" s="1311">
        <f>IF(O80="","",IF(O80&lt;0,"",SUM(Q13:Q80)))</f>
        <v>104</v>
      </c>
      <c r="P172" s="1311"/>
      <c r="Q172" s="1311"/>
      <c r="R172" s="1311">
        <f>IF(R80="","",IF(R80&lt;0,"",SUM(T13:T80)))</f>
        <v>112</v>
      </c>
      <c r="S172" s="1311"/>
      <c r="T172" s="1311"/>
      <c r="U172" s="1311">
        <f>IF(U80="","",IF(U80&lt;0,"",SUM(W13:W80)))</f>
        <v>97</v>
      </c>
      <c r="V172" s="1311"/>
      <c r="W172" s="1311"/>
      <c r="X172" s="1312" t="str">
        <f>IF(X80="","",IF(X80&lt;0,"",SUM(Z13:Z80)))</f>
        <v/>
      </c>
      <c r="Y172" s="1312"/>
      <c r="Z172" s="1312"/>
      <c r="AA172" s="1312" t="str">
        <f>IF(AA80="","",IF(AA80&lt;0,"",SUM(AC13:AC80)))</f>
        <v/>
      </c>
      <c r="AB172" s="1312"/>
      <c r="AC172" s="1312"/>
      <c r="AD172" s="1312" t="str">
        <f>IF(AD80="","",IF(AD80&lt;0,"",SUM(AF13:AF80)))</f>
        <v/>
      </c>
      <c r="AE172" s="1312"/>
      <c r="AF172" s="1312"/>
      <c r="AG172" s="1312" t="str">
        <f>IF(AG80="","",IF(AG80&lt;0,"",SUM(AI13:AI80)))</f>
        <v/>
      </c>
      <c r="AH172" s="1312"/>
      <c r="AI172" s="1312"/>
    </row>
    <row r="173" spans="2:35" ht="14.25" customHeight="1" x14ac:dyDescent="0.25">
      <c r="B173" s="937"/>
      <c r="C173" s="1310"/>
      <c r="D173" s="1310"/>
      <c r="E173" s="1310"/>
      <c r="F173" s="1311"/>
      <c r="G173" s="1311"/>
      <c r="H173" s="1311"/>
      <c r="I173" s="1311"/>
      <c r="J173" s="1311"/>
      <c r="K173" s="1311"/>
      <c r="L173" s="1311"/>
      <c r="M173" s="1311"/>
      <c r="N173" s="1311"/>
      <c r="O173" s="1311"/>
      <c r="P173" s="1311"/>
      <c r="Q173" s="1311"/>
      <c r="R173" s="1311"/>
      <c r="S173" s="1311"/>
      <c r="T173" s="1311"/>
      <c r="U173" s="1311"/>
      <c r="V173" s="1311"/>
      <c r="W173" s="1311"/>
      <c r="X173" s="1312"/>
      <c r="Y173" s="1312"/>
      <c r="Z173" s="1312"/>
      <c r="AA173" s="1312"/>
      <c r="AB173" s="1312"/>
      <c r="AC173" s="1312"/>
      <c r="AD173" s="1312"/>
      <c r="AE173" s="1312"/>
      <c r="AF173" s="1312"/>
      <c r="AG173" s="1312"/>
      <c r="AH173" s="1312"/>
      <c r="AI173" s="1312"/>
    </row>
    <row r="174" spans="2:35" ht="14.25" hidden="1" customHeight="1" x14ac:dyDescent="0.25">
      <c r="B174" s="1313" t="s">
        <v>5115</v>
      </c>
      <c r="C174" s="1313"/>
      <c r="D174" s="1313"/>
      <c r="E174" s="1313"/>
      <c r="F174" s="1317">
        <f>G6</f>
        <v>1</v>
      </c>
      <c r="G174" s="1317"/>
      <c r="H174" s="1317"/>
      <c r="I174" s="1317" t="str">
        <f>I7</f>
        <v>STEVENAGE</v>
      </c>
      <c r="J174" s="1317"/>
      <c r="K174" s="1317"/>
      <c r="L174" s="1317" t="str">
        <f>L7</f>
        <v>BORO OF BROXBOURNE</v>
      </c>
      <c r="M174" s="1317"/>
      <c r="N174" s="1317"/>
      <c r="O174" s="1317" t="str">
        <f>O7</f>
        <v>AYLESBURY</v>
      </c>
      <c r="P174" s="1317"/>
      <c r="Q174" s="1317"/>
      <c r="R174" s="1317" t="str">
        <f>R7</f>
        <v>BRAINTREE &amp; BOCKING</v>
      </c>
      <c r="S174" s="1317"/>
      <c r="T174" s="1317"/>
      <c r="U174" s="1317" t="str">
        <f>U7</f>
        <v>Bo of Harrow</v>
      </c>
      <c r="V174" s="1317"/>
      <c r="W174" s="1317"/>
      <c r="X174" s="1319">
        <f>X7</f>
        <v>0</v>
      </c>
      <c r="Y174" s="1319"/>
      <c r="Z174" s="1319"/>
      <c r="AA174" s="1319">
        <f>AA7</f>
        <v>0</v>
      </c>
      <c r="AB174" s="1319"/>
      <c r="AC174" s="1319"/>
      <c r="AD174" s="1319">
        <f>AD7</f>
        <v>0</v>
      </c>
      <c r="AE174" s="1319"/>
      <c r="AF174" s="1319"/>
      <c r="AG174" s="1319">
        <f>AG7</f>
        <v>0</v>
      </c>
      <c r="AH174" s="1319"/>
      <c r="AI174" s="1319"/>
    </row>
    <row r="175" spans="2:35" ht="14.25" hidden="1" customHeight="1" x14ac:dyDescent="0.25">
      <c r="B175" s="1313"/>
      <c r="C175" s="1313"/>
      <c r="D175" s="1313"/>
      <c r="E175" s="1313"/>
      <c r="F175" s="1317"/>
      <c r="G175" s="1317"/>
      <c r="H175" s="1317"/>
      <c r="I175" s="1317"/>
      <c r="J175" s="1317"/>
      <c r="K175" s="1317"/>
      <c r="L175" s="1317"/>
      <c r="M175" s="1317"/>
      <c r="N175" s="1317"/>
      <c r="O175" s="1317"/>
      <c r="P175" s="1317"/>
      <c r="Q175" s="1317"/>
      <c r="R175" s="1317"/>
      <c r="S175" s="1317"/>
      <c r="T175" s="1317"/>
      <c r="U175" s="1317"/>
      <c r="V175" s="1317"/>
      <c r="W175" s="1317"/>
      <c r="X175" s="1319"/>
      <c r="Y175" s="1319"/>
      <c r="Z175" s="1319"/>
      <c r="AA175" s="1319"/>
      <c r="AB175" s="1319"/>
      <c r="AC175" s="1319"/>
      <c r="AD175" s="1319"/>
      <c r="AE175" s="1319"/>
      <c r="AF175" s="1319"/>
      <c r="AG175" s="1319"/>
      <c r="AH175" s="1319"/>
      <c r="AI175" s="1319"/>
    </row>
    <row r="176" spans="2:35" ht="14.25" customHeight="1" x14ac:dyDescent="0.25">
      <c r="B176" s="936"/>
      <c r="C176" s="1310" t="s">
        <v>5116</v>
      </c>
      <c r="D176" s="1310"/>
      <c r="E176" s="1310"/>
      <c r="F176" s="1311">
        <f>IF(F104="","",IF(F104&lt;0,"",SUM(H13:H104)))</f>
        <v>83</v>
      </c>
      <c r="G176" s="1311"/>
      <c r="H176" s="1311"/>
      <c r="I176" s="1311">
        <f>IF(I104="","",IF(I104&lt;0,"",SUM(K13:K104)))</f>
        <v>100</v>
      </c>
      <c r="J176" s="1311"/>
      <c r="K176" s="1311"/>
      <c r="L176" s="1311">
        <f>IF(L104="","",IF(L104&lt;0,"",SUM(N13:N104)))</f>
        <v>103</v>
      </c>
      <c r="M176" s="1311"/>
      <c r="N176" s="1311"/>
      <c r="O176" s="1311">
        <f>IF(O104="","",IF(O104&lt;0,"",SUM(Q13:Q104)))</f>
        <v>137</v>
      </c>
      <c r="P176" s="1311"/>
      <c r="Q176" s="1311"/>
      <c r="R176" s="1311">
        <f>IF(R104="","",IF(R104&lt;0,"",SUM(T13:T104)))</f>
        <v>147</v>
      </c>
      <c r="S176" s="1311"/>
      <c r="T176" s="1311"/>
      <c r="U176" s="1311">
        <f>IF(U104="","",IF(U104&lt;0,"",SUM(W13:W104)))</f>
        <v>125</v>
      </c>
      <c r="V176" s="1311"/>
      <c r="W176" s="1311"/>
      <c r="X176" s="1312" t="str">
        <f>IF(X104="","",IF(X104&lt;0,"",SUM(Z13:Z104)))</f>
        <v/>
      </c>
      <c r="Y176" s="1312"/>
      <c r="Z176" s="1312"/>
      <c r="AA176" s="1312" t="str">
        <f>IF(AA104="","",IF(AA104&lt;0,"",SUM(AC13:AC104)))</f>
        <v/>
      </c>
      <c r="AB176" s="1312"/>
      <c r="AC176" s="1312"/>
      <c r="AD176" s="1312" t="str">
        <f>IF(AD104="","",IF(AD104&lt;0,"",SUM(AF13:AF104)))</f>
        <v/>
      </c>
      <c r="AE176" s="1312"/>
      <c r="AF176" s="1312"/>
      <c r="AG176" s="1312" t="str">
        <f>IF(AG104="","",IF(AG104&lt;0,"",SUM(AI13:AI104)))</f>
        <v/>
      </c>
      <c r="AH176" s="1312"/>
      <c r="AI176" s="1312"/>
    </row>
    <row r="177" spans="2:35" ht="14.25" customHeight="1" x14ac:dyDescent="0.25">
      <c r="B177" s="938"/>
      <c r="C177" s="1310"/>
      <c r="D177" s="1310"/>
      <c r="E177" s="1310"/>
      <c r="F177" s="1311"/>
      <c r="G177" s="1311"/>
      <c r="H177" s="1311"/>
      <c r="I177" s="1311"/>
      <c r="J177" s="1311"/>
      <c r="K177" s="1311"/>
      <c r="L177" s="1311"/>
      <c r="M177" s="1311"/>
      <c r="N177" s="1311"/>
      <c r="O177" s="1311"/>
      <c r="P177" s="1311"/>
      <c r="Q177" s="1311"/>
      <c r="R177" s="1311"/>
      <c r="S177" s="1311"/>
      <c r="T177" s="1311"/>
      <c r="U177" s="1311"/>
      <c r="V177" s="1311"/>
      <c r="W177" s="1311"/>
      <c r="X177" s="1312"/>
      <c r="Y177" s="1312"/>
      <c r="Z177" s="1312"/>
      <c r="AA177" s="1312"/>
      <c r="AB177" s="1312"/>
      <c r="AC177" s="1312"/>
      <c r="AD177" s="1312"/>
      <c r="AE177" s="1312"/>
      <c r="AF177" s="1312"/>
      <c r="AG177" s="1312"/>
      <c r="AH177" s="1312"/>
      <c r="AI177" s="1312"/>
    </row>
    <row r="178" spans="2:35" ht="27" hidden="1" customHeight="1" x14ac:dyDescent="0.25">
      <c r="B178" s="1313" t="s">
        <v>5117</v>
      </c>
      <c r="C178" s="1313"/>
      <c r="D178" s="1313"/>
      <c r="E178" s="1313"/>
      <c r="F178" s="1317">
        <f>G6</f>
        <v>1</v>
      </c>
      <c r="G178" s="1317"/>
      <c r="H178" s="1317"/>
      <c r="I178" s="1317" t="str">
        <f>I7</f>
        <v>STEVENAGE</v>
      </c>
      <c r="J178" s="1317"/>
      <c r="K178" s="1317"/>
      <c r="L178" s="1317" t="str">
        <f>L7</f>
        <v>BORO OF BROXBOURNE</v>
      </c>
      <c r="M178" s="1317"/>
      <c r="N178" s="1317"/>
      <c r="O178" s="1317" t="str">
        <f>O7</f>
        <v>AYLESBURY</v>
      </c>
      <c r="P178" s="1317"/>
      <c r="Q178" s="1317"/>
      <c r="R178" s="1317" t="str">
        <f>R7</f>
        <v>BRAINTREE &amp; BOCKING</v>
      </c>
      <c r="S178" s="1317"/>
      <c r="T178" s="1317"/>
      <c r="U178" s="1317" t="str">
        <f>U7</f>
        <v>Bo of Harrow</v>
      </c>
      <c r="V178" s="1317"/>
      <c r="W178" s="1317"/>
      <c r="X178" s="1318">
        <f>X7</f>
        <v>0</v>
      </c>
      <c r="Y178" s="1318"/>
      <c r="Z178" s="1318"/>
      <c r="AA178" s="1318">
        <f>AA7</f>
        <v>0</v>
      </c>
      <c r="AB178" s="1318"/>
      <c r="AC178" s="1318"/>
      <c r="AD178" s="1318">
        <f>AD7</f>
        <v>0</v>
      </c>
      <c r="AE178" s="1318"/>
      <c r="AF178" s="1318"/>
      <c r="AG178" s="1318">
        <f>AG7</f>
        <v>0</v>
      </c>
      <c r="AH178" s="1318"/>
      <c r="AI178" s="1318"/>
    </row>
    <row r="179" spans="2:35" ht="25.5" customHeight="1" x14ac:dyDescent="0.6">
      <c r="B179" s="937"/>
      <c r="C179" s="1310" t="s">
        <v>5118</v>
      </c>
      <c r="D179" s="1310"/>
      <c r="E179" s="1310"/>
      <c r="F179" s="1311">
        <f>IF(F128="","",IF(F128&lt;0,"",SUM(H13:H128)))</f>
        <v>110</v>
      </c>
      <c r="G179" s="1311"/>
      <c r="H179" s="1311"/>
      <c r="I179" s="1311">
        <f>IF(I128="","",IF(I128&lt;0,"",SUM(K13:K128)))</f>
        <v>115</v>
      </c>
      <c r="J179" s="1311"/>
      <c r="K179" s="1311"/>
      <c r="L179" s="1311">
        <f>IF(L128="","",IF(L128&lt;0,"",SUM(N13:N128)))</f>
        <v>131</v>
      </c>
      <c r="M179" s="1311"/>
      <c r="N179" s="1311"/>
      <c r="O179" s="1311">
        <f>IF(O128="","",IF(O128&lt;0,"",SUM(Q13:Q128)))</f>
        <v>172</v>
      </c>
      <c r="P179" s="1311"/>
      <c r="Q179" s="1311"/>
      <c r="R179" s="1311">
        <f>IF(R128="","",IF(R128&lt;0,"",SUM(T13:T128)))</f>
        <v>179</v>
      </c>
      <c r="S179" s="1311"/>
      <c r="T179" s="1311"/>
      <c r="U179" s="1311">
        <f>IF(U128="","",IF(U128&lt;0,"",SUM(W13:W128)))</f>
        <v>156</v>
      </c>
      <c r="V179" s="1311"/>
      <c r="W179" s="1311"/>
      <c r="X179" s="1312" t="str">
        <f>IF(X128="","",IF(X128&lt;0,"",SUM(Z13:Z128)))</f>
        <v/>
      </c>
      <c r="Y179" s="1312"/>
      <c r="Z179" s="1312"/>
      <c r="AA179" s="1312" t="str">
        <f>IF(AA128="","",IF(AA128&lt;0,"",SUM(AC13:AC128)))</f>
        <v/>
      </c>
      <c r="AB179" s="1312"/>
      <c r="AC179" s="1312"/>
      <c r="AD179" s="1312" t="str">
        <f>IF(AD128="","",IF(AD128&lt;0,"",SUM(AF13:AF128)))</f>
        <v/>
      </c>
      <c r="AE179" s="1312"/>
      <c r="AF179" s="1312"/>
      <c r="AG179" s="1312" t="str">
        <f>IF(AG128="","",IF(AG128&lt;0,"",SUM(AI13:AI128)))</f>
        <v/>
      </c>
      <c r="AH179" s="1312"/>
      <c r="AI179" s="1312"/>
    </row>
    <row r="180" spans="2:35" ht="27" hidden="1" customHeight="1" x14ac:dyDescent="0.25">
      <c r="B180" s="1313" t="s">
        <v>5119</v>
      </c>
      <c r="C180" s="1313"/>
      <c r="D180" s="1313"/>
      <c r="E180" s="1313"/>
      <c r="F180" s="1314"/>
      <c r="G180" s="1314"/>
      <c r="H180" s="1314"/>
      <c r="I180" s="1314"/>
      <c r="J180" s="1314"/>
      <c r="K180" s="1314"/>
      <c r="L180" s="1314"/>
      <c r="M180" s="1314"/>
      <c r="N180" s="1314"/>
      <c r="O180" s="1314"/>
      <c r="P180" s="1314"/>
      <c r="Q180" s="1314"/>
      <c r="R180" s="1314"/>
      <c r="S180" s="1314"/>
      <c r="T180" s="1314"/>
      <c r="U180" s="1314"/>
      <c r="V180" s="1314"/>
      <c r="W180" s="1314"/>
      <c r="X180" s="1314"/>
      <c r="Y180" s="1314"/>
      <c r="Z180" s="1314"/>
      <c r="AA180" s="1314"/>
      <c r="AB180" s="1314"/>
      <c r="AC180" s="1314"/>
      <c r="AD180" s="939"/>
      <c r="AE180" s="939"/>
      <c r="AF180" s="939"/>
      <c r="AG180" s="939"/>
      <c r="AH180" s="939"/>
      <c r="AI180" s="939"/>
    </row>
    <row r="181" spans="2:35" ht="285" hidden="1" customHeight="1" x14ac:dyDescent="0.25">
      <c r="B181" s="833"/>
      <c r="C181" s="940"/>
      <c r="D181" s="924"/>
      <c r="E181" s="833"/>
      <c r="F181" s="924"/>
      <c r="G181" s="833"/>
      <c r="H181" s="833"/>
      <c r="I181" s="924"/>
      <c r="J181" s="833"/>
      <c r="K181" s="833"/>
      <c r="L181" s="924"/>
      <c r="M181" s="833"/>
      <c r="N181" s="833"/>
      <c r="O181" s="924"/>
      <c r="P181" s="833"/>
      <c r="Q181" s="833"/>
      <c r="R181" s="924"/>
      <c r="S181" s="833"/>
      <c r="T181" s="833"/>
      <c r="U181" s="924"/>
      <c r="V181" s="833"/>
      <c r="W181" s="833"/>
      <c r="X181" s="833"/>
      <c r="Y181" s="833"/>
      <c r="Z181" s="833"/>
      <c r="AA181" s="833"/>
      <c r="AB181" s="833"/>
      <c r="AC181" s="833"/>
      <c r="AD181" s="833"/>
      <c r="AE181" s="833"/>
      <c r="AF181" s="833"/>
      <c r="AG181" s="833"/>
      <c r="AH181" s="833"/>
      <c r="AI181" s="833"/>
    </row>
    <row r="182" spans="2:35" hidden="1" x14ac:dyDescent="0.25">
      <c r="B182" s="1315"/>
      <c r="C182" s="1315"/>
      <c r="D182" s="1315"/>
      <c r="E182" s="1315"/>
      <c r="F182" s="941"/>
      <c r="G182" s="942"/>
      <c r="H182" s="942"/>
      <c r="I182" s="941"/>
      <c r="J182" s="942"/>
      <c r="K182" s="942"/>
      <c r="L182" s="941"/>
      <c r="M182" s="942"/>
      <c r="N182" s="942"/>
      <c r="O182" s="941"/>
      <c r="P182" s="942"/>
      <c r="Q182" s="942"/>
      <c r="R182" s="941"/>
      <c r="S182" s="942"/>
      <c r="T182" s="942"/>
      <c r="U182" s="941"/>
      <c r="V182" s="942"/>
      <c r="W182" s="942"/>
      <c r="X182" s="833"/>
      <c r="Y182" s="833"/>
      <c r="Z182" s="833"/>
      <c r="AA182" s="833"/>
      <c r="AB182" s="833"/>
      <c r="AC182" s="833"/>
      <c r="AD182" s="833"/>
      <c r="AE182" s="833"/>
      <c r="AF182" s="833"/>
      <c r="AG182" s="833"/>
      <c r="AH182" s="833"/>
      <c r="AI182" s="833"/>
    </row>
    <row r="183" spans="2:35" ht="3" hidden="1" customHeight="1" x14ac:dyDescent="0.25">
      <c r="B183" s="1315"/>
      <c r="C183" s="1315"/>
      <c r="D183" s="1315"/>
      <c r="E183" s="1315"/>
      <c r="F183" s="941"/>
      <c r="G183" s="942"/>
      <c r="H183" s="942"/>
      <c r="I183" s="941"/>
      <c r="J183" s="942"/>
      <c r="K183" s="942"/>
      <c r="L183" s="941"/>
      <c r="M183" s="942"/>
      <c r="N183" s="942"/>
      <c r="O183" s="941"/>
      <c r="P183" s="942"/>
      <c r="Q183" s="942"/>
      <c r="R183" s="941"/>
      <c r="S183" s="942"/>
      <c r="T183" s="942"/>
      <c r="U183" s="941"/>
      <c r="V183" s="942"/>
      <c r="W183" s="942"/>
    </row>
    <row r="184" spans="2:35" ht="28.5" hidden="1" customHeight="1" x14ac:dyDescent="0.25">
      <c r="B184" s="1315"/>
      <c r="C184" s="1315"/>
      <c r="D184" s="1315"/>
      <c r="E184" s="1315"/>
      <c r="F184" s="942"/>
      <c r="G184" s="942"/>
      <c r="H184" s="942"/>
      <c r="I184" s="942"/>
      <c r="J184" s="942"/>
      <c r="K184" s="942"/>
      <c r="L184" s="942"/>
      <c r="M184" s="942"/>
      <c r="N184" s="942"/>
      <c r="O184" s="942"/>
      <c r="P184" s="942"/>
      <c r="Q184" s="942"/>
      <c r="R184" s="942"/>
      <c r="S184" s="942"/>
      <c r="T184" s="942"/>
      <c r="U184" s="942"/>
      <c r="V184" s="942"/>
      <c r="W184" s="942"/>
      <c r="X184" s="833"/>
      <c r="Y184" s="833"/>
      <c r="Z184" s="833"/>
      <c r="AA184" s="833"/>
      <c r="AB184" s="833"/>
      <c r="AC184" s="833"/>
      <c r="AD184" s="833"/>
      <c r="AE184" s="833"/>
      <c r="AF184" s="833"/>
      <c r="AG184" s="833"/>
      <c r="AH184" s="833"/>
      <c r="AI184" s="833"/>
    </row>
    <row r="185" spans="2:35" ht="17.25" hidden="1" customHeight="1" x14ac:dyDescent="0.25">
      <c r="B185" s="1315"/>
      <c r="C185" s="1315"/>
      <c r="D185" s="1315"/>
      <c r="E185" s="1315"/>
      <c r="F185" s="941"/>
      <c r="G185" s="942"/>
      <c r="H185" s="942"/>
      <c r="I185" s="941"/>
      <c r="J185" s="942"/>
      <c r="K185" s="942"/>
      <c r="L185" s="941"/>
      <c r="M185" s="942"/>
      <c r="N185" s="942"/>
      <c r="O185" s="941"/>
      <c r="P185" s="942"/>
      <c r="Q185" s="942"/>
      <c r="R185" s="941"/>
      <c r="S185" s="942"/>
      <c r="T185" s="942"/>
      <c r="U185" s="941"/>
      <c r="V185" s="942"/>
      <c r="W185" s="942"/>
      <c r="X185" s="833"/>
      <c r="Y185" s="833"/>
      <c r="Z185" s="833"/>
      <c r="AA185" s="833"/>
      <c r="AB185" s="833"/>
      <c r="AC185" s="833"/>
      <c r="AD185" s="833"/>
      <c r="AE185" s="833"/>
      <c r="AF185" s="833"/>
      <c r="AG185" s="833"/>
      <c r="AH185" s="833"/>
      <c r="AI185" s="833"/>
    </row>
    <row r="186" spans="2:35" hidden="1" x14ac:dyDescent="0.25">
      <c r="B186" s="1315"/>
      <c r="C186" s="1315"/>
      <c r="D186" s="1315"/>
      <c r="E186" s="1315"/>
      <c r="F186" s="941"/>
      <c r="G186" s="942"/>
      <c r="H186" s="942"/>
      <c r="I186" s="941"/>
      <c r="J186" s="942"/>
      <c r="K186" s="942"/>
      <c r="L186" s="941"/>
      <c r="M186" s="942"/>
      <c r="N186" s="942"/>
      <c r="O186" s="941"/>
      <c r="P186" s="942"/>
      <c r="Q186" s="942"/>
      <c r="R186" s="941"/>
      <c r="S186" s="942"/>
      <c r="T186" s="942"/>
      <c r="U186" s="941"/>
      <c r="V186" s="942"/>
      <c r="W186" s="942"/>
      <c r="X186" s="833"/>
      <c r="Y186" s="833"/>
      <c r="Z186" s="833"/>
      <c r="AA186" s="833"/>
      <c r="AB186" s="833"/>
      <c r="AC186" s="833"/>
      <c r="AD186" s="833"/>
      <c r="AE186" s="833"/>
      <c r="AF186" s="833"/>
      <c r="AG186" s="833"/>
      <c r="AH186" s="833"/>
      <c r="AI186" s="833"/>
    </row>
    <row r="187" spans="2:35" hidden="1" x14ac:dyDescent="0.25">
      <c r="B187" s="1315"/>
      <c r="C187" s="1315"/>
      <c r="D187" s="1315"/>
      <c r="E187" s="1315"/>
      <c r="F187" s="941"/>
      <c r="G187" s="942"/>
      <c r="H187" s="942"/>
      <c r="I187" s="941"/>
      <c r="J187" s="942"/>
      <c r="K187" s="942"/>
      <c r="L187" s="941"/>
      <c r="M187" s="942"/>
      <c r="N187" s="942"/>
      <c r="O187" s="941"/>
      <c r="P187" s="942"/>
      <c r="Q187" s="942"/>
      <c r="R187" s="941"/>
      <c r="S187" s="942"/>
      <c r="T187" s="942"/>
      <c r="U187" s="941"/>
      <c r="V187" s="942"/>
      <c r="W187" s="942"/>
      <c r="X187" s="833"/>
      <c r="Y187" s="833"/>
      <c r="Z187" s="833"/>
      <c r="AA187" s="833"/>
      <c r="AB187" s="833"/>
      <c r="AC187" s="833"/>
      <c r="AD187" s="833"/>
      <c r="AE187" s="833"/>
      <c r="AF187" s="833"/>
      <c r="AG187" s="833"/>
      <c r="AH187" s="833"/>
      <c r="AI187" s="833"/>
    </row>
    <row r="188" spans="2:35" hidden="1" x14ac:dyDescent="0.25">
      <c r="B188" s="1315"/>
      <c r="C188" s="1315"/>
      <c r="D188" s="1315"/>
      <c r="E188" s="1315"/>
      <c r="F188" s="941"/>
      <c r="G188" s="942"/>
      <c r="H188" s="942"/>
      <c r="I188" s="941"/>
      <c r="J188" s="942"/>
      <c r="K188" s="942"/>
      <c r="L188" s="941"/>
      <c r="M188" s="942"/>
      <c r="N188" s="942"/>
      <c r="O188" s="941"/>
      <c r="P188" s="942"/>
      <c r="Q188" s="942"/>
      <c r="R188" s="941"/>
      <c r="S188" s="942"/>
      <c r="T188" s="942"/>
      <c r="U188" s="941"/>
      <c r="V188" s="942"/>
      <c r="W188" s="942"/>
      <c r="X188" s="833"/>
      <c r="Y188" s="833"/>
      <c r="Z188" s="833"/>
      <c r="AA188" s="833"/>
      <c r="AB188" s="833"/>
      <c r="AC188" s="833"/>
      <c r="AD188" s="833"/>
      <c r="AE188" s="833"/>
      <c r="AF188" s="833"/>
      <c r="AG188" s="833"/>
      <c r="AH188" s="833"/>
      <c r="AI188" s="833"/>
    </row>
    <row r="189" spans="2:35" hidden="1" x14ac:dyDescent="0.25">
      <c r="B189" s="1315"/>
      <c r="C189" s="1315"/>
      <c r="D189" s="1315"/>
      <c r="E189" s="1315"/>
      <c r="F189" s="941"/>
      <c r="G189" s="942"/>
      <c r="H189" s="942"/>
      <c r="I189" s="941"/>
      <c r="J189" s="942"/>
      <c r="K189" s="942"/>
      <c r="L189" s="941"/>
      <c r="M189" s="942"/>
      <c r="N189" s="942"/>
      <c r="O189" s="941"/>
      <c r="P189" s="942"/>
      <c r="Q189" s="942"/>
      <c r="R189" s="941"/>
      <c r="S189" s="942"/>
      <c r="T189" s="942"/>
      <c r="U189" s="941"/>
      <c r="V189" s="942"/>
      <c r="W189" s="942"/>
      <c r="X189" s="833"/>
      <c r="Y189" s="833"/>
      <c r="Z189" s="833"/>
      <c r="AA189" s="833"/>
      <c r="AB189" s="833"/>
      <c r="AC189" s="833"/>
      <c r="AD189" s="833"/>
      <c r="AE189" s="833"/>
      <c r="AF189" s="833"/>
      <c r="AG189" s="833"/>
      <c r="AH189" s="833"/>
      <c r="AI189" s="833"/>
    </row>
    <row r="190" spans="2:35" hidden="1" x14ac:dyDescent="0.25">
      <c r="B190" s="1315"/>
      <c r="C190" s="1315"/>
      <c r="D190" s="1315"/>
      <c r="E190" s="1315"/>
      <c r="F190" s="941"/>
      <c r="G190" s="942"/>
      <c r="H190" s="942"/>
      <c r="I190" s="941"/>
      <c r="J190" s="942"/>
      <c r="K190" s="942"/>
      <c r="L190" s="941"/>
      <c r="M190" s="942"/>
      <c r="N190" s="942"/>
      <c r="O190" s="941"/>
      <c r="P190" s="942"/>
      <c r="Q190" s="942"/>
      <c r="R190" s="941"/>
      <c r="S190" s="942"/>
      <c r="T190" s="942"/>
      <c r="U190" s="941"/>
      <c r="V190" s="942"/>
      <c r="W190" s="942"/>
      <c r="X190" s="833"/>
      <c r="Y190" s="833"/>
      <c r="Z190" s="833"/>
      <c r="AA190" s="833"/>
      <c r="AB190" s="833"/>
      <c r="AC190" s="833"/>
      <c r="AD190" s="833"/>
      <c r="AE190" s="833"/>
      <c r="AF190" s="833"/>
      <c r="AG190" s="833"/>
      <c r="AH190" s="833"/>
      <c r="AI190" s="833"/>
    </row>
    <row r="191" spans="2:35" ht="30" hidden="1" customHeight="1" x14ac:dyDescent="0.25">
      <c r="B191" s="1316"/>
      <c r="C191" s="1316"/>
      <c r="D191" s="1316"/>
      <c r="E191" s="943"/>
      <c r="F191" s="924"/>
      <c r="G191" s="833"/>
      <c r="H191" s="833"/>
      <c r="I191" s="924"/>
      <c r="J191" s="833"/>
      <c r="K191" s="833"/>
      <c r="L191" s="924"/>
      <c r="M191" s="833"/>
      <c r="N191" s="833"/>
      <c r="O191" s="924"/>
      <c r="P191" s="833"/>
      <c r="Q191" s="833"/>
      <c r="R191" s="924"/>
      <c r="S191" s="833"/>
      <c r="T191" s="833"/>
      <c r="U191" s="924"/>
      <c r="V191" s="833"/>
      <c r="W191" s="833"/>
      <c r="X191" s="833"/>
      <c r="Y191" s="833"/>
      <c r="Z191" s="833"/>
      <c r="AA191" s="833"/>
      <c r="AB191" s="833"/>
      <c r="AC191" s="833"/>
      <c r="AD191" s="833"/>
      <c r="AE191" s="833"/>
      <c r="AF191" s="833"/>
      <c r="AG191" s="833"/>
      <c r="AH191" s="833"/>
      <c r="AI191" s="833"/>
    </row>
    <row r="192" spans="2:35" ht="30" hidden="1" customHeight="1" x14ac:dyDescent="0.25">
      <c r="B192" s="1307"/>
      <c r="C192" s="1307"/>
      <c r="D192" s="1307"/>
      <c r="E192" s="944"/>
      <c r="F192" s="924"/>
      <c r="G192" s="833"/>
      <c r="H192" s="833"/>
      <c r="I192" s="924"/>
      <c r="J192" s="833"/>
      <c r="K192" s="833"/>
      <c r="L192" s="924"/>
      <c r="M192" s="833"/>
      <c r="N192" s="833"/>
      <c r="O192" s="924"/>
      <c r="P192" s="833"/>
      <c r="Q192" s="833"/>
      <c r="R192" s="924"/>
      <c r="S192" s="833"/>
      <c r="T192" s="833"/>
      <c r="U192" s="924"/>
      <c r="V192" s="833"/>
      <c r="W192" s="833"/>
      <c r="X192" s="833"/>
      <c r="Y192" s="833"/>
      <c r="Z192" s="833"/>
      <c r="AA192" s="833"/>
      <c r="AB192" s="833"/>
      <c r="AC192" s="833"/>
      <c r="AD192" s="833"/>
      <c r="AE192" s="833"/>
      <c r="AF192" s="833"/>
      <c r="AG192" s="833"/>
      <c r="AH192" s="833"/>
      <c r="AI192" s="833"/>
    </row>
    <row r="193" spans="1:75" ht="30.75" hidden="1" customHeight="1" x14ac:dyDescent="0.25">
      <c r="B193" s="1307"/>
      <c r="C193" s="1307"/>
      <c r="D193" s="1307"/>
      <c r="E193" s="944"/>
      <c r="F193" s="924"/>
      <c r="G193" s="833"/>
      <c r="H193" s="833"/>
      <c r="I193" s="924"/>
      <c r="J193" s="833"/>
      <c r="K193" s="833"/>
      <c r="L193" s="924"/>
      <c r="M193" s="833"/>
      <c r="N193" s="833"/>
      <c r="O193" s="924"/>
      <c r="P193" s="833"/>
      <c r="Q193" s="833"/>
      <c r="R193" s="924"/>
      <c r="S193" s="833"/>
      <c r="T193" s="833"/>
      <c r="U193" s="924"/>
      <c r="V193" s="833"/>
      <c r="W193" s="833"/>
      <c r="X193" s="833"/>
      <c r="Y193" s="833"/>
      <c r="Z193" s="833"/>
      <c r="AA193" s="833"/>
      <c r="AB193" s="833"/>
      <c r="AC193" s="833"/>
      <c r="AD193" s="833"/>
      <c r="AE193" s="833"/>
      <c r="AF193" s="833"/>
      <c r="AG193" s="833"/>
      <c r="AH193" s="833"/>
      <c r="AI193" s="833"/>
    </row>
    <row r="194" spans="1:75" ht="30" hidden="1" customHeight="1" x14ac:dyDescent="0.25">
      <c r="B194" s="1307"/>
      <c r="C194" s="1307"/>
      <c r="D194" s="1307"/>
      <c r="E194" s="944"/>
      <c r="F194" s="924"/>
      <c r="G194" s="833"/>
      <c r="H194" s="833"/>
      <c r="I194" s="924"/>
      <c r="J194" s="833"/>
      <c r="K194" s="833"/>
      <c r="L194" s="924"/>
      <c r="M194" s="833"/>
      <c r="N194" s="833"/>
      <c r="O194" s="924"/>
      <c r="P194" s="833"/>
      <c r="Q194" s="833"/>
      <c r="R194" s="924"/>
      <c r="S194" s="833"/>
      <c r="T194" s="833"/>
      <c r="U194" s="924"/>
      <c r="V194" s="833"/>
      <c r="W194" s="833"/>
      <c r="X194" s="833"/>
      <c r="Y194" s="833"/>
      <c r="Z194" s="833"/>
      <c r="AA194" s="833"/>
      <c r="AB194" s="833"/>
      <c r="AC194" s="833"/>
      <c r="AD194" s="833"/>
      <c r="AE194" s="833"/>
      <c r="AF194" s="833"/>
      <c r="AG194" s="833"/>
      <c r="AH194" s="833"/>
      <c r="AI194" s="833"/>
    </row>
    <row r="195" spans="1:75" ht="30" hidden="1" customHeight="1" x14ac:dyDescent="0.25">
      <c r="B195" s="1307"/>
      <c r="C195" s="1307"/>
      <c r="D195" s="1307"/>
      <c r="E195" s="944"/>
      <c r="F195" s="924"/>
      <c r="G195" s="833"/>
      <c r="H195" s="833"/>
      <c r="I195" s="924"/>
      <c r="J195" s="833"/>
      <c r="K195" s="833"/>
      <c r="L195" s="924"/>
      <c r="M195" s="833"/>
      <c r="N195" s="833"/>
      <c r="O195" s="924"/>
      <c r="P195" s="833"/>
      <c r="Q195" s="833"/>
      <c r="R195" s="924"/>
      <c r="S195" s="833"/>
      <c r="T195" s="833"/>
      <c r="U195" s="924"/>
      <c r="V195" s="833"/>
      <c r="W195" s="833"/>
      <c r="X195" s="833"/>
      <c r="Y195" s="833"/>
      <c r="Z195" s="833"/>
      <c r="AA195" s="833"/>
      <c r="AB195" s="833"/>
      <c r="AC195" s="833"/>
      <c r="AD195" s="833"/>
      <c r="AE195" s="833"/>
      <c r="AF195" s="833"/>
      <c r="AG195" s="833"/>
      <c r="AH195" s="833"/>
      <c r="AI195" s="833"/>
    </row>
    <row r="196" spans="1:75" ht="30" hidden="1" customHeight="1" x14ac:dyDescent="0.25">
      <c r="B196" s="1307"/>
      <c r="C196" s="1307"/>
      <c r="D196" s="1307"/>
      <c r="E196" s="944"/>
      <c r="F196" s="924"/>
      <c r="G196" s="833"/>
      <c r="H196" s="833"/>
      <c r="I196" s="924"/>
      <c r="J196" s="833"/>
      <c r="K196" s="833"/>
      <c r="L196" s="924"/>
      <c r="M196" s="833"/>
      <c r="N196" s="833"/>
      <c r="O196" s="924"/>
      <c r="P196" s="833"/>
      <c r="Q196" s="833"/>
      <c r="R196" s="924"/>
      <c r="S196" s="833"/>
      <c r="T196" s="833"/>
      <c r="U196" s="924"/>
      <c r="V196" s="833"/>
      <c r="W196" s="833"/>
      <c r="X196" s="833"/>
      <c r="Y196" s="833"/>
      <c r="Z196" s="833"/>
      <c r="AA196" s="833"/>
      <c r="AB196" s="833"/>
      <c r="AC196" s="833"/>
      <c r="AD196" s="833"/>
      <c r="AE196" s="833"/>
      <c r="AF196" s="833"/>
      <c r="AG196" s="833"/>
      <c r="AH196" s="833"/>
      <c r="AI196" s="833"/>
    </row>
    <row r="197" spans="1:75" ht="30" hidden="1" customHeight="1" x14ac:dyDescent="0.25">
      <c r="B197" s="1307"/>
      <c r="C197" s="1307"/>
      <c r="D197" s="1307"/>
      <c r="E197" s="944"/>
      <c r="F197" s="924"/>
      <c r="G197" s="833"/>
      <c r="H197" s="833"/>
      <c r="I197" s="924"/>
      <c r="J197" s="833"/>
      <c r="K197" s="833"/>
      <c r="L197" s="924"/>
      <c r="M197" s="833"/>
      <c r="N197" s="833"/>
      <c r="O197" s="924"/>
      <c r="P197" s="833"/>
      <c r="Q197" s="833"/>
      <c r="R197" s="924"/>
      <c r="S197" s="833"/>
      <c r="T197" s="833"/>
      <c r="U197" s="924"/>
      <c r="V197" s="833"/>
      <c r="W197" s="833"/>
      <c r="X197" s="833"/>
      <c r="Y197" s="833"/>
      <c r="Z197" s="833"/>
      <c r="AA197" s="833"/>
      <c r="AB197" s="833"/>
      <c r="AC197" s="833"/>
      <c r="AD197" s="833"/>
      <c r="AE197" s="833"/>
      <c r="AF197" s="833"/>
      <c r="AG197" s="833"/>
      <c r="AH197" s="833"/>
      <c r="AI197" s="833"/>
    </row>
    <row r="198" spans="1:75" ht="30" hidden="1" customHeight="1" x14ac:dyDescent="0.25">
      <c r="A198" s="945"/>
      <c r="B198" s="945"/>
      <c r="C198" s="946"/>
      <c r="D198" s="947"/>
      <c r="E198" s="945"/>
      <c r="F198" s="1308"/>
      <c r="G198" s="1308"/>
      <c r="H198" s="1308"/>
      <c r="I198" s="1308"/>
      <c r="J198" s="1308"/>
      <c r="K198" s="1308"/>
      <c r="L198" s="947"/>
      <c r="M198" s="945"/>
      <c r="N198" s="945"/>
      <c r="O198" s="947"/>
      <c r="P198" s="1306"/>
      <c r="Q198" s="1306"/>
      <c r="R198" s="1306"/>
      <c r="S198" s="1306"/>
      <c r="T198" s="1306"/>
      <c r="U198" s="947"/>
      <c r="V198" s="945"/>
      <c r="W198" s="945"/>
      <c r="X198" s="945"/>
      <c r="Y198" s="945"/>
      <c r="Z198" s="945"/>
      <c r="AA198" s="945"/>
      <c r="AB198" s="945"/>
      <c r="AC198" s="945"/>
      <c r="AD198" s="945"/>
      <c r="AE198" s="945"/>
      <c r="AF198" s="945"/>
      <c r="AG198" s="945"/>
      <c r="AH198" s="945"/>
      <c r="AI198" s="945"/>
      <c r="AJ198" s="945"/>
      <c r="AK198" s="945"/>
      <c r="AL198" s="945"/>
      <c r="AM198" s="945"/>
      <c r="AN198" s="945"/>
      <c r="AO198" s="945"/>
      <c r="AP198" s="945"/>
      <c r="AQ198" s="945"/>
      <c r="AR198" s="945"/>
      <c r="AS198" s="945"/>
      <c r="AT198" s="945"/>
      <c r="AU198" s="945"/>
      <c r="AV198" s="945"/>
      <c r="AW198" s="945"/>
      <c r="AX198" s="945"/>
      <c r="AY198" s="945"/>
      <c r="AZ198" s="945"/>
      <c r="BA198" s="945"/>
      <c r="BB198" s="945"/>
      <c r="BC198" s="945"/>
      <c r="BD198" s="945"/>
      <c r="BE198" s="945"/>
      <c r="BF198" s="945"/>
      <c r="BG198" s="945"/>
      <c r="BH198" s="945"/>
      <c r="BI198" s="945"/>
      <c r="BJ198" s="945"/>
      <c r="BK198" s="945"/>
      <c r="BL198" s="945"/>
      <c r="BM198" s="945"/>
      <c r="BN198" s="945"/>
      <c r="BO198" s="945"/>
      <c r="BP198" s="945"/>
      <c r="BQ198" s="945"/>
      <c r="BR198" s="945"/>
      <c r="BS198" s="945"/>
      <c r="BT198" s="945"/>
      <c r="BU198" s="945"/>
      <c r="BV198" s="945"/>
      <c r="BW198" s="948"/>
    </row>
    <row r="199" spans="1:75" ht="30.75" hidden="1" customHeight="1" x14ac:dyDescent="0.25">
      <c r="A199" s="945"/>
      <c r="B199" s="1309" t="s">
        <v>4427</v>
      </c>
      <c r="C199" s="1309"/>
      <c r="D199" s="1309"/>
      <c r="E199" s="949" t="s">
        <v>4424</v>
      </c>
      <c r="F199" s="1304"/>
      <c r="G199" s="1304"/>
      <c r="H199" s="1304"/>
      <c r="I199" s="1304"/>
      <c r="J199" s="1305"/>
      <c r="K199" s="1305"/>
      <c r="L199" s="945"/>
      <c r="M199" s="945"/>
      <c r="N199" s="945"/>
      <c r="O199" s="947"/>
      <c r="P199" s="1306"/>
      <c r="Q199" s="1306"/>
      <c r="R199" s="1306"/>
      <c r="S199" s="1306"/>
      <c r="T199" s="1306"/>
      <c r="U199" s="947"/>
      <c r="V199" s="945"/>
      <c r="W199" s="945"/>
      <c r="X199" s="945"/>
      <c r="Y199" s="945"/>
      <c r="Z199" s="945"/>
      <c r="AA199" s="945"/>
      <c r="AB199" s="945"/>
      <c r="AC199" s="945"/>
      <c r="AD199" s="945"/>
      <c r="AE199" s="945"/>
      <c r="AF199" s="945"/>
      <c r="AG199" s="945"/>
      <c r="AH199" s="945"/>
      <c r="AI199" s="945"/>
      <c r="AJ199" s="945"/>
      <c r="AK199" s="945"/>
      <c r="AL199" s="945"/>
      <c r="AM199" s="945"/>
      <c r="AN199" s="945"/>
      <c r="AO199" s="945"/>
      <c r="AP199" s="945"/>
      <c r="AQ199" s="945"/>
      <c r="AR199" s="945"/>
      <c r="AS199" s="945"/>
      <c r="AT199" s="945"/>
      <c r="AU199" s="945"/>
      <c r="AV199" s="945"/>
      <c r="AW199" s="945"/>
      <c r="AX199" s="945"/>
      <c r="AY199" s="945"/>
      <c r="AZ199" s="945"/>
      <c r="BA199" s="945"/>
      <c r="BB199" s="945"/>
      <c r="BC199" s="945"/>
      <c r="BD199" s="945"/>
      <c r="BE199" s="945"/>
      <c r="BF199" s="945"/>
      <c r="BG199" s="945"/>
      <c r="BH199" s="945"/>
      <c r="BI199" s="945"/>
      <c r="BJ199" s="945"/>
      <c r="BK199" s="945"/>
      <c r="BL199" s="945"/>
      <c r="BM199" s="945"/>
      <c r="BN199" s="945"/>
      <c r="BO199" s="945"/>
      <c r="BP199" s="945"/>
      <c r="BQ199" s="945"/>
      <c r="BR199" s="945"/>
      <c r="BS199" s="945"/>
      <c r="BT199" s="945"/>
      <c r="BU199" s="945"/>
      <c r="BV199" s="945"/>
      <c r="BW199" s="948"/>
    </row>
    <row r="200" spans="1:75" ht="30.75" hidden="1" customHeight="1" x14ac:dyDescent="0.25">
      <c r="A200" s="945"/>
      <c r="B200" s="1303" t="s">
        <v>5120</v>
      </c>
      <c r="C200" s="1303"/>
      <c r="D200" s="1303"/>
      <c r="E200" s="950">
        <v>12345</v>
      </c>
      <c r="F200" s="1304"/>
      <c r="G200" s="1304"/>
      <c r="H200" s="1304"/>
      <c r="I200" s="1304"/>
      <c r="J200" s="1305"/>
      <c r="K200" s="1305"/>
      <c r="L200" s="945"/>
      <c r="M200" s="945"/>
      <c r="N200" s="945"/>
      <c r="O200" s="947"/>
      <c r="P200" s="1306"/>
      <c r="Q200" s="1306"/>
      <c r="R200" s="1306"/>
      <c r="S200" s="1306"/>
      <c r="T200" s="1306"/>
      <c r="U200" s="947"/>
      <c r="V200" s="945"/>
      <c r="W200" s="945"/>
      <c r="X200" s="945"/>
      <c r="Y200" s="945"/>
      <c r="Z200" s="945"/>
      <c r="AA200" s="945"/>
      <c r="AB200" s="945"/>
      <c r="AC200" s="945"/>
      <c r="AD200" s="945"/>
      <c r="AE200" s="945"/>
      <c r="AF200" s="945"/>
      <c r="AG200" s="945"/>
      <c r="AH200" s="945"/>
      <c r="AI200" s="945"/>
      <c r="AJ200" s="945"/>
      <c r="AK200" s="945"/>
      <c r="AL200" s="945"/>
      <c r="AM200" s="945"/>
      <c r="AN200" s="945"/>
      <c r="AO200" s="945"/>
      <c r="AP200" s="945"/>
      <c r="AQ200" s="945"/>
      <c r="AR200" s="945"/>
      <c r="AS200" s="945"/>
      <c r="AT200" s="945"/>
      <c r="AU200" s="945"/>
      <c r="AV200" s="945"/>
      <c r="AW200" s="945"/>
      <c r="AX200" s="945"/>
      <c r="AY200" s="945"/>
      <c r="AZ200" s="945"/>
      <c r="BA200" s="945"/>
      <c r="BB200" s="945"/>
      <c r="BC200" s="945"/>
      <c r="BD200" s="945"/>
      <c r="BE200" s="945"/>
      <c r="BF200" s="945"/>
      <c r="BG200" s="945"/>
      <c r="BH200" s="945"/>
      <c r="BI200" s="945"/>
      <c r="BJ200" s="945"/>
      <c r="BK200" s="945"/>
      <c r="BL200" s="945"/>
      <c r="BM200" s="945"/>
      <c r="BN200" s="945"/>
      <c r="BO200" s="945"/>
      <c r="BP200" s="945"/>
      <c r="BQ200" s="945"/>
      <c r="BR200" s="945"/>
      <c r="BS200" s="945"/>
      <c r="BT200" s="945"/>
      <c r="BU200" s="945"/>
      <c r="BV200" s="945"/>
      <c r="BW200" s="948"/>
    </row>
    <row r="201" spans="1:75" ht="30.75" hidden="1" customHeight="1" x14ac:dyDescent="0.25">
      <c r="A201" s="945"/>
      <c r="B201" s="1303" t="s">
        <v>5121</v>
      </c>
      <c r="C201" s="1303"/>
      <c r="D201" s="1303"/>
      <c r="E201" s="950">
        <v>12333</v>
      </c>
      <c r="F201" s="1304"/>
      <c r="G201" s="1304"/>
      <c r="H201" s="1304"/>
      <c r="I201" s="1304"/>
      <c r="J201" s="1305"/>
      <c r="K201" s="1305"/>
      <c r="L201" s="945"/>
      <c r="M201" s="945"/>
      <c r="N201" s="945"/>
      <c r="O201" s="947"/>
      <c r="P201" s="1306"/>
      <c r="Q201" s="1306"/>
      <c r="R201" s="1306"/>
      <c r="S201" s="1306"/>
      <c r="T201" s="1306"/>
      <c r="U201" s="947"/>
      <c r="V201" s="945"/>
      <c r="W201" s="945"/>
      <c r="X201" s="945"/>
      <c r="Y201" s="945"/>
      <c r="Z201" s="945"/>
      <c r="AA201" s="945"/>
      <c r="AB201" s="945"/>
      <c r="AC201" s="945"/>
      <c r="AD201" s="945"/>
      <c r="AE201" s="945"/>
      <c r="AF201" s="945"/>
      <c r="AG201" s="945"/>
      <c r="AH201" s="945"/>
      <c r="AI201" s="945"/>
      <c r="AJ201" s="945"/>
      <c r="AK201" s="945"/>
      <c r="AL201" s="945"/>
      <c r="AM201" s="945"/>
      <c r="AN201" s="945"/>
      <c r="AO201" s="945"/>
      <c r="AP201" s="945"/>
      <c r="AQ201" s="945"/>
      <c r="AR201" s="945"/>
      <c r="AS201" s="945"/>
      <c r="AT201" s="945"/>
      <c r="AU201" s="945"/>
      <c r="AV201" s="945"/>
      <c r="AW201" s="945"/>
      <c r="AX201" s="945"/>
      <c r="AY201" s="945"/>
      <c r="AZ201" s="945"/>
      <c r="BA201" s="945"/>
      <c r="BB201" s="945"/>
      <c r="BC201" s="945"/>
      <c r="BD201" s="945"/>
      <c r="BE201" s="945"/>
      <c r="BF201" s="945"/>
      <c r="BG201" s="945"/>
      <c r="BH201" s="945"/>
      <c r="BI201" s="945"/>
      <c r="BJ201" s="945"/>
      <c r="BK201" s="945"/>
      <c r="BL201" s="945"/>
      <c r="BM201" s="945"/>
      <c r="BN201" s="945"/>
      <c r="BO201" s="945"/>
      <c r="BP201" s="945"/>
      <c r="BQ201" s="945"/>
      <c r="BR201" s="945"/>
      <c r="BS201" s="945"/>
      <c r="BT201" s="945"/>
      <c r="BU201" s="945"/>
      <c r="BV201" s="945"/>
      <c r="BW201" s="948"/>
    </row>
    <row r="202" spans="1:75" ht="30.75" hidden="1" customHeight="1" x14ac:dyDescent="0.25">
      <c r="A202" s="945"/>
      <c r="B202" s="1303" t="s">
        <v>5122</v>
      </c>
      <c r="C202" s="1303"/>
      <c r="D202" s="1303"/>
      <c r="E202" s="950">
        <v>12456</v>
      </c>
      <c r="F202" s="1304"/>
      <c r="G202" s="1304"/>
      <c r="H202" s="1304"/>
      <c r="I202" s="1304"/>
      <c r="J202" s="1305"/>
      <c r="K202" s="1305"/>
      <c r="L202" s="945"/>
      <c r="M202" s="945"/>
      <c r="N202" s="945"/>
      <c r="O202" s="947"/>
      <c r="P202" s="1306"/>
      <c r="Q202" s="1306"/>
      <c r="R202" s="1306"/>
      <c r="S202" s="1306"/>
      <c r="T202" s="1306"/>
      <c r="U202" s="945"/>
      <c r="V202" s="945"/>
      <c r="W202" s="945"/>
      <c r="X202" s="945"/>
      <c r="Y202" s="945"/>
      <c r="Z202" s="945"/>
      <c r="AA202" s="945"/>
      <c r="AB202" s="945"/>
      <c r="AC202" s="945"/>
      <c r="AD202" s="945"/>
      <c r="AE202" s="945"/>
      <c r="AF202" s="945"/>
      <c r="AG202" s="945"/>
      <c r="AH202" s="945"/>
      <c r="AI202" s="945"/>
      <c r="AJ202" s="945"/>
      <c r="AK202" s="945"/>
      <c r="AL202" s="945"/>
      <c r="AM202" s="945"/>
      <c r="AN202" s="945"/>
      <c r="AO202" s="945"/>
      <c r="AP202" s="945"/>
      <c r="AQ202" s="945"/>
      <c r="AR202" s="945"/>
      <c r="AS202" s="945"/>
      <c r="AT202" s="945"/>
      <c r="AU202" s="945"/>
      <c r="AV202" s="945"/>
      <c r="AW202" s="945"/>
      <c r="AX202" s="945"/>
      <c r="AY202" s="945"/>
      <c r="AZ202" s="945"/>
      <c r="BA202" s="945"/>
      <c r="BB202" s="945"/>
      <c r="BC202" s="945"/>
      <c r="BD202" s="945"/>
      <c r="BE202" s="945"/>
      <c r="BF202" s="945"/>
      <c r="BG202" s="945"/>
      <c r="BH202" s="945"/>
      <c r="BI202" s="945"/>
      <c r="BJ202" s="945"/>
      <c r="BK202" s="945"/>
      <c r="BL202" s="945"/>
      <c r="BM202" s="945"/>
      <c r="BN202" s="945"/>
      <c r="BO202" s="945"/>
      <c r="BP202" s="945"/>
      <c r="BQ202" s="945"/>
      <c r="BR202" s="945"/>
      <c r="BS202" s="945"/>
      <c r="BT202" s="945"/>
      <c r="BU202" s="945"/>
      <c r="BV202" s="945"/>
      <c r="BW202" s="948"/>
    </row>
    <row r="203" spans="1:75" ht="30.75" hidden="1" customHeight="1" x14ac:dyDescent="0.25">
      <c r="A203" s="945"/>
      <c r="B203" s="1303" t="s">
        <v>5123</v>
      </c>
      <c r="C203" s="1303"/>
      <c r="D203" s="1303"/>
      <c r="E203" s="950">
        <v>12432</v>
      </c>
      <c r="F203" s="1304"/>
      <c r="G203" s="1304"/>
      <c r="H203" s="1304"/>
      <c r="I203" s="1304"/>
      <c r="J203" s="1305"/>
      <c r="K203" s="1305"/>
      <c r="L203" s="945"/>
      <c r="M203" s="945"/>
      <c r="N203" s="945"/>
      <c r="O203" s="947"/>
      <c r="P203" s="1306"/>
      <c r="Q203" s="1306"/>
      <c r="R203" s="1306"/>
      <c r="S203" s="1306"/>
      <c r="T203" s="1306"/>
      <c r="U203" s="947"/>
      <c r="V203" s="945"/>
      <c r="W203" s="945"/>
      <c r="X203" s="945"/>
      <c r="Y203" s="945"/>
      <c r="Z203" s="945"/>
      <c r="AA203" s="945"/>
      <c r="AB203" s="945"/>
      <c r="AC203" s="945"/>
      <c r="AD203" s="945"/>
      <c r="AE203" s="945"/>
      <c r="AF203" s="945"/>
      <c r="AG203" s="945"/>
      <c r="AH203" s="945"/>
      <c r="AI203" s="945"/>
      <c r="AJ203" s="945"/>
      <c r="AK203" s="945"/>
      <c r="AL203" s="945"/>
      <c r="AM203" s="945"/>
      <c r="AN203" s="945"/>
      <c r="AO203" s="945"/>
      <c r="AP203" s="945"/>
      <c r="AQ203" s="945"/>
      <c r="AR203" s="945"/>
      <c r="AS203" s="945"/>
      <c r="AT203" s="945"/>
      <c r="AU203" s="945"/>
      <c r="AV203" s="945"/>
      <c r="AW203" s="945"/>
      <c r="AX203" s="945"/>
      <c r="AY203" s="945"/>
      <c r="AZ203" s="945"/>
      <c r="BA203" s="945"/>
      <c r="BB203" s="945"/>
      <c r="BC203" s="945"/>
      <c r="BD203" s="945"/>
      <c r="BE203" s="945"/>
      <c r="BF203" s="945"/>
      <c r="BG203" s="945"/>
      <c r="BH203" s="945"/>
      <c r="BI203" s="945"/>
      <c r="BJ203" s="945"/>
      <c r="BK203" s="945"/>
      <c r="BL203" s="945"/>
      <c r="BM203" s="945"/>
      <c r="BN203" s="945"/>
      <c r="BO203" s="945"/>
      <c r="BP203" s="945"/>
      <c r="BQ203" s="945"/>
      <c r="BR203" s="945"/>
      <c r="BS203" s="945"/>
      <c r="BT203" s="945"/>
      <c r="BU203" s="945"/>
      <c r="BV203" s="945"/>
      <c r="BW203" s="948"/>
    </row>
    <row r="204" spans="1:75" ht="30.75" hidden="1" customHeight="1" x14ac:dyDescent="0.25">
      <c r="A204" s="945"/>
      <c r="B204" s="1303" t="s">
        <v>5124</v>
      </c>
      <c r="C204" s="1303"/>
      <c r="D204" s="1303"/>
      <c r="E204" s="950">
        <v>15432</v>
      </c>
      <c r="F204" s="1304"/>
      <c r="G204" s="1304"/>
      <c r="H204" s="1304"/>
      <c r="I204" s="1304"/>
      <c r="J204" s="1305"/>
      <c r="K204" s="1305"/>
      <c r="L204" s="945"/>
      <c r="M204" s="945"/>
      <c r="N204" s="945"/>
      <c r="O204" s="947"/>
      <c r="P204" s="1306"/>
      <c r="Q204" s="1306"/>
      <c r="R204" s="1306"/>
      <c r="S204" s="1306"/>
      <c r="T204" s="1306"/>
      <c r="U204" s="945"/>
      <c r="V204" s="945"/>
      <c r="W204" s="945"/>
      <c r="X204" s="945"/>
      <c r="Y204" s="945"/>
      <c r="Z204" s="945"/>
      <c r="AA204" s="945"/>
      <c r="AB204" s="945"/>
      <c r="AC204" s="945"/>
      <c r="AD204" s="945"/>
      <c r="AE204" s="945"/>
      <c r="AF204" s="945"/>
      <c r="AG204" s="945"/>
      <c r="AH204" s="945"/>
      <c r="AI204" s="945"/>
      <c r="AJ204" s="945"/>
      <c r="AK204" s="945"/>
      <c r="AL204" s="945"/>
      <c r="AM204" s="945"/>
      <c r="AN204" s="945"/>
      <c r="AO204" s="945"/>
      <c r="AP204" s="945"/>
      <c r="AQ204" s="945"/>
      <c r="AR204" s="945"/>
      <c r="AS204" s="945"/>
      <c r="AT204" s="945"/>
      <c r="AU204" s="945"/>
      <c r="AV204" s="945"/>
      <c r="AW204" s="945"/>
      <c r="AX204" s="945"/>
      <c r="AY204" s="945"/>
      <c r="AZ204" s="945"/>
      <c r="BA204" s="945"/>
      <c r="BB204" s="945"/>
      <c r="BC204" s="945"/>
      <c r="BD204" s="945"/>
      <c r="BE204" s="945"/>
      <c r="BF204" s="945"/>
      <c r="BG204" s="945"/>
      <c r="BH204" s="945"/>
      <c r="BI204" s="945"/>
      <c r="BJ204" s="945"/>
      <c r="BK204" s="945"/>
      <c r="BL204" s="945"/>
      <c r="BM204" s="945"/>
      <c r="BN204" s="945"/>
      <c r="BO204" s="945"/>
      <c r="BP204" s="945"/>
      <c r="BQ204" s="945"/>
      <c r="BR204" s="945"/>
      <c r="BS204" s="945"/>
      <c r="BT204" s="945"/>
      <c r="BU204" s="945"/>
      <c r="BV204" s="945"/>
      <c r="BW204" s="948"/>
    </row>
    <row r="205" spans="1:75" ht="30.75" hidden="1" customHeight="1" x14ac:dyDescent="0.25">
      <c r="B205" s="1302" t="s">
        <v>5125</v>
      </c>
      <c r="C205" s="1302"/>
      <c r="D205" s="1302"/>
      <c r="E205" s="951">
        <v>11888</v>
      </c>
      <c r="F205" s="924"/>
      <c r="G205" s="833"/>
      <c r="H205" s="833"/>
      <c r="I205" s="924"/>
      <c r="J205" s="833"/>
      <c r="K205" s="833"/>
      <c r="L205" s="924"/>
      <c r="M205" s="833"/>
      <c r="N205" s="833"/>
      <c r="O205" s="924"/>
      <c r="P205" s="833"/>
      <c r="Q205" s="833"/>
      <c r="R205" s="924"/>
      <c r="S205" s="833"/>
      <c r="T205" s="833"/>
      <c r="U205" s="924"/>
      <c r="V205" s="833"/>
      <c r="W205" s="833"/>
      <c r="X205" s="833"/>
      <c r="Y205" s="833"/>
      <c r="Z205" s="833"/>
      <c r="AA205" s="833"/>
      <c r="AB205" s="833"/>
      <c r="AC205" s="833"/>
      <c r="AD205" s="833"/>
      <c r="AE205" s="833"/>
      <c r="AF205" s="833"/>
      <c r="AG205" s="833"/>
      <c r="AH205" s="833"/>
      <c r="AI205" s="833"/>
      <c r="BB205" s="945"/>
    </row>
    <row r="206" spans="1:75" ht="30.75" hidden="1" customHeight="1" x14ac:dyDescent="0.25">
      <c r="B206" s="833"/>
      <c r="C206" s="940"/>
      <c r="D206" s="924"/>
      <c r="E206" s="833"/>
      <c r="F206" s="924"/>
      <c r="G206" s="833"/>
      <c r="H206" s="833"/>
      <c r="I206" s="924"/>
      <c r="J206" s="833"/>
      <c r="K206" s="833"/>
      <c r="L206" s="924"/>
      <c r="M206" s="833"/>
      <c r="N206" s="833"/>
      <c r="O206" s="924"/>
      <c r="P206" s="833"/>
      <c r="Q206" s="833"/>
      <c r="R206" s="924"/>
      <c r="S206" s="833"/>
      <c r="T206" s="833"/>
      <c r="U206" s="924"/>
      <c r="V206" s="833"/>
      <c r="W206" s="833"/>
      <c r="X206" s="833"/>
      <c r="Y206" s="833"/>
      <c r="Z206" s="833"/>
      <c r="AA206" s="833"/>
      <c r="AB206" s="833"/>
      <c r="AC206" s="833"/>
      <c r="AD206" s="833"/>
      <c r="AE206" s="833"/>
      <c r="AF206" s="833"/>
      <c r="AG206" s="833"/>
      <c r="AH206" s="833"/>
      <c r="AI206" s="833"/>
    </row>
    <row r="207" spans="1:75" ht="30.75" hidden="1" customHeight="1" x14ac:dyDescent="0.25">
      <c r="B207" s="1301" t="s">
        <v>4504</v>
      </c>
      <c r="C207" s="1301"/>
      <c r="D207" s="1301"/>
      <c r="E207" s="945" t="s">
        <v>4424</v>
      </c>
      <c r="F207" s="924"/>
      <c r="G207" s="833"/>
      <c r="H207" s="833"/>
      <c r="I207" s="924"/>
      <c r="J207" s="833"/>
      <c r="K207" s="833"/>
      <c r="L207" s="924"/>
      <c r="M207" s="833"/>
      <c r="N207" s="833"/>
      <c r="O207" s="924"/>
      <c r="P207" s="833"/>
      <c r="Q207" s="833"/>
      <c r="R207" s="924"/>
      <c r="S207" s="833"/>
      <c r="T207" s="833"/>
      <c r="U207" s="924"/>
      <c r="V207" s="833"/>
      <c r="W207" s="833"/>
      <c r="X207" s="833"/>
      <c r="Y207" s="833"/>
      <c r="Z207" s="833"/>
      <c r="AA207" s="833"/>
      <c r="AB207" s="833"/>
      <c r="AC207" s="833"/>
      <c r="AD207" s="833"/>
      <c r="AE207" s="833"/>
      <c r="AF207" s="833"/>
      <c r="AG207" s="833"/>
      <c r="AH207" s="833"/>
      <c r="AI207" s="833"/>
    </row>
    <row r="208" spans="1:75" ht="30.75" hidden="1" customHeight="1" x14ac:dyDescent="0.25">
      <c r="B208" s="1300" t="s">
        <v>5120</v>
      </c>
      <c r="C208" s="1300"/>
      <c r="D208" s="1300"/>
      <c r="E208" s="952">
        <v>12345</v>
      </c>
      <c r="F208" s="924"/>
      <c r="G208" s="833"/>
      <c r="H208" s="833"/>
      <c r="I208" s="924"/>
      <c r="J208" s="833"/>
      <c r="K208" s="833"/>
      <c r="L208" s="924"/>
      <c r="M208" s="833"/>
      <c r="N208" s="833"/>
      <c r="O208" s="924"/>
      <c r="P208" s="833"/>
      <c r="Q208" s="833"/>
      <c r="R208" s="924"/>
      <c r="S208" s="833"/>
      <c r="T208" s="833"/>
      <c r="U208" s="924"/>
      <c r="V208" s="833"/>
      <c r="W208" s="833"/>
      <c r="X208" s="833"/>
      <c r="Y208" s="833"/>
      <c r="Z208" s="833"/>
      <c r="AA208" s="833"/>
      <c r="AB208" s="833"/>
      <c r="AC208" s="833"/>
      <c r="AD208" s="833"/>
      <c r="AE208" s="833"/>
      <c r="AF208" s="833"/>
      <c r="AG208" s="833"/>
      <c r="AH208" s="833"/>
      <c r="AI208" s="833"/>
    </row>
    <row r="209" spans="2:35" ht="30.75" hidden="1" customHeight="1" x14ac:dyDescent="0.25">
      <c r="B209" s="1300" t="s">
        <v>5121</v>
      </c>
      <c r="C209" s="1300"/>
      <c r="D209" s="1300"/>
      <c r="E209" s="952">
        <v>12333</v>
      </c>
      <c r="F209" s="924"/>
      <c r="G209" s="833"/>
      <c r="H209" s="833"/>
      <c r="I209" s="924"/>
      <c r="J209" s="833"/>
      <c r="K209" s="833"/>
      <c r="L209" s="924"/>
      <c r="M209" s="833"/>
      <c r="N209" s="833"/>
      <c r="O209" s="924"/>
      <c r="P209" s="833"/>
      <c r="Q209" s="833"/>
      <c r="R209" s="924"/>
      <c r="S209" s="833"/>
      <c r="T209" s="833"/>
      <c r="U209" s="924"/>
      <c r="V209" s="833"/>
      <c r="W209" s="833"/>
      <c r="X209" s="833"/>
      <c r="Y209" s="833"/>
      <c r="Z209" s="833"/>
      <c r="AA209" s="833"/>
      <c r="AB209" s="833"/>
      <c r="AC209" s="833"/>
      <c r="AD209" s="833"/>
      <c r="AE209" s="833"/>
      <c r="AF209" s="833"/>
      <c r="AG209" s="833"/>
      <c r="AH209" s="833"/>
      <c r="AI209" s="833"/>
    </row>
    <row r="210" spans="2:35" ht="30.75" hidden="1" customHeight="1" x14ac:dyDescent="0.25">
      <c r="B210" s="1300" t="s">
        <v>5122</v>
      </c>
      <c r="C210" s="1300"/>
      <c r="D210" s="1300"/>
      <c r="E210" s="952">
        <v>12456</v>
      </c>
      <c r="F210" s="924"/>
      <c r="G210" s="833"/>
      <c r="H210" s="833"/>
      <c r="I210" s="924"/>
      <c r="J210" s="833"/>
      <c r="K210" s="833"/>
      <c r="L210" s="924"/>
      <c r="M210" s="833"/>
      <c r="N210" s="833"/>
      <c r="O210" s="924"/>
      <c r="P210" s="833"/>
      <c r="Q210" s="833"/>
      <c r="R210" s="924"/>
      <c r="S210" s="833"/>
      <c r="T210" s="833"/>
      <c r="U210" s="924"/>
      <c r="V210" s="833"/>
      <c r="W210" s="833"/>
      <c r="X210" s="833"/>
      <c r="Y210" s="833"/>
      <c r="Z210" s="833"/>
      <c r="AA210" s="833"/>
      <c r="AB210" s="833"/>
      <c r="AC210" s="833"/>
      <c r="AD210" s="833"/>
      <c r="AE210" s="833"/>
      <c r="AF210" s="833"/>
      <c r="AG210" s="833"/>
      <c r="AH210" s="833"/>
      <c r="AI210" s="833"/>
    </row>
    <row r="211" spans="2:35" ht="30.75" hidden="1" customHeight="1" x14ac:dyDescent="0.25">
      <c r="B211" s="1300" t="s">
        <v>5123</v>
      </c>
      <c r="C211" s="1300"/>
      <c r="D211" s="1300"/>
      <c r="E211" s="952">
        <v>12432</v>
      </c>
      <c r="F211" s="924"/>
      <c r="G211" s="833"/>
      <c r="H211" s="833"/>
      <c r="I211" s="924"/>
      <c r="J211" s="833"/>
      <c r="K211" s="833"/>
      <c r="L211" s="924"/>
      <c r="M211" s="833"/>
      <c r="N211" s="833"/>
      <c r="O211" s="924"/>
      <c r="P211" s="833"/>
      <c r="Q211" s="833"/>
      <c r="R211" s="924"/>
      <c r="S211" s="833"/>
      <c r="T211" s="833"/>
      <c r="U211" s="924"/>
      <c r="V211" s="833"/>
      <c r="W211" s="833"/>
      <c r="X211" s="833"/>
      <c r="Y211" s="833"/>
      <c r="Z211" s="833"/>
      <c r="AA211" s="833"/>
      <c r="AB211" s="833"/>
      <c r="AC211" s="833"/>
      <c r="AD211" s="833"/>
      <c r="AE211" s="833"/>
      <c r="AF211" s="833"/>
      <c r="AG211" s="833"/>
      <c r="AH211" s="833"/>
      <c r="AI211" s="833"/>
    </row>
    <row r="212" spans="2:35" ht="30.75" hidden="1" customHeight="1" x14ac:dyDescent="0.25">
      <c r="B212" s="1300" t="s">
        <v>5124</v>
      </c>
      <c r="C212" s="1300"/>
      <c r="D212" s="1300"/>
      <c r="E212" s="952">
        <v>15432</v>
      </c>
      <c r="F212" s="924"/>
      <c r="G212" s="833"/>
      <c r="H212" s="833"/>
      <c r="I212" s="924"/>
      <c r="J212" s="833"/>
      <c r="K212" s="833"/>
      <c r="L212" s="924"/>
      <c r="M212" s="833"/>
      <c r="N212" s="833"/>
      <c r="O212" s="924"/>
      <c r="P212" s="833"/>
      <c r="Q212" s="833"/>
      <c r="R212" s="924"/>
      <c r="S212" s="833"/>
      <c r="T212" s="833"/>
      <c r="U212" s="924"/>
      <c r="V212" s="833"/>
      <c r="W212" s="833"/>
      <c r="X212" s="833"/>
      <c r="Y212" s="833"/>
      <c r="Z212" s="833"/>
      <c r="AA212" s="833"/>
      <c r="AB212" s="833"/>
      <c r="AC212" s="833"/>
      <c r="AD212" s="833"/>
      <c r="AE212" s="833"/>
      <c r="AF212" s="833"/>
      <c r="AG212" s="833"/>
      <c r="AH212" s="833"/>
      <c r="AI212" s="833"/>
    </row>
    <row r="213" spans="2:35" ht="30.75" hidden="1" customHeight="1" x14ac:dyDescent="0.25">
      <c r="B213" s="1300" t="s">
        <v>5125</v>
      </c>
      <c r="C213" s="1300"/>
      <c r="D213" s="1300"/>
      <c r="E213" s="952">
        <v>11888</v>
      </c>
      <c r="F213" s="924"/>
      <c r="G213" s="833"/>
      <c r="H213" s="833"/>
      <c r="I213" s="924"/>
      <c r="J213" s="833"/>
      <c r="K213" s="833"/>
      <c r="L213" s="924"/>
      <c r="M213" s="833"/>
      <c r="N213" s="833"/>
      <c r="O213" s="924"/>
      <c r="P213" s="833"/>
      <c r="Q213" s="833"/>
      <c r="R213" s="924"/>
      <c r="S213" s="833"/>
      <c r="T213" s="833"/>
      <c r="U213" s="924"/>
      <c r="V213" s="833"/>
      <c r="W213" s="833"/>
      <c r="X213" s="833"/>
      <c r="Y213" s="833"/>
      <c r="Z213" s="833"/>
      <c r="AA213" s="833"/>
      <c r="AB213" s="833"/>
      <c r="AC213" s="833"/>
      <c r="AD213" s="833"/>
      <c r="AE213" s="833"/>
      <c r="AF213" s="833"/>
      <c r="AG213" s="833"/>
      <c r="AH213" s="833"/>
      <c r="AI213" s="833"/>
    </row>
    <row r="214" spans="2:35" ht="30.75" hidden="1" customHeight="1" x14ac:dyDescent="0.25">
      <c r="B214" s="833"/>
      <c r="C214" s="940"/>
      <c r="D214" s="924"/>
      <c r="E214" s="833"/>
      <c r="F214" s="924"/>
      <c r="G214" s="833"/>
      <c r="H214" s="833"/>
      <c r="I214" s="924"/>
      <c r="J214" s="833"/>
      <c r="K214" s="833"/>
      <c r="L214" s="924"/>
      <c r="M214" s="833"/>
      <c r="N214" s="833"/>
      <c r="O214" s="924"/>
      <c r="P214" s="833"/>
      <c r="Q214" s="833"/>
      <c r="R214" s="924"/>
      <c r="S214" s="833"/>
      <c r="T214" s="833"/>
      <c r="U214" s="924"/>
      <c r="V214" s="833"/>
      <c r="W214" s="833"/>
      <c r="X214" s="833"/>
      <c r="Y214" s="833"/>
      <c r="Z214" s="833"/>
      <c r="AA214" s="833"/>
      <c r="AB214" s="833"/>
      <c r="AC214" s="833"/>
      <c r="AD214" s="833"/>
      <c r="AE214" s="833"/>
      <c r="AF214" s="833"/>
      <c r="AG214" s="833"/>
      <c r="AH214" s="833"/>
      <c r="AI214" s="833"/>
    </row>
    <row r="215" spans="2:35" ht="30.75" hidden="1" customHeight="1" x14ac:dyDescent="0.25">
      <c r="B215" s="1301" t="s">
        <v>4504</v>
      </c>
      <c r="C215" s="1301"/>
      <c r="D215" s="1301"/>
      <c r="E215" s="945" t="s">
        <v>4424</v>
      </c>
      <c r="F215" s="924"/>
      <c r="G215" s="833"/>
      <c r="H215" s="833"/>
      <c r="I215" s="924"/>
      <c r="J215" s="833"/>
      <c r="K215" s="833"/>
      <c r="L215" s="924"/>
      <c r="M215" s="833"/>
      <c r="N215" s="833"/>
      <c r="O215" s="924"/>
      <c r="P215" s="833"/>
      <c r="Q215" s="833"/>
      <c r="R215" s="924"/>
      <c r="S215" s="833"/>
      <c r="T215" s="833"/>
      <c r="U215" s="924"/>
      <c r="V215" s="833"/>
      <c r="W215" s="833"/>
      <c r="X215" s="833"/>
      <c r="Y215" s="833"/>
      <c r="Z215" s="833"/>
      <c r="AA215" s="833"/>
      <c r="AB215" s="833"/>
      <c r="AC215" s="833"/>
      <c r="AD215" s="833"/>
      <c r="AE215" s="833"/>
      <c r="AF215" s="833"/>
      <c r="AG215" s="833"/>
      <c r="AH215" s="833"/>
      <c r="AI215" s="833"/>
    </row>
    <row r="216" spans="2:35" ht="30.75" hidden="1" customHeight="1" x14ac:dyDescent="0.25">
      <c r="B216" s="1300" t="s">
        <v>5120</v>
      </c>
      <c r="C216" s="1300"/>
      <c r="D216" s="1300"/>
      <c r="E216" s="952">
        <v>12345</v>
      </c>
      <c r="F216" s="924"/>
      <c r="G216" s="833"/>
      <c r="H216" s="833"/>
      <c r="I216" s="924"/>
      <c r="J216" s="833"/>
      <c r="K216" s="833"/>
      <c r="L216" s="924"/>
      <c r="M216" s="833"/>
      <c r="N216" s="833"/>
      <c r="O216" s="924"/>
      <c r="P216" s="833"/>
      <c r="Q216" s="833"/>
      <c r="R216" s="924"/>
      <c r="S216" s="833"/>
      <c r="T216" s="833"/>
      <c r="U216" s="924"/>
      <c r="V216" s="833"/>
      <c r="W216" s="833"/>
      <c r="X216" s="833"/>
      <c r="Y216" s="833"/>
      <c r="Z216" s="833"/>
      <c r="AA216" s="833"/>
      <c r="AB216" s="833"/>
      <c r="AC216" s="833"/>
      <c r="AD216" s="833"/>
      <c r="AE216" s="833"/>
      <c r="AF216" s="833"/>
      <c r="AG216" s="833"/>
      <c r="AH216" s="833"/>
      <c r="AI216" s="833"/>
    </row>
    <row r="217" spans="2:35" ht="30.75" hidden="1" customHeight="1" x14ac:dyDescent="0.25">
      <c r="B217" s="1300" t="s">
        <v>5121</v>
      </c>
      <c r="C217" s="1300"/>
      <c r="D217" s="1300"/>
      <c r="E217" s="952">
        <v>12333</v>
      </c>
      <c r="F217" s="924"/>
      <c r="G217" s="833"/>
      <c r="H217" s="833"/>
      <c r="I217" s="924"/>
      <c r="J217" s="833"/>
      <c r="K217" s="833"/>
      <c r="L217" s="924"/>
      <c r="M217" s="833"/>
      <c r="N217" s="833"/>
      <c r="O217" s="924"/>
      <c r="P217" s="833"/>
      <c r="Q217" s="833"/>
      <c r="R217" s="924"/>
      <c r="S217" s="833"/>
      <c r="T217" s="833"/>
      <c r="U217" s="924"/>
      <c r="V217" s="833"/>
      <c r="W217" s="833"/>
      <c r="X217" s="833"/>
      <c r="Y217" s="833"/>
      <c r="Z217" s="833"/>
      <c r="AA217" s="833"/>
      <c r="AB217" s="833"/>
      <c r="AC217" s="833"/>
      <c r="AD217" s="833"/>
      <c r="AE217" s="833"/>
      <c r="AF217" s="833"/>
      <c r="AG217" s="833"/>
      <c r="AH217" s="833"/>
      <c r="AI217" s="833"/>
    </row>
    <row r="218" spans="2:35" ht="30.75" hidden="1" customHeight="1" x14ac:dyDescent="0.25">
      <c r="B218" s="1300" t="s">
        <v>5122</v>
      </c>
      <c r="C218" s="1300"/>
      <c r="D218" s="1300"/>
      <c r="E218" s="952">
        <v>12456</v>
      </c>
      <c r="F218" s="924"/>
      <c r="G218" s="833"/>
      <c r="H218" s="833"/>
      <c r="I218" s="924"/>
      <c r="J218" s="833"/>
      <c r="K218" s="833"/>
      <c r="L218" s="924"/>
      <c r="M218" s="833"/>
      <c r="N218" s="833"/>
      <c r="O218" s="924"/>
      <c r="P218" s="833"/>
      <c r="Q218" s="833"/>
      <c r="R218" s="924"/>
      <c r="S218" s="833"/>
      <c r="T218" s="833"/>
      <c r="U218" s="924"/>
      <c r="V218" s="833"/>
      <c r="W218" s="833"/>
      <c r="X218" s="833"/>
      <c r="Y218" s="833"/>
      <c r="Z218" s="833"/>
      <c r="AA218" s="833"/>
      <c r="AB218" s="833"/>
      <c r="AC218" s="833"/>
      <c r="AD218" s="833"/>
      <c r="AE218" s="833"/>
      <c r="AF218" s="833"/>
      <c r="AG218" s="833"/>
      <c r="AH218" s="833"/>
      <c r="AI218" s="833"/>
    </row>
    <row r="219" spans="2:35" ht="30.75" hidden="1" customHeight="1" x14ac:dyDescent="0.25">
      <c r="B219" s="1300" t="s">
        <v>5123</v>
      </c>
      <c r="C219" s="1300"/>
      <c r="D219" s="1300"/>
      <c r="E219" s="952">
        <v>12432</v>
      </c>
      <c r="F219" s="924"/>
      <c r="G219" s="833"/>
      <c r="H219" s="833"/>
      <c r="I219" s="924"/>
      <c r="J219" s="833"/>
      <c r="K219" s="833"/>
      <c r="L219" s="924"/>
      <c r="M219" s="833"/>
      <c r="N219" s="833"/>
      <c r="O219" s="924"/>
      <c r="P219" s="833"/>
      <c r="Q219" s="833"/>
      <c r="R219" s="924"/>
      <c r="S219" s="833"/>
      <c r="T219" s="833"/>
      <c r="U219" s="924"/>
      <c r="V219" s="833"/>
      <c r="W219" s="833"/>
      <c r="X219" s="833"/>
      <c r="Y219" s="833"/>
      <c r="Z219" s="833"/>
      <c r="AA219" s="833"/>
      <c r="AB219" s="833"/>
      <c r="AC219" s="833"/>
      <c r="AD219" s="833"/>
      <c r="AE219" s="833"/>
      <c r="AF219" s="833"/>
      <c r="AG219" s="833"/>
      <c r="AH219" s="833"/>
      <c r="AI219" s="833"/>
    </row>
    <row r="220" spans="2:35" ht="30.75" hidden="1" customHeight="1" x14ac:dyDescent="0.25">
      <c r="B220" s="1300" t="s">
        <v>5124</v>
      </c>
      <c r="C220" s="1300"/>
      <c r="D220" s="1300"/>
      <c r="E220" s="952">
        <v>15432</v>
      </c>
      <c r="F220" s="924"/>
      <c r="G220" s="833"/>
      <c r="H220" s="833"/>
      <c r="I220" s="924"/>
      <c r="J220" s="833"/>
      <c r="K220" s="833"/>
      <c r="L220" s="924"/>
      <c r="M220" s="833"/>
      <c r="N220" s="833"/>
      <c r="O220" s="924"/>
      <c r="P220" s="833"/>
      <c r="Q220" s="833"/>
      <c r="R220" s="924"/>
      <c r="S220" s="833"/>
      <c r="T220" s="833"/>
      <c r="U220" s="924"/>
      <c r="V220" s="833"/>
      <c r="W220" s="833"/>
      <c r="X220" s="833"/>
      <c r="Y220" s="833"/>
      <c r="Z220" s="833"/>
      <c r="AA220" s="833"/>
      <c r="AB220" s="833"/>
      <c r="AC220" s="833"/>
      <c r="AD220" s="833"/>
      <c r="AE220" s="833"/>
      <c r="AF220" s="833"/>
      <c r="AG220" s="833"/>
      <c r="AH220" s="833"/>
      <c r="AI220" s="833"/>
    </row>
    <row r="221" spans="2:35" ht="30.75" hidden="1" customHeight="1" x14ac:dyDescent="0.25">
      <c r="B221" s="1300" t="s">
        <v>5125</v>
      </c>
      <c r="C221" s="1300"/>
      <c r="D221" s="1300"/>
      <c r="E221" s="952">
        <v>11888</v>
      </c>
      <c r="F221" s="924"/>
      <c r="G221" s="833"/>
      <c r="H221" s="833"/>
      <c r="I221" s="924"/>
      <c r="J221" s="833"/>
      <c r="K221" s="833"/>
      <c r="L221" s="924"/>
      <c r="M221" s="833"/>
      <c r="N221" s="833"/>
      <c r="O221" s="924"/>
      <c r="P221" s="833"/>
      <c r="Q221" s="833"/>
      <c r="R221" s="924"/>
      <c r="S221" s="833"/>
      <c r="T221" s="833"/>
      <c r="U221" s="924"/>
      <c r="V221" s="833"/>
      <c r="W221" s="833"/>
      <c r="X221" s="833"/>
      <c r="Y221" s="833"/>
      <c r="Z221" s="833"/>
      <c r="AA221" s="833"/>
      <c r="AB221" s="833"/>
      <c r="AC221" s="833"/>
      <c r="AD221" s="833"/>
      <c r="AE221" s="833"/>
      <c r="AF221" s="833"/>
      <c r="AG221" s="833"/>
      <c r="AH221" s="833"/>
      <c r="AI221" s="833"/>
    </row>
    <row r="222" spans="2:35" ht="30.75" hidden="1" customHeight="1" x14ac:dyDescent="0.25">
      <c r="B222" s="833"/>
      <c r="C222" s="940"/>
      <c r="D222" s="924"/>
      <c r="E222" s="833"/>
      <c r="F222" s="924"/>
      <c r="G222" s="833"/>
      <c r="H222" s="833"/>
      <c r="I222" s="924"/>
      <c r="J222" s="833"/>
      <c r="K222" s="833"/>
      <c r="L222" s="924"/>
      <c r="M222" s="833"/>
      <c r="N222" s="833"/>
      <c r="O222" s="924"/>
      <c r="P222" s="833"/>
      <c r="Q222" s="833"/>
      <c r="R222" s="924"/>
      <c r="S222" s="833"/>
      <c r="T222" s="833"/>
      <c r="U222" s="924"/>
      <c r="V222" s="833"/>
      <c r="W222" s="833"/>
      <c r="X222" s="833"/>
      <c r="Y222" s="833"/>
      <c r="Z222" s="833"/>
      <c r="AA222" s="833"/>
      <c r="AB222" s="833"/>
      <c r="AC222" s="833"/>
      <c r="AD222" s="833"/>
      <c r="AE222" s="833"/>
      <c r="AF222" s="833"/>
      <c r="AG222" s="833"/>
      <c r="AH222" s="833"/>
      <c r="AI222" s="833"/>
    </row>
    <row r="223" spans="2:35" ht="30.75" hidden="1" customHeight="1" x14ac:dyDescent="0.25">
      <c r="B223" s="1301" t="s">
        <v>4504</v>
      </c>
      <c r="C223" s="1301"/>
      <c r="D223" s="1301"/>
      <c r="E223" s="945" t="s">
        <v>4424</v>
      </c>
      <c r="F223" s="924"/>
      <c r="G223" s="833"/>
      <c r="H223" s="833"/>
      <c r="I223" s="924"/>
      <c r="J223" s="833"/>
      <c r="K223" s="833"/>
      <c r="L223" s="924"/>
      <c r="M223" s="833"/>
      <c r="N223" s="833"/>
      <c r="O223" s="924"/>
      <c r="P223" s="833"/>
      <c r="Q223" s="833"/>
      <c r="R223" s="924"/>
      <c r="S223" s="833"/>
      <c r="T223" s="833"/>
      <c r="U223" s="924"/>
      <c r="V223" s="833"/>
      <c r="W223" s="833"/>
      <c r="X223" s="833"/>
      <c r="Y223" s="833"/>
      <c r="Z223" s="833"/>
      <c r="AA223" s="833"/>
      <c r="AB223" s="833"/>
      <c r="AC223" s="833"/>
      <c r="AD223" s="833"/>
      <c r="AE223" s="833"/>
      <c r="AF223" s="833"/>
      <c r="AG223" s="833"/>
      <c r="AH223" s="833"/>
      <c r="AI223" s="833"/>
    </row>
    <row r="224" spans="2:35" ht="30.75" hidden="1" customHeight="1" x14ac:dyDescent="0.25">
      <c r="B224" s="1300" t="s">
        <v>5120</v>
      </c>
      <c r="C224" s="1300"/>
      <c r="D224" s="1300"/>
      <c r="E224" s="952">
        <v>12345</v>
      </c>
      <c r="F224" s="924"/>
      <c r="G224" s="833"/>
      <c r="H224" s="833"/>
      <c r="I224" s="924"/>
      <c r="J224" s="833"/>
      <c r="K224" s="833"/>
      <c r="L224" s="924"/>
      <c r="M224" s="833"/>
      <c r="N224" s="833"/>
      <c r="O224" s="924"/>
      <c r="P224" s="833"/>
      <c r="Q224" s="833"/>
      <c r="R224" s="924"/>
      <c r="S224" s="833"/>
      <c r="T224" s="833"/>
      <c r="U224" s="924"/>
      <c r="V224" s="833"/>
      <c r="W224" s="833"/>
      <c r="X224" s="833"/>
      <c r="Y224" s="833"/>
      <c r="Z224" s="833"/>
      <c r="AA224" s="833"/>
      <c r="AB224" s="833"/>
      <c r="AC224" s="833"/>
      <c r="AD224" s="833"/>
      <c r="AE224" s="833"/>
      <c r="AF224" s="833"/>
      <c r="AG224" s="833"/>
      <c r="AH224" s="833"/>
      <c r="AI224" s="833"/>
    </row>
    <row r="225" spans="2:35" ht="30.75" hidden="1" customHeight="1" x14ac:dyDescent="0.25">
      <c r="B225" s="1300" t="s">
        <v>5121</v>
      </c>
      <c r="C225" s="1300"/>
      <c r="D225" s="1300"/>
      <c r="E225" s="952">
        <v>12333</v>
      </c>
      <c r="F225" s="924"/>
      <c r="G225" s="833"/>
      <c r="H225" s="833"/>
      <c r="I225" s="924"/>
      <c r="J225" s="833"/>
      <c r="K225" s="833"/>
      <c r="L225" s="924"/>
      <c r="M225" s="833"/>
      <c r="N225" s="833"/>
      <c r="O225" s="924"/>
      <c r="P225" s="833"/>
      <c r="Q225" s="833"/>
      <c r="R225" s="924"/>
      <c r="S225" s="833"/>
      <c r="T225" s="833"/>
      <c r="U225" s="924"/>
      <c r="V225" s="833"/>
      <c r="W225" s="833"/>
      <c r="X225" s="833"/>
      <c r="Y225" s="833"/>
      <c r="Z225" s="833"/>
      <c r="AA225" s="833"/>
      <c r="AB225" s="833"/>
      <c r="AC225" s="833"/>
      <c r="AD225" s="833"/>
      <c r="AE225" s="833"/>
      <c r="AF225" s="833"/>
      <c r="AG225" s="833"/>
      <c r="AH225" s="833"/>
      <c r="AI225" s="833"/>
    </row>
    <row r="226" spans="2:35" ht="30.75" hidden="1" customHeight="1" x14ac:dyDescent="0.25">
      <c r="B226" s="1300" t="s">
        <v>5122</v>
      </c>
      <c r="C226" s="1300"/>
      <c r="D226" s="1300"/>
      <c r="E226" s="952">
        <v>12456</v>
      </c>
      <c r="F226" s="924"/>
      <c r="G226" s="833"/>
      <c r="H226" s="833"/>
      <c r="I226" s="924"/>
      <c r="J226" s="833"/>
      <c r="K226" s="833"/>
      <c r="L226" s="924"/>
      <c r="M226" s="833"/>
      <c r="N226" s="833"/>
      <c r="O226" s="924"/>
      <c r="P226" s="833"/>
      <c r="Q226" s="833"/>
      <c r="R226" s="924"/>
      <c r="S226" s="833"/>
      <c r="T226" s="833"/>
      <c r="U226" s="924"/>
      <c r="V226" s="833"/>
      <c r="W226" s="833"/>
      <c r="X226" s="833"/>
      <c r="Y226" s="833"/>
      <c r="Z226" s="833"/>
      <c r="AA226" s="833"/>
      <c r="AB226" s="833"/>
      <c r="AC226" s="833"/>
      <c r="AD226" s="833"/>
      <c r="AE226" s="833"/>
      <c r="AF226" s="833"/>
      <c r="AG226" s="833"/>
      <c r="AH226" s="833"/>
      <c r="AI226" s="833"/>
    </row>
    <row r="227" spans="2:35" ht="30.75" hidden="1" customHeight="1" x14ac:dyDescent="0.25">
      <c r="B227" s="1300" t="s">
        <v>5123</v>
      </c>
      <c r="C227" s="1300"/>
      <c r="D227" s="1300"/>
      <c r="E227" s="952">
        <v>12432</v>
      </c>
      <c r="F227" s="924"/>
      <c r="G227" s="833"/>
      <c r="H227" s="833"/>
      <c r="I227" s="924"/>
      <c r="J227" s="833"/>
      <c r="K227" s="833"/>
      <c r="L227" s="924"/>
      <c r="M227" s="833"/>
      <c r="N227" s="833"/>
      <c r="O227" s="924"/>
      <c r="P227" s="833"/>
      <c r="Q227" s="833"/>
      <c r="R227" s="924"/>
      <c r="S227" s="833"/>
      <c r="T227" s="833"/>
      <c r="U227" s="924"/>
      <c r="V227" s="833"/>
      <c r="W227" s="833"/>
      <c r="X227" s="833"/>
      <c r="Y227" s="833"/>
      <c r="Z227" s="833"/>
      <c r="AA227" s="833"/>
      <c r="AB227" s="833"/>
      <c r="AC227" s="833"/>
      <c r="AD227" s="833"/>
      <c r="AE227" s="833"/>
      <c r="AF227" s="833"/>
      <c r="AG227" s="833"/>
      <c r="AH227" s="833"/>
      <c r="AI227" s="833"/>
    </row>
    <row r="228" spans="2:35" ht="30.75" hidden="1" customHeight="1" x14ac:dyDescent="0.25">
      <c r="B228" s="1300" t="s">
        <v>5124</v>
      </c>
      <c r="C228" s="1300"/>
      <c r="D228" s="1300"/>
      <c r="E228" s="952">
        <v>15432</v>
      </c>
      <c r="F228" s="924"/>
      <c r="G228" s="833"/>
      <c r="H228" s="833"/>
      <c r="I228" s="924"/>
      <c r="J228" s="833"/>
      <c r="K228" s="833"/>
      <c r="L228" s="924"/>
      <c r="M228" s="833"/>
      <c r="N228" s="833"/>
      <c r="O228" s="924"/>
      <c r="P228" s="833"/>
      <c r="Q228" s="833"/>
      <c r="R228" s="924"/>
      <c r="S228" s="833"/>
      <c r="T228" s="833"/>
      <c r="U228" s="924"/>
      <c r="V228" s="833"/>
      <c r="W228" s="833"/>
      <c r="X228" s="833"/>
      <c r="Y228" s="833"/>
      <c r="Z228" s="833"/>
      <c r="AA228" s="833"/>
      <c r="AB228" s="833"/>
      <c r="AC228" s="833"/>
      <c r="AD228" s="833"/>
      <c r="AE228" s="833"/>
      <c r="AF228" s="833"/>
      <c r="AG228" s="833"/>
      <c r="AH228" s="833"/>
      <c r="AI228" s="833"/>
    </row>
    <row r="229" spans="2:35" ht="30.75" hidden="1" customHeight="1" x14ac:dyDescent="0.25">
      <c r="B229" s="1300" t="s">
        <v>5125</v>
      </c>
      <c r="C229" s="1300"/>
      <c r="D229" s="1300"/>
      <c r="E229" s="952">
        <v>11888</v>
      </c>
      <c r="F229" s="924"/>
      <c r="G229" s="833"/>
      <c r="H229" s="833"/>
      <c r="I229" s="924"/>
      <c r="J229" s="833"/>
      <c r="K229" s="833"/>
      <c r="L229" s="924"/>
      <c r="M229" s="833"/>
      <c r="N229" s="833"/>
      <c r="O229" s="924"/>
      <c r="P229" s="833"/>
      <c r="Q229" s="833"/>
      <c r="R229" s="924"/>
      <c r="S229" s="833"/>
      <c r="T229" s="833"/>
      <c r="U229" s="924"/>
      <c r="V229" s="833"/>
      <c r="W229" s="833"/>
      <c r="X229" s="833"/>
      <c r="Y229" s="833"/>
      <c r="Z229" s="833"/>
      <c r="AA229" s="833"/>
      <c r="AB229" s="833"/>
      <c r="AC229" s="833"/>
      <c r="AD229" s="833"/>
      <c r="AE229" s="833"/>
      <c r="AF229" s="833"/>
      <c r="AG229" s="833"/>
      <c r="AH229" s="833"/>
      <c r="AI229" s="833"/>
    </row>
    <row r="230" spans="2:35" ht="30.75" hidden="1" customHeight="1" x14ac:dyDescent="0.25">
      <c r="B230" s="833"/>
      <c r="C230" s="940"/>
      <c r="D230" s="924"/>
      <c r="E230" s="833"/>
      <c r="F230" s="924"/>
      <c r="G230" s="833"/>
      <c r="H230" s="833"/>
      <c r="I230" s="924"/>
      <c r="J230" s="833"/>
      <c r="K230" s="833"/>
      <c r="L230" s="924"/>
      <c r="M230" s="833"/>
      <c r="N230" s="833"/>
      <c r="O230" s="924"/>
      <c r="P230" s="833"/>
      <c r="Q230" s="833"/>
      <c r="R230" s="924"/>
      <c r="S230" s="833"/>
      <c r="T230" s="833"/>
      <c r="U230" s="924"/>
      <c r="V230" s="833"/>
      <c r="W230" s="833"/>
      <c r="X230" s="833"/>
      <c r="Y230" s="833"/>
      <c r="Z230" s="833"/>
      <c r="AA230" s="833"/>
      <c r="AB230" s="833"/>
      <c r="AC230" s="833"/>
      <c r="AD230" s="833"/>
      <c r="AE230" s="833"/>
      <c r="AF230" s="833"/>
      <c r="AG230" s="833"/>
      <c r="AH230" s="833"/>
      <c r="AI230" s="833"/>
    </row>
    <row r="231" spans="2:35" ht="30.75" hidden="1" customHeight="1" x14ac:dyDescent="0.25">
      <c r="B231" s="1301" t="s">
        <v>4504</v>
      </c>
      <c r="C231" s="1301"/>
      <c r="D231" s="1301"/>
      <c r="E231" s="945" t="s">
        <v>4424</v>
      </c>
      <c r="F231" s="924"/>
      <c r="G231" s="833"/>
      <c r="H231" s="833"/>
      <c r="I231" s="924"/>
      <c r="J231" s="833"/>
      <c r="K231" s="833"/>
      <c r="L231" s="924"/>
      <c r="M231" s="833"/>
      <c r="N231" s="833"/>
      <c r="O231" s="924"/>
      <c r="P231" s="833"/>
      <c r="Q231" s="833"/>
      <c r="R231" s="924"/>
      <c r="S231" s="833"/>
      <c r="T231" s="833"/>
      <c r="U231" s="924"/>
      <c r="V231" s="833"/>
      <c r="W231" s="833"/>
      <c r="X231" s="833"/>
      <c r="Y231" s="833"/>
      <c r="Z231" s="833"/>
      <c r="AA231" s="833"/>
      <c r="AB231" s="833"/>
      <c r="AC231" s="833"/>
      <c r="AD231" s="833"/>
      <c r="AE231" s="833"/>
      <c r="AF231" s="833"/>
      <c r="AG231" s="833"/>
      <c r="AH231" s="833"/>
      <c r="AI231" s="833"/>
    </row>
    <row r="232" spans="2:35" ht="30.75" hidden="1" customHeight="1" x14ac:dyDescent="0.25">
      <c r="B232" s="1300" t="s">
        <v>5120</v>
      </c>
      <c r="C232" s="1300"/>
      <c r="D232" s="1300"/>
      <c r="E232" s="952">
        <v>12345</v>
      </c>
      <c r="F232" s="924"/>
      <c r="G232" s="833"/>
      <c r="H232" s="833"/>
      <c r="I232" s="924"/>
      <c r="J232" s="833"/>
      <c r="K232" s="833"/>
      <c r="L232" s="924"/>
      <c r="M232" s="833"/>
      <c r="N232" s="833"/>
      <c r="O232" s="924"/>
      <c r="P232" s="833"/>
      <c r="Q232" s="833"/>
      <c r="R232" s="924"/>
      <c r="S232" s="833"/>
      <c r="T232" s="833"/>
      <c r="U232" s="924"/>
      <c r="V232" s="833"/>
      <c r="W232" s="833"/>
      <c r="X232" s="833"/>
      <c r="Y232" s="833"/>
      <c r="Z232" s="833"/>
      <c r="AA232" s="833"/>
      <c r="AB232" s="833"/>
      <c r="AC232" s="833"/>
      <c r="AD232" s="833"/>
      <c r="AE232" s="833"/>
      <c r="AF232" s="833"/>
      <c r="AG232" s="833"/>
      <c r="AH232" s="833"/>
      <c r="AI232" s="833"/>
    </row>
    <row r="233" spans="2:35" ht="30.75" hidden="1" customHeight="1" x14ac:dyDescent="0.25">
      <c r="B233" s="1300" t="s">
        <v>5121</v>
      </c>
      <c r="C233" s="1300"/>
      <c r="D233" s="1300"/>
      <c r="E233" s="952">
        <v>12333</v>
      </c>
      <c r="F233" s="924"/>
      <c r="G233" s="833"/>
      <c r="H233" s="833"/>
      <c r="I233" s="924"/>
      <c r="J233" s="833"/>
      <c r="K233" s="833"/>
      <c r="L233" s="924"/>
      <c r="M233" s="833"/>
      <c r="N233" s="833"/>
      <c r="O233" s="924"/>
      <c r="P233" s="833"/>
      <c r="Q233" s="833"/>
      <c r="R233" s="924"/>
      <c r="S233" s="833"/>
      <c r="T233" s="833"/>
      <c r="U233" s="924"/>
      <c r="V233" s="833"/>
      <c r="W233" s="833"/>
      <c r="X233" s="833"/>
      <c r="Y233" s="833"/>
      <c r="Z233" s="833"/>
      <c r="AA233" s="833"/>
      <c r="AB233" s="833"/>
      <c r="AC233" s="833"/>
      <c r="AD233" s="833"/>
      <c r="AE233" s="833"/>
      <c r="AF233" s="833"/>
      <c r="AG233" s="833"/>
      <c r="AH233" s="833"/>
      <c r="AI233" s="833"/>
    </row>
    <row r="234" spans="2:35" ht="30.75" hidden="1" customHeight="1" x14ac:dyDescent="0.25">
      <c r="B234" s="1300" t="s">
        <v>5122</v>
      </c>
      <c r="C234" s="1300"/>
      <c r="D234" s="1300"/>
      <c r="E234" s="952">
        <v>12456</v>
      </c>
      <c r="F234" s="924"/>
      <c r="G234" s="833"/>
      <c r="H234" s="833"/>
      <c r="I234" s="924"/>
      <c r="J234" s="833"/>
      <c r="K234" s="833"/>
      <c r="L234" s="924"/>
      <c r="M234" s="833"/>
      <c r="N234" s="833"/>
      <c r="O234" s="924"/>
      <c r="P234" s="833"/>
      <c r="Q234" s="833"/>
      <c r="R234" s="924"/>
      <c r="S234" s="833"/>
      <c r="T234" s="833"/>
      <c r="U234" s="924"/>
      <c r="V234" s="833"/>
      <c r="W234" s="833"/>
      <c r="X234" s="833"/>
      <c r="Y234" s="833"/>
      <c r="Z234" s="833"/>
      <c r="AA234" s="833"/>
      <c r="AB234" s="833"/>
      <c r="AC234" s="833"/>
      <c r="AD234" s="833"/>
      <c r="AE234" s="833"/>
      <c r="AF234" s="833"/>
      <c r="AG234" s="833"/>
      <c r="AH234" s="833"/>
      <c r="AI234" s="833"/>
    </row>
    <row r="235" spans="2:35" ht="30.75" hidden="1" customHeight="1" x14ac:dyDescent="0.25">
      <c r="B235" s="1300" t="s">
        <v>5123</v>
      </c>
      <c r="C235" s="1300"/>
      <c r="D235" s="1300"/>
      <c r="E235" s="952">
        <v>12432</v>
      </c>
      <c r="F235" s="924"/>
      <c r="G235" s="833"/>
      <c r="H235" s="833"/>
      <c r="I235" s="924"/>
      <c r="J235" s="833"/>
      <c r="K235" s="833"/>
      <c r="L235" s="924"/>
      <c r="M235" s="833"/>
      <c r="N235" s="833"/>
      <c r="O235" s="924"/>
      <c r="P235" s="833"/>
      <c r="Q235" s="833"/>
      <c r="R235" s="924"/>
      <c r="S235" s="833"/>
      <c r="T235" s="833"/>
      <c r="U235" s="924"/>
      <c r="V235" s="833"/>
      <c r="W235" s="833"/>
      <c r="X235" s="833"/>
      <c r="Y235" s="833"/>
      <c r="Z235" s="833"/>
      <c r="AA235" s="833"/>
      <c r="AB235" s="833"/>
      <c r="AC235" s="833"/>
      <c r="AD235" s="833"/>
      <c r="AE235" s="833"/>
      <c r="AF235" s="833"/>
      <c r="AG235" s="833"/>
      <c r="AH235" s="833"/>
      <c r="AI235" s="833"/>
    </row>
    <row r="236" spans="2:35" ht="30.75" hidden="1" customHeight="1" x14ac:dyDescent="0.25">
      <c r="B236" s="1300" t="s">
        <v>5124</v>
      </c>
      <c r="C236" s="1300"/>
      <c r="D236" s="1300"/>
      <c r="E236" s="952">
        <v>15432</v>
      </c>
      <c r="F236" s="924"/>
      <c r="G236" s="833"/>
      <c r="H236" s="833"/>
      <c r="I236" s="924"/>
      <c r="J236" s="833"/>
      <c r="K236" s="833"/>
      <c r="L236" s="924"/>
      <c r="M236" s="833"/>
      <c r="N236" s="833"/>
      <c r="O236" s="924"/>
      <c r="P236" s="833"/>
      <c r="Q236" s="833"/>
      <c r="R236" s="924"/>
      <c r="S236" s="833"/>
      <c r="T236" s="833"/>
      <c r="U236" s="924"/>
      <c r="V236" s="833"/>
      <c r="W236" s="833"/>
      <c r="X236" s="833"/>
      <c r="Y236" s="833"/>
      <c r="Z236" s="833"/>
      <c r="AA236" s="833"/>
      <c r="AB236" s="833"/>
      <c r="AC236" s="833"/>
      <c r="AD236" s="833"/>
      <c r="AE236" s="833"/>
      <c r="AF236" s="833"/>
      <c r="AG236" s="833"/>
      <c r="AH236" s="833"/>
      <c r="AI236" s="833"/>
    </row>
    <row r="237" spans="2:35" ht="30.75" hidden="1" customHeight="1" x14ac:dyDescent="0.25">
      <c r="B237" s="1300" t="s">
        <v>5125</v>
      </c>
      <c r="C237" s="1300"/>
      <c r="D237" s="1300"/>
      <c r="E237" s="952">
        <v>11888</v>
      </c>
      <c r="F237" s="924"/>
      <c r="G237" s="833"/>
      <c r="H237" s="833"/>
      <c r="I237" s="924"/>
      <c r="J237" s="833"/>
      <c r="K237" s="833"/>
      <c r="L237" s="924"/>
      <c r="M237" s="833"/>
      <c r="N237" s="833"/>
      <c r="O237" s="924"/>
      <c r="P237" s="833"/>
      <c r="Q237" s="833"/>
      <c r="R237" s="924"/>
      <c r="S237" s="833"/>
      <c r="T237" s="833"/>
      <c r="U237" s="924"/>
      <c r="V237" s="833"/>
      <c r="W237" s="833"/>
      <c r="X237" s="833"/>
      <c r="Y237" s="833"/>
      <c r="Z237" s="833"/>
      <c r="AA237" s="833"/>
      <c r="AB237" s="833"/>
      <c r="AC237" s="833"/>
      <c r="AD237" s="833"/>
      <c r="AE237" s="833"/>
      <c r="AF237" s="833"/>
      <c r="AG237" s="833"/>
      <c r="AH237" s="833"/>
      <c r="AI237" s="833"/>
    </row>
    <row r="238" spans="2:35" ht="30.75" hidden="1" customHeight="1" x14ac:dyDescent="0.25">
      <c r="B238" s="833"/>
      <c r="C238" s="940"/>
      <c r="D238" s="924"/>
      <c r="E238" s="833"/>
      <c r="F238" s="924"/>
      <c r="G238" s="833"/>
      <c r="H238" s="833"/>
      <c r="I238" s="924"/>
      <c r="J238" s="833"/>
      <c r="K238" s="833"/>
      <c r="L238" s="924"/>
      <c r="M238" s="833"/>
      <c r="N238" s="833"/>
      <c r="O238" s="924"/>
      <c r="P238" s="833"/>
      <c r="Q238" s="833"/>
      <c r="R238" s="924"/>
      <c r="S238" s="833"/>
      <c r="T238" s="833"/>
      <c r="U238" s="924"/>
      <c r="V238" s="833"/>
      <c r="W238" s="833"/>
      <c r="X238" s="833"/>
      <c r="Y238" s="833"/>
      <c r="Z238" s="833"/>
      <c r="AA238" s="833"/>
      <c r="AB238" s="833"/>
      <c r="AC238" s="833"/>
      <c r="AD238" s="833"/>
      <c r="AE238" s="833"/>
      <c r="AF238" s="833"/>
      <c r="AG238" s="833"/>
      <c r="AH238" s="833"/>
      <c r="AI238" s="833"/>
    </row>
    <row r="239" spans="2:35" ht="30.75" hidden="1" customHeight="1" x14ac:dyDescent="0.25">
      <c r="B239" s="1301" t="s">
        <v>4504</v>
      </c>
      <c r="C239" s="1301"/>
      <c r="D239" s="1301"/>
      <c r="E239" s="945" t="s">
        <v>4424</v>
      </c>
      <c r="F239" s="924"/>
      <c r="G239" s="833"/>
      <c r="H239" s="833"/>
      <c r="I239" s="924"/>
      <c r="J239" s="833"/>
      <c r="K239" s="833"/>
      <c r="L239" s="924"/>
      <c r="M239" s="833"/>
      <c r="N239" s="833"/>
      <c r="O239" s="924"/>
      <c r="P239" s="833"/>
      <c r="Q239" s="833"/>
      <c r="R239" s="924"/>
      <c r="S239" s="833"/>
      <c r="T239" s="833"/>
      <c r="U239" s="924"/>
      <c r="V239" s="833"/>
      <c r="W239" s="833"/>
      <c r="X239" s="833"/>
      <c r="Y239" s="833"/>
      <c r="Z239" s="833"/>
      <c r="AA239" s="833"/>
      <c r="AB239" s="833"/>
      <c r="AC239" s="833"/>
      <c r="AD239" s="833"/>
      <c r="AE239" s="833"/>
      <c r="AF239" s="833"/>
      <c r="AG239" s="833"/>
      <c r="AH239" s="833"/>
      <c r="AI239" s="833"/>
    </row>
    <row r="240" spans="2:35" ht="30.75" hidden="1" customHeight="1" x14ac:dyDescent="0.25">
      <c r="B240" s="1300" t="s">
        <v>5120</v>
      </c>
      <c r="C240" s="1300"/>
      <c r="D240" s="1300"/>
      <c r="E240" s="952">
        <v>12345</v>
      </c>
      <c r="F240" s="924"/>
      <c r="G240" s="833"/>
      <c r="H240" s="833"/>
      <c r="I240" s="924"/>
      <c r="J240" s="833"/>
      <c r="K240" s="833"/>
      <c r="L240" s="924"/>
      <c r="M240" s="833"/>
      <c r="N240" s="833"/>
      <c r="O240" s="924"/>
      <c r="P240" s="833"/>
      <c r="Q240" s="833"/>
      <c r="R240" s="924"/>
      <c r="S240" s="833"/>
      <c r="T240" s="833"/>
      <c r="U240" s="924"/>
      <c r="V240" s="833"/>
      <c r="W240" s="833"/>
      <c r="X240" s="833"/>
      <c r="Y240" s="833"/>
      <c r="Z240" s="833"/>
      <c r="AA240" s="833"/>
      <c r="AB240" s="833"/>
      <c r="AC240" s="833"/>
      <c r="AD240" s="833"/>
      <c r="AE240" s="833"/>
      <c r="AF240" s="833"/>
      <c r="AG240" s="833"/>
      <c r="AH240" s="833"/>
      <c r="AI240" s="833"/>
    </row>
    <row r="241" spans="2:35" ht="30.75" hidden="1" customHeight="1" x14ac:dyDescent="0.25">
      <c r="B241" s="1300" t="s">
        <v>5121</v>
      </c>
      <c r="C241" s="1300"/>
      <c r="D241" s="1300"/>
      <c r="E241" s="952">
        <v>12333</v>
      </c>
      <c r="F241" s="924"/>
      <c r="G241" s="833"/>
      <c r="H241" s="833"/>
      <c r="I241" s="924"/>
      <c r="J241" s="833"/>
      <c r="K241" s="833"/>
      <c r="L241" s="924"/>
      <c r="M241" s="833"/>
      <c r="N241" s="833"/>
      <c r="O241" s="924"/>
      <c r="P241" s="833"/>
      <c r="Q241" s="833"/>
      <c r="R241" s="924"/>
      <c r="S241" s="833"/>
      <c r="T241" s="833"/>
      <c r="U241" s="924"/>
      <c r="V241" s="833"/>
      <c r="W241" s="833"/>
      <c r="X241" s="833"/>
      <c r="Y241" s="833"/>
      <c r="Z241" s="833"/>
      <c r="AA241" s="833"/>
      <c r="AB241" s="833"/>
      <c r="AC241" s="833"/>
      <c r="AD241" s="833"/>
      <c r="AE241" s="833"/>
      <c r="AF241" s="833"/>
      <c r="AG241" s="833"/>
      <c r="AH241" s="833"/>
      <c r="AI241" s="833"/>
    </row>
    <row r="242" spans="2:35" ht="30.75" hidden="1" customHeight="1" x14ac:dyDescent="0.25">
      <c r="B242" s="1300" t="s">
        <v>5122</v>
      </c>
      <c r="C242" s="1300"/>
      <c r="D242" s="1300"/>
      <c r="E242" s="952">
        <v>12456</v>
      </c>
      <c r="F242" s="924"/>
      <c r="G242" s="833"/>
      <c r="H242" s="833"/>
      <c r="I242" s="924"/>
      <c r="J242" s="833"/>
      <c r="K242" s="833"/>
      <c r="L242" s="924"/>
      <c r="M242" s="833"/>
      <c r="N242" s="833"/>
      <c r="O242" s="924"/>
      <c r="P242" s="833"/>
      <c r="Q242" s="833"/>
      <c r="R242" s="924"/>
      <c r="S242" s="833"/>
      <c r="T242" s="833"/>
      <c r="U242" s="924"/>
      <c r="V242" s="833"/>
      <c r="W242" s="833"/>
      <c r="X242" s="833"/>
      <c r="Y242" s="833"/>
      <c r="Z242" s="833"/>
      <c r="AA242" s="833"/>
      <c r="AB242" s="833"/>
      <c r="AC242" s="833"/>
      <c r="AD242" s="833"/>
      <c r="AE242" s="833"/>
      <c r="AF242" s="833"/>
      <c r="AG242" s="833"/>
      <c r="AH242" s="833"/>
      <c r="AI242" s="833"/>
    </row>
    <row r="243" spans="2:35" ht="30.75" hidden="1" customHeight="1" x14ac:dyDescent="0.25">
      <c r="B243" s="1300" t="s">
        <v>5123</v>
      </c>
      <c r="C243" s="1300"/>
      <c r="D243" s="1300"/>
      <c r="E243" s="952">
        <v>12432</v>
      </c>
      <c r="F243" s="924"/>
      <c r="G243" s="833"/>
      <c r="H243" s="833"/>
      <c r="I243" s="924"/>
      <c r="J243" s="833"/>
      <c r="K243" s="833"/>
      <c r="L243" s="924"/>
      <c r="M243" s="833"/>
      <c r="N243" s="833"/>
      <c r="O243" s="924"/>
      <c r="P243" s="833"/>
      <c r="Q243" s="833"/>
      <c r="R243" s="924"/>
      <c r="S243" s="833"/>
      <c r="T243" s="833"/>
      <c r="U243" s="924"/>
      <c r="V243" s="833"/>
      <c r="W243" s="833"/>
      <c r="X243" s="833"/>
      <c r="Y243" s="833"/>
      <c r="Z243" s="833"/>
      <c r="AA243" s="833"/>
      <c r="AB243" s="833"/>
      <c r="AC243" s="833"/>
      <c r="AD243" s="833"/>
      <c r="AE243" s="833"/>
      <c r="AF243" s="833"/>
      <c r="AG243" s="833"/>
      <c r="AH243" s="833"/>
      <c r="AI243" s="833"/>
    </row>
    <row r="244" spans="2:35" ht="30.75" hidden="1" customHeight="1" x14ac:dyDescent="0.25">
      <c r="B244" s="1300" t="s">
        <v>5124</v>
      </c>
      <c r="C244" s="1300"/>
      <c r="D244" s="1300"/>
      <c r="E244" s="952">
        <v>15432</v>
      </c>
      <c r="F244" s="924"/>
      <c r="G244" s="833"/>
      <c r="H244" s="833"/>
      <c r="I244" s="924"/>
      <c r="J244" s="833"/>
      <c r="K244" s="833"/>
      <c r="L244" s="924"/>
      <c r="M244" s="833"/>
      <c r="N244" s="833"/>
      <c r="O244" s="924"/>
      <c r="P244" s="833"/>
      <c r="Q244" s="833"/>
      <c r="R244" s="924"/>
      <c r="S244" s="833"/>
      <c r="T244" s="833"/>
      <c r="U244" s="924"/>
      <c r="V244" s="833"/>
      <c r="W244" s="833"/>
      <c r="X244" s="833"/>
      <c r="Y244" s="833"/>
      <c r="Z244" s="833"/>
      <c r="AA244" s="833"/>
      <c r="AB244" s="833"/>
      <c r="AC244" s="833"/>
      <c r="AD244" s="833"/>
      <c r="AE244" s="833"/>
      <c r="AF244" s="833"/>
      <c r="AG244" s="833"/>
      <c r="AH244" s="833"/>
      <c r="AI244" s="833"/>
    </row>
    <row r="245" spans="2:35" ht="30.75" hidden="1" customHeight="1" x14ac:dyDescent="0.25">
      <c r="B245" s="1300" t="s">
        <v>5125</v>
      </c>
      <c r="C245" s="1300"/>
      <c r="D245" s="1300"/>
      <c r="E245" s="952">
        <v>11888</v>
      </c>
      <c r="F245" s="924"/>
      <c r="G245" s="833"/>
      <c r="H245" s="833"/>
      <c r="I245" s="924"/>
      <c r="J245" s="833"/>
      <c r="K245" s="833"/>
      <c r="L245" s="924"/>
      <c r="M245" s="833"/>
      <c r="N245" s="833"/>
      <c r="O245" s="924"/>
      <c r="P245" s="833"/>
      <c r="Q245" s="833"/>
      <c r="R245" s="924"/>
      <c r="S245" s="833"/>
      <c r="T245" s="833"/>
      <c r="U245" s="924"/>
      <c r="V245" s="833"/>
      <c r="W245" s="833"/>
      <c r="X245" s="833"/>
      <c r="Y245" s="833"/>
      <c r="Z245" s="833"/>
      <c r="AA245" s="833"/>
      <c r="AB245" s="833"/>
      <c r="AC245" s="833"/>
      <c r="AD245" s="833"/>
      <c r="AE245" s="833"/>
      <c r="AF245" s="833"/>
      <c r="AG245" s="833"/>
      <c r="AH245" s="833"/>
      <c r="AI245" s="833"/>
    </row>
    <row r="246" spans="2:35" ht="30.75" hidden="1" customHeight="1" x14ac:dyDescent="0.25">
      <c r="B246" s="833"/>
      <c r="C246" s="940"/>
      <c r="D246" s="924"/>
      <c r="E246" s="833"/>
      <c r="F246" s="924"/>
      <c r="G246" s="833"/>
      <c r="H246" s="833"/>
      <c r="I246" s="924"/>
      <c r="J246" s="833"/>
      <c r="K246" s="833"/>
      <c r="L246" s="924"/>
      <c r="M246" s="833"/>
      <c r="N246" s="833"/>
      <c r="O246" s="924"/>
      <c r="P246" s="833"/>
      <c r="Q246" s="833"/>
      <c r="R246" s="924"/>
      <c r="S246" s="833"/>
      <c r="T246" s="833"/>
      <c r="U246" s="924"/>
      <c r="V246" s="833"/>
      <c r="W246" s="833"/>
      <c r="X246" s="833"/>
      <c r="Y246" s="833"/>
      <c r="Z246" s="833"/>
      <c r="AA246" s="833"/>
      <c r="AB246" s="833"/>
      <c r="AC246" s="833"/>
      <c r="AD246" s="833"/>
      <c r="AE246" s="833"/>
      <c r="AF246" s="833"/>
      <c r="AG246" s="833"/>
      <c r="AH246" s="833"/>
      <c r="AI246" s="833"/>
    </row>
    <row r="247" spans="2:35" ht="30.75" hidden="1" customHeight="1" x14ac:dyDescent="0.25">
      <c r="B247" s="1301" t="s">
        <v>4504</v>
      </c>
      <c r="C247" s="1301"/>
      <c r="D247" s="1301"/>
      <c r="E247" s="945" t="s">
        <v>4424</v>
      </c>
      <c r="F247" s="924"/>
      <c r="G247" s="833"/>
      <c r="H247" s="833"/>
      <c r="I247" s="924"/>
      <c r="J247" s="833"/>
      <c r="K247" s="833"/>
      <c r="L247" s="924"/>
      <c r="M247" s="833"/>
      <c r="N247" s="833"/>
      <c r="O247" s="924"/>
      <c r="P247" s="833"/>
      <c r="Q247" s="833"/>
      <c r="R247" s="924"/>
      <c r="S247" s="833"/>
      <c r="T247" s="833"/>
      <c r="U247" s="924"/>
      <c r="V247" s="833"/>
      <c r="W247" s="833"/>
      <c r="X247" s="833"/>
      <c r="Y247" s="833"/>
      <c r="Z247" s="833"/>
      <c r="AA247" s="833"/>
      <c r="AB247" s="833"/>
      <c r="AC247" s="833"/>
      <c r="AD247" s="833"/>
      <c r="AE247" s="833"/>
      <c r="AF247" s="833"/>
      <c r="AG247" s="833"/>
      <c r="AH247" s="833"/>
      <c r="AI247" s="833"/>
    </row>
    <row r="248" spans="2:35" ht="30.75" hidden="1" customHeight="1" x14ac:dyDescent="0.25">
      <c r="B248" s="1300" t="s">
        <v>5120</v>
      </c>
      <c r="C248" s="1300"/>
      <c r="D248" s="1300"/>
      <c r="E248" s="952">
        <v>12345</v>
      </c>
      <c r="F248" s="924"/>
      <c r="G248" s="833"/>
      <c r="H248" s="833"/>
      <c r="I248" s="924"/>
      <c r="J248" s="833"/>
      <c r="K248" s="833"/>
      <c r="L248" s="924"/>
      <c r="M248" s="833"/>
      <c r="N248" s="833"/>
      <c r="O248" s="924"/>
      <c r="P248" s="833"/>
      <c r="Q248" s="833"/>
      <c r="R248" s="924"/>
      <c r="S248" s="833"/>
      <c r="T248" s="833"/>
      <c r="U248" s="924"/>
      <c r="V248" s="833"/>
      <c r="W248" s="833"/>
      <c r="X248" s="833"/>
      <c r="Y248" s="833"/>
      <c r="Z248" s="833"/>
      <c r="AA248" s="833"/>
      <c r="AB248" s="833"/>
      <c r="AC248" s="833"/>
      <c r="AD248" s="833"/>
      <c r="AE248" s="833"/>
      <c r="AF248" s="833"/>
      <c r="AG248" s="833"/>
      <c r="AH248" s="833"/>
      <c r="AI248" s="833"/>
    </row>
    <row r="249" spans="2:35" ht="30.75" hidden="1" customHeight="1" x14ac:dyDescent="0.25">
      <c r="B249" s="1300" t="s">
        <v>5121</v>
      </c>
      <c r="C249" s="1300"/>
      <c r="D249" s="1300"/>
      <c r="E249" s="952">
        <v>12333</v>
      </c>
      <c r="F249" s="924"/>
      <c r="G249" s="833"/>
      <c r="H249" s="833"/>
      <c r="I249" s="924"/>
      <c r="J249" s="833"/>
      <c r="K249" s="833"/>
      <c r="L249" s="924"/>
      <c r="M249" s="833"/>
      <c r="N249" s="833"/>
      <c r="O249" s="924"/>
      <c r="P249" s="833"/>
      <c r="Q249" s="833"/>
      <c r="R249" s="924"/>
      <c r="S249" s="833"/>
      <c r="T249" s="833"/>
      <c r="U249" s="924"/>
      <c r="V249" s="833"/>
      <c r="W249" s="833"/>
      <c r="X249" s="833"/>
      <c r="Y249" s="833"/>
      <c r="Z249" s="833"/>
      <c r="AA249" s="833"/>
      <c r="AB249" s="833"/>
      <c r="AC249" s="833"/>
      <c r="AD249" s="833"/>
      <c r="AE249" s="833"/>
      <c r="AF249" s="833"/>
      <c r="AG249" s="833"/>
      <c r="AH249" s="833"/>
      <c r="AI249" s="833"/>
    </row>
    <row r="250" spans="2:35" ht="30.75" hidden="1" customHeight="1" x14ac:dyDescent="0.25">
      <c r="B250" s="1300" t="s">
        <v>5122</v>
      </c>
      <c r="C250" s="1300"/>
      <c r="D250" s="1300"/>
      <c r="E250" s="952">
        <v>12456</v>
      </c>
      <c r="F250" s="924"/>
      <c r="G250" s="833"/>
      <c r="H250" s="833"/>
      <c r="I250" s="924"/>
      <c r="J250" s="833"/>
      <c r="K250" s="833"/>
      <c r="L250" s="924"/>
      <c r="M250" s="833"/>
      <c r="N250" s="833"/>
      <c r="O250" s="924"/>
      <c r="P250" s="833"/>
      <c r="Q250" s="833"/>
      <c r="R250" s="924"/>
      <c r="S250" s="833"/>
      <c r="T250" s="833"/>
      <c r="U250" s="924"/>
      <c r="V250" s="833"/>
      <c r="W250" s="833"/>
      <c r="X250" s="833"/>
      <c r="Y250" s="833"/>
      <c r="Z250" s="833"/>
      <c r="AA250" s="833"/>
      <c r="AB250" s="833"/>
      <c r="AC250" s="833"/>
      <c r="AD250" s="833"/>
      <c r="AE250" s="833"/>
      <c r="AF250" s="833"/>
      <c r="AG250" s="833"/>
      <c r="AH250" s="833"/>
      <c r="AI250" s="833"/>
    </row>
    <row r="251" spans="2:35" ht="30.75" hidden="1" customHeight="1" x14ac:dyDescent="0.25">
      <c r="B251" s="1300" t="s">
        <v>5123</v>
      </c>
      <c r="C251" s="1300"/>
      <c r="D251" s="1300"/>
      <c r="E251" s="952">
        <v>12432</v>
      </c>
      <c r="F251" s="924"/>
      <c r="G251" s="833"/>
      <c r="H251" s="833"/>
      <c r="I251" s="924"/>
      <c r="J251" s="833"/>
      <c r="K251" s="833"/>
      <c r="L251" s="924"/>
      <c r="M251" s="833"/>
      <c r="N251" s="833"/>
      <c r="O251" s="924"/>
      <c r="P251" s="833"/>
      <c r="Q251" s="833"/>
      <c r="R251" s="924"/>
      <c r="S251" s="833"/>
      <c r="T251" s="833"/>
      <c r="U251" s="924"/>
      <c r="V251" s="833"/>
      <c r="W251" s="833"/>
      <c r="X251" s="833"/>
      <c r="Y251" s="833"/>
      <c r="Z251" s="833"/>
      <c r="AA251" s="833"/>
      <c r="AB251" s="833"/>
      <c r="AC251" s="833"/>
      <c r="AD251" s="833"/>
      <c r="AE251" s="833"/>
      <c r="AF251" s="833"/>
      <c r="AG251" s="833"/>
      <c r="AH251" s="833"/>
      <c r="AI251" s="833"/>
    </row>
    <row r="252" spans="2:35" ht="30.75" hidden="1" customHeight="1" x14ac:dyDescent="0.25">
      <c r="B252" s="1300" t="s">
        <v>5124</v>
      </c>
      <c r="C252" s="1300"/>
      <c r="D252" s="1300"/>
      <c r="E252" s="952">
        <v>15432</v>
      </c>
      <c r="F252" s="924"/>
      <c r="G252" s="833"/>
      <c r="H252" s="833"/>
      <c r="I252" s="924"/>
      <c r="J252" s="833"/>
      <c r="K252" s="833"/>
      <c r="L252" s="924"/>
      <c r="M252" s="833"/>
      <c r="N252" s="833"/>
      <c r="O252" s="924"/>
      <c r="P252" s="833"/>
      <c r="Q252" s="833"/>
      <c r="R252" s="924"/>
      <c r="S252" s="833"/>
      <c r="T252" s="833"/>
      <c r="U252" s="924"/>
      <c r="V252" s="833"/>
      <c r="W252" s="833"/>
      <c r="X252" s="833"/>
      <c r="Y252" s="833"/>
      <c r="Z252" s="833"/>
      <c r="AA252" s="833"/>
      <c r="AB252" s="833"/>
      <c r="AC252" s="833"/>
      <c r="AD252" s="833"/>
      <c r="AE252" s="833"/>
      <c r="AF252" s="833"/>
      <c r="AG252" s="833"/>
      <c r="AH252" s="833"/>
      <c r="AI252" s="833"/>
    </row>
    <row r="253" spans="2:35" ht="30.75" hidden="1" customHeight="1" x14ac:dyDescent="0.25">
      <c r="B253" s="1300" t="s">
        <v>5125</v>
      </c>
      <c r="C253" s="1300"/>
      <c r="D253" s="1300"/>
      <c r="E253" s="952">
        <v>11888</v>
      </c>
      <c r="F253" s="924"/>
      <c r="G253" s="833"/>
      <c r="H253" s="833"/>
      <c r="I253" s="924"/>
      <c r="J253" s="833"/>
      <c r="K253" s="833"/>
      <c r="L253" s="924"/>
      <c r="M253" s="833"/>
      <c r="N253" s="833"/>
      <c r="O253" s="924"/>
      <c r="P253" s="833"/>
      <c r="Q253" s="833"/>
      <c r="R253" s="924"/>
      <c r="S253" s="833"/>
      <c r="T253" s="833"/>
      <c r="U253" s="924"/>
      <c r="V253" s="833"/>
      <c r="W253" s="833"/>
      <c r="X253" s="833"/>
      <c r="Y253" s="833"/>
      <c r="Z253" s="833"/>
      <c r="AA253" s="833"/>
      <c r="AB253" s="833"/>
      <c r="AC253" s="833"/>
      <c r="AD253" s="833"/>
      <c r="AE253" s="833"/>
      <c r="AF253" s="833"/>
      <c r="AG253" s="833"/>
      <c r="AH253" s="833"/>
      <c r="AI253" s="833"/>
    </row>
    <row r="254" spans="2:35" ht="30.75" hidden="1" customHeight="1" x14ac:dyDescent="0.25">
      <c r="B254" s="833"/>
      <c r="C254" s="940"/>
      <c r="D254" s="924"/>
      <c r="E254" s="833"/>
      <c r="F254" s="924"/>
      <c r="G254" s="833"/>
      <c r="H254" s="833"/>
      <c r="I254" s="924"/>
      <c r="J254" s="833"/>
      <c r="K254" s="833"/>
      <c r="L254" s="924"/>
      <c r="M254" s="833"/>
      <c r="N254" s="833"/>
      <c r="O254" s="924"/>
      <c r="P254" s="833"/>
      <c r="Q254" s="833"/>
      <c r="R254" s="924"/>
      <c r="S254" s="833"/>
      <c r="T254" s="833"/>
      <c r="U254" s="924"/>
      <c r="V254" s="833"/>
      <c r="W254" s="833"/>
      <c r="X254" s="833"/>
      <c r="Y254" s="833"/>
      <c r="Z254" s="833"/>
      <c r="AA254" s="833"/>
      <c r="AB254" s="833"/>
      <c r="AC254" s="833"/>
      <c r="AD254" s="833"/>
      <c r="AE254" s="833"/>
      <c r="AF254" s="833"/>
      <c r="AG254" s="833"/>
      <c r="AH254" s="833"/>
      <c r="AI254" s="833"/>
    </row>
    <row r="255" spans="2:35" ht="30.75" hidden="1" customHeight="1" x14ac:dyDescent="0.25">
      <c r="B255" s="1301" t="s">
        <v>4504</v>
      </c>
      <c r="C255" s="1301"/>
      <c r="D255" s="1301"/>
      <c r="E255" s="945" t="s">
        <v>4424</v>
      </c>
      <c r="F255" s="924"/>
      <c r="G255" s="833"/>
      <c r="H255" s="833"/>
      <c r="I255" s="924"/>
      <c r="J255" s="833"/>
      <c r="K255" s="833"/>
      <c r="L255" s="924"/>
      <c r="M255" s="833"/>
      <c r="N255" s="833"/>
      <c r="O255" s="924"/>
      <c r="P255" s="833"/>
      <c r="Q255" s="833"/>
      <c r="R255" s="924"/>
      <c r="S255" s="833"/>
      <c r="T255" s="833"/>
      <c r="U255" s="924"/>
      <c r="V255" s="833"/>
      <c r="W255" s="833"/>
      <c r="X255" s="833"/>
      <c r="Y255" s="833"/>
      <c r="Z255" s="833"/>
      <c r="AA255" s="833"/>
      <c r="AB255" s="833"/>
      <c r="AC255" s="833"/>
      <c r="AD255" s="833"/>
      <c r="AE255" s="833"/>
      <c r="AF255" s="833"/>
      <c r="AG255" s="833"/>
      <c r="AH255" s="833"/>
      <c r="AI255" s="833"/>
    </row>
    <row r="256" spans="2:35" ht="30.75" hidden="1" customHeight="1" x14ac:dyDescent="0.25">
      <c r="B256" s="1300" t="s">
        <v>5120</v>
      </c>
      <c r="C256" s="1300"/>
      <c r="D256" s="1300"/>
      <c r="E256" s="952">
        <v>12345</v>
      </c>
      <c r="F256" s="924"/>
      <c r="G256" s="833"/>
      <c r="H256" s="833"/>
      <c r="I256" s="924"/>
      <c r="J256" s="833"/>
      <c r="K256" s="833"/>
      <c r="L256" s="924"/>
      <c r="M256" s="833"/>
      <c r="N256" s="833"/>
      <c r="O256" s="924"/>
      <c r="P256" s="833"/>
      <c r="Q256" s="833"/>
      <c r="R256" s="924"/>
      <c r="S256" s="833"/>
      <c r="T256" s="833"/>
      <c r="U256" s="924"/>
      <c r="V256" s="833"/>
      <c r="W256" s="833"/>
      <c r="X256" s="833"/>
      <c r="Y256" s="833"/>
      <c r="Z256" s="833"/>
      <c r="AA256" s="833"/>
      <c r="AB256" s="833"/>
      <c r="AC256" s="833"/>
      <c r="AD256" s="833"/>
      <c r="AE256" s="833"/>
      <c r="AF256" s="833"/>
      <c r="AG256" s="833"/>
      <c r="AH256" s="833"/>
      <c r="AI256" s="833"/>
    </row>
    <row r="257" spans="2:35" ht="30.75" hidden="1" customHeight="1" x14ac:dyDescent="0.25">
      <c r="B257" s="1300" t="s">
        <v>5121</v>
      </c>
      <c r="C257" s="1300"/>
      <c r="D257" s="1300"/>
      <c r="E257" s="952">
        <v>12333</v>
      </c>
      <c r="F257" s="924"/>
      <c r="G257" s="833"/>
      <c r="H257" s="833"/>
      <c r="I257" s="924"/>
      <c r="J257" s="833"/>
      <c r="K257" s="833"/>
      <c r="L257" s="924"/>
      <c r="M257" s="833"/>
      <c r="N257" s="833"/>
      <c r="O257" s="924"/>
      <c r="P257" s="833"/>
      <c r="Q257" s="833"/>
      <c r="R257" s="924"/>
      <c r="S257" s="833"/>
      <c r="T257" s="833"/>
      <c r="U257" s="924"/>
      <c r="V257" s="833"/>
      <c r="W257" s="833"/>
      <c r="X257" s="833"/>
      <c r="Y257" s="833"/>
      <c r="Z257" s="833"/>
      <c r="AA257" s="833"/>
      <c r="AB257" s="833"/>
      <c r="AC257" s="833"/>
      <c r="AD257" s="833"/>
      <c r="AE257" s="833"/>
      <c r="AF257" s="833"/>
      <c r="AG257" s="833"/>
      <c r="AH257" s="833"/>
      <c r="AI257" s="833"/>
    </row>
    <row r="258" spans="2:35" ht="30.75" hidden="1" customHeight="1" x14ac:dyDescent="0.25">
      <c r="B258" s="1300" t="s">
        <v>5122</v>
      </c>
      <c r="C258" s="1300"/>
      <c r="D258" s="1300"/>
      <c r="E258" s="952">
        <v>12456</v>
      </c>
      <c r="F258" s="924"/>
      <c r="G258" s="833"/>
      <c r="H258" s="833"/>
      <c r="I258" s="924"/>
      <c r="J258" s="833"/>
      <c r="K258" s="833"/>
      <c r="L258" s="924"/>
      <c r="M258" s="833"/>
      <c r="N258" s="833"/>
      <c r="O258" s="924"/>
      <c r="P258" s="833"/>
      <c r="Q258" s="833"/>
      <c r="R258" s="924"/>
      <c r="S258" s="833"/>
      <c r="T258" s="833"/>
      <c r="U258" s="924"/>
      <c r="V258" s="833"/>
      <c r="W258" s="833"/>
      <c r="X258" s="833"/>
      <c r="Y258" s="833"/>
      <c r="Z258" s="833"/>
      <c r="AA258" s="833"/>
      <c r="AB258" s="833"/>
      <c r="AC258" s="833"/>
      <c r="AD258" s="833"/>
      <c r="AE258" s="833"/>
      <c r="AF258" s="833"/>
      <c r="AG258" s="833"/>
      <c r="AH258" s="833"/>
      <c r="AI258" s="833"/>
    </row>
    <row r="259" spans="2:35" ht="30.75" hidden="1" customHeight="1" x14ac:dyDescent="0.25">
      <c r="B259" s="1300" t="s">
        <v>5123</v>
      </c>
      <c r="C259" s="1300"/>
      <c r="D259" s="1300"/>
      <c r="E259" s="952">
        <v>12432</v>
      </c>
      <c r="F259" s="924"/>
      <c r="G259" s="833"/>
      <c r="H259" s="833"/>
      <c r="I259" s="924"/>
      <c r="J259" s="833"/>
      <c r="K259" s="833"/>
      <c r="L259" s="924"/>
      <c r="M259" s="833"/>
      <c r="N259" s="833"/>
      <c r="O259" s="924"/>
      <c r="P259" s="833"/>
      <c r="Q259" s="833"/>
      <c r="R259" s="924"/>
      <c r="S259" s="833"/>
      <c r="T259" s="833"/>
      <c r="U259" s="924"/>
      <c r="V259" s="833"/>
      <c r="W259" s="833"/>
      <c r="X259" s="833"/>
      <c r="Y259" s="833"/>
      <c r="Z259" s="833"/>
      <c r="AA259" s="833"/>
      <c r="AB259" s="833"/>
      <c r="AC259" s="833"/>
      <c r="AD259" s="833"/>
      <c r="AE259" s="833"/>
      <c r="AF259" s="833"/>
      <c r="AG259" s="833"/>
      <c r="AH259" s="833"/>
      <c r="AI259" s="833"/>
    </row>
    <row r="260" spans="2:35" ht="30.75" hidden="1" customHeight="1" x14ac:dyDescent="0.25">
      <c r="B260" s="1300" t="s">
        <v>5124</v>
      </c>
      <c r="C260" s="1300"/>
      <c r="D260" s="1300"/>
      <c r="E260" s="952">
        <v>15432</v>
      </c>
      <c r="F260" s="924"/>
      <c r="G260" s="833"/>
      <c r="H260" s="833"/>
      <c r="I260" s="924"/>
      <c r="J260" s="833"/>
      <c r="K260" s="833"/>
      <c r="L260" s="924"/>
      <c r="M260" s="833"/>
      <c r="N260" s="833"/>
      <c r="O260" s="924"/>
      <c r="P260" s="833"/>
      <c r="Q260" s="833"/>
      <c r="R260" s="924"/>
      <c r="S260" s="833"/>
      <c r="T260" s="833"/>
      <c r="U260" s="924"/>
      <c r="V260" s="833"/>
      <c r="W260" s="833"/>
      <c r="X260" s="833"/>
      <c r="Y260" s="833"/>
      <c r="Z260" s="833"/>
      <c r="AA260" s="833"/>
      <c r="AB260" s="833"/>
      <c r="AC260" s="833"/>
      <c r="AD260" s="833"/>
      <c r="AE260" s="833"/>
      <c r="AF260" s="833"/>
      <c r="AG260" s="833"/>
      <c r="AH260" s="833"/>
      <c r="AI260" s="833"/>
    </row>
    <row r="261" spans="2:35" ht="30.75" hidden="1" customHeight="1" x14ac:dyDescent="0.25">
      <c r="B261" s="1300" t="s">
        <v>5125</v>
      </c>
      <c r="C261" s="1300"/>
      <c r="D261" s="1300"/>
      <c r="E261" s="952">
        <v>11888</v>
      </c>
      <c r="F261" s="924"/>
      <c r="G261" s="833"/>
      <c r="H261" s="833"/>
      <c r="I261" s="924"/>
      <c r="J261" s="833"/>
      <c r="K261" s="833"/>
      <c r="L261" s="924"/>
      <c r="M261" s="833"/>
      <c r="N261" s="833"/>
      <c r="O261" s="924"/>
      <c r="P261" s="833"/>
      <c r="Q261" s="833"/>
      <c r="R261" s="924"/>
      <c r="S261" s="833"/>
      <c r="T261" s="833"/>
      <c r="U261" s="924"/>
      <c r="V261" s="833"/>
      <c r="W261" s="833"/>
      <c r="X261" s="833"/>
      <c r="Y261" s="833"/>
      <c r="Z261" s="833"/>
      <c r="AA261" s="833"/>
      <c r="AB261" s="833"/>
      <c r="AC261" s="833"/>
      <c r="AD261" s="833"/>
      <c r="AE261" s="833"/>
      <c r="AF261" s="833"/>
      <c r="AG261" s="833"/>
      <c r="AH261" s="833"/>
      <c r="AI261" s="833"/>
    </row>
    <row r="262" spans="2:35" ht="30.75" hidden="1" customHeight="1" x14ac:dyDescent="0.25">
      <c r="B262" s="833"/>
      <c r="C262" s="940"/>
      <c r="D262" s="924"/>
      <c r="E262" s="833"/>
      <c r="F262" s="924"/>
      <c r="G262" s="833"/>
      <c r="H262" s="833"/>
      <c r="I262" s="924"/>
      <c r="J262" s="833"/>
      <c r="K262" s="833"/>
      <c r="L262" s="924"/>
      <c r="M262" s="833"/>
      <c r="N262" s="833"/>
      <c r="O262" s="924"/>
      <c r="P262" s="833"/>
      <c r="Q262" s="833"/>
      <c r="R262" s="924"/>
      <c r="S262" s="833"/>
      <c r="T262" s="833"/>
      <c r="U262" s="924"/>
      <c r="V262" s="833"/>
      <c r="W262" s="833"/>
      <c r="X262" s="833"/>
      <c r="Y262" s="833"/>
      <c r="Z262" s="833"/>
      <c r="AA262" s="833"/>
      <c r="AB262" s="833"/>
      <c r="AC262" s="833"/>
      <c r="AD262" s="833"/>
      <c r="AE262" s="833"/>
      <c r="AF262" s="833"/>
      <c r="AG262" s="833"/>
      <c r="AH262" s="833"/>
      <c r="AI262" s="833"/>
    </row>
    <row r="263" spans="2:35" ht="30.75" hidden="1" customHeight="1" x14ac:dyDescent="0.25">
      <c r="B263" s="833"/>
      <c r="C263" s="940"/>
      <c r="D263" s="924"/>
      <c r="E263" s="833"/>
      <c r="F263" s="924"/>
      <c r="G263" s="833"/>
      <c r="H263" s="833"/>
      <c r="I263" s="924"/>
      <c r="J263" s="833"/>
      <c r="K263" s="833"/>
      <c r="L263" s="924"/>
      <c r="M263" s="833"/>
      <c r="N263" s="833"/>
      <c r="O263" s="924"/>
      <c r="P263" s="833"/>
      <c r="Q263" s="833"/>
      <c r="R263" s="924"/>
      <c r="S263" s="833"/>
      <c r="T263" s="833"/>
      <c r="U263" s="924"/>
      <c r="V263" s="833"/>
      <c r="W263" s="833"/>
      <c r="X263" s="833"/>
      <c r="Y263" s="833"/>
      <c r="Z263" s="833"/>
      <c r="AA263" s="833"/>
      <c r="AB263" s="833"/>
      <c r="AC263" s="833"/>
      <c r="AD263" s="833"/>
      <c r="AE263" s="833"/>
      <c r="AF263" s="833"/>
      <c r="AG263" s="833"/>
      <c r="AH263" s="833"/>
      <c r="AI263" s="833"/>
    </row>
    <row r="264" spans="2:35" ht="30.75" hidden="1" customHeight="1" x14ac:dyDescent="0.25">
      <c r="B264" s="833"/>
      <c r="C264" s="940"/>
      <c r="D264" s="924"/>
      <c r="E264" s="833"/>
      <c r="F264" s="924"/>
      <c r="G264" s="833"/>
      <c r="H264" s="833"/>
      <c r="I264" s="924"/>
      <c r="J264" s="833"/>
      <c r="K264" s="833"/>
      <c r="L264" s="924"/>
      <c r="M264" s="833"/>
      <c r="N264" s="833"/>
      <c r="O264" s="924"/>
      <c r="P264" s="833"/>
      <c r="Q264" s="833"/>
      <c r="R264" s="924"/>
      <c r="S264" s="833"/>
      <c r="T264" s="833"/>
      <c r="U264" s="924"/>
      <c r="V264" s="833"/>
      <c r="W264" s="833"/>
      <c r="X264" s="833"/>
      <c r="Y264" s="833"/>
      <c r="Z264" s="833"/>
      <c r="AA264" s="833"/>
      <c r="AB264" s="833"/>
      <c r="AC264" s="833"/>
      <c r="AD264" s="833"/>
      <c r="AE264" s="833"/>
      <c r="AF264" s="833"/>
      <c r="AG264" s="833"/>
      <c r="AH264" s="833"/>
      <c r="AI264" s="833"/>
    </row>
    <row r="265" spans="2:35" ht="30.75" hidden="1" customHeight="1" x14ac:dyDescent="0.25"/>
    <row r="266" spans="2:35" ht="30.75" hidden="1" customHeight="1" x14ac:dyDescent="0.25"/>
    <row r="267" spans="2:35" ht="30.75" hidden="1" customHeight="1" x14ac:dyDescent="0.25"/>
    <row r="268" spans="2:35" ht="30.75" hidden="1" customHeight="1" x14ac:dyDescent="0.25"/>
    <row r="269" spans="2:35" ht="30.75" hidden="1" customHeight="1" x14ac:dyDescent="0.25"/>
    <row r="270" spans="2:35" ht="30.75" hidden="1" customHeight="1" x14ac:dyDescent="0.25"/>
    <row r="271" spans="2:35" ht="30.75" hidden="1" customHeight="1" x14ac:dyDescent="0.25"/>
    <row r="272" spans="2:35" ht="30.75" hidden="1" customHeight="1" x14ac:dyDescent="0.25"/>
    <row r="273" ht="30.75" hidden="1" customHeight="1" x14ac:dyDescent="0.25"/>
    <row r="274" ht="30.75" hidden="1" customHeight="1" x14ac:dyDescent="0.25"/>
    <row r="275" ht="30.75" hidden="1" customHeight="1" x14ac:dyDescent="0.25"/>
    <row r="276" ht="30.75" hidden="1" customHeight="1" x14ac:dyDescent="0.25"/>
    <row r="277" ht="30.75" hidden="1" customHeight="1" x14ac:dyDescent="0.25"/>
    <row r="278" ht="30.75" hidden="1" customHeight="1" x14ac:dyDescent="0.25"/>
    <row r="279" ht="30.75" hidden="1" customHeight="1" x14ac:dyDescent="0.25"/>
    <row r="280" ht="30.75" hidden="1" customHeight="1" x14ac:dyDescent="0.25"/>
    <row r="281" ht="30.75" hidden="1" customHeight="1" x14ac:dyDescent="0.25"/>
    <row r="282" ht="30.75" hidden="1" customHeight="1" x14ac:dyDescent="0.25"/>
    <row r="283" ht="30.75" hidden="1" customHeight="1" x14ac:dyDescent="0.25"/>
    <row r="284" ht="30.75" hidden="1" customHeight="1" x14ac:dyDescent="0.25"/>
    <row r="285" ht="30.75" hidden="1" customHeight="1" x14ac:dyDescent="0.25"/>
    <row r="286" ht="30.75" hidden="1" customHeight="1" x14ac:dyDescent="0.25"/>
    <row r="287" ht="30.75" hidden="1" customHeight="1" x14ac:dyDescent="0.25"/>
    <row r="288" ht="30.75" hidden="1" customHeight="1" x14ac:dyDescent="0.25"/>
    <row r="289" ht="30.75" hidden="1" customHeight="1" x14ac:dyDescent="0.25"/>
    <row r="290" ht="30.75" hidden="1" customHeight="1" x14ac:dyDescent="0.25"/>
    <row r="291" ht="30.75" hidden="1" customHeight="1" x14ac:dyDescent="0.25"/>
    <row r="292" ht="30.75" hidden="1" customHeight="1" x14ac:dyDescent="0.25"/>
    <row r="293" ht="30.75" hidden="1" customHeight="1" x14ac:dyDescent="0.25"/>
    <row r="294" ht="30.75" hidden="1" customHeight="1" x14ac:dyDescent="0.25"/>
    <row r="295" ht="30.75" hidden="1" customHeight="1" x14ac:dyDescent="0.25"/>
    <row r="296" ht="30.75" hidden="1" customHeight="1" x14ac:dyDescent="0.25"/>
    <row r="297" ht="30.75" hidden="1" customHeight="1" x14ac:dyDescent="0.25"/>
    <row r="298" ht="30.75" hidden="1" customHeight="1" x14ac:dyDescent="0.25"/>
    <row r="299" ht="30.75" hidden="1" customHeight="1" x14ac:dyDescent="0.25"/>
    <row r="300" ht="30.75" hidden="1" customHeight="1" x14ac:dyDescent="0.25"/>
    <row r="301" ht="30.75" hidden="1" customHeight="1" x14ac:dyDescent="0.25"/>
    <row r="302" ht="30.75" hidden="1" customHeight="1" x14ac:dyDescent="0.25"/>
    <row r="303" ht="30.75" hidden="1" customHeight="1" x14ac:dyDescent="0.25"/>
    <row r="304" ht="30.75" hidden="1" customHeight="1" x14ac:dyDescent="0.25"/>
    <row r="305" ht="30.75" hidden="1" customHeight="1" x14ac:dyDescent="0.25"/>
    <row r="306" ht="30.75" hidden="1" customHeight="1" x14ac:dyDescent="0.25"/>
    <row r="307" ht="30.75" hidden="1" customHeight="1" x14ac:dyDescent="0.25"/>
    <row r="308" ht="30.75" hidden="1" customHeight="1" x14ac:dyDescent="0.25"/>
    <row r="309" ht="30.75" hidden="1" customHeight="1" x14ac:dyDescent="0.25"/>
    <row r="310" ht="30.75" hidden="1" customHeight="1" x14ac:dyDescent="0.25"/>
    <row r="311" ht="30.75" hidden="1" customHeight="1" x14ac:dyDescent="0.25"/>
    <row r="312" ht="30.75" hidden="1" customHeight="1" x14ac:dyDescent="0.25"/>
    <row r="313" ht="30.75" hidden="1" customHeight="1" x14ac:dyDescent="0.25"/>
    <row r="314" ht="30.75" hidden="1" customHeight="1" x14ac:dyDescent="0.25"/>
    <row r="315" ht="30.75" hidden="1" customHeight="1" x14ac:dyDescent="0.25"/>
    <row r="316" ht="30.75" hidden="1" customHeight="1" x14ac:dyDescent="0.25"/>
    <row r="317" ht="30.75" hidden="1" customHeight="1" x14ac:dyDescent="0.25"/>
    <row r="318" ht="30.75" hidden="1" customHeight="1" x14ac:dyDescent="0.25"/>
    <row r="319" ht="30.75" hidden="1" customHeight="1" x14ac:dyDescent="0.25"/>
    <row r="320" ht="30.75" hidden="1" customHeight="1" x14ac:dyDescent="0.25"/>
    <row r="321" ht="30.75" hidden="1" customHeight="1" x14ac:dyDescent="0.25"/>
    <row r="322" ht="30.75" hidden="1" customHeight="1" x14ac:dyDescent="0.25"/>
    <row r="323" ht="30.75" hidden="1" customHeight="1" x14ac:dyDescent="0.25"/>
    <row r="324" ht="30.75" hidden="1" customHeight="1" x14ac:dyDescent="0.25"/>
    <row r="325" ht="30.75" hidden="1" customHeight="1" x14ac:dyDescent="0.25"/>
    <row r="326" ht="30.75" hidden="1" customHeight="1" x14ac:dyDescent="0.25"/>
    <row r="327" ht="30.75" hidden="1" customHeight="1" x14ac:dyDescent="0.25"/>
    <row r="328" ht="30.75" hidden="1" customHeight="1" x14ac:dyDescent="0.25"/>
    <row r="329" ht="30.75" hidden="1" customHeight="1" x14ac:dyDescent="0.25"/>
    <row r="330" ht="30.75" hidden="1" customHeight="1" x14ac:dyDescent="0.25"/>
    <row r="331" ht="30.75" hidden="1" customHeight="1" x14ac:dyDescent="0.25"/>
    <row r="332" ht="30.75" hidden="1" customHeight="1" x14ac:dyDescent="0.25"/>
    <row r="333" ht="30.75" hidden="1" customHeight="1" x14ac:dyDescent="0.25"/>
    <row r="334" ht="30.75" hidden="1" customHeight="1" x14ac:dyDescent="0.25"/>
    <row r="335" ht="30.75" hidden="1" customHeight="1" x14ac:dyDescent="0.25"/>
    <row r="336" ht="30.75" hidden="1" customHeight="1" x14ac:dyDescent="0.25"/>
    <row r="337" spans="2:23" ht="30.75" hidden="1" customHeight="1" x14ac:dyDescent="0.25"/>
    <row r="338" spans="2:23" ht="30.75" hidden="1" customHeight="1" x14ac:dyDescent="0.25"/>
    <row r="339" spans="2:23" ht="30.75" hidden="1" customHeight="1" x14ac:dyDescent="0.25"/>
    <row r="340" spans="2:23" ht="30.75" hidden="1" customHeight="1" x14ac:dyDescent="0.25"/>
    <row r="341" spans="2:23" ht="30.75" hidden="1" customHeight="1" x14ac:dyDescent="0.25"/>
    <row r="342" spans="2:23" ht="30.75" hidden="1" customHeight="1" x14ac:dyDescent="0.25"/>
    <row r="343" spans="2:23" ht="30.75" hidden="1" customHeight="1" x14ac:dyDescent="0.25"/>
    <row r="344" spans="2:23" ht="30.75" hidden="1" customHeight="1" x14ac:dyDescent="0.25"/>
    <row r="345" spans="2:23" ht="30.75" hidden="1" customHeight="1" x14ac:dyDescent="0.25"/>
    <row r="346" spans="2:23" ht="30.75" hidden="1" customHeight="1" x14ac:dyDescent="0.25"/>
    <row r="347" spans="2:23" ht="30.75" hidden="1" customHeight="1" x14ac:dyDescent="0.25"/>
    <row r="348" spans="2:23" ht="334.5" hidden="1" customHeight="1" x14ac:dyDescent="0.25">
      <c r="B348" s="837"/>
      <c r="C348" s="953"/>
      <c r="D348" s="954"/>
      <c r="E348" s="837"/>
      <c r="F348" s="954"/>
      <c r="G348" s="837"/>
      <c r="H348" s="837"/>
      <c r="I348" s="954"/>
      <c r="J348" s="837"/>
      <c r="K348" s="837"/>
      <c r="L348" s="954"/>
      <c r="M348" s="837"/>
      <c r="N348" s="837"/>
      <c r="O348" s="954"/>
      <c r="P348" s="837"/>
      <c r="Q348" s="837"/>
      <c r="R348" s="954"/>
      <c r="S348" s="837"/>
      <c r="T348" s="837"/>
      <c r="U348" s="954"/>
      <c r="V348" s="837"/>
      <c r="W348" s="837"/>
    </row>
    <row r="349" spans="2:23" ht="30.75" hidden="1" customHeight="1" x14ac:dyDescent="0.25"/>
    <row r="350" spans="2:23" ht="30.75" hidden="1" customHeight="1" x14ac:dyDescent="0.25"/>
    <row r="351" spans="2:23" ht="30.75" hidden="1" customHeight="1" x14ac:dyDescent="0.25"/>
    <row r="352" spans="2:23" ht="30.75" hidden="1" customHeight="1" x14ac:dyDescent="0.25"/>
    <row r="353" ht="30.75" hidden="1" customHeight="1" x14ac:dyDescent="0.25"/>
    <row r="354" ht="30.75" hidden="1" customHeight="1" x14ac:dyDescent="0.25"/>
    <row r="355" ht="30.75" hidden="1" customHeight="1" x14ac:dyDescent="0.25"/>
    <row r="356" ht="30.75" hidden="1" customHeight="1" x14ac:dyDescent="0.25"/>
    <row r="357" ht="30.75" hidden="1" customHeight="1" x14ac:dyDescent="0.25"/>
    <row r="358" ht="30.75" hidden="1" customHeight="1" x14ac:dyDescent="0.25"/>
    <row r="359" ht="30.75" hidden="1" customHeight="1" x14ac:dyDescent="0.25"/>
    <row r="360" ht="30.75" hidden="1" customHeight="1" x14ac:dyDescent="0.25"/>
    <row r="361" ht="30.75" hidden="1" customHeight="1" x14ac:dyDescent="0.25"/>
    <row r="362" ht="30.75" hidden="1" customHeight="1" x14ac:dyDescent="0.25"/>
    <row r="363" ht="30.75" hidden="1" customHeight="1" x14ac:dyDescent="0.25"/>
    <row r="364" ht="30.75" hidden="1" customHeight="1" x14ac:dyDescent="0.25"/>
    <row r="365" ht="30.75" hidden="1" customHeight="1" x14ac:dyDescent="0.25"/>
    <row r="366" ht="30.75" hidden="1" customHeight="1" x14ac:dyDescent="0.25"/>
    <row r="367" ht="30.75" hidden="1" customHeight="1" x14ac:dyDescent="0.25"/>
    <row r="368" ht="30.75" hidden="1" customHeight="1" x14ac:dyDescent="0.25"/>
    <row r="369" ht="30.75" hidden="1" customHeight="1" x14ac:dyDescent="0.25"/>
    <row r="370" ht="30.75" hidden="1" customHeight="1" x14ac:dyDescent="0.25"/>
    <row r="371" ht="30.75" hidden="1" customHeight="1" x14ac:dyDescent="0.25"/>
    <row r="372" ht="30.75" hidden="1" customHeight="1" x14ac:dyDescent="0.25"/>
    <row r="373" ht="30.75" hidden="1" customHeight="1" x14ac:dyDescent="0.25"/>
    <row r="374" ht="30.75" hidden="1" customHeight="1" x14ac:dyDescent="0.25"/>
    <row r="375" ht="30.75" hidden="1" customHeight="1" x14ac:dyDescent="0.25"/>
    <row r="376" ht="30.75" hidden="1" customHeight="1" x14ac:dyDescent="0.25"/>
    <row r="377" ht="30.75" hidden="1" customHeight="1" x14ac:dyDescent="0.25"/>
    <row r="378" ht="30.75" hidden="1" customHeight="1" x14ac:dyDescent="0.25"/>
    <row r="379" ht="30.75" hidden="1" customHeight="1" x14ac:dyDescent="0.25"/>
    <row r="380" ht="30.75" hidden="1" customHeight="1" x14ac:dyDescent="0.25"/>
    <row r="381" ht="30.75" hidden="1" customHeight="1" x14ac:dyDescent="0.25"/>
    <row r="382" ht="30.75" hidden="1" customHeight="1" x14ac:dyDescent="0.25"/>
    <row r="383" ht="30.75" hidden="1" customHeight="1" x14ac:dyDescent="0.25"/>
    <row r="384" ht="30.75" hidden="1" customHeight="1" x14ac:dyDescent="0.25"/>
    <row r="385" ht="30.75" hidden="1" customHeight="1" x14ac:dyDescent="0.25"/>
    <row r="386" ht="30.75" hidden="1" customHeight="1" x14ac:dyDescent="0.25"/>
    <row r="387" ht="30.75" hidden="1" customHeight="1" x14ac:dyDescent="0.25"/>
    <row r="388" ht="30.75" hidden="1" customHeight="1" x14ac:dyDescent="0.25"/>
    <row r="389" ht="30.75" hidden="1" customHeight="1" x14ac:dyDescent="0.25"/>
    <row r="390" ht="30.75" hidden="1" customHeight="1" x14ac:dyDescent="0.25"/>
    <row r="391" ht="30.75" hidden="1" customHeight="1" x14ac:dyDescent="0.25"/>
    <row r="392" ht="30.75" hidden="1" customHeight="1" x14ac:dyDescent="0.25"/>
    <row r="393" ht="30.75" hidden="1" customHeight="1" x14ac:dyDescent="0.25"/>
    <row r="394" ht="30.75" hidden="1" customHeight="1" x14ac:dyDescent="0.25"/>
    <row r="395" ht="30.75" hidden="1" customHeight="1" x14ac:dyDescent="0.25"/>
    <row r="396" ht="30.75" hidden="1" customHeight="1" x14ac:dyDescent="0.25"/>
    <row r="397" ht="30.75" hidden="1" customHeight="1" x14ac:dyDescent="0.25"/>
    <row r="398" ht="30.75" hidden="1" customHeight="1" x14ac:dyDescent="0.25"/>
    <row r="399" ht="30.75" hidden="1" customHeight="1" x14ac:dyDescent="0.25"/>
    <row r="400" ht="30.75" hidden="1" customHeight="1" x14ac:dyDescent="0.25"/>
    <row r="401" ht="30.75" hidden="1" customHeight="1" x14ac:dyDescent="0.25"/>
    <row r="402" ht="30.75" hidden="1" customHeight="1" x14ac:dyDescent="0.25"/>
    <row r="403" ht="30.75" hidden="1" customHeight="1" x14ac:dyDescent="0.25"/>
    <row r="404" ht="30.75" hidden="1" customHeight="1" x14ac:dyDescent="0.25"/>
    <row r="405" ht="30.75" hidden="1" customHeight="1" x14ac:dyDescent="0.25"/>
    <row r="406" ht="30.75" hidden="1" customHeight="1" x14ac:dyDescent="0.25"/>
    <row r="407" ht="30.75" hidden="1" customHeight="1" x14ac:dyDescent="0.25"/>
    <row r="408" ht="30.75" hidden="1" customHeight="1" x14ac:dyDescent="0.25"/>
    <row r="409" ht="30.75" hidden="1" customHeight="1" x14ac:dyDescent="0.25"/>
    <row r="410" ht="30.75" hidden="1" customHeight="1" x14ac:dyDescent="0.25"/>
    <row r="411" ht="30.75" hidden="1" customHeight="1" x14ac:dyDescent="0.25"/>
    <row r="412" ht="30.75" hidden="1" customHeight="1" x14ac:dyDescent="0.25"/>
    <row r="413" ht="30.75" hidden="1" customHeight="1" x14ac:dyDescent="0.25"/>
    <row r="414" ht="30.75" hidden="1" customHeight="1" x14ac:dyDescent="0.25"/>
    <row r="415" ht="30.75" hidden="1" customHeight="1" x14ac:dyDescent="0.25"/>
    <row r="416" ht="30.75" hidden="1" customHeight="1" x14ac:dyDescent="0.25"/>
    <row r="417" ht="30.75" hidden="1" customHeight="1" x14ac:dyDescent="0.25"/>
    <row r="418" ht="30.75" hidden="1" customHeight="1" x14ac:dyDescent="0.25"/>
    <row r="419" ht="30.75" hidden="1" customHeight="1" x14ac:dyDescent="0.25"/>
    <row r="420" ht="30.75" hidden="1" customHeight="1" x14ac:dyDescent="0.25"/>
    <row r="421" ht="30.75" hidden="1" customHeight="1" x14ac:dyDescent="0.25"/>
    <row r="422" ht="30.75" hidden="1" customHeight="1" x14ac:dyDescent="0.25"/>
    <row r="423" ht="30.75" hidden="1" customHeight="1" x14ac:dyDescent="0.25"/>
    <row r="424" ht="30.75" hidden="1" customHeight="1" x14ac:dyDescent="0.25"/>
    <row r="425" ht="30.75" hidden="1" customHeight="1" x14ac:dyDescent="0.25"/>
    <row r="426" ht="30.75" hidden="1" customHeight="1" x14ac:dyDescent="0.25"/>
    <row r="427" ht="30.75" hidden="1" customHeight="1" x14ac:dyDescent="0.25"/>
    <row r="428" ht="30.75" hidden="1" customHeight="1" x14ac:dyDescent="0.25"/>
    <row r="429" ht="30.75" hidden="1" customHeight="1" x14ac:dyDescent="0.25"/>
    <row r="430" ht="30.75" hidden="1" customHeight="1" x14ac:dyDescent="0.25"/>
    <row r="431" ht="30.75" hidden="1" customHeight="1" x14ac:dyDescent="0.25"/>
    <row r="432" ht="30.75" hidden="1" customHeight="1" x14ac:dyDescent="0.25"/>
    <row r="433" ht="30.75" hidden="1" customHeight="1" x14ac:dyDescent="0.25"/>
    <row r="434" ht="30.75" hidden="1" customHeight="1" x14ac:dyDescent="0.25"/>
    <row r="435" ht="30.75" hidden="1" customHeight="1" x14ac:dyDescent="0.25"/>
    <row r="436" ht="30.75" hidden="1" customHeight="1" x14ac:dyDescent="0.25"/>
    <row r="437" ht="30.75" hidden="1" customHeight="1" x14ac:dyDescent="0.25"/>
    <row r="438" ht="30.75" hidden="1" customHeight="1" x14ac:dyDescent="0.25"/>
    <row r="439" ht="30.75" hidden="1" customHeight="1" x14ac:dyDescent="0.25"/>
    <row r="440" ht="30.75" hidden="1" customHeight="1" x14ac:dyDescent="0.25"/>
    <row r="441" ht="30.75" hidden="1" customHeight="1" x14ac:dyDescent="0.25"/>
    <row r="442" ht="30.75" hidden="1" customHeight="1" x14ac:dyDescent="0.25"/>
    <row r="443" ht="30.75" hidden="1" customHeight="1" x14ac:dyDescent="0.25"/>
    <row r="444" ht="30.75" hidden="1" customHeight="1" x14ac:dyDescent="0.25"/>
    <row r="445" ht="30.75" hidden="1" customHeight="1" x14ac:dyDescent="0.25"/>
    <row r="446" ht="30.75" hidden="1" customHeight="1" x14ac:dyDescent="0.25"/>
    <row r="447" ht="30.75" hidden="1" customHeight="1" x14ac:dyDescent="0.25"/>
    <row r="448" ht="30.75" hidden="1" customHeight="1" x14ac:dyDescent="0.25"/>
    <row r="449" ht="30.75" hidden="1" customHeight="1" x14ac:dyDescent="0.25"/>
    <row r="450" ht="30.75" hidden="1" customHeight="1" x14ac:dyDescent="0.25"/>
    <row r="451" ht="30.75" hidden="1" customHeight="1" x14ac:dyDescent="0.25"/>
    <row r="452" ht="30.75" hidden="1" customHeight="1" x14ac:dyDescent="0.25"/>
    <row r="453" ht="30.75" hidden="1" customHeight="1" x14ac:dyDescent="0.25"/>
    <row r="454" ht="30.75" hidden="1" customHeight="1" x14ac:dyDescent="0.25"/>
    <row r="455" ht="30.75" hidden="1" customHeight="1" x14ac:dyDescent="0.25"/>
    <row r="456" ht="30.75" hidden="1" customHeight="1" x14ac:dyDescent="0.25"/>
    <row r="457" ht="30.75" hidden="1" customHeight="1" x14ac:dyDescent="0.25"/>
    <row r="458" ht="30.75" hidden="1" customHeight="1" x14ac:dyDescent="0.25"/>
    <row r="459" ht="30.75" hidden="1" customHeight="1" x14ac:dyDescent="0.25"/>
    <row r="460" ht="30.75" hidden="1" customHeight="1" x14ac:dyDescent="0.25"/>
    <row r="461" ht="30.75" hidden="1" customHeight="1" x14ac:dyDescent="0.25"/>
    <row r="462" ht="30.75" hidden="1" customHeight="1" x14ac:dyDescent="0.25"/>
    <row r="463" ht="30.75" hidden="1" customHeight="1" x14ac:dyDescent="0.25"/>
    <row r="464" ht="30.75" hidden="1" customHeight="1" x14ac:dyDescent="0.25"/>
    <row r="465" ht="30.75" hidden="1" customHeight="1" x14ac:dyDescent="0.25"/>
    <row r="466" ht="30.75" hidden="1" customHeight="1" x14ac:dyDescent="0.25"/>
    <row r="467" ht="30.75" hidden="1" customHeight="1" x14ac:dyDescent="0.25"/>
    <row r="468" ht="30.75" hidden="1" customHeight="1" x14ac:dyDescent="0.25"/>
    <row r="469" ht="30.75" hidden="1" customHeight="1" x14ac:dyDescent="0.25"/>
    <row r="470" ht="30.75" hidden="1" customHeight="1" x14ac:dyDescent="0.25"/>
    <row r="471" ht="30.75" hidden="1" customHeight="1" x14ac:dyDescent="0.25"/>
    <row r="472" ht="30.75" hidden="1" customHeight="1" x14ac:dyDescent="0.25"/>
    <row r="473" ht="30.75" hidden="1" customHeight="1" x14ac:dyDescent="0.25"/>
    <row r="474" ht="30.75" hidden="1" customHeight="1" x14ac:dyDescent="0.25"/>
    <row r="475" ht="30.75" hidden="1" customHeight="1" x14ac:dyDescent="0.25"/>
    <row r="476" ht="30.75" hidden="1" customHeight="1" x14ac:dyDescent="0.25"/>
    <row r="477" ht="30.75" hidden="1" customHeight="1" x14ac:dyDescent="0.25"/>
    <row r="478" ht="30.75" hidden="1" customHeight="1" x14ac:dyDescent="0.25"/>
    <row r="479" ht="30.75" hidden="1" customHeight="1" x14ac:dyDescent="0.25"/>
    <row r="480" ht="30.75" hidden="1" customHeight="1" x14ac:dyDescent="0.25"/>
    <row r="481" ht="30.75" hidden="1" customHeight="1" x14ac:dyDescent="0.25"/>
    <row r="482" ht="30.75" hidden="1" customHeight="1" x14ac:dyDescent="0.25"/>
    <row r="483" ht="30.75" hidden="1" customHeight="1" x14ac:dyDescent="0.25"/>
    <row r="484" ht="30.75" hidden="1" customHeight="1" x14ac:dyDescent="0.25"/>
    <row r="485" ht="30.75" hidden="1" customHeight="1" x14ac:dyDescent="0.25"/>
    <row r="486" ht="30.75" hidden="1" customHeight="1" x14ac:dyDescent="0.25"/>
    <row r="487" ht="30.75" hidden="1" customHeight="1" x14ac:dyDescent="0.25"/>
    <row r="488" ht="30.75" hidden="1" customHeight="1" x14ac:dyDescent="0.25"/>
    <row r="489" ht="30.75" hidden="1" customHeight="1" x14ac:dyDescent="0.25"/>
    <row r="490" ht="30.75" hidden="1" customHeight="1" x14ac:dyDescent="0.25"/>
    <row r="491" ht="30.75" hidden="1" customHeight="1" x14ac:dyDescent="0.25"/>
    <row r="492" ht="30.75" hidden="1" customHeight="1" x14ac:dyDescent="0.25"/>
    <row r="493" ht="30.75" hidden="1" customHeight="1" x14ac:dyDescent="0.25"/>
    <row r="494" ht="30.75" hidden="1" customHeight="1" x14ac:dyDescent="0.25"/>
    <row r="495" ht="30.75" hidden="1" customHeight="1" x14ac:dyDescent="0.25"/>
    <row r="496" ht="30.75" hidden="1" customHeight="1" x14ac:dyDescent="0.25"/>
    <row r="497" ht="30.75" hidden="1" customHeight="1" x14ac:dyDescent="0.25"/>
    <row r="498" ht="30.75" hidden="1" customHeight="1" x14ac:dyDescent="0.25"/>
    <row r="499" ht="30.75" hidden="1" customHeight="1" x14ac:dyDescent="0.25"/>
    <row r="500" ht="30.75" hidden="1" customHeight="1" x14ac:dyDescent="0.25"/>
    <row r="501" ht="30.75" hidden="1" customHeight="1" x14ac:dyDescent="0.25"/>
    <row r="502" ht="30.75" hidden="1" customHeight="1" x14ac:dyDescent="0.25"/>
    <row r="503" ht="30.75" hidden="1" customHeight="1" x14ac:dyDescent="0.25"/>
    <row r="504" ht="30.75" hidden="1" customHeight="1" x14ac:dyDescent="0.25"/>
    <row r="505" ht="30.75" hidden="1" customHeight="1" x14ac:dyDescent="0.25"/>
    <row r="506" ht="30.75" hidden="1" customHeight="1" x14ac:dyDescent="0.25"/>
    <row r="507" ht="30.75" hidden="1" customHeight="1" x14ac:dyDescent="0.25"/>
    <row r="508" ht="30.75" hidden="1" customHeight="1" x14ac:dyDescent="0.25"/>
    <row r="509" ht="30.75" hidden="1" customHeight="1" x14ac:dyDescent="0.25"/>
    <row r="510" ht="30.75" hidden="1" customHeight="1" x14ac:dyDescent="0.25"/>
    <row r="511" ht="30.75" hidden="1" customHeight="1" x14ac:dyDescent="0.25"/>
    <row r="512" ht="30.75" hidden="1" customHeight="1" x14ac:dyDescent="0.25"/>
    <row r="513" ht="30.75" hidden="1" customHeight="1" x14ac:dyDescent="0.25"/>
    <row r="514" ht="30.75" hidden="1" customHeight="1" x14ac:dyDescent="0.25"/>
    <row r="515" ht="30.75" hidden="1" customHeight="1" x14ac:dyDescent="0.25"/>
    <row r="516" ht="30.75" hidden="1" customHeight="1" x14ac:dyDescent="0.25"/>
    <row r="517" ht="30.75" hidden="1" customHeight="1" x14ac:dyDescent="0.25"/>
    <row r="518" ht="30.75" hidden="1" customHeight="1" x14ac:dyDescent="0.25"/>
    <row r="519" ht="30.75" hidden="1" customHeight="1" x14ac:dyDescent="0.25"/>
    <row r="520" ht="30.75" hidden="1" customHeight="1" x14ac:dyDescent="0.25"/>
    <row r="521" ht="30.75" hidden="1" customHeight="1" x14ac:dyDescent="0.25"/>
    <row r="522" ht="30.75" hidden="1" customHeight="1" x14ac:dyDescent="0.25"/>
    <row r="523" ht="30.75" hidden="1" customHeight="1" x14ac:dyDescent="0.25"/>
    <row r="524" ht="30.75" hidden="1" customHeight="1" x14ac:dyDescent="0.25"/>
    <row r="525" ht="30.75" hidden="1" customHeight="1" x14ac:dyDescent="0.25"/>
    <row r="526" ht="30.75" hidden="1" customHeight="1" x14ac:dyDescent="0.25"/>
    <row r="527" ht="30.75" hidden="1" customHeight="1" x14ac:dyDescent="0.25"/>
    <row r="528" ht="30.75" hidden="1" customHeight="1" x14ac:dyDescent="0.25"/>
    <row r="529" ht="30.75" hidden="1" customHeight="1" x14ac:dyDescent="0.25"/>
    <row r="530" ht="30.75" hidden="1" customHeight="1" x14ac:dyDescent="0.25"/>
    <row r="531" ht="30.75" hidden="1" customHeight="1" x14ac:dyDescent="0.25"/>
    <row r="532" ht="30.75" hidden="1" customHeight="1" x14ac:dyDescent="0.25"/>
    <row r="533" ht="30.75" hidden="1" customHeight="1" x14ac:dyDescent="0.25"/>
    <row r="534" ht="30.75" hidden="1" customHeight="1" x14ac:dyDescent="0.25"/>
    <row r="535" ht="30.75" hidden="1" customHeight="1" x14ac:dyDescent="0.25"/>
    <row r="536" ht="30.75" hidden="1" customHeight="1" x14ac:dyDescent="0.25"/>
    <row r="537" ht="30.75" hidden="1" customHeight="1" x14ac:dyDescent="0.25"/>
    <row r="538" ht="30.75" hidden="1" customHeight="1" x14ac:dyDescent="0.25"/>
    <row r="539" ht="30.75" hidden="1" customHeight="1" x14ac:dyDescent="0.25"/>
    <row r="540" ht="30.75" hidden="1" customHeight="1" x14ac:dyDescent="0.25"/>
    <row r="541" ht="30.75" hidden="1" customHeight="1" x14ac:dyDescent="0.25"/>
    <row r="542" ht="30.75" hidden="1" customHeight="1" x14ac:dyDescent="0.25"/>
    <row r="543" ht="30.75" hidden="1" customHeight="1" x14ac:dyDescent="0.25"/>
    <row r="544" ht="30.75" hidden="1" customHeight="1" x14ac:dyDescent="0.25"/>
    <row r="545" spans="2:23" ht="30.75" hidden="1" customHeight="1" x14ac:dyDescent="0.25"/>
    <row r="546" spans="2:23" ht="30.75" hidden="1" customHeight="1" x14ac:dyDescent="0.25"/>
    <row r="547" spans="2:23" ht="30.75" hidden="1" customHeight="1" x14ac:dyDescent="0.25"/>
    <row r="548" spans="2:23" ht="15" hidden="1" customHeight="1" x14ac:dyDescent="0.25">
      <c r="B548" s="837"/>
      <c r="C548" s="953"/>
      <c r="D548" s="954"/>
      <c r="E548" s="837"/>
      <c r="F548" s="954"/>
      <c r="G548" s="837"/>
      <c r="H548" s="837"/>
      <c r="I548" s="954"/>
      <c r="J548" s="837"/>
      <c r="K548" s="837"/>
      <c r="L548" s="954"/>
      <c r="M548" s="837"/>
      <c r="N548" s="837"/>
      <c r="O548" s="954"/>
      <c r="P548" s="837"/>
      <c r="Q548" s="837"/>
      <c r="R548" s="954"/>
      <c r="S548" s="837"/>
      <c r="T548" s="837"/>
      <c r="U548" s="954"/>
      <c r="V548" s="837"/>
      <c r="W548" s="837"/>
    </row>
    <row r="549" spans="2:23" ht="15" hidden="1" customHeight="1" x14ac:dyDescent="0.25">
      <c r="B549" s="837"/>
      <c r="C549" s="953"/>
      <c r="D549" s="954"/>
      <c r="E549" s="837"/>
      <c r="F549" s="954"/>
      <c r="G549" s="837"/>
      <c r="H549" s="837"/>
      <c r="I549" s="954"/>
      <c r="J549" s="837"/>
      <c r="K549" s="837"/>
      <c r="L549" s="954"/>
      <c r="M549" s="837"/>
      <c r="N549" s="837"/>
      <c r="O549" s="954"/>
      <c r="P549" s="837"/>
      <c r="Q549" s="837"/>
      <c r="R549" s="954"/>
      <c r="S549" s="837"/>
      <c r="T549" s="837"/>
      <c r="U549" s="954"/>
      <c r="V549" s="837"/>
      <c r="W549" s="837"/>
    </row>
    <row r="550" spans="2:23" ht="15" hidden="1" customHeight="1" x14ac:dyDescent="0.25">
      <c r="B550" s="837"/>
      <c r="C550" s="953"/>
      <c r="D550" s="954"/>
      <c r="E550" s="837"/>
      <c r="F550" s="954"/>
      <c r="G550" s="837"/>
      <c r="H550" s="837"/>
      <c r="I550" s="954"/>
      <c r="J550" s="837"/>
      <c r="K550" s="837"/>
      <c r="L550" s="954"/>
      <c r="M550" s="837"/>
      <c r="N550" s="837"/>
      <c r="O550" s="954"/>
      <c r="P550" s="837"/>
      <c r="Q550" s="837"/>
      <c r="R550" s="954"/>
      <c r="S550" s="837"/>
      <c r="T550" s="837"/>
      <c r="U550" s="954"/>
      <c r="V550" s="837"/>
      <c r="W550" s="837"/>
    </row>
    <row r="551" spans="2:23" ht="15" hidden="1" customHeight="1" x14ac:dyDescent="0.25">
      <c r="B551" s="837"/>
      <c r="C551" s="953"/>
      <c r="D551" s="954"/>
      <c r="E551" s="837"/>
      <c r="F551" s="954"/>
      <c r="G551" s="837"/>
      <c r="H551" s="837"/>
      <c r="I551" s="954"/>
      <c r="J551" s="837"/>
      <c r="K551" s="837"/>
      <c r="L551" s="954"/>
      <c r="M551" s="837"/>
      <c r="N551" s="837"/>
      <c r="O551" s="954"/>
      <c r="P551" s="837"/>
      <c r="Q551" s="837"/>
      <c r="R551" s="954"/>
      <c r="S551" s="837"/>
      <c r="T551" s="837"/>
      <c r="U551" s="954"/>
      <c r="V551" s="837"/>
      <c r="W551" s="837"/>
    </row>
    <row r="552" spans="2:23" ht="15" hidden="1" customHeight="1" x14ac:dyDescent="0.25">
      <c r="B552" s="837"/>
      <c r="C552" s="953"/>
      <c r="D552" s="954"/>
      <c r="E552" s="837"/>
      <c r="F552" s="954"/>
      <c r="G552" s="837"/>
      <c r="H552" s="837"/>
      <c r="I552" s="954"/>
      <c r="J552" s="837"/>
      <c r="K552" s="837"/>
      <c r="L552" s="954"/>
      <c r="M552" s="837"/>
      <c r="N552" s="837"/>
      <c r="O552" s="954"/>
      <c r="P552" s="837"/>
      <c r="Q552" s="837"/>
      <c r="R552" s="954"/>
      <c r="S552" s="837"/>
      <c r="T552" s="837"/>
      <c r="U552" s="954"/>
      <c r="V552" s="837"/>
      <c r="W552" s="837"/>
    </row>
    <row r="553" spans="2:23" ht="15" hidden="1" customHeight="1" x14ac:dyDescent="0.25">
      <c r="B553" s="837"/>
      <c r="C553" s="953"/>
      <c r="D553" s="954"/>
      <c r="E553" s="837"/>
      <c r="F553" s="954"/>
      <c r="G553" s="837"/>
      <c r="H553" s="837"/>
      <c r="I553" s="954"/>
      <c r="J553" s="837"/>
      <c r="K553" s="837"/>
      <c r="L553" s="954"/>
      <c r="M553" s="837"/>
      <c r="N553" s="837"/>
      <c r="O553" s="954"/>
      <c r="P553" s="837"/>
      <c r="Q553" s="837"/>
      <c r="R553" s="954"/>
      <c r="S553" s="837"/>
      <c r="T553" s="837"/>
      <c r="U553" s="954"/>
      <c r="V553" s="837"/>
      <c r="W553" s="837"/>
    </row>
    <row r="554" spans="2:23" ht="15" hidden="1" customHeight="1" x14ac:dyDescent="0.25">
      <c r="B554" s="837"/>
      <c r="C554" s="953"/>
      <c r="D554" s="954"/>
      <c r="E554" s="837"/>
      <c r="F554" s="954"/>
      <c r="G554" s="837"/>
      <c r="H554" s="837"/>
      <c r="I554" s="954"/>
      <c r="J554" s="837"/>
      <c r="K554" s="837"/>
      <c r="L554" s="954"/>
      <c r="M554" s="837"/>
      <c r="N554" s="837"/>
      <c r="O554" s="954"/>
      <c r="P554" s="837"/>
      <c r="Q554" s="837"/>
      <c r="R554" s="954"/>
      <c r="S554" s="837"/>
      <c r="T554" s="837"/>
      <c r="U554" s="954"/>
      <c r="V554" s="837"/>
      <c r="W554" s="837"/>
    </row>
    <row r="555" spans="2:23" ht="15" hidden="1" customHeight="1" x14ac:dyDescent="0.25">
      <c r="B555" s="837"/>
      <c r="C555" s="953"/>
      <c r="D555" s="954"/>
      <c r="E555" s="837"/>
      <c r="F555" s="954"/>
      <c r="G555" s="837"/>
      <c r="H555" s="837"/>
      <c r="I555" s="954"/>
      <c r="J555" s="837"/>
      <c r="K555" s="837"/>
      <c r="L555" s="954"/>
      <c r="M555" s="837"/>
      <c r="N555" s="837"/>
      <c r="O555" s="954"/>
      <c r="P555" s="837"/>
      <c r="Q555" s="837"/>
      <c r="R555" s="954"/>
      <c r="S555" s="837"/>
      <c r="T555" s="837"/>
      <c r="U555" s="954"/>
      <c r="V555" s="837"/>
      <c r="W555" s="837"/>
    </row>
    <row r="556" spans="2:23" ht="15" hidden="1" customHeight="1" x14ac:dyDescent="0.25">
      <c r="B556" s="837"/>
      <c r="C556" s="953"/>
      <c r="D556" s="954"/>
      <c r="E556" s="837"/>
      <c r="F556" s="954"/>
      <c r="G556" s="837"/>
      <c r="H556" s="837"/>
      <c r="I556" s="954"/>
      <c r="J556" s="837"/>
      <c r="K556" s="837"/>
      <c r="L556" s="954"/>
      <c r="M556" s="837"/>
      <c r="N556" s="837"/>
      <c r="O556" s="954"/>
      <c r="P556" s="837"/>
      <c r="Q556" s="837"/>
      <c r="R556" s="954"/>
      <c r="S556" s="837"/>
      <c r="T556" s="837"/>
      <c r="U556" s="954"/>
      <c r="V556" s="837"/>
      <c r="W556" s="837"/>
    </row>
    <row r="557" spans="2:23" ht="15" hidden="1" customHeight="1" x14ac:dyDescent="0.25">
      <c r="B557" s="837"/>
      <c r="C557" s="953"/>
      <c r="D557" s="954"/>
      <c r="E557" s="837"/>
      <c r="F557" s="954"/>
      <c r="G557" s="837"/>
      <c r="H557" s="837"/>
      <c r="I557" s="954"/>
      <c r="J557" s="837"/>
      <c r="K557" s="837"/>
      <c r="L557" s="954"/>
      <c r="M557" s="837"/>
      <c r="N557" s="837"/>
      <c r="O557" s="954"/>
      <c r="P557" s="837"/>
      <c r="Q557" s="837"/>
      <c r="R557" s="954"/>
      <c r="S557" s="837"/>
      <c r="T557" s="837"/>
      <c r="U557" s="954"/>
      <c r="V557" s="837"/>
      <c r="W557" s="837"/>
    </row>
    <row r="558" spans="2:23" ht="15" hidden="1" customHeight="1" x14ac:dyDescent="0.25">
      <c r="B558" s="837"/>
      <c r="C558" s="953"/>
      <c r="D558" s="954"/>
      <c r="E558" s="837"/>
      <c r="F558" s="954"/>
      <c r="G558" s="837"/>
      <c r="H558" s="837"/>
      <c r="I558" s="954"/>
      <c r="J558" s="837"/>
      <c r="K558" s="837"/>
      <c r="L558" s="954"/>
      <c r="M558" s="837"/>
      <c r="N558" s="837"/>
      <c r="O558" s="954"/>
      <c r="P558" s="837"/>
      <c r="Q558" s="837"/>
      <c r="R558" s="954"/>
      <c r="S558" s="837"/>
      <c r="T558" s="837"/>
      <c r="U558" s="954"/>
      <c r="V558" s="837"/>
      <c r="W558" s="837"/>
    </row>
    <row r="559" spans="2:23" ht="15" hidden="1" customHeight="1" x14ac:dyDescent="0.25">
      <c r="B559" s="837"/>
      <c r="C559" s="953"/>
      <c r="D559" s="954"/>
      <c r="E559" s="837"/>
      <c r="F559" s="954"/>
      <c r="G559" s="837"/>
      <c r="H559" s="837"/>
      <c r="I559" s="954"/>
      <c r="J559" s="837"/>
      <c r="K559" s="837"/>
      <c r="L559" s="954"/>
      <c r="M559" s="837"/>
      <c r="N559" s="837"/>
      <c r="O559" s="954"/>
      <c r="P559" s="837"/>
      <c r="Q559" s="837"/>
      <c r="R559" s="954"/>
      <c r="S559" s="837"/>
      <c r="T559" s="837"/>
      <c r="U559" s="954"/>
      <c r="V559" s="837"/>
      <c r="W559" s="837"/>
    </row>
    <row r="560" spans="2:23" ht="15" hidden="1" customHeight="1" x14ac:dyDescent="0.25">
      <c r="B560" s="837"/>
      <c r="C560" s="953"/>
      <c r="D560" s="954"/>
      <c r="E560" s="837"/>
      <c r="F560" s="954"/>
      <c r="G560" s="837"/>
      <c r="H560" s="837"/>
      <c r="I560" s="954"/>
      <c r="J560" s="837"/>
      <c r="K560" s="837"/>
      <c r="L560" s="954"/>
      <c r="M560" s="837"/>
      <c r="N560" s="837"/>
      <c r="O560" s="954"/>
      <c r="P560" s="837"/>
      <c r="Q560" s="837"/>
      <c r="R560" s="954"/>
      <c r="S560" s="837"/>
      <c r="T560" s="837"/>
      <c r="U560" s="954"/>
      <c r="V560" s="837"/>
      <c r="W560" s="837"/>
    </row>
    <row r="561" spans="2:23" ht="15" hidden="1" customHeight="1" x14ac:dyDescent="0.25">
      <c r="B561" s="837"/>
      <c r="C561" s="953"/>
      <c r="D561" s="954"/>
      <c r="E561" s="837"/>
      <c r="F561" s="954"/>
      <c r="G561" s="837"/>
      <c r="H561" s="837"/>
      <c r="I561" s="954"/>
      <c r="J561" s="837"/>
      <c r="K561" s="837"/>
      <c r="L561" s="954"/>
      <c r="M561" s="837"/>
      <c r="N561" s="837"/>
      <c r="O561" s="954"/>
      <c r="P561" s="837"/>
      <c r="Q561" s="837"/>
      <c r="R561" s="954"/>
      <c r="S561" s="837"/>
      <c r="T561" s="837"/>
      <c r="U561" s="954"/>
      <c r="V561" s="837"/>
      <c r="W561" s="837"/>
    </row>
    <row r="562" spans="2:23" ht="15" hidden="1" customHeight="1" x14ac:dyDescent="0.25">
      <c r="B562" s="837"/>
      <c r="C562" s="953"/>
      <c r="D562" s="954"/>
      <c r="E562" s="837"/>
      <c r="F562" s="954"/>
      <c r="G562" s="837"/>
      <c r="H562" s="837"/>
      <c r="I562" s="954"/>
      <c r="J562" s="837"/>
      <c r="K562" s="837"/>
      <c r="L562" s="954"/>
      <c r="M562" s="837"/>
      <c r="N562" s="837"/>
      <c r="O562" s="954"/>
      <c r="P562" s="837"/>
      <c r="Q562" s="837"/>
      <c r="R562" s="954"/>
      <c r="S562" s="837"/>
      <c r="T562" s="837"/>
      <c r="U562" s="954"/>
      <c r="V562" s="837"/>
      <c r="W562" s="837"/>
    </row>
    <row r="563" spans="2:23" ht="15" hidden="1" customHeight="1" x14ac:dyDescent="0.25">
      <c r="B563" s="837"/>
      <c r="C563" s="953"/>
      <c r="D563" s="954"/>
      <c r="E563" s="837"/>
      <c r="F563" s="954"/>
      <c r="G563" s="837"/>
      <c r="H563" s="837"/>
      <c r="I563" s="954"/>
      <c r="J563" s="837"/>
      <c r="K563" s="837"/>
      <c r="L563" s="954"/>
      <c r="M563" s="837"/>
      <c r="N563" s="837"/>
      <c r="O563" s="954"/>
      <c r="P563" s="837"/>
      <c r="Q563" s="837"/>
      <c r="R563" s="954"/>
      <c r="S563" s="837"/>
      <c r="T563" s="837"/>
      <c r="U563" s="954"/>
      <c r="V563" s="837"/>
      <c r="W563" s="837"/>
    </row>
    <row r="564" spans="2:23" ht="15" hidden="1" customHeight="1" x14ac:dyDescent="0.25">
      <c r="B564" s="837"/>
      <c r="C564" s="953"/>
      <c r="D564" s="954"/>
      <c r="E564" s="837"/>
      <c r="F564" s="954"/>
      <c r="G564" s="837"/>
      <c r="H564" s="837"/>
      <c r="I564" s="954"/>
      <c r="J564" s="837"/>
      <c r="K564" s="837"/>
      <c r="L564" s="954"/>
      <c r="M564" s="837"/>
      <c r="N564" s="837"/>
      <c r="O564" s="954"/>
      <c r="P564" s="837"/>
      <c r="Q564" s="837"/>
      <c r="R564" s="954"/>
      <c r="S564" s="837"/>
      <c r="T564" s="837"/>
      <c r="U564" s="954"/>
      <c r="V564" s="837"/>
      <c r="W564" s="837"/>
    </row>
    <row r="565" spans="2:23" ht="15" hidden="1" customHeight="1" x14ac:dyDescent="0.25">
      <c r="B565" s="837"/>
      <c r="C565" s="953"/>
      <c r="D565" s="954"/>
      <c r="E565" s="837"/>
      <c r="F565" s="954"/>
      <c r="G565" s="837"/>
      <c r="H565" s="837"/>
      <c r="I565" s="954"/>
      <c r="J565" s="837"/>
      <c r="K565" s="837"/>
      <c r="L565" s="954"/>
      <c r="M565" s="837"/>
      <c r="N565" s="837"/>
      <c r="O565" s="954"/>
      <c r="P565" s="837"/>
      <c r="Q565" s="837"/>
      <c r="R565" s="954"/>
      <c r="S565" s="837"/>
      <c r="T565" s="837"/>
      <c r="U565" s="954"/>
      <c r="V565" s="837"/>
      <c r="W565" s="837"/>
    </row>
    <row r="566" spans="2:23" ht="15" hidden="1" customHeight="1" x14ac:dyDescent="0.25">
      <c r="B566" s="837"/>
      <c r="C566" s="953"/>
      <c r="D566" s="954"/>
      <c r="E566" s="837"/>
      <c r="F566" s="954"/>
      <c r="G566" s="837"/>
      <c r="H566" s="837"/>
      <c r="I566" s="954"/>
      <c r="J566" s="837"/>
      <c r="K566" s="837"/>
      <c r="L566" s="954"/>
      <c r="M566" s="837"/>
      <c r="N566" s="837"/>
      <c r="O566" s="954"/>
      <c r="P566" s="837"/>
      <c r="Q566" s="837"/>
      <c r="R566" s="954"/>
      <c r="S566" s="837"/>
      <c r="T566" s="837"/>
      <c r="U566" s="954"/>
      <c r="V566" s="837"/>
      <c r="W566" s="837"/>
    </row>
    <row r="567" spans="2:23" ht="15" hidden="1" customHeight="1" x14ac:dyDescent="0.25">
      <c r="B567" s="837"/>
      <c r="C567" s="953"/>
      <c r="D567" s="954"/>
      <c r="E567" s="837"/>
      <c r="F567" s="954"/>
      <c r="G567" s="837"/>
      <c r="H567" s="837"/>
      <c r="I567" s="954"/>
      <c r="J567" s="837"/>
      <c r="K567" s="837"/>
      <c r="L567" s="954"/>
      <c r="M567" s="837"/>
      <c r="N567" s="837"/>
      <c r="O567" s="954"/>
      <c r="P567" s="837"/>
      <c r="Q567" s="837"/>
      <c r="R567" s="954"/>
      <c r="S567" s="837"/>
      <c r="T567" s="837"/>
      <c r="U567" s="954"/>
      <c r="V567" s="837"/>
      <c r="W567" s="837"/>
    </row>
    <row r="568" spans="2:23" ht="15" hidden="1" customHeight="1" x14ac:dyDescent="0.25">
      <c r="B568" s="837"/>
      <c r="C568" s="953"/>
      <c r="D568" s="954"/>
      <c r="E568" s="837"/>
      <c r="F568" s="954"/>
      <c r="G568" s="837"/>
      <c r="H568" s="837"/>
      <c r="I568" s="954"/>
      <c r="J568" s="837"/>
      <c r="K568" s="837"/>
      <c r="L568" s="954"/>
      <c r="M568" s="837"/>
      <c r="N568" s="837"/>
      <c r="O568" s="954"/>
      <c r="P568" s="837"/>
      <c r="Q568" s="837"/>
      <c r="R568" s="954"/>
      <c r="S568" s="837"/>
      <c r="T568" s="837"/>
      <c r="U568" s="954"/>
      <c r="V568" s="837"/>
      <c r="W568" s="837"/>
    </row>
    <row r="569" spans="2:23" ht="15" hidden="1" customHeight="1" x14ac:dyDescent="0.25">
      <c r="B569" s="837"/>
      <c r="C569" s="953"/>
      <c r="D569" s="954"/>
      <c r="E569" s="837"/>
      <c r="F569" s="954"/>
      <c r="G569" s="837"/>
      <c r="H569" s="837"/>
      <c r="I569" s="954"/>
      <c r="J569" s="837"/>
      <c r="K569" s="837"/>
      <c r="L569" s="954"/>
      <c r="M569" s="837"/>
      <c r="N569" s="837"/>
      <c r="O569" s="954"/>
      <c r="P569" s="837"/>
      <c r="Q569" s="837"/>
      <c r="R569" s="954"/>
      <c r="S569" s="837"/>
      <c r="T569" s="837"/>
      <c r="U569" s="954"/>
      <c r="V569" s="837"/>
      <c r="W569" s="837"/>
    </row>
    <row r="570" spans="2:23" ht="15" hidden="1" customHeight="1" x14ac:dyDescent="0.25">
      <c r="B570" s="837"/>
      <c r="C570" s="953"/>
      <c r="D570" s="954"/>
      <c r="E570" s="837"/>
      <c r="F570" s="954"/>
      <c r="G570" s="837"/>
      <c r="H570" s="837"/>
      <c r="I570" s="954"/>
      <c r="J570" s="837"/>
      <c r="K570" s="837"/>
      <c r="L570" s="954"/>
      <c r="M570" s="837"/>
      <c r="N570" s="837"/>
      <c r="O570" s="954"/>
      <c r="P570" s="837"/>
      <c r="Q570" s="837"/>
      <c r="R570" s="954"/>
      <c r="S570" s="837"/>
      <c r="T570" s="837"/>
      <c r="U570" s="954"/>
      <c r="V570" s="837"/>
      <c r="W570" s="837"/>
    </row>
    <row r="571" spans="2:23" ht="15" hidden="1" customHeight="1" x14ac:dyDescent="0.25">
      <c r="B571" s="837"/>
      <c r="C571" s="953"/>
      <c r="D571" s="954"/>
      <c r="E571" s="837"/>
      <c r="F571" s="954"/>
      <c r="G571" s="837"/>
      <c r="H571" s="837"/>
      <c r="I571" s="954"/>
      <c r="J571" s="837"/>
      <c r="K571" s="837"/>
      <c r="L571" s="954"/>
      <c r="M571" s="837"/>
      <c r="N571" s="837"/>
      <c r="O571" s="954"/>
      <c r="P571" s="837"/>
      <c r="Q571" s="837"/>
      <c r="R571" s="954"/>
      <c r="S571" s="837"/>
      <c r="T571" s="837"/>
      <c r="U571" s="954"/>
      <c r="V571" s="837"/>
      <c r="W571" s="837"/>
    </row>
    <row r="572" spans="2:23" ht="15" hidden="1" customHeight="1" x14ac:dyDescent="0.25">
      <c r="B572" s="837"/>
      <c r="C572" s="953"/>
      <c r="D572" s="954"/>
      <c r="E572" s="837"/>
      <c r="F572" s="954"/>
      <c r="G572" s="837"/>
      <c r="H572" s="837"/>
      <c r="I572" s="954"/>
      <c r="J572" s="837"/>
      <c r="K572" s="837"/>
      <c r="L572" s="954"/>
      <c r="M572" s="837"/>
      <c r="N572" s="837"/>
      <c r="O572" s="954"/>
      <c r="P572" s="837"/>
      <c r="Q572" s="837"/>
      <c r="R572" s="954"/>
      <c r="S572" s="837"/>
      <c r="T572" s="837"/>
      <c r="U572" s="954"/>
      <c r="V572" s="837"/>
      <c r="W572" s="837"/>
    </row>
    <row r="573" spans="2:23" ht="15" hidden="1" customHeight="1" x14ac:dyDescent="0.25">
      <c r="B573" s="837"/>
      <c r="C573" s="953"/>
      <c r="D573" s="954"/>
      <c r="E573" s="837"/>
      <c r="F573" s="954"/>
      <c r="G573" s="837"/>
      <c r="H573" s="837"/>
      <c r="I573" s="954"/>
      <c r="J573" s="837"/>
      <c r="K573" s="837"/>
      <c r="L573" s="954"/>
      <c r="M573" s="837"/>
      <c r="N573" s="837"/>
      <c r="O573" s="954"/>
      <c r="P573" s="837"/>
      <c r="Q573" s="837"/>
      <c r="R573" s="954"/>
      <c r="S573" s="837"/>
      <c r="T573" s="837"/>
      <c r="U573" s="954"/>
      <c r="V573" s="837"/>
      <c r="W573" s="837"/>
    </row>
    <row r="574" spans="2:23" ht="15" hidden="1" customHeight="1" x14ac:dyDescent="0.25">
      <c r="B574" s="837"/>
      <c r="C574" s="953"/>
      <c r="D574" s="954"/>
      <c r="E574" s="837"/>
      <c r="F574" s="954"/>
      <c r="G574" s="837"/>
      <c r="H574" s="837"/>
      <c r="I574" s="954"/>
      <c r="J574" s="837"/>
      <c r="K574" s="837"/>
      <c r="L574" s="954"/>
      <c r="M574" s="837"/>
      <c r="N574" s="837"/>
      <c r="O574" s="954"/>
      <c r="P574" s="837"/>
      <c r="Q574" s="837"/>
      <c r="R574" s="954"/>
      <c r="S574" s="837"/>
      <c r="T574" s="837"/>
      <c r="U574" s="954"/>
      <c r="V574" s="837"/>
      <c r="W574" s="837"/>
    </row>
    <row r="575" spans="2:23" ht="15" hidden="1" customHeight="1" x14ac:dyDescent="0.25">
      <c r="B575" s="837"/>
      <c r="C575" s="953"/>
      <c r="D575" s="954"/>
      <c r="E575" s="837"/>
      <c r="F575" s="954"/>
      <c r="G575" s="837"/>
      <c r="H575" s="837"/>
      <c r="I575" s="954"/>
      <c r="J575" s="837"/>
      <c r="K575" s="837"/>
      <c r="L575" s="954"/>
      <c r="M575" s="837"/>
      <c r="N575" s="837"/>
      <c r="O575" s="954"/>
      <c r="P575" s="837"/>
      <c r="Q575" s="837"/>
      <c r="R575" s="954"/>
      <c r="S575" s="837"/>
      <c r="T575" s="837"/>
      <c r="U575" s="954"/>
      <c r="V575" s="837"/>
      <c r="W575" s="837"/>
    </row>
    <row r="576" spans="2:23" ht="15" hidden="1" customHeight="1" x14ac:dyDescent="0.25">
      <c r="B576" s="837"/>
      <c r="C576" s="953"/>
      <c r="D576" s="954"/>
      <c r="E576" s="837"/>
      <c r="F576" s="954"/>
      <c r="G576" s="837"/>
      <c r="H576" s="837"/>
      <c r="I576" s="954"/>
      <c r="J576" s="837"/>
      <c r="K576" s="837"/>
      <c r="L576" s="954"/>
      <c r="M576" s="837"/>
      <c r="N576" s="837"/>
      <c r="O576" s="954"/>
      <c r="P576" s="837"/>
      <c r="Q576" s="837"/>
      <c r="R576" s="954"/>
      <c r="S576" s="837"/>
      <c r="T576" s="837"/>
      <c r="U576" s="954"/>
      <c r="V576" s="837"/>
      <c r="W576" s="837"/>
    </row>
    <row r="577" spans="2:23" ht="15" hidden="1" customHeight="1" x14ac:dyDescent="0.25">
      <c r="B577" s="837"/>
      <c r="C577" s="953"/>
      <c r="D577" s="954"/>
      <c r="E577" s="837"/>
      <c r="F577" s="954"/>
      <c r="G577" s="837"/>
      <c r="H577" s="837"/>
      <c r="I577" s="954"/>
      <c r="J577" s="837"/>
      <c r="K577" s="837"/>
      <c r="L577" s="954"/>
      <c r="M577" s="837"/>
      <c r="N577" s="837"/>
      <c r="O577" s="954"/>
      <c r="P577" s="837"/>
      <c r="Q577" s="837"/>
      <c r="R577" s="954"/>
      <c r="S577" s="837"/>
      <c r="T577" s="837"/>
      <c r="U577" s="954"/>
      <c r="V577" s="837"/>
      <c r="W577" s="837"/>
    </row>
    <row r="578" spans="2:23" ht="15" hidden="1" customHeight="1" x14ac:dyDescent="0.25">
      <c r="B578" s="837"/>
      <c r="C578" s="953"/>
      <c r="D578" s="954"/>
      <c r="E578" s="837"/>
      <c r="F578" s="954"/>
      <c r="G578" s="837"/>
      <c r="H578" s="837"/>
      <c r="I578" s="954"/>
      <c r="J578" s="837"/>
      <c r="K578" s="837"/>
      <c r="L578" s="954"/>
      <c r="M578" s="837"/>
      <c r="N578" s="837"/>
      <c r="O578" s="954"/>
      <c r="P578" s="837"/>
      <c r="Q578" s="837"/>
      <c r="R578" s="954"/>
      <c r="S578" s="837"/>
      <c r="T578" s="837"/>
      <c r="U578" s="954"/>
      <c r="V578" s="837"/>
      <c r="W578" s="837"/>
    </row>
    <row r="579" spans="2:23" ht="15" hidden="1" customHeight="1" x14ac:dyDescent="0.25">
      <c r="B579" s="837"/>
      <c r="C579" s="953"/>
      <c r="D579" s="954"/>
      <c r="E579" s="837"/>
      <c r="F579" s="954"/>
      <c r="G579" s="837"/>
      <c r="H579" s="837"/>
      <c r="I579" s="954"/>
      <c r="J579" s="837"/>
      <c r="K579" s="837"/>
      <c r="L579" s="954"/>
      <c r="M579" s="837"/>
      <c r="N579" s="837"/>
      <c r="O579" s="954"/>
      <c r="P579" s="837"/>
      <c r="Q579" s="837"/>
      <c r="R579" s="954"/>
      <c r="S579" s="837"/>
      <c r="T579" s="837"/>
      <c r="U579" s="954"/>
      <c r="V579" s="837"/>
      <c r="W579" s="837"/>
    </row>
    <row r="580" spans="2:23" ht="15" hidden="1" customHeight="1" x14ac:dyDescent="0.25">
      <c r="B580" s="837"/>
      <c r="C580" s="953"/>
      <c r="D580" s="954"/>
      <c r="E580" s="837"/>
      <c r="F580" s="954"/>
      <c r="G580" s="837"/>
      <c r="H580" s="837"/>
      <c r="I580" s="954"/>
      <c r="J580" s="837"/>
      <c r="K580" s="837"/>
      <c r="L580" s="954"/>
      <c r="M580" s="837"/>
      <c r="N580" s="837"/>
      <c r="O580" s="954"/>
      <c r="P580" s="837"/>
      <c r="Q580" s="837"/>
      <c r="R580" s="954"/>
      <c r="S580" s="837"/>
      <c r="T580" s="837"/>
      <c r="U580" s="954"/>
      <c r="V580" s="837"/>
      <c r="W580" s="837"/>
    </row>
    <row r="581" spans="2:23" ht="15" hidden="1" customHeight="1" x14ac:dyDescent="0.25">
      <c r="B581" s="837"/>
      <c r="C581" s="953"/>
      <c r="D581" s="954"/>
      <c r="E581" s="837"/>
      <c r="F581" s="954"/>
      <c r="G581" s="837"/>
      <c r="H581" s="837"/>
      <c r="I581" s="954"/>
      <c r="J581" s="837"/>
      <c r="K581" s="837"/>
      <c r="L581" s="954"/>
      <c r="M581" s="837"/>
      <c r="N581" s="837"/>
      <c r="O581" s="954"/>
      <c r="P581" s="837"/>
      <c r="Q581" s="837"/>
      <c r="R581" s="954"/>
      <c r="S581" s="837"/>
      <c r="T581" s="837"/>
      <c r="U581" s="954"/>
      <c r="V581" s="837"/>
      <c r="W581" s="837"/>
    </row>
    <row r="582" spans="2:23" ht="15" hidden="1" customHeight="1" x14ac:dyDescent="0.25">
      <c r="B582" s="837"/>
      <c r="C582" s="953"/>
      <c r="D582" s="954"/>
      <c r="E582" s="837"/>
      <c r="F582" s="954"/>
      <c r="G582" s="837"/>
      <c r="H582" s="837"/>
      <c r="I582" s="954"/>
      <c r="J582" s="837"/>
      <c r="K582" s="837"/>
      <c r="L582" s="954"/>
      <c r="M582" s="837"/>
      <c r="N582" s="837"/>
      <c r="O582" s="954"/>
      <c r="P582" s="837"/>
      <c r="Q582" s="837"/>
      <c r="R582" s="954"/>
      <c r="S582" s="837"/>
      <c r="T582" s="837"/>
      <c r="U582" s="954"/>
      <c r="V582" s="837"/>
      <c r="W582" s="837"/>
    </row>
    <row r="583" spans="2:23" ht="15" hidden="1" customHeight="1" x14ac:dyDescent="0.25">
      <c r="B583" s="837"/>
      <c r="C583" s="953"/>
      <c r="D583" s="954"/>
      <c r="E583" s="837"/>
      <c r="F583" s="954"/>
      <c r="G583" s="837"/>
      <c r="H583" s="837"/>
      <c r="I583" s="954"/>
      <c r="J583" s="837"/>
      <c r="K583" s="837"/>
      <c r="L583" s="954"/>
      <c r="M583" s="837"/>
      <c r="N583" s="837"/>
      <c r="O583" s="954"/>
      <c r="P583" s="837"/>
      <c r="Q583" s="837"/>
      <c r="R583" s="954"/>
      <c r="S583" s="837"/>
      <c r="T583" s="837"/>
      <c r="U583" s="954"/>
      <c r="V583" s="837"/>
      <c r="W583" s="837"/>
    </row>
    <row r="584" spans="2:23" ht="15" hidden="1" customHeight="1" x14ac:dyDescent="0.25">
      <c r="B584" s="837"/>
      <c r="C584" s="953"/>
      <c r="D584" s="954"/>
      <c r="E584" s="837"/>
      <c r="F584" s="954"/>
      <c r="G584" s="837"/>
      <c r="H584" s="837"/>
      <c r="I584" s="954"/>
      <c r="J584" s="837"/>
      <c r="K584" s="837"/>
      <c r="L584" s="954"/>
      <c r="M584" s="837"/>
      <c r="N584" s="837"/>
      <c r="O584" s="954"/>
      <c r="P584" s="837"/>
      <c r="Q584" s="837"/>
      <c r="R584" s="954"/>
      <c r="S584" s="837"/>
      <c r="T584" s="837"/>
      <c r="U584" s="954"/>
      <c r="V584" s="837"/>
      <c r="W584" s="837"/>
    </row>
    <row r="585" spans="2:23" ht="15" hidden="1" customHeight="1" x14ac:dyDescent="0.25">
      <c r="B585" s="837"/>
      <c r="C585" s="953"/>
      <c r="D585" s="954"/>
      <c r="E585" s="837"/>
      <c r="F585" s="954"/>
      <c r="G585" s="837"/>
      <c r="H585" s="837"/>
      <c r="I585" s="954"/>
      <c r="J585" s="837"/>
      <c r="K585" s="837"/>
      <c r="L585" s="954"/>
      <c r="M585" s="837"/>
      <c r="N585" s="837"/>
      <c r="O585" s="954"/>
      <c r="P585" s="837"/>
      <c r="Q585" s="837"/>
      <c r="R585" s="954"/>
      <c r="S585" s="837"/>
      <c r="T585" s="837"/>
      <c r="U585" s="954"/>
      <c r="V585" s="837"/>
      <c r="W585" s="837"/>
    </row>
    <row r="586" spans="2:23" ht="15" hidden="1" customHeight="1" x14ac:dyDescent="0.25">
      <c r="B586" s="837"/>
      <c r="C586" s="953"/>
      <c r="D586" s="954"/>
      <c r="E586" s="837"/>
      <c r="F586" s="954"/>
      <c r="G586" s="837"/>
      <c r="H586" s="837"/>
      <c r="I586" s="954"/>
      <c r="J586" s="837"/>
      <c r="K586" s="837"/>
      <c r="L586" s="954"/>
      <c r="M586" s="837"/>
      <c r="N586" s="837"/>
      <c r="O586" s="954"/>
      <c r="P586" s="837"/>
      <c r="Q586" s="837"/>
      <c r="R586" s="954"/>
      <c r="S586" s="837"/>
      <c r="T586" s="837"/>
      <c r="U586" s="954"/>
      <c r="V586" s="837"/>
      <c r="W586" s="837"/>
    </row>
    <row r="587" spans="2:23" ht="15" hidden="1" customHeight="1" x14ac:dyDescent="0.25">
      <c r="B587" s="837"/>
      <c r="C587" s="953"/>
      <c r="D587" s="954"/>
      <c r="E587" s="837"/>
      <c r="F587" s="954"/>
      <c r="G587" s="837"/>
      <c r="H587" s="837"/>
      <c r="I587" s="954"/>
      <c r="J587" s="837"/>
      <c r="K587" s="837"/>
      <c r="L587" s="954"/>
      <c r="M587" s="837"/>
      <c r="N587" s="837"/>
      <c r="O587" s="954"/>
      <c r="P587" s="837"/>
      <c r="Q587" s="837"/>
      <c r="R587" s="954"/>
      <c r="S587" s="837"/>
      <c r="T587" s="837"/>
      <c r="U587" s="954"/>
      <c r="V587" s="837"/>
      <c r="W587" s="837"/>
    </row>
    <row r="588" spans="2:23" ht="15" hidden="1" customHeight="1" x14ac:dyDescent="0.25">
      <c r="B588" s="837"/>
      <c r="C588" s="953"/>
      <c r="D588" s="954"/>
      <c r="E588" s="837"/>
      <c r="F588" s="954"/>
      <c r="G588" s="837"/>
      <c r="H588" s="837"/>
      <c r="I588" s="954"/>
      <c r="J588" s="837"/>
      <c r="K588" s="837"/>
      <c r="L588" s="954"/>
      <c r="M588" s="837"/>
      <c r="N588" s="837"/>
      <c r="O588" s="954"/>
      <c r="P588" s="837"/>
      <c r="Q588" s="837"/>
      <c r="R588" s="954"/>
      <c r="S588" s="837"/>
      <c r="T588" s="837"/>
      <c r="U588" s="954"/>
      <c r="V588" s="837"/>
      <c r="W588" s="837"/>
    </row>
    <row r="589" spans="2:23" ht="15" hidden="1" customHeight="1" x14ac:dyDescent="0.25">
      <c r="B589" s="837"/>
      <c r="C589" s="953"/>
      <c r="D589" s="954"/>
      <c r="E589" s="837"/>
      <c r="F589" s="954"/>
      <c r="G589" s="837"/>
      <c r="H589" s="837"/>
      <c r="I589" s="954"/>
      <c r="J589" s="837"/>
      <c r="K589" s="837"/>
      <c r="L589" s="954"/>
      <c r="M589" s="837"/>
      <c r="N589" s="837"/>
      <c r="O589" s="954"/>
      <c r="P589" s="837"/>
      <c r="Q589" s="837"/>
      <c r="R589" s="954"/>
      <c r="S589" s="837"/>
      <c r="T589" s="837"/>
      <c r="U589" s="954"/>
      <c r="V589" s="837"/>
      <c r="W589" s="837"/>
    </row>
    <row r="590" spans="2:23" ht="38.25" hidden="1" customHeight="1" x14ac:dyDescent="0.25">
      <c r="B590" s="837"/>
      <c r="C590" s="953"/>
      <c r="D590" s="954"/>
      <c r="E590" s="955"/>
      <c r="F590" s="956">
        <v>1</v>
      </c>
      <c r="G590" s="955">
        <v>2</v>
      </c>
      <c r="H590" s="955">
        <v>3</v>
      </c>
      <c r="I590" s="956">
        <v>4</v>
      </c>
      <c r="J590" s="955">
        <v>5</v>
      </c>
      <c r="K590" s="955">
        <v>6</v>
      </c>
      <c r="L590" s="956">
        <v>7</v>
      </c>
      <c r="M590" s="955">
        <v>8</v>
      </c>
      <c r="N590" s="955">
        <v>9</v>
      </c>
      <c r="O590" s="956">
        <v>10</v>
      </c>
      <c r="P590" s="837"/>
      <c r="Q590" s="837"/>
      <c r="R590" s="954"/>
      <c r="S590" s="837"/>
      <c r="T590" s="837"/>
      <c r="U590" s="954"/>
      <c r="V590" s="837"/>
      <c r="W590" s="837"/>
    </row>
    <row r="591" spans="2:23" ht="38.25" hidden="1" customHeight="1" x14ac:dyDescent="0.25">
      <c r="B591" s="837"/>
      <c r="C591" s="953"/>
      <c r="D591" s="954"/>
      <c r="E591" s="955">
        <v>1</v>
      </c>
      <c r="F591" s="957">
        <f>IF(F13=0,"",F13)</f>
        <v>1.7831018518518519E-3</v>
      </c>
      <c r="G591" s="958">
        <f>IF(I13=0,"",I13)</f>
        <v>1.8467592592592596E-3</v>
      </c>
      <c r="H591" s="958">
        <f>IF(L13=0,"",L13)</f>
        <v>1.7894675925925925E-3</v>
      </c>
      <c r="I591" s="957">
        <f>IF(O13=0,"",O13)</f>
        <v>1.75E-3</v>
      </c>
      <c r="J591" s="958">
        <f>IF(R13=0,"",R13)</f>
        <v>1.8901620370370372E-3</v>
      </c>
      <c r="K591" s="958">
        <f>IF(U13=0,"",U13)</f>
        <v>1.8304398148148149E-3</v>
      </c>
      <c r="L591" s="957" t="str">
        <f>IF(X13=0,"",X13)</f>
        <v/>
      </c>
      <c r="M591" s="958" t="str">
        <f>IF(AA13=0,"",AA13)</f>
        <v/>
      </c>
      <c r="N591" s="958" t="str">
        <f>IF(AD13=0,"",AD13)</f>
        <v/>
      </c>
      <c r="O591" s="957" t="str">
        <f>IF(AG13=0,"",AG13)</f>
        <v/>
      </c>
      <c r="P591" s="837"/>
      <c r="Q591" s="837"/>
      <c r="R591" s="954"/>
      <c r="S591" s="837"/>
      <c r="T591" s="837"/>
      <c r="U591" s="954"/>
      <c r="V591" s="837"/>
      <c r="W591" s="837"/>
    </row>
    <row r="592" spans="2:23" ht="38.25" hidden="1" customHeight="1" x14ac:dyDescent="0.25">
      <c r="B592" s="837"/>
      <c r="C592" s="953"/>
      <c r="D592" s="954"/>
      <c r="E592" s="955">
        <v>2</v>
      </c>
      <c r="F592" s="957" t="str">
        <f>IF(F16=0,"",F16)</f>
        <v/>
      </c>
      <c r="G592" s="958">
        <f>IF(I16=0,"",I16)</f>
        <v>1.8596064814814814E-3</v>
      </c>
      <c r="H592" s="958">
        <f>IF(L16=0,"",L16)</f>
        <v>1.7115740740740739E-3</v>
      </c>
      <c r="I592" s="957">
        <f>IF(O16=0,"",O16)</f>
        <v>1.6637731481481484E-3</v>
      </c>
      <c r="J592" s="958">
        <f>IF(R16=0,"",R16)</f>
        <v>1.6520833333333333E-3</v>
      </c>
      <c r="K592" s="958">
        <f>IF(U16=0,"",U16)</f>
        <v>1.6135416666666668E-3</v>
      </c>
      <c r="L592" s="957" t="str">
        <f>IF(X16=0,"",X16)</f>
        <v/>
      </c>
      <c r="M592" s="958" t="str">
        <f>IF(AA16=0,"",AA16)</f>
        <v/>
      </c>
      <c r="N592" s="958" t="str">
        <f>IF(AD16=0,"",AD16)</f>
        <v/>
      </c>
      <c r="O592" s="957" t="str">
        <f>IF(AG16=0,"",AG16)</f>
        <v/>
      </c>
      <c r="P592" s="837"/>
      <c r="Q592" s="837"/>
      <c r="R592" s="954"/>
      <c r="S592" s="837"/>
      <c r="T592" s="837"/>
      <c r="U592" s="954"/>
      <c r="V592" s="837"/>
      <c r="W592" s="837"/>
    </row>
    <row r="593" spans="2:23" ht="38.25" hidden="1" customHeight="1" x14ac:dyDescent="0.25">
      <c r="B593" s="837"/>
      <c r="C593" s="953"/>
      <c r="D593" s="954"/>
      <c r="E593" s="955">
        <v>3</v>
      </c>
      <c r="F593" s="957">
        <f>IF(F19=0,"",F19)</f>
        <v>1.7363425925925925E-3</v>
      </c>
      <c r="G593" s="958" t="str">
        <f>IF(I19=0,"",I19)</f>
        <v/>
      </c>
      <c r="H593" s="958" t="str">
        <f>IF(L19=0,"",L19)</f>
        <v/>
      </c>
      <c r="I593" s="957">
        <f>IF(O19=0,"",O19)</f>
        <v>1.8369212962962963E-3</v>
      </c>
      <c r="J593" s="958">
        <f>IF(R19=0,"",R19)</f>
        <v>1.8157407407407408E-3</v>
      </c>
      <c r="K593" s="958">
        <f>IF(U19=0,"",U19)</f>
        <v>1.9184027777777778E-3</v>
      </c>
      <c r="L593" s="957" t="str">
        <f>IF(X19=0,"",X19)</f>
        <v/>
      </c>
      <c r="M593" s="958" t="str">
        <f>IF(AA19=0,"",AA19)</f>
        <v/>
      </c>
      <c r="N593" s="958" t="str">
        <f>IF(AD19=0,"",AD19)</f>
        <v/>
      </c>
      <c r="O593" s="957" t="str">
        <f>IF(AG19=0,"",AG19)</f>
        <v/>
      </c>
      <c r="P593" s="837"/>
      <c r="Q593" s="837"/>
      <c r="R593" s="954"/>
      <c r="S593" s="837"/>
      <c r="T593" s="837"/>
      <c r="U593" s="954"/>
      <c r="V593" s="837"/>
      <c r="W593" s="837"/>
    </row>
    <row r="594" spans="2:23" ht="38.25" hidden="1" customHeight="1" x14ac:dyDescent="0.25">
      <c r="B594" s="837"/>
      <c r="C594" s="953"/>
      <c r="D594" s="954"/>
      <c r="E594" s="955">
        <v>4</v>
      </c>
      <c r="F594" s="957" t="str">
        <f>IF(F21=0,"",F21)</f>
        <v/>
      </c>
      <c r="G594" s="958">
        <f>IF(I21=0,"",I21)</f>
        <v>1.6399305555555557E-3</v>
      </c>
      <c r="H594" s="958" t="str">
        <f>IF(L21=0,"",L21)</f>
        <v/>
      </c>
      <c r="I594" s="957">
        <f>IF(O21=0,"",O21)</f>
        <v>2.0035879629629631E-3</v>
      </c>
      <c r="J594" s="958">
        <f>IF(R21=0,"",R21)</f>
        <v>1.7332175925925926E-3</v>
      </c>
      <c r="K594" s="958">
        <f>IF(U21=0,"",U21)</f>
        <v>1.7974537037037037E-3</v>
      </c>
      <c r="L594" s="957" t="str">
        <f>IF(X21=0,"",X21)</f>
        <v/>
      </c>
      <c r="M594" s="958" t="str">
        <f>IF(AA21=0,"",AA21)</f>
        <v/>
      </c>
      <c r="N594" s="958" t="str">
        <f>IF(AD21=0,"",AD21)</f>
        <v/>
      </c>
      <c r="O594" s="957" t="str">
        <f>IF(AG21=0,"",AG21)</f>
        <v/>
      </c>
      <c r="P594" s="837"/>
      <c r="Q594" s="837"/>
      <c r="R594" s="954"/>
      <c r="S594" s="837"/>
      <c r="T594" s="837"/>
      <c r="U594" s="954"/>
      <c r="V594" s="837"/>
      <c r="W594" s="837"/>
    </row>
    <row r="595" spans="2:23" ht="38.25" hidden="1" customHeight="1" x14ac:dyDescent="0.25">
      <c r="B595" s="837"/>
      <c r="C595" s="953"/>
      <c r="D595" s="954"/>
      <c r="E595" s="955">
        <v>5</v>
      </c>
      <c r="F595" s="957">
        <f>IF(F23=0,"",F23)</f>
        <v>1.645949074074074E-3</v>
      </c>
      <c r="G595" s="958">
        <f>IF(I23=0,"",I23)</f>
        <v>1.742361111111111E-3</v>
      </c>
      <c r="H595" s="958">
        <f>IF(L23=0,"",L23)</f>
        <v>1.6287037037037036E-3</v>
      </c>
      <c r="I595" s="957">
        <f>IF(O23=0,"",O23)</f>
        <v>1.6534722222222222E-3</v>
      </c>
      <c r="J595" s="958">
        <f>IF(R23=0,"",R23)</f>
        <v>1.7437500000000003E-3</v>
      </c>
      <c r="K595" s="958">
        <f>IF(U23=0,"",U23)</f>
        <v>1.9731481481481479E-3</v>
      </c>
      <c r="L595" s="957" t="str">
        <f>IF(X23=0,"",X23)</f>
        <v/>
      </c>
      <c r="M595" s="958" t="str">
        <f>IF(AA23=0,"",AA23)</f>
        <v/>
      </c>
      <c r="N595" s="958" t="str">
        <f>IF(AD23=0,"",AD23)</f>
        <v/>
      </c>
      <c r="O595" s="957" t="str">
        <f>IF(AG23=0,"",AG23)</f>
        <v/>
      </c>
      <c r="P595" s="837"/>
      <c r="Q595" s="837"/>
      <c r="R595" s="954"/>
      <c r="S595" s="837"/>
      <c r="T595" s="837"/>
      <c r="U595" s="954"/>
      <c r="V595" s="837"/>
      <c r="W595" s="837"/>
    </row>
    <row r="596" spans="2:23" ht="38.25" hidden="1" customHeight="1" x14ac:dyDescent="0.25">
      <c r="B596" s="837"/>
      <c r="C596" s="953"/>
      <c r="D596" s="954"/>
      <c r="E596" s="955">
        <v>6</v>
      </c>
      <c r="F596" s="957">
        <f>IF(F25=0,"",F25)</f>
        <v>1.7806712962962965E-3</v>
      </c>
      <c r="G596" s="958">
        <f>IF(I25=0,"",I25)</f>
        <v>1.7177083333333332E-3</v>
      </c>
      <c r="H596" s="958">
        <f>IF(L25=0,"",L25)</f>
        <v>1.6693287037037039E-3</v>
      </c>
      <c r="I596" s="957">
        <f>IF(O25=0,"",O25)</f>
        <v>1.8538194444444446E-3</v>
      </c>
      <c r="J596" s="958">
        <f>IF(R25=0,"",R25)</f>
        <v>1.8093750000000002E-3</v>
      </c>
      <c r="K596" s="958">
        <f>IF(U25=0,"",U25)</f>
        <v>1.5825231481481482E-3</v>
      </c>
      <c r="L596" s="957" t="str">
        <f>IF(X25=0,"",X25)</f>
        <v/>
      </c>
      <c r="M596" s="958" t="str">
        <f>IF(AA25=0,"",AA25)</f>
        <v/>
      </c>
      <c r="N596" s="958" t="str">
        <f>IF(AD25=0,"",AD25)</f>
        <v/>
      </c>
      <c r="O596" s="957" t="str">
        <f>IF(AG25=0,"",AG25)</f>
        <v/>
      </c>
      <c r="P596" s="837"/>
      <c r="Q596" s="837"/>
      <c r="R596" s="954"/>
      <c r="S596" s="837"/>
      <c r="T596" s="837"/>
      <c r="U596" s="954"/>
      <c r="V596" s="837"/>
      <c r="W596" s="837"/>
    </row>
    <row r="597" spans="2:23" ht="38.25" hidden="1" customHeight="1" x14ac:dyDescent="0.25">
      <c r="B597" s="837"/>
      <c r="C597" s="953"/>
      <c r="D597" s="954"/>
      <c r="E597" s="955">
        <v>7</v>
      </c>
      <c r="F597" s="957">
        <f>IF(F27=0,"",F27)</f>
        <v>1.4748842592592591E-3</v>
      </c>
      <c r="G597" s="958">
        <f>IF(I27=0,"",I27)</f>
        <v>1.4600694444444444E-3</v>
      </c>
      <c r="H597" s="958">
        <f>IF(L27=0,"",L27)</f>
        <v>1.4290509259259258E-3</v>
      </c>
      <c r="I597" s="957">
        <f>IF(O27=0,"",O27)</f>
        <v>1.4349537037037037E-3</v>
      </c>
      <c r="J597" s="958">
        <f>IF(R27=0,"",R27)</f>
        <v>1.3890046296296298E-3</v>
      </c>
      <c r="K597" s="958">
        <f>IF(U27=0,"",U27)</f>
        <v>1.391435185185185E-3</v>
      </c>
      <c r="L597" s="957" t="str">
        <f>IF(X27=0,"",X27)</f>
        <v/>
      </c>
      <c r="M597" s="958" t="str">
        <f>IF(AA27=0,"",AA27)</f>
        <v/>
      </c>
      <c r="N597" s="958" t="str">
        <f>IF(AD27=0,"",AD27)</f>
        <v/>
      </c>
      <c r="O597" s="957" t="str">
        <f>IF(AG27=0,"",AG27)</f>
        <v/>
      </c>
      <c r="P597" s="837"/>
      <c r="Q597" s="837"/>
      <c r="R597" s="954"/>
      <c r="S597" s="837"/>
      <c r="T597" s="837"/>
      <c r="U597" s="954"/>
      <c r="V597" s="837"/>
      <c r="W597" s="837"/>
    </row>
    <row r="598" spans="2:23" ht="38.25" hidden="1" customHeight="1" x14ac:dyDescent="0.25">
      <c r="B598" s="837"/>
      <c r="C598" s="953"/>
      <c r="D598" s="954"/>
      <c r="E598" s="955">
        <v>8</v>
      </c>
      <c r="F598" s="957">
        <f>IF(F29=0,"",F29)</f>
        <v>1.4600694444444444E-3</v>
      </c>
      <c r="G598" s="958">
        <f>IF(I29=0,"",I29)</f>
        <v>1.3547453703703701E-3</v>
      </c>
      <c r="H598" s="958">
        <f>IF(L29=0,"",L29)</f>
        <v>1.4348379629629631E-3</v>
      </c>
      <c r="I598" s="957">
        <f>IF(O29=0,"",O29)</f>
        <v>1.3260416666666666E-3</v>
      </c>
      <c r="J598" s="958">
        <f>IF(R29=0,"",R29)</f>
        <v>1.2678240740740742E-3</v>
      </c>
      <c r="K598" s="958">
        <f>IF(U29=0,"",U29)</f>
        <v>1.262037037037037E-3</v>
      </c>
      <c r="L598" s="957" t="str">
        <f>IF(X29=0,"",X29)</f>
        <v/>
      </c>
      <c r="M598" s="958" t="str">
        <f>IF(AA29=0,"",AA29)</f>
        <v/>
      </c>
      <c r="N598" s="958" t="str">
        <f>IF(AD29=0,"",AD29)</f>
        <v/>
      </c>
      <c r="O598" s="957" t="str">
        <f>IF(AG29=0,"",AG29)</f>
        <v/>
      </c>
      <c r="P598" s="837"/>
      <c r="Q598" s="837"/>
      <c r="R598" s="954"/>
      <c r="S598" s="837"/>
      <c r="T598" s="837"/>
      <c r="U598" s="954"/>
      <c r="V598" s="837"/>
      <c r="W598" s="837"/>
    </row>
    <row r="599" spans="2:23" ht="38.25" hidden="1" customHeight="1" x14ac:dyDescent="0.25">
      <c r="B599" s="837"/>
      <c r="C599" s="953"/>
      <c r="D599" s="954"/>
      <c r="E599" s="955">
        <v>9</v>
      </c>
      <c r="F599" s="957" t="str">
        <f>IF(F31=0,"",F31)</f>
        <v/>
      </c>
      <c r="G599" s="958">
        <f>IF(I31=0,"",I31)</f>
        <v>1.6187500000000002E-3</v>
      </c>
      <c r="H599" s="958">
        <f>IF(L31=0,"",L31)</f>
        <v>1.6140046296296295E-3</v>
      </c>
      <c r="I599" s="957">
        <f>IF(O31=0,"",O31)</f>
        <v>1.5174768518518517E-3</v>
      </c>
      <c r="J599" s="958">
        <f>IF(R31=0,"",R31)</f>
        <v>1.5806712962962962E-3</v>
      </c>
      <c r="K599" s="958">
        <f>IF(U31=0,"",U31)</f>
        <v>1.6027777777777776E-3</v>
      </c>
      <c r="L599" s="957" t="str">
        <f>IF(X31=0,"",X31)</f>
        <v/>
      </c>
      <c r="M599" s="958" t="str">
        <f>IF(AA31=0,"",AA31)</f>
        <v/>
      </c>
      <c r="N599" s="958" t="str">
        <f>IF(AD31=0,"",AD31)</f>
        <v/>
      </c>
      <c r="O599" s="957" t="str">
        <f>IF(AG31=0,"",AG31)</f>
        <v/>
      </c>
      <c r="P599" s="837"/>
      <c r="Q599" s="837"/>
      <c r="R599" s="954"/>
      <c r="S599" s="837"/>
      <c r="T599" s="837"/>
      <c r="U599" s="954"/>
      <c r="V599" s="837"/>
      <c r="W599" s="837"/>
    </row>
    <row r="600" spans="2:23" ht="38.25" hidden="1" customHeight="1" x14ac:dyDescent="0.25">
      <c r="B600" s="837"/>
      <c r="C600" s="953"/>
      <c r="D600" s="954"/>
      <c r="E600" s="955">
        <v>10</v>
      </c>
      <c r="F600" s="957">
        <f>IF(F33=0,"",F33)</f>
        <v>1.5916666666666666E-3</v>
      </c>
      <c r="G600" s="958">
        <f>IF(I33=0,"",I33)</f>
        <v>1.5048611111111111E-3</v>
      </c>
      <c r="H600" s="958" t="str">
        <f>IF(L33=0,"",L33)</f>
        <v/>
      </c>
      <c r="I600" s="957">
        <f>IF(O33=0,"",O33)</f>
        <v>1.3813657407407409E-3</v>
      </c>
      <c r="J600" s="958">
        <f>IF(R33=0,"",R33)</f>
        <v>1.4202546296296298E-3</v>
      </c>
      <c r="K600" s="958">
        <f>IF(U33=0,"",U33)</f>
        <v>1.3542824074074073E-3</v>
      </c>
      <c r="L600" s="957" t="str">
        <f>IF(X33=0,"",X33)</f>
        <v/>
      </c>
      <c r="M600" s="958" t="str">
        <f>IF(AA33=0,"",AA33)</f>
        <v/>
      </c>
      <c r="N600" s="958" t="str">
        <f>IF(AD33=0,"",AD33)</f>
        <v/>
      </c>
      <c r="O600" s="957" t="str">
        <f>IF(AG33=0,"",AG33)</f>
        <v/>
      </c>
      <c r="P600" s="837"/>
      <c r="Q600" s="837"/>
      <c r="R600" s="954"/>
      <c r="S600" s="837"/>
      <c r="T600" s="837"/>
      <c r="U600" s="954"/>
      <c r="V600" s="837"/>
      <c r="W600" s="837"/>
    </row>
    <row r="601" spans="2:23" ht="38.25" hidden="1" customHeight="1" x14ac:dyDescent="0.25">
      <c r="B601" s="837"/>
      <c r="C601" s="953"/>
      <c r="D601" s="954"/>
      <c r="E601" s="955">
        <v>11</v>
      </c>
      <c r="F601" s="957">
        <f>IF(F35=0,"",F35)</f>
        <v>5.1493055555555558E-4</v>
      </c>
      <c r="G601" s="958">
        <f>IF(I35=0,"",I35)</f>
        <v>5.1990740740740741E-4</v>
      </c>
      <c r="H601" s="958" t="str">
        <f>IF(L35=0,"",L35)</f>
        <v/>
      </c>
      <c r="I601" s="957">
        <f>IF(O35=0,"",O35)</f>
        <v>4.6643518518518518E-4</v>
      </c>
      <c r="J601" s="958">
        <f>IF(R35=0,"",R35)</f>
        <v>4.6516203703703699E-4</v>
      </c>
      <c r="K601" s="958">
        <f>IF(U35=0,"",U35)</f>
        <v>5.346064814814815E-4</v>
      </c>
      <c r="L601" s="957" t="str">
        <f>IF(X35=0,"",X35)</f>
        <v/>
      </c>
      <c r="M601" s="958" t="str">
        <f>IF(AA35=0,"",AA35)</f>
        <v/>
      </c>
      <c r="N601" s="958" t="str">
        <f>IF(AD35=0,"",AD35)</f>
        <v/>
      </c>
      <c r="O601" s="957" t="str">
        <f>IF(AG35=0,"",AG35)</f>
        <v/>
      </c>
      <c r="P601" s="837"/>
      <c r="Q601" s="837"/>
      <c r="R601" s="954"/>
      <c r="S601" s="837"/>
      <c r="T601" s="837"/>
      <c r="U601" s="954"/>
      <c r="V601" s="837"/>
      <c r="W601" s="837"/>
    </row>
    <row r="602" spans="2:23" ht="38.25" hidden="1" customHeight="1" x14ac:dyDescent="0.25">
      <c r="B602" s="837"/>
      <c r="C602" s="953"/>
      <c r="D602" s="954"/>
      <c r="E602" s="955">
        <v>12</v>
      </c>
      <c r="F602" s="957" t="str">
        <f>IF(F38=0,"",F38)</f>
        <v/>
      </c>
      <c r="G602" s="958">
        <f>IF(I38=0,"",I38)</f>
        <v>4.6608796296296302E-4</v>
      </c>
      <c r="H602" s="958">
        <f>IF(L38=0,"",L38)</f>
        <v>5.4340277777777785E-4</v>
      </c>
      <c r="I602" s="957">
        <f>IF(O38=0,"",O38)</f>
        <v>5.3668981481481482E-4</v>
      </c>
      <c r="J602" s="958">
        <f>IF(R38=0,"",R38)</f>
        <v>4.7870370370370368E-4</v>
      </c>
      <c r="K602" s="958">
        <f>IF(U38=0,"",U38)</f>
        <v>5.2071759259259259E-4</v>
      </c>
      <c r="L602" s="957" t="str">
        <f>IF(X38=0,"",X38)</f>
        <v/>
      </c>
      <c r="M602" s="958" t="str">
        <f>IF(AA38=0,"",AA38)</f>
        <v/>
      </c>
      <c r="N602" s="958" t="str">
        <f>IF(AD38=0,"",AD38)</f>
        <v/>
      </c>
      <c r="O602" s="957" t="str">
        <f>IF(AG38=0,"",AG38)</f>
        <v/>
      </c>
      <c r="P602" s="837"/>
      <c r="Q602" s="837"/>
      <c r="R602" s="954"/>
      <c r="S602" s="837"/>
      <c r="T602" s="837"/>
      <c r="U602" s="954"/>
      <c r="V602" s="837"/>
      <c r="W602" s="837"/>
    </row>
    <row r="603" spans="2:23" ht="38.25" hidden="1" customHeight="1" x14ac:dyDescent="0.25">
      <c r="B603" s="837"/>
      <c r="C603" s="953"/>
      <c r="D603" s="954"/>
      <c r="E603" s="955">
        <v>13</v>
      </c>
      <c r="F603" s="957">
        <f>IF(F41=0,"",F41)</f>
        <v>9.4062500000000005E-4</v>
      </c>
      <c r="G603" s="958">
        <f>IF(I41=0,"",I41)</f>
        <v>1.1271990740740741E-3</v>
      </c>
      <c r="H603" s="958">
        <f>IF(L41=0,"",L41)</f>
        <v>9.5138888888888888E-4</v>
      </c>
      <c r="I603" s="957">
        <f>IF(O41=0,"",O41)</f>
        <v>1.0512731481481482E-3</v>
      </c>
      <c r="J603" s="958">
        <f>IF(R41=0,"",R41)</f>
        <v>1.135185185185185E-3</v>
      </c>
      <c r="K603" s="958">
        <f>IF(U41=0,"",U41)</f>
        <v>1.2004629629629631E-3</v>
      </c>
      <c r="L603" s="957" t="str">
        <f>IF(X41=0,"",X41)</f>
        <v/>
      </c>
      <c r="M603" s="958" t="str">
        <f>IF(AA41=0,"",AA41)</f>
        <v/>
      </c>
      <c r="N603" s="958" t="str">
        <f>IF(AD41=0,"",AD41)</f>
        <v/>
      </c>
      <c r="O603" s="957" t="str">
        <f>IF(AG41=0,"",AG41)</f>
        <v/>
      </c>
      <c r="P603" s="837"/>
      <c r="Q603" s="837"/>
      <c r="R603" s="954"/>
      <c r="S603" s="837"/>
      <c r="T603" s="837"/>
      <c r="U603" s="954"/>
      <c r="V603" s="837"/>
      <c r="W603" s="837"/>
    </row>
    <row r="604" spans="2:23" ht="38.25" hidden="1" customHeight="1" x14ac:dyDescent="0.25">
      <c r="B604" s="837"/>
      <c r="C604" s="953"/>
      <c r="D604" s="954"/>
      <c r="E604" s="955">
        <v>14</v>
      </c>
      <c r="F604" s="957">
        <f>IF(F44=0,"",F44)</f>
        <v>1.1857638888888888E-3</v>
      </c>
      <c r="G604" s="958">
        <f>IF(I44=0,"",I44)</f>
        <v>1.0996527777777777E-3</v>
      </c>
      <c r="H604" s="958">
        <f>IF(L44=0,"",L44)</f>
        <v>1.0501157407407408E-3</v>
      </c>
      <c r="I604" s="957">
        <f>IF(O44=0,"",O44)</f>
        <v>1.1608796296296295E-3</v>
      </c>
      <c r="J604" s="958">
        <f>IF(R44=0,"",R44)</f>
        <v>1.0450231481481482E-3</v>
      </c>
      <c r="K604" s="958">
        <f>IF(U44=0,"",U44)</f>
        <v>1.0557870370370372E-3</v>
      </c>
      <c r="L604" s="957" t="str">
        <f>IF(X44=0,"",X44)</f>
        <v/>
      </c>
      <c r="M604" s="958" t="str">
        <f>IF(AA44=0,"",AA44)</f>
        <v/>
      </c>
      <c r="N604" s="958" t="str">
        <f>IF(AD44=0,"",AD44)</f>
        <v/>
      </c>
      <c r="O604" s="957" t="str">
        <f>IF(AG44=0,"",AG44)</f>
        <v/>
      </c>
      <c r="P604" s="837"/>
      <c r="Q604" s="837"/>
      <c r="R604" s="954"/>
      <c r="S604" s="837"/>
      <c r="T604" s="837"/>
      <c r="U604" s="954"/>
      <c r="V604" s="837"/>
      <c r="W604" s="837"/>
    </row>
    <row r="605" spans="2:23" ht="38.25" hidden="1" customHeight="1" x14ac:dyDescent="0.25">
      <c r="B605" s="837"/>
      <c r="C605" s="953"/>
      <c r="D605" s="954"/>
      <c r="E605" s="955">
        <v>15</v>
      </c>
      <c r="F605" s="957">
        <f>IF(F47=0,"",F47)</f>
        <v>8.9375000000000001E-4</v>
      </c>
      <c r="G605" s="958">
        <f>IF(I47=0,"",I47)</f>
        <v>9.2106481481481477E-4</v>
      </c>
      <c r="H605" s="958">
        <f>IF(L47=0,"",L47)</f>
        <v>8.6793981481481488E-4</v>
      </c>
      <c r="I605" s="957">
        <f>IF(O47=0,"",O47)</f>
        <v>7.7500000000000008E-4</v>
      </c>
      <c r="J605" s="958">
        <f>IF(R47=0,"",R47)</f>
        <v>8.3391203703703709E-4</v>
      </c>
      <c r="K605" s="958">
        <f>IF(U47=0,"",U47)</f>
        <v>8.4525462962962972E-4</v>
      </c>
      <c r="L605" s="957" t="str">
        <f>IF(X47=0,"",X47)</f>
        <v/>
      </c>
      <c r="M605" s="958" t="str">
        <f>IF(AA47=0,"",AA47)</f>
        <v/>
      </c>
      <c r="N605" s="958" t="str">
        <f>IF(AD47=0,"",AD47)</f>
        <v/>
      </c>
      <c r="O605" s="957" t="str">
        <f>IF(AG47=0,"",AG47)</f>
        <v/>
      </c>
      <c r="P605" s="837"/>
      <c r="Q605" s="837"/>
      <c r="R605" s="954"/>
      <c r="S605" s="837"/>
      <c r="T605" s="837"/>
      <c r="U605" s="954"/>
      <c r="V605" s="837"/>
      <c r="W605" s="837"/>
    </row>
    <row r="606" spans="2:23" ht="38.25" hidden="1" customHeight="1" x14ac:dyDescent="0.25">
      <c r="B606" s="837"/>
      <c r="C606" s="953"/>
      <c r="D606" s="954"/>
      <c r="E606" s="955">
        <v>16</v>
      </c>
      <c r="F606" s="957">
        <f>IF(F50=0,"",F50)</f>
        <v>9.2187499999999995E-4</v>
      </c>
      <c r="G606" s="958">
        <f>IF(I50=0,"",I50)</f>
        <v>8.1967592592592595E-4</v>
      </c>
      <c r="H606" s="958">
        <f>IF(L50=0,"",L50)</f>
        <v>9.8182870370370373E-4</v>
      </c>
      <c r="I606" s="957">
        <f>IF(O50=0,"",O50)</f>
        <v>7.7662037037037033E-4</v>
      </c>
      <c r="J606" s="958">
        <f>IF(R50=0,"",R50)</f>
        <v>7.4768518518518511E-4</v>
      </c>
      <c r="K606" s="958" t="str">
        <f>IF(U50=0,"",U50)</f>
        <v/>
      </c>
      <c r="L606" s="957" t="str">
        <f>IF(X50=0,"",X50)</f>
        <v/>
      </c>
      <c r="M606" s="958" t="str">
        <f>IF(AA50=0,"",AA50)</f>
        <v/>
      </c>
      <c r="N606" s="958" t="str">
        <f>IF(AD50=0,"",AD50)</f>
        <v/>
      </c>
      <c r="O606" s="957" t="str">
        <f>IF(AG50=0,"",AG50)</f>
        <v/>
      </c>
      <c r="P606" s="837"/>
      <c r="Q606" s="837"/>
      <c r="R606" s="954"/>
      <c r="S606" s="837"/>
      <c r="T606" s="837"/>
      <c r="U606" s="954"/>
      <c r="V606" s="837"/>
      <c r="W606" s="837"/>
    </row>
    <row r="607" spans="2:23" ht="38.25" hidden="1" customHeight="1" x14ac:dyDescent="0.25">
      <c r="B607" s="837"/>
      <c r="C607" s="953"/>
      <c r="D607" s="954"/>
      <c r="E607" s="955">
        <v>17</v>
      </c>
      <c r="F607" s="957">
        <f>IF(F53=0,"",F53)</f>
        <v>8.8090277777777776E-4</v>
      </c>
      <c r="G607" s="958">
        <f>IF(I53=0,"",I53)</f>
        <v>9.2118055555555562E-4</v>
      </c>
      <c r="H607" s="958">
        <f>IF(L53=0,"",L53)</f>
        <v>9.0671296296296301E-4</v>
      </c>
      <c r="I607" s="957">
        <f>IF(O53=0,"",O53)</f>
        <v>7.9513888888888896E-4</v>
      </c>
      <c r="J607" s="958">
        <f>IF(R53=0,"",R53)</f>
        <v>8.6215277777777777E-4</v>
      </c>
      <c r="K607" s="958">
        <f>IF(U53=0,"",U53)</f>
        <v>9.0601851851851857E-4</v>
      </c>
      <c r="L607" s="957" t="str">
        <f>IF(X53=0,"",X53)</f>
        <v/>
      </c>
      <c r="M607" s="958" t="str">
        <f>IF(AA53=0,"",AA53)</f>
        <v/>
      </c>
      <c r="N607" s="958" t="str">
        <f>IF(AD53=0,"",AD53)</f>
        <v/>
      </c>
      <c r="O607" s="957" t="str">
        <f>IF(AG53=0,"",AG53)</f>
        <v/>
      </c>
      <c r="P607" s="837"/>
      <c r="Q607" s="837"/>
      <c r="R607" s="954"/>
      <c r="S607" s="837"/>
      <c r="T607" s="837"/>
      <c r="U607" s="954"/>
      <c r="V607" s="837"/>
      <c r="W607" s="837"/>
    </row>
    <row r="608" spans="2:23" ht="38.25" hidden="1" customHeight="1" x14ac:dyDescent="0.25">
      <c r="B608" s="837"/>
      <c r="C608" s="953"/>
      <c r="D608" s="954"/>
      <c r="E608" s="955">
        <v>18</v>
      </c>
      <c r="F608" s="957" t="str">
        <f>IF(F56=0,"",F56)</f>
        <v/>
      </c>
      <c r="G608" s="958">
        <f>IF(I56=0,"",I56)</f>
        <v>1.0456018518518518E-3</v>
      </c>
      <c r="H608" s="958">
        <f>IF(L56=0,"",L56)</f>
        <v>8.0162037037037018E-4</v>
      </c>
      <c r="I608" s="957">
        <f>IF(O56=0,"",O56)</f>
        <v>7.4166666666666662E-4</v>
      </c>
      <c r="J608" s="958">
        <f>IF(R56=0,"",R56)</f>
        <v>7.594907407407407E-4</v>
      </c>
      <c r="K608" s="958">
        <f>IF(U56=0,"",U56)</f>
        <v>7.1388888888888891E-4</v>
      </c>
      <c r="L608" s="957" t="str">
        <f>IF(X56=0,"",X56)</f>
        <v/>
      </c>
      <c r="M608" s="958" t="str">
        <f>IF(AA56=0,"",AA56)</f>
        <v/>
      </c>
      <c r="N608" s="958" t="str">
        <f>IF(AD56=0,"",AD56)</f>
        <v/>
      </c>
      <c r="O608" s="957" t="str">
        <f>IF(AG56=0,"",AG56)</f>
        <v/>
      </c>
      <c r="P608" s="837"/>
      <c r="Q608" s="837"/>
      <c r="R608" s="954"/>
      <c r="S608" s="837"/>
      <c r="T608" s="837"/>
      <c r="U608" s="954"/>
      <c r="V608" s="837"/>
      <c r="W608" s="837"/>
    </row>
    <row r="609" spans="2:23" ht="38.25" hidden="1" customHeight="1" x14ac:dyDescent="0.25">
      <c r="B609" s="837"/>
      <c r="C609" s="953"/>
      <c r="D609" s="954"/>
      <c r="E609" s="955">
        <v>19</v>
      </c>
      <c r="F609" s="957">
        <f>IF(F59=0,"",F59)</f>
        <v>4.4745370370370365E-4</v>
      </c>
      <c r="G609" s="958">
        <f>IF(I59=0,"",I59)</f>
        <v>5.0428240740740739E-4</v>
      </c>
      <c r="H609" s="958">
        <f>IF(L59=0,"",L59)</f>
        <v>4.9270833333333339E-4</v>
      </c>
      <c r="I609" s="957">
        <f>IF(O59=0,"",O59)</f>
        <v>5.276620370370371E-4</v>
      </c>
      <c r="J609" s="958">
        <f>IF(R59=0,"",R59)</f>
        <v>5.4780092592592586E-4</v>
      </c>
      <c r="K609" s="958">
        <f>IF(U59=0,"",U59)</f>
        <v>5.398148148148148E-4</v>
      </c>
      <c r="L609" s="957" t="str">
        <f>IF(X59=0,"",X59)</f>
        <v/>
      </c>
      <c r="M609" s="958" t="str">
        <f>IF(AA59=0,"",AA59)</f>
        <v/>
      </c>
      <c r="N609" s="958" t="str">
        <f>IF(AD59=0,"",AD59)</f>
        <v/>
      </c>
      <c r="O609" s="957" t="str">
        <f>IF(AG59=0,"",AG59)</f>
        <v/>
      </c>
      <c r="P609" s="837"/>
      <c r="Q609" s="837"/>
      <c r="R609" s="954"/>
      <c r="S609" s="837"/>
      <c r="T609" s="837"/>
      <c r="U609" s="954"/>
      <c r="V609" s="837"/>
      <c r="W609" s="837"/>
    </row>
    <row r="610" spans="2:23" ht="38.25" hidden="1" customHeight="1" x14ac:dyDescent="0.25">
      <c r="B610" s="837"/>
      <c r="C610" s="953"/>
      <c r="D610" s="954"/>
      <c r="E610" s="955">
        <v>20</v>
      </c>
      <c r="F610" s="957">
        <f>IF(F62=0,"",F62)</f>
        <v>6.6365740740740751E-4</v>
      </c>
      <c r="G610" s="958">
        <f>IF(I62=0,"",I62)</f>
        <v>4.5636574074074074E-4</v>
      </c>
      <c r="H610" s="958">
        <f>IF(L62=0,"",L62)</f>
        <v>5.5312500000000001E-4</v>
      </c>
      <c r="I610" s="957" t="str">
        <f>IF(O62=0,"",O62)</f>
        <v/>
      </c>
      <c r="J610" s="958">
        <f>IF(R62=0,"",R62)</f>
        <v>5.807870370370371E-4</v>
      </c>
      <c r="K610" s="958">
        <f>IF(U62=0,"",U62)</f>
        <v>4.7685185185185195E-4</v>
      </c>
      <c r="L610" s="957" t="str">
        <f>IF(X62=0,"",X62)</f>
        <v/>
      </c>
      <c r="M610" s="958" t="str">
        <f>IF(AA62=0,"",AA62)</f>
        <v/>
      </c>
      <c r="N610" s="958" t="str">
        <f>IF(AD62=0,"",AD62)</f>
        <v/>
      </c>
      <c r="O610" s="957" t="str">
        <f>IF(AG62=0,"",AG62)</f>
        <v/>
      </c>
      <c r="P610" s="837"/>
      <c r="Q610" s="837"/>
      <c r="R610" s="954"/>
      <c r="S610" s="837"/>
      <c r="T610" s="837"/>
      <c r="U610" s="954"/>
      <c r="V610" s="837"/>
      <c r="W610" s="837"/>
    </row>
    <row r="611" spans="2:23" ht="38.25" hidden="1" customHeight="1" x14ac:dyDescent="0.25">
      <c r="B611" s="837"/>
      <c r="C611" s="953"/>
      <c r="D611" s="954"/>
      <c r="E611" s="955">
        <v>21</v>
      </c>
      <c r="F611" s="957">
        <f>IF(F65=0,"",F65)</f>
        <v>1.0196759259259258E-3</v>
      </c>
      <c r="G611" s="958">
        <f>IF(I65=0,"",I65)</f>
        <v>9.2986111111111101E-4</v>
      </c>
      <c r="H611" s="958">
        <f>IF(L65=0,"",L65)</f>
        <v>9.0185185185185192E-4</v>
      </c>
      <c r="I611" s="957">
        <f>IF(O65=0,"",O65)</f>
        <v>8.8587962962962969E-4</v>
      </c>
      <c r="J611" s="958">
        <f>IF(R65=0,"",R65)</f>
        <v>9.4004629629629614E-4</v>
      </c>
      <c r="K611" s="958">
        <f>IF(U65=0,"",U65)</f>
        <v>9.2581018518518522E-4</v>
      </c>
      <c r="L611" s="957" t="str">
        <f>IF(X65=0,"",X65)</f>
        <v/>
      </c>
      <c r="M611" s="958" t="str">
        <f>IF(AA65=0,"",AA65)</f>
        <v/>
      </c>
      <c r="N611" s="958" t="str">
        <f>IF(AD65=0,"",AD65)</f>
        <v/>
      </c>
      <c r="O611" s="957" t="str">
        <f>IF(AG65=0,"",AG65)</f>
        <v/>
      </c>
      <c r="P611" s="837"/>
      <c r="Q611" s="837"/>
      <c r="R611" s="954"/>
      <c r="S611" s="837"/>
      <c r="T611" s="837"/>
      <c r="U611" s="954"/>
      <c r="V611" s="837"/>
      <c r="W611" s="837"/>
    </row>
    <row r="612" spans="2:23" ht="38.25" hidden="1" customHeight="1" x14ac:dyDescent="0.25">
      <c r="B612" s="837"/>
      <c r="C612" s="953"/>
      <c r="D612" s="954"/>
      <c r="E612" s="955">
        <v>22</v>
      </c>
      <c r="F612" s="957">
        <f>IF(F68=0,"",F68)</f>
        <v>9.3923611111111117E-4</v>
      </c>
      <c r="G612" s="958">
        <f>IF(I68=0,"",I68)</f>
        <v>1.0121527777777778E-3</v>
      </c>
      <c r="H612" s="958">
        <f>IF(L68=0,"",L68)</f>
        <v>9.3715277777777775E-4</v>
      </c>
      <c r="I612" s="957">
        <f>IF(O68=0,"",O68)</f>
        <v>1.0128472222222221E-3</v>
      </c>
      <c r="J612" s="958">
        <f>IF(R68=0,"",R68)</f>
        <v>9.032407407407408E-4</v>
      </c>
      <c r="K612" s="958">
        <f>IF(U68=0,"",U68)</f>
        <v>7.9201388888888898E-4</v>
      </c>
      <c r="L612" s="957" t="str">
        <f>IF(X68=0,"",X68)</f>
        <v/>
      </c>
      <c r="M612" s="958" t="str">
        <f>IF(AA68=0,"",AA68)</f>
        <v/>
      </c>
      <c r="N612" s="958" t="str">
        <f>IF(AD68=0,"",AD68)</f>
        <v/>
      </c>
      <c r="O612" s="957" t="str">
        <f>IF(AG68=0,"",AG68)</f>
        <v/>
      </c>
      <c r="P612" s="837"/>
      <c r="Q612" s="837"/>
      <c r="R612" s="954"/>
      <c r="S612" s="837"/>
      <c r="T612" s="837"/>
      <c r="U612" s="954"/>
      <c r="V612" s="837"/>
      <c r="W612" s="837"/>
    </row>
    <row r="613" spans="2:23" ht="38.25" hidden="1" customHeight="1" x14ac:dyDescent="0.25">
      <c r="B613" s="837"/>
      <c r="C613" s="953"/>
      <c r="D613" s="954"/>
      <c r="E613" s="955">
        <v>23</v>
      </c>
      <c r="F613" s="957">
        <f>IF(F71=0,"",F71)</f>
        <v>8.8113425925925913E-4</v>
      </c>
      <c r="G613" s="958">
        <f>IF(I71=0,"",I71)</f>
        <v>9.0543981481481476E-4</v>
      </c>
      <c r="H613" s="958">
        <f>IF(L71=0,"",L71)</f>
        <v>8.7824074074074063E-4</v>
      </c>
      <c r="I613" s="957">
        <f>IF(O71=0,"",O71)</f>
        <v>9.1539351851851851E-4</v>
      </c>
      <c r="J613" s="958">
        <f>IF(R71=0,"",R71)</f>
        <v>8.155092592592592E-4</v>
      </c>
      <c r="K613" s="958">
        <f>IF(U71=0,"",U71)</f>
        <v>9.3287037037037036E-4</v>
      </c>
      <c r="L613" s="957" t="str">
        <f>IF(X71=0,"",X71)</f>
        <v/>
      </c>
      <c r="M613" s="958" t="str">
        <f>IF(AA71=0,"",AA71)</f>
        <v/>
      </c>
      <c r="N613" s="958" t="str">
        <f>IF(AD71=0,"",AD71)</f>
        <v/>
      </c>
      <c r="O613" s="957" t="str">
        <f>IF(AG71=0,"",AG71)</f>
        <v/>
      </c>
      <c r="P613" s="837"/>
      <c r="Q613" s="837"/>
      <c r="R613" s="954"/>
      <c r="S613" s="837"/>
      <c r="T613" s="837"/>
      <c r="U613" s="954"/>
      <c r="V613" s="837"/>
      <c r="W613" s="837"/>
    </row>
    <row r="614" spans="2:23" ht="38.25" hidden="1" customHeight="1" x14ac:dyDescent="0.25">
      <c r="B614" s="837"/>
      <c r="C614" s="953"/>
      <c r="D614" s="954"/>
      <c r="E614" s="955">
        <v>24</v>
      </c>
      <c r="F614" s="957" t="str">
        <f>IF(F74=0,"",F74)</f>
        <v/>
      </c>
      <c r="G614" s="958">
        <f>IF(I74=0,"",I74)</f>
        <v>9.9282407407407414E-4</v>
      </c>
      <c r="H614" s="958">
        <f>IF(L74=0,"",L74)</f>
        <v>8.9733796296296295E-4</v>
      </c>
      <c r="I614" s="957">
        <f>IF(O74=0,"",O74)</f>
        <v>7.7939814814814809E-4</v>
      </c>
      <c r="J614" s="958">
        <f>IF(R74=0,"",R74)</f>
        <v>7.0729166666666672E-4</v>
      </c>
      <c r="K614" s="958">
        <f>IF(U74=0,"",U74)</f>
        <v>7.3865740740740749E-4</v>
      </c>
      <c r="L614" s="957" t="str">
        <f>IF(X74=0,"",X74)</f>
        <v/>
      </c>
      <c r="M614" s="958" t="str">
        <f>IF(AA74=0,"",AA74)</f>
        <v/>
      </c>
      <c r="N614" s="958" t="str">
        <f>IF(AD74=0,"",AD74)</f>
        <v/>
      </c>
      <c r="O614" s="957" t="str">
        <f>IF(AG74=0,"",AG74)</f>
        <v/>
      </c>
      <c r="P614" s="837"/>
      <c r="Q614" s="837"/>
      <c r="R614" s="954"/>
      <c r="S614" s="837"/>
      <c r="T614" s="837"/>
      <c r="U614" s="954"/>
      <c r="V614" s="837"/>
      <c r="W614" s="837"/>
    </row>
    <row r="615" spans="2:23" ht="38.25" hidden="1" customHeight="1" x14ac:dyDescent="0.25">
      <c r="B615" s="837"/>
      <c r="C615" s="953"/>
      <c r="D615" s="954"/>
      <c r="E615" s="955">
        <v>25</v>
      </c>
      <c r="F615" s="957">
        <f>IF(F77=0,"",F77)</f>
        <v>9.5601851851851848E-4</v>
      </c>
      <c r="G615" s="958">
        <f>IF(I77=0,"",I77)</f>
        <v>8.688657407407408E-4</v>
      </c>
      <c r="H615" s="958">
        <f>IF(L77=0,"",L77)</f>
        <v>8.9016203703703707E-4</v>
      </c>
      <c r="I615" s="957">
        <f>IF(O77=0,"",O77)</f>
        <v>7.8784722222222233E-4</v>
      </c>
      <c r="J615" s="958">
        <f>IF(R77=0,"",R77)</f>
        <v>8.3194444444444451E-4</v>
      </c>
      <c r="K615" s="958">
        <f>IF(U77=0,"",U77)</f>
        <v>9.0694444444444449E-4</v>
      </c>
      <c r="L615" s="957" t="str">
        <f>IF(X77=0,"",X77)</f>
        <v/>
      </c>
      <c r="M615" s="958" t="str">
        <f>IF(AA77=0,"",AA77)</f>
        <v/>
      </c>
      <c r="N615" s="958" t="str">
        <f>IF(AD77=0,"",AD77)</f>
        <v/>
      </c>
      <c r="O615" s="957" t="str">
        <f>IF(AG77=0,"",AG77)</f>
        <v/>
      </c>
      <c r="P615" s="837"/>
      <c r="Q615" s="837"/>
      <c r="R615" s="954"/>
      <c r="S615" s="837"/>
      <c r="T615" s="837"/>
      <c r="U615" s="954"/>
      <c r="V615" s="837"/>
      <c r="W615" s="837"/>
    </row>
    <row r="616" spans="2:23" ht="38.25" hidden="1" customHeight="1" x14ac:dyDescent="0.25">
      <c r="B616" s="837"/>
      <c r="C616" s="953"/>
      <c r="D616" s="954"/>
      <c r="E616" s="955">
        <v>26</v>
      </c>
      <c r="F616" s="957">
        <f>IF(F80=0,"",F80)</f>
        <v>8.2303240740740741E-4</v>
      </c>
      <c r="G616" s="958">
        <f>IF(I80=0,"",I80)</f>
        <v>7.9606481481481466E-4</v>
      </c>
      <c r="H616" s="958" t="str">
        <f>IF(L80=0,"",L80)</f>
        <v/>
      </c>
      <c r="I616" s="957">
        <f>IF(O80=0,"",O80)</f>
        <v>7.1481481481481483E-4</v>
      </c>
      <c r="J616" s="958">
        <f>IF(R80=0,"",R80)</f>
        <v>7.6111111111111117E-4</v>
      </c>
      <c r="K616" s="958">
        <f>IF(U80=0,"",U80)</f>
        <v>7.7326388888888887E-4</v>
      </c>
      <c r="L616" s="957" t="str">
        <f>IF(X80=0,"",X80)</f>
        <v/>
      </c>
      <c r="M616" s="958" t="str">
        <f>IF(AA80=0,"",AA80)</f>
        <v/>
      </c>
      <c r="N616" s="958" t="str">
        <f>IF(AD80=0,"",AD80)</f>
        <v/>
      </c>
      <c r="O616" s="957" t="str">
        <f>IF(AG80=0,"",AG80)</f>
        <v/>
      </c>
      <c r="P616" s="837"/>
      <c r="Q616" s="837"/>
      <c r="R616" s="954"/>
      <c r="S616" s="837"/>
      <c r="T616" s="837"/>
      <c r="U616" s="954"/>
      <c r="V616" s="837"/>
      <c r="W616" s="837"/>
    </row>
    <row r="617" spans="2:23" ht="38.25" hidden="1" customHeight="1" x14ac:dyDescent="0.25">
      <c r="B617" s="837"/>
      <c r="C617" s="953"/>
      <c r="D617" s="954"/>
      <c r="E617" s="955">
        <v>27</v>
      </c>
      <c r="F617" s="957">
        <f>IF(F83=0,"",F83)</f>
        <v>5.8287037037037042E-4</v>
      </c>
      <c r="G617" s="958">
        <f>IF(I83=0,"",I83)</f>
        <v>6.0682870370370372E-4</v>
      </c>
      <c r="H617" s="958" t="str">
        <f>IF(L83=0,"",L83)</f>
        <v/>
      </c>
      <c r="I617" s="957">
        <f>IF(O83=0,"",O83)</f>
        <v>5.7696759259259257E-4</v>
      </c>
      <c r="J617" s="958">
        <f>IF(R83=0,"",R83)</f>
        <v>5.8101851851851858E-4</v>
      </c>
      <c r="K617" s="958">
        <f>IF(U83=0,"",U83)</f>
        <v>5.8090277777777773E-4</v>
      </c>
      <c r="L617" s="957" t="str">
        <f>IF(X83=0,"",X83)</f>
        <v/>
      </c>
      <c r="M617" s="958" t="str">
        <f>IF(AA83=0,"",AA83)</f>
        <v/>
      </c>
      <c r="N617" s="958" t="str">
        <f>IF(AD83=0,"",AD83)</f>
        <v/>
      </c>
      <c r="O617" s="957" t="str">
        <f>IF(AG83=0,"",AG83)</f>
        <v/>
      </c>
      <c r="P617" s="837"/>
      <c r="Q617" s="837"/>
      <c r="R617" s="954"/>
      <c r="S617" s="837"/>
      <c r="T617" s="837"/>
      <c r="U617" s="954"/>
      <c r="V617" s="837"/>
      <c r="W617" s="837"/>
    </row>
    <row r="618" spans="2:23" ht="38.25" hidden="1" customHeight="1" x14ac:dyDescent="0.25">
      <c r="B618" s="837"/>
      <c r="C618" s="953"/>
      <c r="D618" s="954"/>
      <c r="E618" s="955">
        <v>28</v>
      </c>
      <c r="F618" s="957" t="str">
        <f>IF(F86=0,"",F86)</f>
        <v/>
      </c>
      <c r="G618" s="958">
        <f>IF(I86=0,"",I86)</f>
        <v>4.9606481481481485E-4</v>
      </c>
      <c r="H618" s="958">
        <f>IF(L86=0,"",L86)</f>
        <v>6.1481481481481478E-4</v>
      </c>
      <c r="I618" s="957">
        <f>IF(O86=0,"",O86)</f>
        <v>5.7210648148148149E-4</v>
      </c>
      <c r="J618" s="958">
        <f>IF(R86=0,"",R86)</f>
        <v>5.1655092592592594E-4</v>
      </c>
      <c r="K618" s="958">
        <f>IF(U86=0,"",U86)</f>
        <v>5.7083333333333324E-4</v>
      </c>
      <c r="L618" s="957" t="str">
        <f>IF(X86=0,"",X86)</f>
        <v/>
      </c>
      <c r="M618" s="958" t="str">
        <f>IF(AA86=0,"",AA86)</f>
        <v/>
      </c>
      <c r="N618" s="958" t="str">
        <f>IF(AD86=0,"",AD86)</f>
        <v/>
      </c>
      <c r="O618" s="957" t="str">
        <f>IF(AG86=0,"",AG86)</f>
        <v/>
      </c>
      <c r="P618" s="837"/>
      <c r="Q618" s="837"/>
      <c r="R618" s="954"/>
      <c r="S618" s="837"/>
      <c r="T618" s="837"/>
      <c r="U618" s="954"/>
      <c r="V618" s="837"/>
      <c r="W618" s="837"/>
    </row>
    <row r="619" spans="2:23" ht="38.25" hidden="1" customHeight="1" x14ac:dyDescent="0.25">
      <c r="B619" s="837"/>
      <c r="C619" s="953"/>
      <c r="D619" s="954"/>
      <c r="E619" s="955">
        <v>29</v>
      </c>
      <c r="F619" s="957">
        <f>IF(F89=0,"",F89)</f>
        <v>9.662037037037036E-4</v>
      </c>
      <c r="G619" s="958">
        <f>IF(I89=0,"",I89)</f>
        <v>1.0836805555555556E-3</v>
      </c>
      <c r="H619" s="958">
        <f>IF(L89=0,"",L89)</f>
        <v>9.8414351851851853E-4</v>
      </c>
      <c r="I619" s="957">
        <f>IF(O89=0,"",O89)</f>
        <v>9.0659722222222216E-4</v>
      </c>
      <c r="J619" s="958">
        <f>IF(R89=0,"",R89)</f>
        <v>9.0937499999999992E-4</v>
      </c>
      <c r="K619" s="958">
        <f>IF(U89=0,"",U89)</f>
        <v>9.300925925925926E-4</v>
      </c>
      <c r="L619" s="957" t="str">
        <f>IF(X89=0,"",X89)</f>
        <v/>
      </c>
      <c r="M619" s="958" t="str">
        <f>IF(AA89=0,"",AA89)</f>
        <v/>
      </c>
      <c r="N619" s="958" t="str">
        <f>IF(AD89=0,"",AD89)</f>
        <v/>
      </c>
      <c r="O619" s="957" t="str">
        <f>IF(AG89=0,"",AG89)</f>
        <v/>
      </c>
      <c r="P619" s="837"/>
      <c r="Q619" s="837"/>
      <c r="R619" s="954"/>
      <c r="S619" s="837"/>
      <c r="T619" s="837"/>
      <c r="U619" s="954"/>
      <c r="V619" s="837"/>
      <c r="W619" s="837"/>
    </row>
    <row r="620" spans="2:23" ht="38.25" hidden="1" customHeight="1" x14ac:dyDescent="0.25">
      <c r="B620" s="837"/>
      <c r="C620" s="953"/>
      <c r="D620" s="954"/>
      <c r="E620" s="955">
        <v>30</v>
      </c>
      <c r="F620" s="957">
        <f>IF(F92=0,"",F92)</f>
        <v>9.8692129629629629E-4</v>
      </c>
      <c r="G620" s="958">
        <f>IF(I92=0,"",I92)</f>
        <v>1.004976851851852E-3</v>
      </c>
      <c r="H620" s="958">
        <f>IF(L92=0,"",L92)</f>
        <v>9.1284722222222212E-4</v>
      </c>
      <c r="I620" s="957">
        <f>IF(O92=0,"",O92)</f>
        <v>1.0731481481481479E-3</v>
      </c>
      <c r="J620" s="958">
        <f>IF(R92=0,"",R92)</f>
        <v>1.2238425925925926E-3</v>
      </c>
      <c r="K620" s="958">
        <f>IF(U92=0,"",U92)</f>
        <v>9.4016203703703699E-4</v>
      </c>
      <c r="L620" s="957" t="str">
        <f>IF(X92=0,"",X92)</f>
        <v/>
      </c>
      <c r="M620" s="958" t="str">
        <f>IF(AA92=0,"",AA92)</f>
        <v/>
      </c>
      <c r="N620" s="958" t="str">
        <f>IF(AD92=0,"",AD92)</f>
        <v/>
      </c>
      <c r="O620" s="957" t="str">
        <f>IF(AG92=0,"",AG92)</f>
        <v/>
      </c>
      <c r="P620" s="837"/>
      <c r="Q620" s="837"/>
      <c r="R620" s="954"/>
      <c r="S620" s="837"/>
      <c r="T620" s="837"/>
      <c r="U620" s="954"/>
      <c r="V620" s="837"/>
      <c r="W620" s="837"/>
    </row>
    <row r="621" spans="2:23" ht="38.25" hidden="1" customHeight="1" x14ac:dyDescent="0.25">
      <c r="B621" s="837"/>
      <c r="C621" s="953"/>
      <c r="D621" s="954"/>
      <c r="E621" s="955">
        <v>31</v>
      </c>
      <c r="F621" s="957">
        <f>IF(F95=0,"",F95)</f>
        <v>8.273148148148149E-4</v>
      </c>
      <c r="G621" s="958">
        <f>IF(I95=0,"",I95)</f>
        <v>7.3935185185185182E-4</v>
      </c>
      <c r="H621" s="958">
        <f>IF(L95=0,"",L95)</f>
        <v>7.7731481481481477E-4</v>
      </c>
      <c r="I621" s="957">
        <f>IF(O95=0,"",O95)</f>
        <v>7.6041666666666662E-4</v>
      </c>
      <c r="J621" s="958">
        <f>IF(R95=0,"",R95)</f>
        <v>7.3888888888888886E-4</v>
      </c>
      <c r="K621" s="958">
        <f>IF(U95=0,"",U95)</f>
        <v>7.5868055555555552E-4</v>
      </c>
      <c r="L621" s="957" t="str">
        <f>IF(X95=0,"",X95)</f>
        <v/>
      </c>
      <c r="M621" s="958" t="str">
        <f>IF(AA95=0,"",AA95)</f>
        <v/>
      </c>
      <c r="N621" s="958" t="str">
        <f>IF(AD95=0,"",AD95)</f>
        <v/>
      </c>
      <c r="O621" s="957" t="str">
        <f>IF(AG95=0,"",AG95)</f>
        <v/>
      </c>
      <c r="P621" s="837"/>
      <c r="Q621" s="837"/>
      <c r="R621" s="954"/>
      <c r="S621" s="837"/>
      <c r="T621" s="837"/>
      <c r="U621" s="954"/>
      <c r="V621" s="837"/>
      <c r="W621" s="837"/>
    </row>
    <row r="622" spans="2:23" ht="38.25" hidden="1" customHeight="1" x14ac:dyDescent="0.25">
      <c r="B622" s="837"/>
      <c r="C622" s="953"/>
      <c r="D622" s="954"/>
      <c r="E622" s="955">
        <v>32</v>
      </c>
      <c r="F622" s="957">
        <f>IF(F98=0,"",F98)</f>
        <v>7.817129629629629E-4</v>
      </c>
      <c r="G622" s="958">
        <f>IF(I98=0,"",I98)</f>
        <v>7.4780092592592595E-4</v>
      </c>
      <c r="H622" s="958">
        <f>IF(L98=0,"",L98)</f>
        <v>7.6770833333333335E-4</v>
      </c>
      <c r="I622" s="957">
        <f>IF(O98=0,"",O98)</f>
        <v>6.8576388888888897E-4</v>
      </c>
      <c r="J622" s="958">
        <f>IF(R98=0,"",R98)</f>
        <v>6.3321759259259266E-4</v>
      </c>
      <c r="K622" s="958" t="str">
        <f>IF(U98=0,"",U98)</f>
        <v/>
      </c>
      <c r="L622" s="957" t="str">
        <f>IF(X98=0,"",X98)</f>
        <v/>
      </c>
      <c r="M622" s="958" t="str">
        <f>IF(AA98=0,"",AA98)</f>
        <v/>
      </c>
      <c r="N622" s="958" t="str">
        <f>IF(AD98=0,"",AD98)</f>
        <v/>
      </c>
      <c r="O622" s="957" t="str">
        <f>IF(AG98=0,"",AG98)</f>
        <v/>
      </c>
      <c r="P622" s="837"/>
      <c r="Q622" s="837"/>
      <c r="R622" s="954"/>
      <c r="S622" s="837"/>
      <c r="T622" s="837"/>
      <c r="U622" s="954"/>
      <c r="V622" s="837"/>
      <c r="W622" s="837"/>
    </row>
    <row r="623" spans="2:23" ht="38.25" hidden="1" customHeight="1" x14ac:dyDescent="0.25">
      <c r="B623" s="837"/>
      <c r="C623" s="953"/>
      <c r="D623" s="954"/>
      <c r="E623" s="955">
        <v>33</v>
      </c>
      <c r="F623" s="957">
        <f>IF(F101=0,"",F101)</f>
        <v>9.0185185185185192E-4</v>
      </c>
      <c r="G623" s="958">
        <f>IF(I101=0,"",I101)</f>
        <v>1.0266203703703702E-3</v>
      </c>
      <c r="H623" s="958">
        <f>IF(L101=0,"",L101)</f>
        <v>9.638888888888888E-4</v>
      </c>
      <c r="I623" s="957">
        <f>IF(O101=0,"",O101)</f>
        <v>9.4085648148148143E-4</v>
      </c>
      <c r="J623" s="958">
        <f>IF(R101=0,"",R101)</f>
        <v>9.7719907407407412E-4</v>
      </c>
      <c r="K623" s="958">
        <f>IF(U101=0,"",U101)</f>
        <v>9.8564814814814804E-4</v>
      </c>
      <c r="L623" s="957" t="str">
        <f>IF(X101=0,"",X101)</f>
        <v/>
      </c>
      <c r="M623" s="958" t="str">
        <f>IF(AA101=0,"",AA101)</f>
        <v/>
      </c>
      <c r="N623" s="958" t="str">
        <f>IF(AD101=0,"",AD101)</f>
        <v/>
      </c>
      <c r="O623" s="957" t="str">
        <f>IF(AG101=0,"",AG101)</f>
        <v/>
      </c>
      <c r="P623" s="837"/>
      <c r="Q623" s="837"/>
      <c r="R623" s="954"/>
      <c r="S623" s="837"/>
      <c r="T623" s="837"/>
      <c r="U623" s="954"/>
      <c r="V623" s="837"/>
      <c r="W623" s="837"/>
    </row>
    <row r="624" spans="2:23" ht="38.25" hidden="1" customHeight="1" x14ac:dyDescent="0.25">
      <c r="B624" s="837"/>
      <c r="C624" s="953"/>
      <c r="D624" s="954"/>
      <c r="E624" s="955">
        <v>34</v>
      </c>
      <c r="F624" s="957">
        <f>IF(F104=0,"",F104)</f>
        <v>9.3692129629629627E-4</v>
      </c>
      <c r="G624" s="958">
        <f>IF(I104=0,"",I104)</f>
        <v>1.0325231481481481E-3</v>
      </c>
      <c r="H624" s="958">
        <f>IF(L104=0,"",L104)</f>
        <v>8.0763888888888888E-4</v>
      </c>
      <c r="I624" s="957">
        <f>IF(O104=0,"",O104)</f>
        <v>8.902777777777777E-4</v>
      </c>
      <c r="J624" s="958">
        <f>IF(R104=0,"",R104)</f>
        <v>8.2581018518518518E-4</v>
      </c>
      <c r="K624" s="958">
        <f>IF(U104=0,"",U104)</f>
        <v>8.2638888888888877E-4</v>
      </c>
      <c r="L624" s="957" t="str">
        <f>IF(X104=0,"",X104)</f>
        <v/>
      </c>
      <c r="M624" s="958" t="str">
        <f>IF(AA104=0,"",AA104)</f>
        <v/>
      </c>
      <c r="N624" s="958" t="str">
        <f>IF(AD104=0,"",AD104)</f>
        <v/>
      </c>
      <c r="O624" s="957" t="str">
        <f>IF(AG104=0,"",AG104)</f>
        <v/>
      </c>
      <c r="P624" s="837"/>
      <c r="Q624" s="837"/>
      <c r="R624" s="954"/>
      <c r="S624" s="837"/>
      <c r="T624" s="837"/>
      <c r="U624" s="954"/>
      <c r="V624" s="837"/>
      <c r="W624" s="837"/>
    </row>
    <row r="625" spans="2:23" ht="38.25" hidden="1" customHeight="1" x14ac:dyDescent="0.25">
      <c r="B625" s="837"/>
      <c r="C625" s="953"/>
      <c r="D625" s="954"/>
      <c r="E625" s="955">
        <v>35</v>
      </c>
      <c r="F625" s="957">
        <f>IF(F107=0,"",F107)</f>
        <v>3.996527777777778E-4</v>
      </c>
      <c r="G625" s="958">
        <f>IF(I107=0,"",I107)</f>
        <v>4.4780092592592587E-4</v>
      </c>
      <c r="H625" s="958">
        <f>IF(L107=0,"",L107)</f>
        <v>4.3414351851851855E-4</v>
      </c>
      <c r="I625" s="957">
        <f>IF(O107=0,"",O107)</f>
        <v>4.1967592592592593E-4</v>
      </c>
      <c r="J625" s="958">
        <f>IF(R107=0,"",R107)</f>
        <v>4.2754629629629626E-4</v>
      </c>
      <c r="K625" s="958">
        <f>IF(U107=0,"",U107)</f>
        <v>4.7604166666666666E-4</v>
      </c>
      <c r="L625" s="957" t="str">
        <f>IF(X107=0,"",X107)</f>
        <v/>
      </c>
      <c r="M625" s="958" t="str">
        <f>IF(AA107=0,"",AA107)</f>
        <v/>
      </c>
      <c r="N625" s="958" t="str">
        <f>IF(AD107=0,"",AD107)</f>
        <v/>
      </c>
      <c r="O625" s="957" t="str">
        <f>IF(AG107=0,"",AG107)</f>
        <v/>
      </c>
      <c r="P625" s="837"/>
      <c r="Q625" s="837"/>
      <c r="R625" s="954"/>
      <c r="S625" s="837"/>
      <c r="T625" s="837"/>
      <c r="U625" s="954"/>
      <c r="V625" s="837"/>
      <c r="W625" s="837"/>
    </row>
    <row r="626" spans="2:23" ht="38.25" hidden="1" customHeight="1" x14ac:dyDescent="0.25">
      <c r="B626" s="837"/>
      <c r="C626" s="953"/>
      <c r="D626" s="954"/>
      <c r="E626" s="955">
        <v>36</v>
      </c>
      <c r="F626" s="957">
        <f>IF(F110=0,"",F110)</f>
        <v>5.3078703703703697E-4</v>
      </c>
      <c r="G626" s="958">
        <f>IF(I110=0,"",I110)</f>
        <v>4.4502314814814817E-4</v>
      </c>
      <c r="H626" s="958">
        <f>IF(L110=0,"",L110)</f>
        <v>4.4016203703703708E-4</v>
      </c>
      <c r="I626" s="957">
        <f>IF(O110=0,"",O110)</f>
        <v>4.2395833333333332E-4</v>
      </c>
      <c r="J626" s="958">
        <f>IF(R110=0,"",R110)</f>
        <v>4.096064814814815E-4</v>
      </c>
      <c r="K626" s="958">
        <f>IF(U110=0,"",U110)</f>
        <v>4.0983796296296292E-4</v>
      </c>
      <c r="L626" s="957" t="str">
        <f>IF(X110=0,"",X110)</f>
        <v/>
      </c>
      <c r="M626" s="958" t="str">
        <f>IF(AA110=0,"",AA110)</f>
        <v/>
      </c>
      <c r="N626" s="958" t="str">
        <f>IF(AD110=0,"",AD110)</f>
        <v/>
      </c>
      <c r="O626" s="957" t="str">
        <f>IF(AG110=0,"",AG110)</f>
        <v/>
      </c>
      <c r="P626" s="837"/>
      <c r="Q626" s="837"/>
      <c r="R626" s="954"/>
      <c r="S626" s="837"/>
      <c r="T626" s="837"/>
      <c r="U626" s="954"/>
      <c r="V626" s="837"/>
      <c r="W626" s="837"/>
    </row>
    <row r="627" spans="2:23" ht="38.25" hidden="1" customHeight="1" x14ac:dyDescent="0.25">
      <c r="B627" s="837"/>
      <c r="C627" s="953"/>
      <c r="D627" s="954"/>
      <c r="E627" s="955">
        <v>37</v>
      </c>
      <c r="F627" s="957">
        <f>IF(F113=0,"",F113)</f>
        <v>8.0532407407407408E-4</v>
      </c>
      <c r="G627" s="958">
        <f>IF(I113=0,"",I113)</f>
        <v>8.2650462962962962E-4</v>
      </c>
      <c r="H627" s="958">
        <f>IF(L113=0,"",L113)</f>
        <v>7.6724537037037039E-4</v>
      </c>
      <c r="I627" s="957">
        <f>IF(O113=0,"",O113)</f>
        <v>7.6041666666666662E-4</v>
      </c>
      <c r="J627" s="958">
        <f>IF(R113=0,"",R113)</f>
        <v>8.0844907407407395E-4</v>
      </c>
      <c r="K627" s="958">
        <f>IF(U113=0,"",U113)</f>
        <v>8.0833333333333321E-4</v>
      </c>
      <c r="L627" s="957" t="str">
        <f>IF(X113=0,"",X113)</f>
        <v/>
      </c>
      <c r="M627" s="958" t="str">
        <f>IF(AA113=0,"",AA113)</f>
        <v/>
      </c>
      <c r="N627" s="958" t="str">
        <f>IF(AD113=0,"",AD113)</f>
        <v/>
      </c>
      <c r="O627" s="957" t="str">
        <f>IF(AG113=0,"",AG113)</f>
        <v/>
      </c>
      <c r="P627" s="837"/>
      <c r="Q627" s="837"/>
      <c r="R627" s="954"/>
      <c r="S627" s="837"/>
      <c r="T627" s="837"/>
      <c r="U627" s="954"/>
      <c r="V627" s="837"/>
      <c r="W627" s="837"/>
    </row>
    <row r="628" spans="2:23" ht="38.25" hidden="1" customHeight="1" x14ac:dyDescent="0.25">
      <c r="B628" s="837"/>
      <c r="C628" s="953"/>
      <c r="D628" s="954"/>
      <c r="E628" s="955">
        <v>38</v>
      </c>
      <c r="F628" s="957">
        <f>IF(F116=0,"",F116)</f>
        <v>7.5578703703703702E-4</v>
      </c>
      <c r="G628" s="958">
        <f>IF(I116=0,"",I116)</f>
        <v>7.6261574074074079E-4</v>
      </c>
      <c r="H628" s="958">
        <f>IF(L116=0,"",L116)</f>
        <v>7.693287037037036E-4</v>
      </c>
      <c r="I628" s="957">
        <f>IF(O116=0,"",O116)</f>
        <v>8.0902777777777787E-4</v>
      </c>
      <c r="J628" s="958">
        <f>IF(R116=0,"",R116)</f>
        <v>9.4976851851851852E-4</v>
      </c>
      <c r="K628" s="958">
        <f>IF(U116=0,"",U116)</f>
        <v>7.1898148148148158E-4</v>
      </c>
      <c r="L628" s="957" t="str">
        <f>IF(X116=0,"",X116)</f>
        <v/>
      </c>
      <c r="M628" s="958" t="str">
        <f>IF(AA116=0,"",AA116)</f>
        <v/>
      </c>
      <c r="N628" s="958" t="str">
        <f>IF(AD116=0,"",AD116)</f>
        <v/>
      </c>
      <c r="O628" s="957" t="str">
        <f>IF(AG116=0,"",AG116)</f>
        <v/>
      </c>
      <c r="P628" s="837"/>
      <c r="Q628" s="837"/>
      <c r="R628" s="954"/>
      <c r="S628" s="837"/>
      <c r="T628" s="837"/>
      <c r="U628" s="954"/>
      <c r="V628" s="837"/>
      <c r="W628" s="837"/>
    </row>
    <row r="629" spans="2:23" ht="38.25" hidden="1" customHeight="1" x14ac:dyDescent="0.25">
      <c r="B629" s="837"/>
      <c r="C629" s="953"/>
      <c r="D629" s="954"/>
      <c r="E629" s="955">
        <v>39</v>
      </c>
      <c r="F629" s="957">
        <f>IF(F119=0,"",F119)</f>
        <v>1.0129629629629631E-3</v>
      </c>
      <c r="G629" s="958">
        <f>IF(I119=0,"",I119)</f>
        <v>1.0931712962962963E-3</v>
      </c>
      <c r="H629" s="958">
        <f>IF(L119=0,"",L119)</f>
        <v>9.5104166666666655E-4</v>
      </c>
      <c r="I629" s="957">
        <f>IF(O119=0,"",O119)</f>
        <v>1.0902777777777779E-3</v>
      </c>
      <c r="J629" s="958">
        <f>IF(R119=0,"",R119)</f>
        <v>9.3217592592592603E-4</v>
      </c>
      <c r="K629" s="958">
        <f>IF(U119=0,"",U119)</f>
        <v>9.9178240740740759E-4</v>
      </c>
      <c r="L629" s="957" t="str">
        <f>IF(X119=0,"",X119)</f>
        <v/>
      </c>
      <c r="M629" s="958" t="str">
        <f>IF(AA119=0,"",AA119)</f>
        <v/>
      </c>
      <c r="N629" s="958" t="str">
        <f>IF(AD119=0,"",AD119)</f>
        <v/>
      </c>
      <c r="O629" s="957" t="str">
        <f>IF(AG119=0,"",AG119)</f>
        <v/>
      </c>
      <c r="P629" s="837"/>
      <c r="Q629" s="837"/>
      <c r="R629" s="954"/>
      <c r="S629" s="837"/>
      <c r="T629" s="837"/>
      <c r="U629" s="954"/>
      <c r="V629" s="837"/>
      <c r="W629" s="837"/>
    </row>
    <row r="630" spans="2:23" ht="38.25" hidden="1" customHeight="1" x14ac:dyDescent="0.25">
      <c r="B630" s="837"/>
      <c r="C630" s="953"/>
      <c r="D630" s="954"/>
      <c r="E630" s="955">
        <v>40</v>
      </c>
      <c r="F630" s="957">
        <f>IF(F122=0,"",F122)</f>
        <v>1.0069444444444444E-3</v>
      </c>
      <c r="G630" s="958">
        <f>IF(I122=0,"",I122)</f>
        <v>9.3819444444444451E-4</v>
      </c>
      <c r="H630" s="958">
        <f>IF(L122=0,"",L122)</f>
        <v>9.0844907407407411E-4</v>
      </c>
      <c r="I630" s="957">
        <f>IF(O122=0,"",O122)</f>
        <v>9.0567129629629635E-4</v>
      </c>
      <c r="J630" s="958">
        <f>IF(R122=0,"",R122)</f>
        <v>9.0636574074074068E-4</v>
      </c>
      <c r="K630" s="958">
        <f>IF(U122=0,"",U122)</f>
        <v>9.1944444444444452E-4</v>
      </c>
      <c r="L630" s="957" t="str">
        <f>IF(X122=0,"",X122)</f>
        <v/>
      </c>
      <c r="M630" s="958" t="str">
        <f>IF(AA122=0,"",AA122)</f>
        <v/>
      </c>
      <c r="N630" s="958" t="str">
        <f>IF(AD122=0,"",AD122)</f>
        <v/>
      </c>
      <c r="O630" s="957" t="str">
        <f>IF(AG122=0,"",AG122)</f>
        <v/>
      </c>
      <c r="P630" s="837"/>
      <c r="Q630" s="837"/>
      <c r="R630" s="954"/>
      <c r="S630" s="837"/>
      <c r="T630" s="837"/>
      <c r="U630" s="954"/>
      <c r="V630" s="837"/>
      <c r="W630" s="837"/>
    </row>
    <row r="631" spans="2:23" ht="38.25" hidden="1" customHeight="1" x14ac:dyDescent="0.25">
      <c r="B631" s="837"/>
      <c r="C631" s="953"/>
      <c r="D631" s="954"/>
      <c r="E631" s="955">
        <v>41</v>
      </c>
      <c r="F631" s="957">
        <f>IF(F125=0,"",F125)</f>
        <v>7.4201388888888884E-4</v>
      </c>
      <c r="G631" s="958">
        <f>IF(I125=0,"",I125)</f>
        <v>7.799768518518519E-4</v>
      </c>
      <c r="H631" s="958">
        <f>IF(L125=0,"",L125)</f>
        <v>7.7418981481481479E-4</v>
      </c>
      <c r="I631" s="957">
        <f>IF(O125=0,"",O125)</f>
        <v>7.6076388888888884E-4</v>
      </c>
      <c r="J631" s="958">
        <f>IF(R125=0,"",R125)</f>
        <v>7.618055555555555E-4</v>
      </c>
      <c r="K631" s="958">
        <f>IF(U125=0,"",U125)</f>
        <v>7.6412037037037041E-4</v>
      </c>
      <c r="L631" s="957" t="str">
        <f>IF(X125=0,"",X125)</f>
        <v/>
      </c>
      <c r="M631" s="958" t="str">
        <f>IF(AA125=0,"",AA125)</f>
        <v/>
      </c>
      <c r="N631" s="958" t="str">
        <f>IF(AD125=0,"",AD125)</f>
        <v/>
      </c>
      <c r="O631" s="957" t="str">
        <f>IF(AG125=0,"",AG125)</f>
        <v/>
      </c>
      <c r="P631" s="837"/>
      <c r="Q631" s="837"/>
      <c r="R631" s="954"/>
      <c r="S631" s="837"/>
      <c r="T631" s="837"/>
      <c r="U631" s="954"/>
      <c r="V631" s="837"/>
      <c r="W631" s="837"/>
    </row>
    <row r="632" spans="2:23" ht="38.25" hidden="1" customHeight="1" x14ac:dyDescent="0.25">
      <c r="B632" s="837"/>
      <c r="C632" s="953"/>
      <c r="D632" s="954"/>
      <c r="E632" s="955">
        <v>42</v>
      </c>
      <c r="F632" s="957">
        <f>IF(F128=0,"",F128)</f>
        <v>7.2094907407407405E-4</v>
      </c>
      <c r="G632" s="958">
        <f>IF(I128=0,"",I128)</f>
        <v>7.1099537037037041E-4</v>
      </c>
      <c r="H632" s="958">
        <f>IF(L128=0,"",L128)</f>
        <v>7.0335648148148145E-4</v>
      </c>
      <c r="I632" s="957">
        <f>IF(O128=0,"",O128)</f>
        <v>6.5474537037037031E-4</v>
      </c>
      <c r="J632" s="958">
        <f>IF(R128=0,"",R128)</f>
        <v>6.7881944444444446E-4</v>
      </c>
      <c r="K632" s="958">
        <f>IF(U128=0,"",U128)</f>
        <v>6.4444444444444445E-4</v>
      </c>
      <c r="L632" s="957" t="str">
        <f>IF(X128=0,"",X128)</f>
        <v/>
      </c>
      <c r="M632" s="958" t="str">
        <f>IF(AA128=0,"",AA128)</f>
        <v/>
      </c>
      <c r="N632" s="958" t="str">
        <f>IF(AD128=0,"",AD128)</f>
        <v/>
      </c>
      <c r="O632" s="957" t="str">
        <f>IF(AG128=0,"",AG128)</f>
        <v/>
      </c>
      <c r="P632" s="837"/>
      <c r="Q632" s="837"/>
      <c r="R632" s="954"/>
      <c r="S632" s="837"/>
      <c r="T632" s="837"/>
      <c r="U632" s="954"/>
      <c r="V632" s="837"/>
      <c r="W632" s="837"/>
    </row>
    <row r="633" spans="2:23" ht="38.25" hidden="1" customHeight="1" x14ac:dyDescent="0.25">
      <c r="B633" s="837"/>
      <c r="C633" s="953"/>
      <c r="D633" s="954"/>
      <c r="E633" s="955">
        <v>43</v>
      </c>
      <c r="F633" s="957">
        <f>IF(F131=0,"",F131)</f>
        <v>2.0284722222222219E-3</v>
      </c>
      <c r="G633" s="958">
        <f>IF(I131=0,"",I131)</f>
        <v>2.1328703703703705E-3</v>
      </c>
      <c r="H633" s="958" t="str">
        <f>IF(L131=0,"",L131)</f>
        <v/>
      </c>
      <c r="I633" s="957">
        <f>IF(O131=0,"",O131)</f>
        <v>2.0923611111111112E-3</v>
      </c>
      <c r="J633" s="958">
        <f>IF(R131=0,"",R131)</f>
        <v>2.1501157407407406E-3</v>
      </c>
      <c r="K633" s="958">
        <f>IF(U131=0,"",U131)</f>
        <v>2.2398148148148147E-3</v>
      </c>
      <c r="L633" s="957" t="str">
        <f>IF(X131=0,"",X131)</f>
        <v/>
      </c>
      <c r="M633" s="958" t="str">
        <f>IF(AA131=0,"",AA131)</f>
        <v/>
      </c>
      <c r="N633" s="958" t="str">
        <f>IF(AD131=0,"",AD131)</f>
        <v/>
      </c>
      <c r="O633" s="957" t="str">
        <f>IF(AG131=0,"",AG131)</f>
        <v/>
      </c>
      <c r="P633" s="837"/>
      <c r="Q633" s="837"/>
      <c r="R633" s="954"/>
      <c r="S633" s="837"/>
      <c r="T633" s="837"/>
      <c r="U633" s="954"/>
      <c r="V633" s="837"/>
      <c r="W633" s="837"/>
    </row>
    <row r="634" spans="2:23" ht="38.25" hidden="1" customHeight="1" x14ac:dyDescent="0.25">
      <c r="B634" s="837"/>
      <c r="C634" s="953"/>
      <c r="D634" s="954"/>
      <c r="E634" s="955">
        <v>44</v>
      </c>
      <c r="F634" s="957" t="str">
        <f>IF(F133=0,"",F133)</f>
        <v/>
      </c>
      <c r="G634" s="958">
        <f>IF(I133=0,"",I133)</f>
        <v>1.8879629629629628E-3</v>
      </c>
      <c r="H634" s="958" t="str">
        <f>IF(L133=0,"",L133)</f>
        <v/>
      </c>
      <c r="I634" s="957">
        <f>IF(O133=0,"",O133)</f>
        <v>2.379050925925926E-3</v>
      </c>
      <c r="J634" s="958">
        <f>IF(R133=0,"",R133)</f>
        <v>2.0459490740740742E-3</v>
      </c>
      <c r="K634" s="958" t="str">
        <f>IF(U133=0,"",U133)</f>
        <v/>
      </c>
      <c r="L634" s="957" t="str">
        <f>IF(X133=0,"",X133)</f>
        <v/>
      </c>
      <c r="M634" s="958" t="str">
        <f>IF(AA133=0,"",AA133)</f>
        <v/>
      </c>
      <c r="N634" s="958" t="str">
        <f>IF(AD133=0,"",AD133)</f>
        <v/>
      </c>
      <c r="O634" s="957" t="str">
        <f>IF(AG133=0,"",AG133)</f>
        <v/>
      </c>
      <c r="P634" s="837"/>
      <c r="Q634" s="837"/>
      <c r="R634" s="954"/>
      <c r="S634" s="837"/>
      <c r="T634" s="837"/>
      <c r="U634" s="954"/>
      <c r="V634" s="837"/>
      <c r="W634" s="837"/>
    </row>
    <row r="635" spans="2:23" ht="38.25" hidden="1" customHeight="1" x14ac:dyDescent="0.25">
      <c r="B635" s="837"/>
      <c r="C635" s="953"/>
      <c r="D635" s="954"/>
      <c r="E635" s="955">
        <v>45</v>
      </c>
      <c r="F635" s="957">
        <f>IF(F135=0,"",F135)</f>
        <v>1.5287037037037038E-3</v>
      </c>
      <c r="G635" s="958">
        <f>IF(I135=0,"",I135)</f>
        <v>1.5825231481481482E-3</v>
      </c>
      <c r="H635" s="958">
        <f>IF(L135=0,"",L135)</f>
        <v>1.4799768518518519E-3</v>
      </c>
      <c r="I635" s="957">
        <f>IF(O135=0,"",O135)</f>
        <v>1.4490740740740742E-3</v>
      </c>
      <c r="J635" s="958">
        <f>IF(R135=0,"",R135)</f>
        <v>1.5416666666666669E-3</v>
      </c>
      <c r="K635" s="958">
        <f>IF(U135=0,"",U135)</f>
        <v>1.7312499999999999E-3</v>
      </c>
      <c r="L635" s="957" t="str">
        <f>IF(X135=0,"",X135)</f>
        <v/>
      </c>
      <c r="M635" s="958" t="str">
        <f>IF(AA135=0,"",AA135)</f>
        <v/>
      </c>
      <c r="N635" s="958" t="str">
        <f>IF(AD135=0,"",AD135)</f>
        <v/>
      </c>
      <c r="O635" s="957" t="str">
        <f>IF(AG135=0,"",AG135)</f>
        <v/>
      </c>
      <c r="P635" s="837"/>
      <c r="Q635" s="837"/>
      <c r="R635" s="954"/>
      <c r="S635" s="837"/>
      <c r="T635" s="837"/>
      <c r="U635" s="954"/>
      <c r="V635" s="837"/>
      <c r="W635" s="837"/>
    </row>
    <row r="636" spans="2:23" ht="38.25" hidden="1" customHeight="1" x14ac:dyDescent="0.25">
      <c r="B636" s="837"/>
      <c r="C636" s="953"/>
      <c r="D636" s="954"/>
      <c r="E636" s="955">
        <v>46</v>
      </c>
      <c r="F636" s="957">
        <f>IF(F137=0,"",F137)</f>
        <v>1.5355324074074073E-3</v>
      </c>
      <c r="G636" s="958">
        <f>IF(I137=0,"",I137)</f>
        <v>1.5901620370370368E-3</v>
      </c>
      <c r="H636" s="958">
        <f>IF(L137=0,"",L137)</f>
        <v>1.4519675925925926E-3</v>
      </c>
      <c r="I636" s="957">
        <f>IF(O137=0,"",O137)</f>
        <v>1.6111111111111109E-3</v>
      </c>
      <c r="J636" s="958">
        <f>IF(R137=0,"",R137)</f>
        <v>1.6079861111111112E-3</v>
      </c>
      <c r="K636" s="958">
        <f>IF(U137=0,"",U137)</f>
        <v>1.3805555555555557E-3</v>
      </c>
      <c r="L636" s="957" t="str">
        <f>IF(X137=0,"",X137)</f>
        <v/>
      </c>
      <c r="M636" s="958" t="str">
        <f>IF(AA137=0,"",AA137)</f>
        <v/>
      </c>
      <c r="N636" s="958" t="str">
        <f>IF(AD137=0,"",AD137)</f>
        <v/>
      </c>
      <c r="O636" s="957" t="str">
        <f>IF(AG137=0,"",AG137)</f>
        <v/>
      </c>
      <c r="P636" s="837"/>
      <c r="Q636" s="837"/>
      <c r="R636" s="954"/>
      <c r="S636" s="837"/>
      <c r="T636" s="837"/>
      <c r="U636" s="954"/>
      <c r="V636" s="837"/>
      <c r="W636" s="837"/>
    </row>
    <row r="637" spans="2:23" ht="38.25" hidden="1" customHeight="1" x14ac:dyDescent="0.25">
      <c r="B637" s="837"/>
      <c r="C637" s="953"/>
      <c r="D637" s="954"/>
      <c r="E637" s="955">
        <v>47</v>
      </c>
      <c r="F637" s="957">
        <f>IF(F139=0,"",F139)</f>
        <v>1.663310185185185E-3</v>
      </c>
      <c r="G637" s="958">
        <f>IF(I139=0,"",I139)</f>
        <v>1.7428240740740739E-3</v>
      </c>
      <c r="H637" s="958">
        <f>IF(L139=0,"",L139)</f>
        <v>1.6858796296296294E-3</v>
      </c>
      <c r="I637" s="957">
        <f>IF(O139=0,"",O139)</f>
        <v>1.6114583333333334E-3</v>
      </c>
      <c r="J637" s="958">
        <f>IF(R139=0,"",R139)</f>
        <v>1.5557870370370372E-3</v>
      </c>
      <c r="K637" s="958">
        <f>IF(U139=0,"",U139)</f>
        <v>1.5972222222222221E-3</v>
      </c>
      <c r="L637" s="957" t="str">
        <f>IF(X139=0,"",X139)</f>
        <v/>
      </c>
      <c r="M637" s="958" t="str">
        <f>IF(AA139=0,"",AA139)</f>
        <v/>
      </c>
      <c r="N637" s="958" t="str">
        <f>IF(AD139=0,"",AD139)</f>
        <v/>
      </c>
      <c r="O637" s="957" t="str">
        <f>IF(AG139=0,"",AG139)</f>
        <v/>
      </c>
      <c r="P637" s="837"/>
      <c r="Q637" s="837"/>
      <c r="R637" s="954"/>
      <c r="S637" s="837"/>
      <c r="T637" s="837"/>
      <c r="U637" s="954"/>
      <c r="V637" s="837"/>
      <c r="W637" s="837"/>
    </row>
    <row r="638" spans="2:23" ht="38.25" hidden="1" customHeight="1" x14ac:dyDescent="0.25">
      <c r="B638" s="837"/>
      <c r="C638" s="953"/>
      <c r="D638" s="954"/>
      <c r="E638" s="955">
        <v>48</v>
      </c>
      <c r="F638" s="957">
        <f>IF(F141=0,"",F141)</f>
        <v>1.7131944444444445E-3</v>
      </c>
      <c r="G638" s="958">
        <f>IF(I141=0,"",I141)</f>
        <v>1.6046296296296297E-3</v>
      </c>
      <c r="H638" s="958">
        <f>IF(L141=0,"",L141)</f>
        <v>1.612962962962963E-3</v>
      </c>
      <c r="I638" s="957" t="str">
        <f>IF(O141=0,"",O141)</f>
        <v/>
      </c>
      <c r="J638" s="958">
        <f>IF(R141=0,"",R141)</f>
        <v>1.4068287037037038E-3</v>
      </c>
      <c r="K638" s="958">
        <f>IF(U141=0,"",U141)</f>
        <v>1.4570601851851854E-3</v>
      </c>
      <c r="L638" s="957" t="str">
        <f>IF(X141=0,"",X141)</f>
        <v/>
      </c>
      <c r="M638" s="958" t="str">
        <f>IF(AA141=0,"",AA141)</f>
        <v/>
      </c>
      <c r="N638" s="958" t="str">
        <f>IF(AD141=0,"",AD141)</f>
        <v/>
      </c>
      <c r="O638" s="957" t="str">
        <f>IF(AG141=0,"",AG141)</f>
        <v/>
      </c>
      <c r="P638" s="837"/>
      <c r="Q638" s="837"/>
      <c r="R638" s="954"/>
      <c r="S638" s="837"/>
      <c r="T638" s="837"/>
      <c r="U638" s="954"/>
      <c r="V638" s="837"/>
      <c r="W638" s="837"/>
    </row>
    <row r="639" spans="2:23" ht="30" hidden="1" customHeight="1" x14ac:dyDescent="0.25">
      <c r="B639" s="837"/>
      <c r="C639" s="953"/>
      <c r="D639" s="954"/>
      <c r="E639" s="955">
        <v>49</v>
      </c>
      <c r="F639" s="957">
        <f>IF(F143=0,"",F143)</f>
        <v>1.4341435185185186E-3</v>
      </c>
      <c r="G639" s="958">
        <f>IF(I143=0,"",I143)</f>
        <v>1.5045138888888888E-3</v>
      </c>
      <c r="H639" s="958">
        <f>IF(L143=0,"",L143)</f>
        <v>1.4663194444444444E-3</v>
      </c>
      <c r="I639" s="957">
        <f>IF(O143=0,"",O143)</f>
        <v>1.3895833333333332E-3</v>
      </c>
      <c r="J639" s="958">
        <f>IF(R143=0,"",R143)</f>
        <v>1.387962962962963E-3</v>
      </c>
      <c r="K639" s="958">
        <f>IF(U143=0,"",U143)</f>
        <v>1.4398148148148148E-3</v>
      </c>
      <c r="L639" s="957" t="str">
        <f>IF(X143=0,"",X143)</f>
        <v/>
      </c>
      <c r="M639" s="958" t="str">
        <f>IF(AA143=0,"",AA143)</f>
        <v/>
      </c>
      <c r="N639" s="958" t="str">
        <f>IF(AD143=0,"",AD143)</f>
        <v/>
      </c>
      <c r="O639" s="957" t="str">
        <f>IF(AG143=0,"",AG143)</f>
        <v/>
      </c>
      <c r="P639" s="837"/>
      <c r="Q639" s="837"/>
      <c r="R639" s="954"/>
      <c r="S639" s="837"/>
      <c r="T639" s="837"/>
      <c r="U639" s="954"/>
      <c r="V639" s="837"/>
      <c r="W639" s="837"/>
    </row>
    <row r="640" spans="2:23" ht="30" hidden="1" customHeight="1" x14ac:dyDescent="0.25">
      <c r="B640" s="837"/>
      <c r="C640" s="953"/>
      <c r="D640" s="954"/>
      <c r="E640" s="955">
        <v>50</v>
      </c>
      <c r="F640" s="957">
        <f>IF(F145=0,"",F145)</f>
        <v>1.3858796296296295E-3</v>
      </c>
      <c r="G640" s="958">
        <f>IF(I145=0,"",I145)</f>
        <v>1.3265046296296295E-3</v>
      </c>
      <c r="H640" s="958">
        <f>IF(L145=0,"",L145)</f>
        <v>1.3187499999999998E-3</v>
      </c>
      <c r="I640" s="957">
        <f>IF(O145=0,"",O145)</f>
        <v>1.2317129629629629E-3</v>
      </c>
      <c r="J640" s="958">
        <f>IF(R145=0,"",R145)</f>
        <v>1.2390046296296296E-3</v>
      </c>
      <c r="K640" s="958">
        <f>IF(U145=0,"",U145)</f>
        <v>1.2075231481481483E-3</v>
      </c>
      <c r="L640" s="957" t="str">
        <f>IF(X145=0,"",X145)</f>
        <v/>
      </c>
      <c r="M640" s="958" t="str">
        <f>IF(AA145=0,"",AA145)</f>
        <v/>
      </c>
      <c r="N640" s="958" t="str">
        <f>IF(AD145=0,"",AD145)</f>
        <v/>
      </c>
      <c r="O640" s="957" t="str">
        <f>IF(AG145=0,"",AG145)</f>
        <v/>
      </c>
      <c r="P640" s="837"/>
      <c r="Q640" s="837"/>
      <c r="R640" s="954"/>
      <c r="S640" s="837"/>
      <c r="T640" s="837"/>
      <c r="U640" s="954"/>
      <c r="V640" s="837"/>
      <c r="W640" s="837"/>
    </row>
    <row r="641" spans="2:23" ht="15" hidden="1" customHeight="1" x14ac:dyDescent="0.25">
      <c r="B641" s="837"/>
      <c r="C641" s="953"/>
      <c r="D641" s="954"/>
      <c r="E641" s="837">
        <v>51</v>
      </c>
      <c r="F641" s="957">
        <f>IF(F147=0,"",F147)</f>
        <v>3.0379629629629628E-3</v>
      </c>
      <c r="G641" s="958">
        <f>IF(I147=0,"",I147)</f>
        <v>2.8525462962962962E-3</v>
      </c>
      <c r="H641" s="958">
        <f>IF(L147=0,"",L147)</f>
        <v>3.0815972222222221E-3</v>
      </c>
      <c r="I641" s="957">
        <f>IF(O147=0,"",O147)</f>
        <v>2.8396990740740739E-3</v>
      </c>
      <c r="J641" s="958">
        <f>IF(R147=0,"",R147)</f>
        <v>2.9663194444444446E-3</v>
      </c>
      <c r="K641" s="958" t="str">
        <f>IF(U147=0,"",U147)</f>
        <v/>
      </c>
      <c r="L641" s="957" t="str">
        <f>IF(X147=0,"",X147)</f>
        <v/>
      </c>
      <c r="M641" s="958" t="str">
        <f>IF(AA147=0,"",AA147)</f>
        <v/>
      </c>
      <c r="N641" s="958" t="str">
        <f>IF(AD147=0,"",AD147)</f>
        <v/>
      </c>
      <c r="O641" s="957" t="str">
        <f>IF(AG147=0,"",AG147)</f>
        <v/>
      </c>
      <c r="P641" s="837"/>
      <c r="Q641" s="837"/>
      <c r="R641" s="954"/>
      <c r="S641" s="837"/>
      <c r="T641" s="837"/>
      <c r="U641" s="954"/>
      <c r="V641" s="837"/>
      <c r="W641" s="837"/>
    </row>
    <row r="642" spans="2:23" ht="15" hidden="1" customHeight="1" x14ac:dyDescent="0.25">
      <c r="B642" s="837"/>
      <c r="C642" s="953"/>
      <c r="D642" s="954"/>
      <c r="E642" s="837"/>
      <c r="F642" s="954"/>
      <c r="G642" s="837"/>
      <c r="H642" s="837"/>
      <c r="I642" s="954"/>
      <c r="J642" s="837"/>
      <c r="K642" s="837"/>
      <c r="L642" s="954"/>
      <c r="M642" s="837"/>
      <c r="N642" s="837"/>
      <c r="O642" s="954"/>
      <c r="P642" s="837"/>
      <c r="Q642" s="837"/>
      <c r="R642" s="954"/>
      <c r="S642" s="837"/>
      <c r="T642" s="837"/>
      <c r="U642" s="954"/>
      <c r="V642" s="837"/>
      <c r="W642" s="837"/>
    </row>
    <row r="643" spans="2:23" hidden="1" x14ac:dyDescent="0.25">
      <c r="B643" s="837"/>
      <c r="C643" s="953"/>
      <c r="D643" s="954"/>
      <c r="E643" s="837"/>
      <c r="F643" s="954"/>
      <c r="G643" s="837"/>
      <c r="H643" s="837"/>
      <c r="I643" s="954"/>
      <c r="J643" s="837"/>
      <c r="K643" s="837"/>
      <c r="L643" s="954"/>
      <c r="M643" s="837"/>
      <c r="N643" s="837"/>
      <c r="O643" s="954"/>
      <c r="P643" s="837"/>
      <c r="Q643" s="837"/>
      <c r="R643" s="954"/>
      <c r="S643" s="837"/>
      <c r="T643" s="837"/>
      <c r="U643" s="954"/>
      <c r="V643" s="837"/>
      <c r="W643" s="837"/>
    </row>
    <row r="644" spans="2:23" hidden="1" x14ac:dyDescent="0.25">
      <c r="B644" s="837"/>
      <c r="C644" s="953"/>
      <c r="D644" s="954"/>
      <c r="E644" s="837"/>
      <c r="F644" s="954"/>
      <c r="G644" s="837"/>
      <c r="H644" s="837"/>
      <c r="I644" s="954"/>
      <c r="J644" s="837"/>
      <c r="K644" s="837"/>
      <c r="L644" s="954"/>
      <c r="M644" s="837"/>
      <c r="N644" s="837"/>
      <c r="O644" s="954"/>
      <c r="P644" s="837"/>
      <c r="Q644" s="837"/>
      <c r="R644" s="954"/>
      <c r="S644" s="837"/>
      <c r="T644" s="837"/>
      <c r="U644" s="954"/>
      <c r="V644" s="837"/>
      <c r="W644" s="837"/>
    </row>
    <row r="645" spans="2:23" hidden="1" x14ac:dyDescent="0.25">
      <c r="B645" s="837"/>
      <c r="C645" s="953"/>
      <c r="D645" s="954"/>
      <c r="E645" s="837"/>
      <c r="F645" s="954"/>
      <c r="G645" s="837"/>
      <c r="H645" s="837"/>
      <c r="I645" s="954"/>
      <c r="J645" s="837"/>
      <c r="K645" s="837"/>
      <c r="L645" s="954"/>
      <c r="M645" s="837"/>
      <c r="N645" s="837"/>
      <c r="O645" s="954"/>
      <c r="P645" s="837"/>
      <c r="Q645" s="837"/>
      <c r="R645" s="954"/>
      <c r="S645" s="837"/>
      <c r="T645" s="837"/>
      <c r="U645" s="954"/>
      <c r="V645" s="837"/>
      <c r="W645" s="837"/>
    </row>
    <row r="646" spans="2:23" hidden="1" x14ac:dyDescent="0.25">
      <c r="B646" s="837"/>
      <c r="C646" s="953"/>
      <c r="D646" s="954"/>
      <c r="E646" s="837"/>
      <c r="F646" s="954"/>
      <c r="G646" s="837"/>
      <c r="H646" s="837"/>
      <c r="I646" s="954"/>
      <c r="J646" s="837"/>
      <c r="K646" s="837"/>
      <c r="L646" s="954"/>
      <c r="M646" s="837"/>
      <c r="N646" s="837"/>
      <c r="O646" s="954"/>
      <c r="P646" s="837"/>
      <c r="Q646" s="837"/>
      <c r="R646" s="954"/>
      <c r="S646" s="837"/>
      <c r="T646" s="837"/>
      <c r="U646" s="954"/>
      <c r="V646" s="837"/>
      <c r="W646" s="837"/>
    </row>
    <row r="647" spans="2:23" hidden="1" x14ac:dyDescent="0.25">
      <c r="B647" s="837"/>
      <c r="C647" s="953"/>
      <c r="D647" s="954"/>
      <c r="E647" s="837"/>
      <c r="F647" s="954"/>
      <c r="G647" s="837"/>
      <c r="H647" s="837"/>
      <c r="I647" s="954"/>
      <c r="J647" s="837"/>
      <c r="K647" s="837"/>
      <c r="L647" s="954"/>
      <c r="M647" s="837"/>
      <c r="N647" s="837"/>
      <c r="O647" s="954"/>
      <c r="P647" s="837"/>
      <c r="Q647" s="837"/>
      <c r="R647" s="954"/>
      <c r="S647" s="837"/>
      <c r="T647" s="837"/>
      <c r="U647" s="954"/>
      <c r="V647" s="837"/>
      <c r="W647" s="837"/>
    </row>
    <row r="648" spans="2:23" hidden="1" x14ac:dyDescent="0.25">
      <c r="B648" s="837"/>
      <c r="C648" s="953"/>
      <c r="D648" s="954"/>
      <c r="E648" s="837"/>
      <c r="F648" s="954"/>
      <c r="G648" s="837"/>
      <c r="H648" s="837"/>
      <c r="I648" s="954"/>
      <c r="J648" s="837"/>
      <c r="K648" s="837"/>
      <c r="L648" s="954"/>
      <c r="M648" s="837"/>
      <c r="N648" s="837"/>
      <c r="O648" s="954"/>
      <c r="P648" s="837"/>
      <c r="Q648" s="837"/>
      <c r="R648" s="954"/>
      <c r="S648" s="837"/>
      <c r="T648" s="837"/>
      <c r="U648" s="954"/>
      <c r="V648" s="837"/>
      <c r="W648" s="837"/>
    </row>
    <row r="649" spans="2:23" hidden="1" x14ac:dyDescent="0.25">
      <c r="B649" s="837"/>
      <c r="C649" s="953"/>
      <c r="D649" s="954"/>
      <c r="E649" s="837"/>
      <c r="F649" s="954"/>
      <c r="G649" s="837"/>
      <c r="H649" s="837"/>
      <c r="I649" s="954"/>
      <c r="J649" s="837"/>
      <c r="K649" s="837"/>
      <c r="L649" s="954"/>
      <c r="M649" s="837"/>
      <c r="N649" s="837"/>
      <c r="O649" s="954"/>
      <c r="P649" s="837"/>
      <c r="Q649" s="837"/>
      <c r="R649" s="954"/>
      <c r="S649" s="837"/>
      <c r="T649" s="837"/>
      <c r="U649" s="954"/>
      <c r="V649" s="837"/>
      <c r="W649" s="837"/>
    </row>
    <row r="650" spans="2:23" hidden="1" x14ac:dyDescent="0.25">
      <c r="B650" s="837"/>
      <c r="C650" s="953"/>
      <c r="D650" s="954"/>
      <c r="E650" s="837"/>
      <c r="F650" s="954"/>
      <c r="G650" s="837"/>
      <c r="H650" s="837"/>
      <c r="I650" s="954"/>
      <c r="J650" s="837"/>
      <c r="K650" s="837"/>
      <c r="L650" s="954"/>
      <c r="M650" s="837"/>
      <c r="N650" s="837"/>
      <c r="O650" s="954"/>
      <c r="P650" s="837"/>
      <c r="Q650" s="837"/>
      <c r="R650" s="954"/>
      <c r="S650" s="837"/>
      <c r="T650" s="837"/>
      <c r="U650" s="954"/>
      <c r="V650" s="837"/>
      <c r="W650" s="837"/>
    </row>
    <row r="651" spans="2:23" hidden="1" x14ac:dyDescent="0.25">
      <c r="B651" s="837"/>
      <c r="C651" s="953"/>
      <c r="D651" s="954"/>
      <c r="E651" s="837"/>
      <c r="F651" s="954"/>
      <c r="G651" s="837"/>
      <c r="H651" s="837"/>
      <c r="I651" s="954"/>
      <c r="J651" s="837"/>
      <c r="K651" s="837"/>
      <c r="L651" s="954"/>
      <c r="M651" s="837"/>
      <c r="N651" s="837"/>
      <c r="O651" s="954"/>
      <c r="P651" s="837"/>
      <c r="Q651" s="837"/>
      <c r="R651" s="954"/>
      <c r="S651" s="837"/>
      <c r="T651" s="837"/>
      <c r="U651" s="954"/>
      <c r="V651" s="837"/>
      <c r="W651" s="837"/>
    </row>
    <row r="652" spans="2:23" x14ac:dyDescent="0.25">
      <c r="B652" s="837"/>
      <c r="C652" s="953"/>
      <c r="D652" s="954"/>
      <c r="E652" s="837"/>
      <c r="F652" s="954"/>
      <c r="G652" s="837"/>
      <c r="H652" s="837"/>
      <c r="I652" s="954"/>
      <c r="J652" s="837"/>
      <c r="K652" s="837"/>
      <c r="L652" s="954"/>
      <c r="M652" s="837"/>
      <c r="N652" s="837"/>
      <c r="O652" s="954"/>
      <c r="P652" s="837"/>
      <c r="Q652" s="837"/>
      <c r="R652" s="954"/>
      <c r="S652" s="837"/>
      <c r="T652" s="837"/>
      <c r="U652" s="954"/>
      <c r="V652" s="837"/>
      <c r="W652" s="837"/>
    </row>
    <row r="653" spans="2:23" x14ac:dyDescent="0.25">
      <c r="B653" s="837"/>
      <c r="C653" s="953"/>
      <c r="D653" s="954"/>
      <c r="E653" s="837"/>
      <c r="F653" s="954"/>
      <c r="G653" s="837"/>
      <c r="H653" s="837"/>
      <c r="I653" s="954"/>
      <c r="J653" s="837"/>
      <c r="K653" s="837"/>
      <c r="L653" s="954"/>
      <c r="M653" s="837"/>
      <c r="N653" s="837"/>
      <c r="O653" s="954"/>
      <c r="P653" s="837"/>
      <c r="Q653" s="837"/>
      <c r="R653" s="954"/>
      <c r="S653" s="837"/>
      <c r="T653" s="837"/>
      <c r="U653" s="954"/>
      <c r="V653" s="837"/>
      <c r="W653" s="837"/>
    </row>
    <row r="654" spans="2:23" x14ac:dyDescent="0.25">
      <c r="B654" s="837"/>
      <c r="C654" s="953"/>
      <c r="D654" s="954"/>
      <c r="E654" s="837"/>
      <c r="F654" s="954"/>
      <c r="G654" s="837"/>
      <c r="H654" s="837"/>
      <c r="I654" s="954"/>
      <c r="J654" s="837"/>
      <c r="K654" s="837"/>
      <c r="L654" s="954"/>
      <c r="M654" s="837"/>
      <c r="N654" s="837"/>
      <c r="O654" s="954"/>
      <c r="P654" s="837"/>
      <c r="Q654" s="837"/>
      <c r="R654" s="954"/>
      <c r="S654" s="837"/>
      <c r="T654" s="837"/>
      <c r="U654" s="954"/>
      <c r="V654" s="837"/>
      <c r="W654" s="837"/>
    </row>
    <row r="655" spans="2:23" x14ac:dyDescent="0.25">
      <c r="B655" s="837"/>
      <c r="C655" s="953"/>
      <c r="D655" s="954"/>
      <c r="E655" s="837"/>
      <c r="F655" s="954"/>
      <c r="G655" s="837"/>
      <c r="H655" s="837"/>
      <c r="I655" s="954"/>
      <c r="J655" s="837"/>
      <c r="K655" s="837"/>
      <c r="L655" s="954"/>
      <c r="M655" s="837"/>
      <c r="N655" s="837"/>
      <c r="O655" s="954"/>
      <c r="P655" s="837"/>
      <c r="Q655" s="837"/>
      <c r="R655" s="954"/>
      <c r="S655" s="837"/>
      <c r="T655" s="837"/>
      <c r="U655" s="954"/>
      <c r="V655" s="837"/>
      <c r="W655" s="837"/>
    </row>
  </sheetData>
  <sheetProtection algorithmName="SHA-512" hashValue="yOyFUVItCd6Kexf0PPtcnIeQdruwFSPmgV0uMKccSnQwuh+ePQvylY5L/dJ3lCeWbStzjjJ+Z+f6lZbh2DIx8A==" saltValue="jM1/fht8YkuxUBsmAL1hGw==" spinCount="100000" sheet="1" objects="1" scenarios="1"/>
  <mergeCells count="1369">
    <mergeCell ref="B1:E1"/>
    <mergeCell ref="G1:H1"/>
    <mergeCell ref="J1:K1"/>
    <mergeCell ref="M1:N1"/>
    <mergeCell ref="P1:Q1"/>
    <mergeCell ref="S1:T1"/>
    <mergeCell ref="V1:W1"/>
    <mergeCell ref="BT1:BW1"/>
    <mergeCell ref="C2:E5"/>
    <mergeCell ref="L2:W3"/>
    <mergeCell ref="G4:I4"/>
    <mergeCell ref="J4:K4"/>
    <mergeCell ref="L4:N4"/>
    <mergeCell ref="P4:R4"/>
    <mergeCell ref="S4:T4"/>
    <mergeCell ref="U4:W4"/>
    <mergeCell ref="Y4:AB4"/>
    <mergeCell ref="AC4:AI4"/>
    <mergeCell ref="G5:N5"/>
    <mergeCell ref="P5:R5"/>
    <mergeCell ref="S5:T5"/>
    <mergeCell ref="U5:W5"/>
    <mergeCell ref="Y5:AB5"/>
    <mergeCell ref="AC5:AI5"/>
    <mergeCell ref="G6:H6"/>
    <mergeCell ref="J6:K6"/>
    <mergeCell ref="M6:N6"/>
    <mergeCell ref="P6:Q6"/>
    <mergeCell ref="S6:T6"/>
    <mergeCell ref="V6:W6"/>
    <mergeCell ref="Y6:Z6"/>
    <mergeCell ref="AB6:AC6"/>
    <mergeCell ref="AE6:AF6"/>
    <mergeCell ref="AH6:AI6"/>
    <mergeCell ref="AJ6:AJ12"/>
    <mergeCell ref="F7:H7"/>
    <mergeCell ref="I7:K7"/>
    <mergeCell ref="L7:N7"/>
    <mergeCell ref="O7:Q7"/>
    <mergeCell ref="R7:T7"/>
    <mergeCell ref="U7:W7"/>
    <mergeCell ref="X7:Z7"/>
    <mergeCell ref="AA7:AC7"/>
    <mergeCell ref="AD7:AF7"/>
    <mergeCell ref="AG7:AI7"/>
    <mergeCell ref="F8:F9"/>
    <mergeCell ref="G8:H9"/>
    <mergeCell ref="I8:I9"/>
    <mergeCell ref="J8:K9"/>
    <mergeCell ref="L8:L9"/>
    <mergeCell ref="M8:N9"/>
    <mergeCell ref="O8:O9"/>
    <mergeCell ref="P8:Q9"/>
    <mergeCell ref="R8:R9"/>
    <mergeCell ref="S8:T9"/>
    <mergeCell ref="U8:U9"/>
    <mergeCell ref="V8:W9"/>
    <mergeCell ref="X8:X9"/>
    <mergeCell ref="Y8:Z9"/>
    <mergeCell ref="AA8:AA9"/>
    <mergeCell ref="AB8:AC9"/>
    <mergeCell ref="AD8:AD9"/>
    <mergeCell ref="AE8:AF9"/>
    <mergeCell ref="AG8:AG9"/>
    <mergeCell ref="AH8:AI9"/>
    <mergeCell ref="F10:F11"/>
    <mergeCell ref="G10:H11"/>
    <mergeCell ref="I10:I11"/>
    <mergeCell ref="J10:K11"/>
    <mergeCell ref="L10:L11"/>
    <mergeCell ref="M10:N11"/>
    <mergeCell ref="O10:O11"/>
    <mergeCell ref="P10:Q11"/>
    <mergeCell ref="R10:R11"/>
    <mergeCell ref="S10:T11"/>
    <mergeCell ref="U10:U11"/>
    <mergeCell ref="V10:W11"/>
    <mergeCell ref="X10:X11"/>
    <mergeCell ref="Y10:Z11"/>
    <mergeCell ref="AA10:AA11"/>
    <mergeCell ref="AB10:AC11"/>
    <mergeCell ref="AD10:AD11"/>
    <mergeCell ref="AE10:AF11"/>
    <mergeCell ref="AG10:AG11"/>
    <mergeCell ref="AH10:AI11"/>
    <mergeCell ref="B12:E12"/>
    <mergeCell ref="B13:B15"/>
    <mergeCell ref="C13:C15"/>
    <mergeCell ref="D13:D15"/>
    <mergeCell ref="F14:H14"/>
    <mergeCell ref="I14:K14"/>
    <mergeCell ref="L14:N14"/>
    <mergeCell ref="O14:Q14"/>
    <mergeCell ref="R14:T14"/>
    <mergeCell ref="U14:W14"/>
    <mergeCell ref="X14:Z14"/>
    <mergeCell ref="AA14:AC14"/>
    <mergeCell ref="AD14:AF14"/>
    <mergeCell ref="AG14:AI14"/>
    <mergeCell ref="F15:H15"/>
    <mergeCell ref="I15:K15"/>
    <mergeCell ref="L15:N15"/>
    <mergeCell ref="O15:Q15"/>
    <mergeCell ref="R15:T15"/>
    <mergeCell ref="U15:W15"/>
    <mergeCell ref="X15:Z15"/>
    <mergeCell ref="AA15:AC15"/>
    <mergeCell ref="AD15:AF15"/>
    <mergeCell ref="AG15:AI15"/>
    <mergeCell ref="B16:B18"/>
    <mergeCell ref="C16:C18"/>
    <mergeCell ref="D16:D18"/>
    <mergeCell ref="F17:H17"/>
    <mergeCell ref="I17:K17"/>
    <mergeCell ref="L17:N17"/>
    <mergeCell ref="O17:Q17"/>
    <mergeCell ref="R17:T17"/>
    <mergeCell ref="U17:W17"/>
    <mergeCell ref="X17:Z17"/>
    <mergeCell ref="AA17:AC17"/>
    <mergeCell ref="AD17:AF17"/>
    <mergeCell ref="AG17:AI17"/>
    <mergeCell ref="F18:H18"/>
    <mergeCell ref="I18:K18"/>
    <mergeCell ref="L18:N18"/>
    <mergeCell ref="O18:Q18"/>
    <mergeCell ref="R18:T18"/>
    <mergeCell ref="U18:W18"/>
    <mergeCell ref="X18:Z18"/>
    <mergeCell ref="AA18:AC18"/>
    <mergeCell ref="AD18:AF18"/>
    <mergeCell ref="AG18:AI18"/>
    <mergeCell ref="B19:B20"/>
    <mergeCell ref="C19:C20"/>
    <mergeCell ref="D19:D20"/>
    <mergeCell ref="F20:H20"/>
    <mergeCell ref="I20:K20"/>
    <mergeCell ref="L20:N20"/>
    <mergeCell ref="O20:Q20"/>
    <mergeCell ref="R20:T20"/>
    <mergeCell ref="U20:W20"/>
    <mergeCell ref="X20:Z20"/>
    <mergeCell ref="AA20:AC20"/>
    <mergeCell ref="AD20:AF20"/>
    <mergeCell ref="AG20:AI20"/>
    <mergeCell ref="B21:B22"/>
    <mergeCell ref="C21:C22"/>
    <mergeCell ref="D21:D22"/>
    <mergeCell ref="F22:H22"/>
    <mergeCell ref="I22:K22"/>
    <mergeCell ref="L22:N22"/>
    <mergeCell ref="O22:Q22"/>
    <mergeCell ref="R22:T22"/>
    <mergeCell ref="U22:W22"/>
    <mergeCell ref="X22:Z22"/>
    <mergeCell ref="AA22:AC22"/>
    <mergeCell ref="AD22:AF22"/>
    <mergeCell ref="AG22:AI22"/>
    <mergeCell ref="B23:B24"/>
    <mergeCell ref="C23:C24"/>
    <mergeCell ref="D23:D24"/>
    <mergeCell ref="F24:H24"/>
    <mergeCell ref="I24:K24"/>
    <mergeCell ref="L24:N24"/>
    <mergeCell ref="O24:Q24"/>
    <mergeCell ref="R24:T24"/>
    <mergeCell ref="U24:W24"/>
    <mergeCell ref="X24:Z24"/>
    <mergeCell ref="AA24:AC24"/>
    <mergeCell ref="AD24:AF24"/>
    <mergeCell ref="AG24:AI24"/>
    <mergeCell ref="B25:B26"/>
    <mergeCell ref="C25:C26"/>
    <mergeCell ref="D25:D26"/>
    <mergeCell ref="F26:H26"/>
    <mergeCell ref="I26:K26"/>
    <mergeCell ref="L26:N26"/>
    <mergeCell ref="O26:Q26"/>
    <mergeCell ref="R26:T26"/>
    <mergeCell ref="U26:W26"/>
    <mergeCell ref="X26:Z26"/>
    <mergeCell ref="AA26:AC26"/>
    <mergeCell ref="AD26:AF26"/>
    <mergeCell ref="AG26:AI26"/>
    <mergeCell ref="B27:B28"/>
    <mergeCell ref="C27:C28"/>
    <mergeCell ref="D27:D28"/>
    <mergeCell ref="F28:H28"/>
    <mergeCell ref="I28:K28"/>
    <mergeCell ref="L28:N28"/>
    <mergeCell ref="O28:Q28"/>
    <mergeCell ref="R28:T28"/>
    <mergeCell ref="U28:W28"/>
    <mergeCell ref="X28:Z28"/>
    <mergeCell ref="AA28:AC28"/>
    <mergeCell ref="AD28:AF28"/>
    <mergeCell ref="AG28:AI28"/>
    <mergeCell ref="B29:B30"/>
    <mergeCell ref="C29:C30"/>
    <mergeCell ref="D29:D30"/>
    <mergeCell ref="F30:H30"/>
    <mergeCell ref="I30:K30"/>
    <mergeCell ref="L30:N30"/>
    <mergeCell ref="O30:Q30"/>
    <mergeCell ref="R30:T30"/>
    <mergeCell ref="U30:W30"/>
    <mergeCell ref="X30:Z30"/>
    <mergeCell ref="AA30:AC30"/>
    <mergeCell ref="AD30:AF30"/>
    <mergeCell ref="AG30:AI30"/>
    <mergeCell ref="B31:B32"/>
    <mergeCell ref="C31:C32"/>
    <mergeCell ref="D31:D32"/>
    <mergeCell ref="F32:H32"/>
    <mergeCell ref="I32:K32"/>
    <mergeCell ref="L32:N32"/>
    <mergeCell ref="O32:Q32"/>
    <mergeCell ref="R32:T32"/>
    <mergeCell ref="U32:W32"/>
    <mergeCell ref="X32:Z32"/>
    <mergeCell ref="AA32:AC32"/>
    <mergeCell ref="AD32:AF32"/>
    <mergeCell ref="AG32:AI32"/>
    <mergeCell ref="B33:B34"/>
    <mergeCell ref="C33:C34"/>
    <mergeCell ref="D33:D34"/>
    <mergeCell ref="F34:H34"/>
    <mergeCell ref="I34:K34"/>
    <mergeCell ref="L34:N34"/>
    <mergeCell ref="O34:Q34"/>
    <mergeCell ref="R34:T34"/>
    <mergeCell ref="U34:W34"/>
    <mergeCell ref="X34:Z34"/>
    <mergeCell ref="AA34:AC34"/>
    <mergeCell ref="AD34:AF34"/>
    <mergeCell ref="AG34:AI34"/>
    <mergeCell ref="B35:B37"/>
    <mergeCell ref="C35:C37"/>
    <mergeCell ref="D35:D37"/>
    <mergeCell ref="E35:E36"/>
    <mergeCell ref="F36:H36"/>
    <mergeCell ref="I36:K36"/>
    <mergeCell ref="L36:N36"/>
    <mergeCell ref="O36:Q36"/>
    <mergeCell ref="R36:T36"/>
    <mergeCell ref="U36:W36"/>
    <mergeCell ref="X36:Z36"/>
    <mergeCell ref="AA36:AC36"/>
    <mergeCell ref="AD36:AF36"/>
    <mergeCell ref="AG36:AI36"/>
    <mergeCell ref="F37:H37"/>
    <mergeCell ref="I37:K37"/>
    <mergeCell ref="L37:N37"/>
    <mergeCell ref="O37:Q37"/>
    <mergeCell ref="R37:T37"/>
    <mergeCell ref="U37:W37"/>
    <mergeCell ref="X37:Z37"/>
    <mergeCell ref="AA37:AC37"/>
    <mergeCell ref="AD37:AF37"/>
    <mergeCell ref="AG37:AI37"/>
    <mergeCell ref="B38:B40"/>
    <mergeCell ref="C38:C40"/>
    <mergeCell ref="D38:D40"/>
    <mergeCell ref="E38:E39"/>
    <mergeCell ref="F39:H39"/>
    <mergeCell ref="I39:K39"/>
    <mergeCell ref="L39:N39"/>
    <mergeCell ref="O39:Q39"/>
    <mergeCell ref="R39:T39"/>
    <mergeCell ref="U39:W39"/>
    <mergeCell ref="X39:Z39"/>
    <mergeCell ref="AA39:AC39"/>
    <mergeCell ref="AD39:AF39"/>
    <mergeCell ref="AG39:AI39"/>
    <mergeCell ref="F40:H40"/>
    <mergeCell ref="I40:K40"/>
    <mergeCell ref="L40:N40"/>
    <mergeCell ref="O40:Q40"/>
    <mergeCell ref="R40:T40"/>
    <mergeCell ref="U40:W40"/>
    <mergeCell ref="X40:Z40"/>
    <mergeCell ref="AA40:AC40"/>
    <mergeCell ref="AD40:AF40"/>
    <mergeCell ref="AG40:AI40"/>
    <mergeCell ref="B41:B43"/>
    <mergeCell ref="C41:C43"/>
    <mergeCell ref="D41:D43"/>
    <mergeCell ref="E41:E42"/>
    <mergeCell ref="F42:H42"/>
    <mergeCell ref="I42:K42"/>
    <mergeCell ref="L42:N42"/>
    <mergeCell ref="O42:Q42"/>
    <mergeCell ref="R42:T42"/>
    <mergeCell ref="U42:W42"/>
    <mergeCell ref="X42:Z42"/>
    <mergeCell ref="AA42:AC42"/>
    <mergeCell ref="AD42:AF42"/>
    <mergeCell ref="AG42:AI42"/>
    <mergeCell ref="F43:H43"/>
    <mergeCell ref="I43:K43"/>
    <mergeCell ref="L43:N43"/>
    <mergeCell ref="O43:Q43"/>
    <mergeCell ref="R43:T43"/>
    <mergeCell ref="U43:W43"/>
    <mergeCell ref="X43:Z43"/>
    <mergeCell ref="AA43:AC43"/>
    <mergeCell ref="AD43:AF43"/>
    <mergeCell ref="AG43:AI43"/>
    <mergeCell ref="B44:B46"/>
    <mergeCell ref="C44:C46"/>
    <mergeCell ref="D44:D46"/>
    <mergeCell ref="E44:E45"/>
    <mergeCell ref="F45:H45"/>
    <mergeCell ref="I45:K45"/>
    <mergeCell ref="L45:N45"/>
    <mergeCell ref="O45:Q45"/>
    <mergeCell ref="R45:T45"/>
    <mergeCell ref="U45:W45"/>
    <mergeCell ref="X45:Z45"/>
    <mergeCell ref="AA45:AC45"/>
    <mergeCell ref="AD45:AF45"/>
    <mergeCell ref="AG45:AI45"/>
    <mergeCell ref="F46:H46"/>
    <mergeCell ref="I46:K46"/>
    <mergeCell ref="L46:N46"/>
    <mergeCell ref="O46:Q46"/>
    <mergeCell ref="R46:T46"/>
    <mergeCell ref="U46:W46"/>
    <mergeCell ref="X46:Z46"/>
    <mergeCell ref="AA46:AC46"/>
    <mergeCell ref="AD46:AF46"/>
    <mergeCell ref="AG46:AI46"/>
    <mergeCell ref="B47:B49"/>
    <mergeCell ref="C47:C49"/>
    <mergeCell ref="D47:D49"/>
    <mergeCell ref="E47:E48"/>
    <mergeCell ref="F48:H48"/>
    <mergeCell ref="I48:K48"/>
    <mergeCell ref="L48:N48"/>
    <mergeCell ref="O48:Q48"/>
    <mergeCell ref="R48:T48"/>
    <mergeCell ref="U48:W48"/>
    <mergeCell ref="X48:Z48"/>
    <mergeCell ref="AA48:AC48"/>
    <mergeCell ref="AD48:AF48"/>
    <mergeCell ref="AG48:AI48"/>
    <mergeCell ref="F49:H49"/>
    <mergeCell ref="I49:K49"/>
    <mergeCell ref="L49:N49"/>
    <mergeCell ref="O49:Q49"/>
    <mergeCell ref="R49:T49"/>
    <mergeCell ref="U49:W49"/>
    <mergeCell ref="X49:Z49"/>
    <mergeCell ref="AA49:AC49"/>
    <mergeCell ref="AD49:AF49"/>
    <mergeCell ref="AG49:AI49"/>
    <mergeCell ref="B50:B52"/>
    <mergeCell ref="C50:C52"/>
    <mergeCell ref="D50:D52"/>
    <mergeCell ref="E50:E51"/>
    <mergeCell ref="F51:H51"/>
    <mergeCell ref="I51:K51"/>
    <mergeCell ref="L51:N51"/>
    <mergeCell ref="O51:Q51"/>
    <mergeCell ref="R51:T51"/>
    <mergeCell ref="U51:W51"/>
    <mergeCell ref="X51:Z51"/>
    <mergeCell ref="AA51:AC51"/>
    <mergeCell ref="AD51:AF51"/>
    <mergeCell ref="AG51:AI51"/>
    <mergeCell ref="F52:H52"/>
    <mergeCell ref="I52:K52"/>
    <mergeCell ref="L52:N52"/>
    <mergeCell ref="O52:Q52"/>
    <mergeCell ref="R52:T52"/>
    <mergeCell ref="U52:W52"/>
    <mergeCell ref="X52:Z52"/>
    <mergeCell ref="AA52:AC52"/>
    <mergeCell ref="AD52:AF52"/>
    <mergeCell ref="AG52:AI52"/>
    <mergeCell ref="B53:B55"/>
    <mergeCell ref="C53:C55"/>
    <mergeCell ref="D53:D55"/>
    <mergeCell ref="E53:E54"/>
    <mergeCell ref="F54:H54"/>
    <mergeCell ref="I54:K54"/>
    <mergeCell ref="L54:N54"/>
    <mergeCell ref="O54:Q54"/>
    <mergeCell ref="R54:T54"/>
    <mergeCell ref="U54:W54"/>
    <mergeCell ref="X54:Z54"/>
    <mergeCell ref="AA54:AC54"/>
    <mergeCell ref="AD54:AF54"/>
    <mergeCell ref="AG54:AI54"/>
    <mergeCell ref="F55:H55"/>
    <mergeCell ref="I55:K55"/>
    <mergeCell ref="L55:N55"/>
    <mergeCell ref="O55:Q55"/>
    <mergeCell ref="R55:T55"/>
    <mergeCell ref="U55:W55"/>
    <mergeCell ref="X55:Z55"/>
    <mergeCell ref="AA55:AC55"/>
    <mergeCell ref="AD55:AF55"/>
    <mergeCell ref="AG55:AI55"/>
    <mergeCell ref="B56:B58"/>
    <mergeCell ref="C56:C58"/>
    <mergeCell ref="D56:D58"/>
    <mergeCell ref="E56:E57"/>
    <mergeCell ref="F57:H57"/>
    <mergeCell ref="I57:K57"/>
    <mergeCell ref="L57:N57"/>
    <mergeCell ref="O57:Q57"/>
    <mergeCell ref="R57:T57"/>
    <mergeCell ref="U57:W57"/>
    <mergeCell ref="X57:Z57"/>
    <mergeCell ref="AA57:AC57"/>
    <mergeCell ref="AD57:AF57"/>
    <mergeCell ref="AG57:AI57"/>
    <mergeCell ref="F58:H58"/>
    <mergeCell ref="I58:K58"/>
    <mergeCell ref="L58:N58"/>
    <mergeCell ref="O58:Q58"/>
    <mergeCell ref="R58:T58"/>
    <mergeCell ref="U58:W58"/>
    <mergeCell ref="X58:Z58"/>
    <mergeCell ref="AA58:AC58"/>
    <mergeCell ref="AD58:AF58"/>
    <mergeCell ref="AG58:AI58"/>
    <mergeCell ref="B59:B61"/>
    <mergeCell ref="C59:C61"/>
    <mergeCell ref="D59:D61"/>
    <mergeCell ref="E59:E60"/>
    <mergeCell ref="F60:H60"/>
    <mergeCell ref="I60:K60"/>
    <mergeCell ref="L60:N60"/>
    <mergeCell ref="O60:Q60"/>
    <mergeCell ref="R60:T60"/>
    <mergeCell ref="U60:W60"/>
    <mergeCell ref="X60:Z60"/>
    <mergeCell ref="AA60:AC60"/>
    <mergeCell ref="AD60:AF60"/>
    <mergeCell ref="AG60:AI60"/>
    <mergeCell ref="F61:H61"/>
    <mergeCell ref="I61:K61"/>
    <mergeCell ref="L61:N61"/>
    <mergeCell ref="O61:Q61"/>
    <mergeCell ref="R61:T61"/>
    <mergeCell ref="U61:W61"/>
    <mergeCell ref="X61:Z61"/>
    <mergeCell ref="AA61:AC61"/>
    <mergeCell ref="AD61:AF61"/>
    <mergeCell ref="AG61:AI61"/>
    <mergeCell ref="B62:B64"/>
    <mergeCell ref="C62:C64"/>
    <mergeCell ref="D62:D64"/>
    <mergeCell ref="E62:E63"/>
    <mergeCell ref="F63:H63"/>
    <mergeCell ref="I63:K63"/>
    <mergeCell ref="L63:N63"/>
    <mergeCell ref="O63:Q63"/>
    <mergeCell ref="R63:T63"/>
    <mergeCell ref="U63:W63"/>
    <mergeCell ref="X63:Z63"/>
    <mergeCell ref="AA63:AC63"/>
    <mergeCell ref="AD63:AF63"/>
    <mergeCell ref="AG63:AI63"/>
    <mergeCell ref="F64:H64"/>
    <mergeCell ref="I64:K64"/>
    <mergeCell ref="L64:N64"/>
    <mergeCell ref="O64:Q64"/>
    <mergeCell ref="R64:T64"/>
    <mergeCell ref="U64:W64"/>
    <mergeCell ref="X64:Z64"/>
    <mergeCell ref="AA64:AC64"/>
    <mergeCell ref="AD64:AF64"/>
    <mergeCell ref="AG64:AI64"/>
    <mergeCell ref="B65:B67"/>
    <mergeCell ref="C65:C67"/>
    <mergeCell ref="D65:D67"/>
    <mergeCell ref="E65:E66"/>
    <mergeCell ref="F66:H66"/>
    <mergeCell ref="I66:K66"/>
    <mergeCell ref="L66:N66"/>
    <mergeCell ref="O66:Q66"/>
    <mergeCell ref="R66:T66"/>
    <mergeCell ref="U66:W66"/>
    <mergeCell ref="X66:Z66"/>
    <mergeCell ref="AA66:AC66"/>
    <mergeCell ref="AD66:AF66"/>
    <mergeCell ref="AG66:AI66"/>
    <mergeCell ref="F67:H67"/>
    <mergeCell ref="I67:K67"/>
    <mergeCell ref="L67:N67"/>
    <mergeCell ref="O67:Q67"/>
    <mergeCell ref="R67:T67"/>
    <mergeCell ref="U67:W67"/>
    <mergeCell ref="X67:Z67"/>
    <mergeCell ref="AA67:AC67"/>
    <mergeCell ref="AD67:AF67"/>
    <mergeCell ref="AG67:AI67"/>
    <mergeCell ref="B68:B70"/>
    <mergeCell ref="C68:C70"/>
    <mergeCell ref="D68:D70"/>
    <mergeCell ref="E68:E69"/>
    <mergeCell ref="F69:H69"/>
    <mergeCell ref="I69:K69"/>
    <mergeCell ref="L69:N69"/>
    <mergeCell ref="O69:Q69"/>
    <mergeCell ref="R69:T69"/>
    <mergeCell ref="U69:W69"/>
    <mergeCell ref="X69:Z69"/>
    <mergeCell ref="AA69:AC69"/>
    <mergeCell ref="AD69:AF69"/>
    <mergeCell ref="AG69:AI69"/>
    <mergeCell ref="F70:H70"/>
    <mergeCell ref="I70:K70"/>
    <mergeCell ref="L70:N70"/>
    <mergeCell ref="O70:Q70"/>
    <mergeCell ref="R70:T70"/>
    <mergeCell ref="U70:W70"/>
    <mergeCell ref="X70:Z70"/>
    <mergeCell ref="AA70:AC70"/>
    <mergeCell ref="AD70:AF70"/>
    <mergeCell ref="AG70:AI70"/>
    <mergeCell ref="B71:B73"/>
    <mergeCell ref="C71:C73"/>
    <mergeCell ref="D71:D73"/>
    <mergeCell ref="E71:E72"/>
    <mergeCell ref="F72:H72"/>
    <mergeCell ref="I72:K72"/>
    <mergeCell ref="L72:N72"/>
    <mergeCell ref="O72:Q72"/>
    <mergeCell ref="R72:T72"/>
    <mergeCell ref="U72:W72"/>
    <mergeCell ref="X72:Z72"/>
    <mergeCell ref="AA72:AC72"/>
    <mergeCell ref="AD72:AF72"/>
    <mergeCell ref="AG72:AI72"/>
    <mergeCell ref="F73:H73"/>
    <mergeCell ref="I73:K73"/>
    <mergeCell ref="L73:N73"/>
    <mergeCell ref="O73:Q73"/>
    <mergeCell ref="R73:T73"/>
    <mergeCell ref="U73:W73"/>
    <mergeCell ref="X73:Z73"/>
    <mergeCell ref="AA73:AC73"/>
    <mergeCell ref="AD73:AF73"/>
    <mergeCell ref="AG73:AI73"/>
    <mergeCell ref="B74:B76"/>
    <mergeCell ref="C74:C76"/>
    <mergeCell ref="D74:D76"/>
    <mergeCell ref="E74:E75"/>
    <mergeCell ref="F75:H75"/>
    <mergeCell ref="I75:K75"/>
    <mergeCell ref="L75:N75"/>
    <mergeCell ref="O75:Q75"/>
    <mergeCell ref="R75:T75"/>
    <mergeCell ref="U75:W75"/>
    <mergeCell ref="X75:Z75"/>
    <mergeCell ref="AA75:AC75"/>
    <mergeCell ref="AD75:AF75"/>
    <mergeCell ref="AG75:AI75"/>
    <mergeCell ref="F76:H76"/>
    <mergeCell ref="I76:K76"/>
    <mergeCell ref="L76:N76"/>
    <mergeCell ref="O76:Q76"/>
    <mergeCell ref="R76:T76"/>
    <mergeCell ref="U76:W76"/>
    <mergeCell ref="X76:Z76"/>
    <mergeCell ref="AA76:AC76"/>
    <mergeCell ref="AD76:AF76"/>
    <mergeCell ref="AG76:AI76"/>
    <mergeCell ref="B77:B79"/>
    <mergeCell ref="C77:C79"/>
    <mergeCell ref="D77:D79"/>
    <mergeCell ref="E77:E78"/>
    <mergeCell ref="F78:H78"/>
    <mergeCell ref="I78:K78"/>
    <mergeCell ref="L78:N78"/>
    <mergeCell ref="O78:Q78"/>
    <mergeCell ref="R78:T78"/>
    <mergeCell ref="U78:W78"/>
    <mergeCell ref="X78:Z78"/>
    <mergeCell ref="AA78:AC78"/>
    <mergeCell ref="AD78:AF78"/>
    <mergeCell ref="AG78:AI78"/>
    <mergeCell ref="F79:H79"/>
    <mergeCell ref="I79:K79"/>
    <mergeCell ref="L79:N79"/>
    <mergeCell ref="O79:Q79"/>
    <mergeCell ref="R79:T79"/>
    <mergeCell ref="U79:W79"/>
    <mergeCell ref="X79:Z79"/>
    <mergeCell ref="AA79:AC79"/>
    <mergeCell ref="AD79:AF79"/>
    <mergeCell ref="AG79:AI79"/>
    <mergeCell ref="B80:B82"/>
    <mergeCell ref="C80:C82"/>
    <mergeCell ref="D80:D82"/>
    <mergeCell ref="E80:E81"/>
    <mergeCell ref="F81:H81"/>
    <mergeCell ref="I81:K81"/>
    <mergeCell ref="L81:N81"/>
    <mergeCell ref="O81:Q81"/>
    <mergeCell ref="R81:T81"/>
    <mergeCell ref="U81:W81"/>
    <mergeCell ref="X81:Z81"/>
    <mergeCell ref="AA81:AC81"/>
    <mergeCell ref="AD81:AF81"/>
    <mergeCell ref="AG81:AI81"/>
    <mergeCell ref="F82:H82"/>
    <mergeCell ref="I82:K82"/>
    <mergeCell ref="L82:N82"/>
    <mergeCell ref="O82:Q82"/>
    <mergeCell ref="R82:T82"/>
    <mergeCell ref="U82:W82"/>
    <mergeCell ref="X82:Z82"/>
    <mergeCell ref="AA82:AC82"/>
    <mergeCell ref="AD82:AF82"/>
    <mergeCell ref="AG82:AI82"/>
    <mergeCell ref="B83:B85"/>
    <mergeCell ref="C83:C85"/>
    <mergeCell ref="D83:D85"/>
    <mergeCell ref="E83:E84"/>
    <mergeCell ref="F84:H84"/>
    <mergeCell ref="I84:K84"/>
    <mergeCell ref="L84:N84"/>
    <mergeCell ref="O84:Q84"/>
    <mergeCell ref="R84:T84"/>
    <mergeCell ref="U84:W84"/>
    <mergeCell ref="X84:Z84"/>
    <mergeCell ref="AA84:AC84"/>
    <mergeCell ref="AD84:AF84"/>
    <mergeCell ref="AG84:AI84"/>
    <mergeCell ref="F85:H85"/>
    <mergeCell ref="I85:K85"/>
    <mergeCell ref="L85:N85"/>
    <mergeCell ref="O85:Q85"/>
    <mergeCell ref="R85:T85"/>
    <mergeCell ref="U85:W85"/>
    <mergeCell ref="X85:Z85"/>
    <mergeCell ref="AA85:AC85"/>
    <mergeCell ref="AD85:AF85"/>
    <mergeCell ref="AG85:AI85"/>
    <mergeCell ref="B86:B88"/>
    <mergeCell ref="C86:C88"/>
    <mergeCell ref="D86:D88"/>
    <mergeCell ref="E86:E87"/>
    <mergeCell ref="F87:H87"/>
    <mergeCell ref="I87:K87"/>
    <mergeCell ref="L87:N87"/>
    <mergeCell ref="O87:Q87"/>
    <mergeCell ref="R87:T87"/>
    <mergeCell ref="U87:W87"/>
    <mergeCell ref="X87:Z87"/>
    <mergeCell ref="AA87:AC87"/>
    <mergeCell ref="AD87:AF87"/>
    <mergeCell ref="AG87:AI87"/>
    <mergeCell ref="F88:H88"/>
    <mergeCell ref="I88:K88"/>
    <mergeCell ref="L88:N88"/>
    <mergeCell ref="O88:Q88"/>
    <mergeCell ref="R88:T88"/>
    <mergeCell ref="U88:W88"/>
    <mergeCell ref="X88:Z88"/>
    <mergeCell ref="AA88:AC88"/>
    <mergeCell ref="AD88:AF88"/>
    <mergeCell ref="AG88:AI88"/>
    <mergeCell ref="B89:B91"/>
    <mergeCell ref="C89:C91"/>
    <mergeCell ref="D89:D91"/>
    <mergeCell ref="E89:E90"/>
    <mergeCell ref="F90:H90"/>
    <mergeCell ref="I90:K90"/>
    <mergeCell ref="L90:N90"/>
    <mergeCell ref="O90:Q90"/>
    <mergeCell ref="R90:T90"/>
    <mergeCell ref="U90:W90"/>
    <mergeCell ref="X90:Z90"/>
    <mergeCell ref="AA90:AC90"/>
    <mergeCell ref="AD90:AF90"/>
    <mergeCell ref="AG90:AI90"/>
    <mergeCell ref="F91:H91"/>
    <mergeCell ref="I91:K91"/>
    <mergeCell ref="L91:N91"/>
    <mergeCell ref="O91:Q91"/>
    <mergeCell ref="R91:T91"/>
    <mergeCell ref="U91:W91"/>
    <mergeCell ref="X91:Z91"/>
    <mergeCell ref="AA91:AC91"/>
    <mergeCell ref="AD91:AF91"/>
    <mergeCell ref="AG91:AI91"/>
    <mergeCell ref="B92:B94"/>
    <mergeCell ref="C92:C94"/>
    <mergeCell ref="D92:D94"/>
    <mergeCell ref="E92:E93"/>
    <mergeCell ref="F93:H93"/>
    <mergeCell ref="I93:K93"/>
    <mergeCell ref="L93:N93"/>
    <mergeCell ref="O93:Q93"/>
    <mergeCell ref="R93:T93"/>
    <mergeCell ref="U93:W93"/>
    <mergeCell ref="X93:Z93"/>
    <mergeCell ref="AA93:AC93"/>
    <mergeCell ref="AD93:AF93"/>
    <mergeCell ref="AG93:AI93"/>
    <mergeCell ref="F94:H94"/>
    <mergeCell ref="I94:K94"/>
    <mergeCell ref="L94:N94"/>
    <mergeCell ref="O94:Q94"/>
    <mergeCell ref="R94:T94"/>
    <mergeCell ref="U94:W94"/>
    <mergeCell ref="X94:Z94"/>
    <mergeCell ref="AA94:AC94"/>
    <mergeCell ref="AD94:AF94"/>
    <mergeCell ref="AG94:AI94"/>
    <mergeCell ref="B95:B97"/>
    <mergeCell ref="C95:C97"/>
    <mergeCell ref="D95:D97"/>
    <mergeCell ref="E95:E96"/>
    <mergeCell ref="F96:H96"/>
    <mergeCell ref="I96:K96"/>
    <mergeCell ref="L96:N96"/>
    <mergeCell ref="O96:Q96"/>
    <mergeCell ref="R96:T96"/>
    <mergeCell ref="U96:W96"/>
    <mergeCell ref="X96:Z96"/>
    <mergeCell ref="AA96:AC96"/>
    <mergeCell ref="AD96:AF96"/>
    <mergeCell ref="AG96:AI96"/>
    <mergeCell ref="F97:H97"/>
    <mergeCell ref="I97:K97"/>
    <mergeCell ref="L97:N97"/>
    <mergeCell ref="O97:Q97"/>
    <mergeCell ref="R97:T97"/>
    <mergeCell ref="U97:W97"/>
    <mergeCell ref="X97:Z97"/>
    <mergeCell ref="AA97:AC97"/>
    <mergeCell ref="AD97:AF97"/>
    <mergeCell ref="AG97:AI97"/>
    <mergeCell ref="B98:B100"/>
    <mergeCell ref="C98:C100"/>
    <mergeCell ref="D98:D100"/>
    <mergeCell ref="E98:E99"/>
    <mergeCell ref="F99:H99"/>
    <mergeCell ref="I99:K99"/>
    <mergeCell ref="L99:N99"/>
    <mergeCell ref="O99:Q99"/>
    <mergeCell ref="R99:T99"/>
    <mergeCell ref="U99:W99"/>
    <mergeCell ref="X99:Z99"/>
    <mergeCell ref="AA99:AC99"/>
    <mergeCell ref="AD99:AF99"/>
    <mergeCell ref="AG99:AI99"/>
    <mergeCell ref="F100:H100"/>
    <mergeCell ref="I100:K100"/>
    <mergeCell ref="L100:N100"/>
    <mergeCell ref="O100:Q100"/>
    <mergeCell ref="R100:T100"/>
    <mergeCell ref="U100:W100"/>
    <mergeCell ref="X100:Z100"/>
    <mergeCell ref="AA100:AC100"/>
    <mergeCell ref="AD100:AF100"/>
    <mergeCell ref="AG100:AI100"/>
    <mergeCell ref="B101:B103"/>
    <mergeCell ref="C101:C103"/>
    <mergeCell ref="D101:D103"/>
    <mergeCell ref="E101:E102"/>
    <mergeCell ref="F102:H102"/>
    <mergeCell ref="I102:K102"/>
    <mergeCell ref="L102:N102"/>
    <mergeCell ref="O102:Q102"/>
    <mergeCell ref="R102:T102"/>
    <mergeCell ref="U102:W102"/>
    <mergeCell ref="X102:Z102"/>
    <mergeCell ref="AA102:AC102"/>
    <mergeCell ref="AD102:AF102"/>
    <mergeCell ref="AG102:AI102"/>
    <mergeCell ref="F103:H103"/>
    <mergeCell ref="I103:K103"/>
    <mergeCell ref="L103:N103"/>
    <mergeCell ref="O103:Q103"/>
    <mergeCell ref="R103:T103"/>
    <mergeCell ref="U103:W103"/>
    <mergeCell ref="X103:Z103"/>
    <mergeCell ref="AA103:AC103"/>
    <mergeCell ref="AD103:AF103"/>
    <mergeCell ref="AG103:AI103"/>
    <mergeCell ref="B104:B106"/>
    <mergeCell ref="C104:C106"/>
    <mergeCell ref="D104:D106"/>
    <mergeCell ref="E104:E105"/>
    <mergeCell ref="F105:H105"/>
    <mergeCell ref="I105:K105"/>
    <mergeCell ref="L105:N105"/>
    <mergeCell ref="O105:Q105"/>
    <mergeCell ref="R105:T105"/>
    <mergeCell ref="U105:W105"/>
    <mergeCell ref="X105:Z105"/>
    <mergeCell ref="AA105:AC105"/>
    <mergeCell ref="AD105:AF105"/>
    <mergeCell ref="AG105:AI105"/>
    <mergeCell ref="F106:H106"/>
    <mergeCell ref="I106:K106"/>
    <mergeCell ref="L106:N106"/>
    <mergeCell ref="O106:Q106"/>
    <mergeCell ref="R106:T106"/>
    <mergeCell ref="U106:W106"/>
    <mergeCell ref="X106:Z106"/>
    <mergeCell ref="AA106:AC106"/>
    <mergeCell ref="AD106:AF106"/>
    <mergeCell ref="AG106:AI106"/>
    <mergeCell ref="B107:B109"/>
    <mergeCell ref="C107:C109"/>
    <mergeCell ref="D107:D109"/>
    <mergeCell ref="E107:E108"/>
    <mergeCell ref="F108:H108"/>
    <mergeCell ref="I108:K108"/>
    <mergeCell ref="L108:N108"/>
    <mergeCell ref="O108:Q108"/>
    <mergeCell ref="R108:T108"/>
    <mergeCell ref="U108:W108"/>
    <mergeCell ref="X108:Z108"/>
    <mergeCell ref="AA108:AC108"/>
    <mergeCell ref="AD108:AF108"/>
    <mergeCell ref="AG108:AI108"/>
    <mergeCell ref="F109:H109"/>
    <mergeCell ref="I109:K109"/>
    <mergeCell ref="L109:N109"/>
    <mergeCell ref="O109:Q109"/>
    <mergeCell ref="R109:T109"/>
    <mergeCell ref="U109:W109"/>
    <mergeCell ref="X109:Z109"/>
    <mergeCell ref="AA109:AC109"/>
    <mergeCell ref="AD109:AF109"/>
    <mergeCell ref="AG109:AI109"/>
    <mergeCell ref="B110:B112"/>
    <mergeCell ref="C110:C112"/>
    <mergeCell ref="D110:D112"/>
    <mergeCell ref="E110:E111"/>
    <mergeCell ref="F111:H111"/>
    <mergeCell ref="I111:K111"/>
    <mergeCell ref="L111:N111"/>
    <mergeCell ref="O111:Q111"/>
    <mergeCell ref="R111:T111"/>
    <mergeCell ref="U111:W111"/>
    <mergeCell ref="X111:Z111"/>
    <mergeCell ref="AA111:AC111"/>
    <mergeCell ref="AD111:AF111"/>
    <mergeCell ref="AG111:AI111"/>
    <mergeCell ref="F112:H112"/>
    <mergeCell ref="I112:K112"/>
    <mergeCell ref="L112:N112"/>
    <mergeCell ref="O112:Q112"/>
    <mergeCell ref="R112:T112"/>
    <mergeCell ref="U112:W112"/>
    <mergeCell ref="X112:Z112"/>
    <mergeCell ref="AA112:AC112"/>
    <mergeCell ref="AD112:AF112"/>
    <mergeCell ref="AG112:AI112"/>
    <mergeCell ref="B113:B115"/>
    <mergeCell ref="C113:C115"/>
    <mergeCell ref="D113:D115"/>
    <mergeCell ref="E113:E114"/>
    <mergeCell ref="F114:H114"/>
    <mergeCell ref="I114:K114"/>
    <mergeCell ref="L114:N114"/>
    <mergeCell ref="O114:Q114"/>
    <mergeCell ref="R114:T114"/>
    <mergeCell ref="U114:W114"/>
    <mergeCell ref="X114:Z114"/>
    <mergeCell ref="AA114:AC114"/>
    <mergeCell ref="AD114:AF114"/>
    <mergeCell ref="AG114:AI114"/>
    <mergeCell ref="F115:H115"/>
    <mergeCell ref="I115:K115"/>
    <mergeCell ref="L115:N115"/>
    <mergeCell ref="O115:Q115"/>
    <mergeCell ref="R115:T115"/>
    <mergeCell ref="U115:W115"/>
    <mergeCell ref="X115:Z115"/>
    <mergeCell ref="AA115:AC115"/>
    <mergeCell ref="AD115:AF115"/>
    <mergeCell ref="AG115:AI115"/>
    <mergeCell ref="B116:B118"/>
    <mergeCell ref="C116:C118"/>
    <mergeCell ref="D116:D118"/>
    <mergeCell ref="E116:E117"/>
    <mergeCell ref="F117:H117"/>
    <mergeCell ref="I117:K117"/>
    <mergeCell ref="L117:N117"/>
    <mergeCell ref="O117:Q117"/>
    <mergeCell ref="R117:T117"/>
    <mergeCell ref="U117:W117"/>
    <mergeCell ref="X117:Z117"/>
    <mergeCell ref="AA117:AC117"/>
    <mergeCell ref="AD117:AF117"/>
    <mergeCell ref="AG117:AI117"/>
    <mergeCell ref="F118:H118"/>
    <mergeCell ref="I118:K118"/>
    <mergeCell ref="L118:N118"/>
    <mergeCell ref="O118:Q118"/>
    <mergeCell ref="R118:T118"/>
    <mergeCell ref="U118:W118"/>
    <mergeCell ref="X118:Z118"/>
    <mergeCell ref="AA118:AC118"/>
    <mergeCell ref="AD118:AF118"/>
    <mergeCell ref="AG118:AI118"/>
    <mergeCell ref="B119:B121"/>
    <mergeCell ref="C119:C121"/>
    <mergeCell ref="D119:D121"/>
    <mergeCell ref="E119:E120"/>
    <mergeCell ref="F120:H120"/>
    <mergeCell ref="I120:K120"/>
    <mergeCell ref="L120:N120"/>
    <mergeCell ref="O120:Q120"/>
    <mergeCell ref="R120:T120"/>
    <mergeCell ref="U120:W120"/>
    <mergeCell ref="X120:Z120"/>
    <mergeCell ref="AA120:AC120"/>
    <mergeCell ref="AD120:AF120"/>
    <mergeCell ref="AG120:AI120"/>
    <mergeCell ref="F121:H121"/>
    <mergeCell ref="I121:K121"/>
    <mergeCell ref="L121:N121"/>
    <mergeCell ref="O121:Q121"/>
    <mergeCell ref="R121:T121"/>
    <mergeCell ref="U121:W121"/>
    <mergeCell ref="X121:Z121"/>
    <mergeCell ref="AA121:AC121"/>
    <mergeCell ref="AD121:AF121"/>
    <mergeCell ref="AG121:AI121"/>
    <mergeCell ref="B122:B124"/>
    <mergeCell ref="C122:C124"/>
    <mergeCell ref="D122:D124"/>
    <mergeCell ref="E122:E123"/>
    <mergeCell ref="F123:H123"/>
    <mergeCell ref="I123:K123"/>
    <mergeCell ref="L123:N123"/>
    <mergeCell ref="O123:Q123"/>
    <mergeCell ref="R123:T123"/>
    <mergeCell ref="U123:W123"/>
    <mergeCell ref="X123:Z123"/>
    <mergeCell ref="AA123:AC123"/>
    <mergeCell ref="AD123:AF123"/>
    <mergeCell ref="AG123:AI123"/>
    <mergeCell ref="F124:H124"/>
    <mergeCell ref="I124:K124"/>
    <mergeCell ref="L124:N124"/>
    <mergeCell ref="O124:Q124"/>
    <mergeCell ref="R124:T124"/>
    <mergeCell ref="U124:W124"/>
    <mergeCell ref="X124:Z124"/>
    <mergeCell ref="AA124:AC124"/>
    <mergeCell ref="AD124:AF124"/>
    <mergeCell ref="AG124:AI124"/>
    <mergeCell ref="B125:B127"/>
    <mergeCell ref="C125:C127"/>
    <mergeCell ref="D125:D127"/>
    <mergeCell ref="E125:E126"/>
    <mergeCell ref="F126:H126"/>
    <mergeCell ref="I126:K126"/>
    <mergeCell ref="L126:N126"/>
    <mergeCell ref="O126:Q126"/>
    <mergeCell ref="R126:T126"/>
    <mergeCell ref="U126:W126"/>
    <mergeCell ref="X126:Z126"/>
    <mergeCell ref="AA126:AC126"/>
    <mergeCell ref="AD126:AF126"/>
    <mergeCell ref="AG126:AI126"/>
    <mergeCell ref="F127:H127"/>
    <mergeCell ref="I127:K127"/>
    <mergeCell ref="L127:N127"/>
    <mergeCell ref="O127:Q127"/>
    <mergeCell ref="R127:T127"/>
    <mergeCell ref="U127:W127"/>
    <mergeCell ref="X127:Z127"/>
    <mergeCell ref="AA127:AC127"/>
    <mergeCell ref="AD127:AF127"/>
    <mergeCell ref="AG127:AI127"/>
    <mergeCell ref="B128:B130"/>
    <mergeCell ref="C128:C130"/>
    <mergeCell ref="D128:D130"/>
    <mergeCell ref="E128:E129"/>
    <mergeCell ref="F129:H129"/>
    <mergeCell ref="I129:K129"/>
    <mergeCell ref="L129:N129"/>
    <mergeCell ref="O129:Q129"/>
    <mergeCell ref="R129:T129"/>
    <mergeCell ref="U129:W129"/>
    <mergeCell ref="X129:Z129"/>
    <mergeCell ref="AA129:AC129"/>
    <mergeCell ref="AD129:AF129"/>
    <mergeCell ref="AG129:AI129"/>
    <mergeCell ref="F130:H130"/>
    <mergeCell ref="I130:K130"/>
    <mergeCell ref="L130:N130"/>
    <mergeCell ref="O130:Q130"/>
    <mergeCell ref="R130:T130"/>
    <mergeCell ref="U130:W130"/>
    <mergeCell ref="B131:B132"/>
    <mergeCell ref="C131:C132"/>
    <mergeCell ref="D131:D132"/>
    <mergeCell ref="F132:H132"/>
    <mergeCell ref="I132:K132"/>
    <mergeCell ref="L132:N132"/>
    <mergeCell ref="O132:Q132"/>
    <mergeCell ref="R132:T132"/>
    <mergeCell ref="U132:W132"/>
    <mergeCell ref="X132:Z132"/>
    <mergeCell ref="AA132:AC132"/>
    <mergeCell ref="AD132:AF132"/>
    <mergeCell ref="AG132:AI132"/>
    <mergeCell ref="B133:B134"/>
    <mergeCell ref="C133:C134"/>
    <mergeCell ref="D133:D134"/>
    <mergeCell ref="F134:H134"/>
    <mergeCell ref="I134:K134"/>
    <mergeCell ref="L134:N134"/>
    <mergeCell ref="O134:Q134"/>
    <mergeCell ref="R134:T134"/>
    <mergeCell ref="U134:W134"/>
    <mergeCell ref="X134:Z134"/>
    <mergeCell ref="AA134:AC134"/>
    <mergeCell ref="AD134:AF134"/>
    <mergeCell ref="AG134:AI134"/>
    <mergeCell ref="B135:B136"/>
    <mergeCell ref="C135:C136"/>
    <mergeCell ref="D135:D136"/>
    <mergeCell ref="F136:H136"/>
    <mergeCell ref="I136:K136"/>
    <mergeCell ref="L136:N136"/>
    <mergeCell ref="O136:Q136"/>
    <mergeCell ref="R136:T136"/>
    <mergeCell ref="U136:W136"/>
    <mergeCell ref="X136:Z136"/>
    <mergeCell ref="AA136:AC136"/>
    <mergeCell ref="AD136:AF136"/>
    <mergeCell ref="AG136:AI136"/>
    <mergeCell ref="B137:B138"/>
    <mergeCell ref="C137:C138"/>
    <mergeCell ref="D137:D138"/>
    <mergeCell ref="F138:H138"/>
    <mergeCell ref="I138:K138"/>
    <mergeCell ref="L138:N138"/>
    <mergeCell ref="O138:Q138"/>
    <mergeCell ref="R138:T138"/>
    <mergeCell ref="U138:W138"/>
    <mergeCell ref="X138:Z138"/>
    <mergeCell ref="AA138:AC138"/>
    <mergeCell ref="AD138:AF138"/>
    <mergeCell ref="AG138:AI138"/>
    <mergeCell ref="B139:B140"/>
    <mergeCell ref="C139:C140"/>
    <mergeCell ref="D139:D140"/>
    <mergeCell ref="F140:H140"/>
    <mergeCell ref="I140:K140"/>
    <mergeCell ref="L140:N140"/>
    <mergeCell ref="O140:Q140"/>
    <mergeCell ref="R140:T140"/>
    <mergeCell ref="U140:W140"/>
    <mergeCell ref="X140:Z140"/>
    <mergeCell ref="AA140:AC140"/>
    <mergeCell ref="AD140:AF140"/>
    <mergeCell ref="AG140:AI140"/>
    <mergeCell ref="B141:B142"/>
    <mergeCell ref="C141:C142"/>
    <mergeCell ref="D141:D142"/>
    <mergeCell ref="F142:H142"/>
    <mergeCell ref="I142:K142"/>
    <mergeCell ref="L142:N142"/>
    <mergeCell ref="O142:Q142"/>
    <mergeCell ref="R142:T142"/>
    <mergeCell ref="U142:W142"/>
    <mergeCell ref="X142:Z142"/>
    <mergeCell ref="AA142:AC142"/>
    <mergeCell ref="AD142:AF142"/>
    <mergeCell ref="AG142:AI142"/>
    <mergeCell ref="B143:B144"/>
    <mergeCell ref="C143:C144"/>
    <mergeCell ref="D143:D144"/>
    <mergeCell ref="F144:H144"/>
    <mergeCell ref="I144:K144"/>
    <mergeCell ref="L144:N144"/>
    <mergeCell ref="O144:Q144"/>
    <mergeCell ref="R144:T144"/>
    <mergeCell ref="U144:W144"/>
    <mergeCell ref="X144:Z144"/>
    <mergeCell ref="AA144:AC144"/>
    <mergeCell ref="AD144:AF144"/>
    <mergeCell ref="AG144:AI144"/>
    <mergeCell ref="B145:B146"/>
    <mergeCell ref="C145:C146"/>
    <mergeCell ref="D145:D146"/>
    <mergeCell ref="F146:H146"/>
    <mergeCell ref="I146:K146"/>
    <mergeCell ref="L146:N146"/>
    <mergeCell ref="O146:Q146"/>
    <mergeCell ref="R146:T146"/>
    <mergeCell ref="U146:W146"/>
    <mergeCell ref="X146:Z146"/>
    <mergeCell ref="AA146:AC146"/>
    <mergeCell ref="AD146:AF146"/>
    <mergeCell ref="AG146:AI146"/>
    <mergeCell ref="B147:B148"/>
    <mergeCell ref="C147:D148"/>
    <mergeCell ref="F148:H148"/>
    <mergeCell ref="I148:K148"/>
    <mergeCell ref="L148:N148"/>
    <mergeCell ref="O148:Q148"/>
    <mergeCell ref="R148:T148"/>
    <mergeCell ref="U148:W148"/>
    <mergeCell ref="B149:E154"/>
    <mergeCell ref="G149:H149"/>
    <mergeCell ref="J149:K149"/>
    <mergeCell ref="M149:N149"/>
    <mergeCell ref="P149:Q149"/>
    <mergeCell ref="S149:T149"/>
    <mergeCell ref="V149:W149"/>
    <mergeCell ref="Y149:Z149"/>
    <mergeCell ref="AB149:AC149"/>
    <mergeCell ref="G152:H152"/>
    <mergeCell ref="J152:K152"/>
    <mergeCell ref="M152:N152"/>
    <mergeCell ref="P152:Q152"/>
    <mergeCell ref="S152:T152"/>
    <mergeCell ref="V152:W152"/>
    <mergeCell ref="G153:H153"/>
    <mergeCell ref="J153:K153"/>
    <mergeCell ref="M153:N153"/>
    <mergeCell ref="P153:Q153"/>
    <mergeCell ref="S153:T153"/>
    <mergeCell ref="V153:W153"/>
    <mergeCell ref="G154:H154"/>
    <mergeCell ref="J154:K154"/>
    <mergeCell ref="M154:N154"/>
    <mergeCell ref="AE149:AF149"/>
    <mergeCell ref="AH149:AI149"/>
    <mergeCell ref="G150:H150"/>
    <mergeCell ref="J150:K150"/>
    <mergeCell ref="M150:N150"/>
    <mergeCell ref="P150:Q150"/>
    <mergeCell ref="S150:T150"/>
    <mergeCell ref="V150:W150"/>
    <mergeCell ref="Y150:Z150"/>
    <mergeCell ref="AB150:AC150"/>
    <mergeCell ref="AE150:AF150"/>
    <mergeCell ref="AH150:AI150"/>
    <mergeCell ref="G151:H151"/>
    <mergeCell ref="J151:K151"/>
    <mergeCell ref="M151:N151"/>
    <mergeCell ref="P151:Q151"/>
    <mergeCell ref="S151:T151"/>
    <mergeCell ref="V151:W151"/>
    <mergeCell ref="Y151:Z151"/>
    <mergeCell ref="AB151:AC151"/>
    <mergeCell ref="AE151:AF151"/>
    <mergeCell ref="AH151:AI151"/>
    <mergeCell ref="P154:Q154"/>
    <mergeCell ref="S154:T154"/>
    <mergeCell ref="V154:W154"/>
    <mergeCell ref="B156:D156"/>
    <mergeCell ref="B157:D157"/>
    <mergeCell ref="B160:E160"/>
    <mergeCell ref="F161:AC161"/>
    <mergeCell ref="B162:E163"/>
    <mergeCell ref="F162:H163"/>
    <mergeCell ref="I162:K163"/>
    <mergeCell ref="L162:N163"/>
    <mergeCell ref="O162:Q163"/>
    <mergeCell ref="R162:T163"/>
    <mergeCell ref="U162:W163"/>
    <mergeCell ref="X162:Z163"/>
    <mergeCell ref="AA162:AC163"/>
    <mergeCell ref="AD162:AF163"/>
    <mergeCell ref="AG162:AI163"/>
    <mergeCell ref="C164:E165"/>
    <mergeCell ref="F164:H165"/>
    <mergeCell ref="I164:K165"/>
    <mergeCell ref="L164:N165"/>
    <mergeCell ref="O164:Q165"/>
    <mergeCell ref="R164:T165"/>
    <mergeCell ref="U164:W165"/>
    <mergeCell ref="X164:Z165"/>
    <mergeCell ref="AA164:AC165"/>
    <mergeCell ref="AD164:AF165"/>
    <mergeCell ref="AG164:AI165"/>
    <mergeCell ref="B166:E167"/>
    <mergeCell ref="F166:H167"/>
    <mergeCell ref="I166:K167"/>
    <mergeCell ref="L166:N167"/>
    <mergeCell ref="O166:Q167"/>
    <mergeCell ref="R166:T167"/>
    <mergeCell ref="U166:W167"/>
    <mergeCell ref="X166:Z167"/>
    <mergeCell ref="AA166:AC167"/>
    <mergeCell ref="AD166:AF167"/>
    <mergeCell ref="AG166:AI167"/>
    <mergeCell ref="C168:E169"/>
    <mergeCell ref="F168:H169"/>
    <mergeCell ref="I168:K169"/>
    <mergeCell ref="L168:N169"/>
    <mergeCell ref="O168:Q169"/>
    <mergeCell ref="R168:T169"/>
    <mergeCell ref="U168:W169"/>
    <mergeCell ref="X168:Z169"/>
    <mergeCell ref="AA168:AC169"/>
    <mergeCell ref="AD168:AF169"/>
    <mergeCell ref="AG168:AI169"/>
    <mergeCell ref="B170:E171"/>
    <mergeCell ref="F170:H171"/>
    <mergeCell ref="I170:K171"/>
    <mergeCell ref="L170:N171"/>
    <mergeCell ref="O170:Q171"/>
    <mergeCell ref="R170:T171"/>
    <mergeCell ref="U170:W171"/>
    <mergeCell ref="X170:Z171"/>
    <mergeCell ref="AA170:AC171"/>
    <mergeCell ref="AD170:AF171"/>
    <mergeCell ref="AG170:AI171"/>
    <mergeCell ref="C172:E173"/>
    <mergeCell ref="F172:H173"/>
    <mergeCell ref="I172:K173"/>
    <mergeCell ref="L172:N173"/>
    <mergeCell ref="O172:Q173"/>
    <mergeCell ref="R172:T173"/>
    <mergeCell ref="U172:W173"/>
    <mergeCell ref="X172:Z173"/>
    <mergeCell ref="AA172:AC173"/>
    <mergeCell ref="AD172:AF173"/>
    <mergeCell ref="AG172:AI173"/>
    <mergeCell ref="B174:E175"/>
    <mergeCell ref="F174:H175"/>
    <mergeCell ref="I174:K175"/>
    <mergeCell ref="L174:N175"/>
    <mergeCell ref="O174:Q175"/>
    <mergeCell ref="R174:T175"/>
    <mergeCell ref="U174:W175"/>
    <mergeCell ref="X174:Z175"/>
    <mergeCell ref="AA174:AC175"/>
    <mergeCell ref="AD174:AF175"/>
    <mergeCell ref="AG174:AI175"/>
    <mergeCell ref="C176:E177"/>
    <mergeCell ref="F176:H177"/>
    <mergeCell ref="I176:K177"/>
    <mergeCell ref="L176:N177"/>
    <mergeCell ref="O176:Q177"/>
    <mergeCell ref="R176:T177"/>
    <mergeCell ref="U176:W177"/>
    <mergeCell ref="X176:Z177"/>
    <mergeCell ref="AA176:AC177"/>
    <mergeCell ref="AD176:AF177"/>
    <mergeCell ref="AG176:AI177"/>
    <mergeCell ref="B178:E178"/>
    <mergeCell ref="F178:H178"/>
    <mergeCell ref="I178:K178"/>
    <mergeCell ref="L178:N178"/>
    <mergeCell ref="O178:Q178"/>
    <mergeCell ref="R178:T178"/>
    <mergeCell ref="U178:W178"/>
    <mergeCell ref="X178:Z178"/>
    <mergeCell ref="AA178:AC178"/>
    <mergeCell ref="AD178:AF178"/>
    <mergeCell ref="AG178:AI178"/>
    <mergeCell ref="C179:E179"/>
    <mergeCell ref="F179:H179"/>
    <mergeCell ref="I179:K179"/>
    <mergeCell ref="L179:N179"/>
    <mergeCell ref="O179:Q179"/>
    <mergeCell ref="R179:T179"/>
    <mergeCell ref="U179:W179"/>
    <mergeCell ref="X179:Z179"/>
    <mergeCell ref="AA179:AC179"/>
    <mergeCell ref="AD179:AF179"/>
    <mergeCell ref="AG179:AI179"/>
    <mergeCell ref="B180:E180"/>
    <mergeCell ref="F180:AC180"/>
    <mergeCell ref="B182:E190"/>
    <mergeCell ref="B191:D191"/>
    <mergeCell ref="B192:D192"/>
    <mergeCell ref="B193:D193"/>
    <mergeCell ref="B194:D194"/>
    <mergeCell ref="B195:D195"/>
    <mergeCell ref="B196:D196"/>
    <mergeCell ref="B197:D197"/>
    <mergeCell ref="F198:I198"/>
    <mergeCell ref="J198:K198"/>
    <mergeCell ref="P198:R198"/>
    <mergeCell ref="S198:T198"/>
    <mergeCell ref="B199:D199"/>
    <mergeCell ref="F199:I199"/>
    <mergeCell ref="J199:K199"/>
    <mergeCell ref="P199:R199"/>
    <mergeCell ref="S199:T199"/>
    <mergeCell ref="B200:D200"/>
    <mergeCell ref="F200:I200"/>
    <mergeCell ref="J200:K200"/>
    <mergeCell ref="P200:R200"/>
    <mergeCell ref="S200:T200"/>
    <mergeCell ref="B201:D201"/>
    <mergeCell ref="F201:I201"/>
    <mergeCell ref="J201:K201"/>
    <mergeCell ref="P201:R201"/>
    <mergeCell ref="S201:T201"/>
    <mergeCell ref="B202:D202"/>
    <mergeCell ref="F202:I202"/>
    <mergeCell ref="J202:K202"/>
    <mergeCell ref="P202:R202"/>
    <mergeCell ref="S202:T202"/>
    <mergeCell ref="B203:D203"/>
    <mergeCell ref="F203:I203"/>
    <mergeCell ref="J203:K203"/>
    <mergeCell ref="P203:R203"/>
    <mergeCell ref="S203:T203"/>
    <mergeCell ref="B204:D204"/>
    <mergeCell ref="F204:I204"/>
    <mergeCell ref="J204:K204"/>
    <mergeCell ref="P204:R204"/>
    <mergeCell ref="S204:T204"/>
    <mergeCell ref="B243:D243"/>
    <mergeCell ref="B205:D205"/>
    <mergeCell ref="B207:D207"/>
    <mergeCell ref="B208:D208"/>
    <mergeCell ref="B209:D209"/>
    <mergeCell ref="B210:D210"/>
    <mergeCell ref="B211:D211"/>
    <mergeCell ref="B212:D212"/>
    <mergeCell ref="B213:D213"/>
    <mergeCell ref="B215:D215"/>
    <mergeCell ref="B216:D216"/>
    <mergeCell ref="B217:D217"/>
    <mergeCell ref="B218:D218"/>
    <mergeCell ref="B219:D219"/>
    <mergeCell ref="B220:D220"/>
    <mergeCell ref="B221:D221"/>
    <mergeCell ref="B223:D223"/>
    <mergeCell ref="B224:D224"/>
    <mergeCell ref="B244:D244"/>
    <mergeCell ref="B245:D245"/>
    <mergeCell ref="B247:D247"/>
    <mergeCell ref="B248:D248"/>
    <mergeCell ref="B249:D249"/>
    <mergeCell ref="B250:D250"/>
    <mergeCell ref="B251:D251"/>
    <mergeCell ref="B252:D252"/>
    <mergeCell ref="B253:D253"/>
    <mergeCell ref="B255:D255"/>
    <mergeCell ref="B256:D256"/>
    <mergeCell ref="B257:D257"/>
    <mergeCell ref="B258:D258"/>
    <mergeCell ref="B259:D259"/>
    <mergeCell ref="B260:D260"/>
    <mergeCell ref="B261:D261"/>
    <mergeCell ref="B225:D225"/>
    <mergeCell ref="B226:D226"/>
    <mergeCell ref="B227:D227"/>
    <mergeCell ref="B228:D228"/>
    <mergeCell ref="B229:D229"/>
    <mergeCell ref="B231:D231"/>
    <mergeCell ref="B232:D232"/>
    <mergeCell ref="B233:D233"/>
    <mergeCell ref="B234:D234"/>
    <mergeCell ref="B235:D235"/>
    <mergeCell ref="B236:D236"/>
    <mergeCell ref="B237:D237"/>
    <mergeCell ref="B239:D239"/>
    <mergeCell ref="B240:D240"/>
    <mergeCell ref="B241:D241"/>
    <mergeCell ref="B242:D242"/>
  </mergeCells>
  <conditionalFormatting sqref="C7:C11">
    <cfRule type="cellIs" dxfId="534" priority="4" operator="equal">
      <formula>0</formula>
    </cfRule>
  </conditionalFormatting>
  <conditionalFormatting sqref="D6:D11">
    <cfRule type="cellIs" dxfId="533" priority="2" operator="equal">
      <formula>0</formula>
    </cfRule>
  </conditionalFormatting>
  <conditionalFormatting sqref="E7:E11">
    <cfRule type="cellIs" dxfId="532" priority="3" operator="equal">
      <formula>0</formula>
    </cfRule>
  </conditionalFormatting>
  <conditionalFormatting sqref="F1:F2">
    <cfRule type="cellIs" dxfId="531" priority="13" operator="greaterThan">
      <formula>0</formula>
    </cfRule>
  </conditionalFormatting>
  <conditionalFormatting sqref="F16 I16 L16 O16 R16 U16">
    <cfRule type="cellIs" dxfId="530" priority="35" operator="greaterThan">
      <formula>0</formula>
    </cfRule>
  </conditionalFormatting>
  <conditionalFormatting sqref="F21 I21 L21 O21 R21 U21 F23 I23 L23 O23 R23 U23 F25 I25 L25 O25 R25 U25 F27 I27 L27 O27 R27 U27 F29 I29 L29 O29 R29 U29 F31 I31 L31 O31 R31 U31 F33 I33 L33 O33 R33 U33">
    <cfRule type="cellIs" dxfId="529" priority="23" operator="greaterThan">
      <formula>0</formula>
    </cfRule>
  </conditionalFormatting>
  <conditionalFormatting sqref="F35 I35 L35 O35 R35 U35 F38 I38 L38 O38 R38 U38 F41 I41 L41 O41 R41 U41 F44 I44 L44 O44 R44 U44 F47 I47 L47 O47 R47 U47 F50 I50 L50 O50 R50 U50 F53 I53 L53 O53 R53 U53 F56 I56 L56 O56 R56 U56 F59 I59 L59 O59 R59 U59 F62 I62 L62 O62 R62 U62 F65 I65 L65 O65 R65 U65 F68 I68 L68 O68 R68 U68 F71 I71 L71 O71 R71 U71 F74 I74 L74 O74 R74 U74 F77 I77 L77 O77 R77 U77 F80 I80 L80 O80 R80 U80 F83 I83 L83 O83 R83 U83 F86 I86 L86 O86 R86 U86 F89 I89 L89 O89 R89 U89 F92 I92 L92 O92 R92 U92 F95 I95 L95 O95 R95 U95 F98 I98 L98 O98 R98 U98 F101 I101 L101 O101 R101 U101 F104 I104 L104 O104 R104 U104 F107 I107 L107 O107 R107 U107 F110 I110 L110 O110 R110 U110 F113 I113 L113 O113 R113 U113 F116 I116 L116 O116 R116 U116 F119 I119 L119 O119 R119 U119 F122 I122 L122 O122 R122 U122 F125 I125 L125 O125 R125 U125 F128 I128 L128 O128 R128 U128">
    <cfRule type="cellIs" dxfId="528" priority="29" operator="greaterThan">
      <formula>0</formula>
    </cfRule>
  </conditionalFormatting>
  <conditionalFormatting sqref="F131 I131 L131 O131 R131 U131 F133 I133 L133 O133 R133 U133 F135 I135 L135 O135 R135 U135 F137 I137 L137 O137 R137 U137 F139 I139 L139 O139 R139 U139 F141 I141 L141 O141 R141 U141 F143 I143 L143 O143 R143 U143 F145 I145 L145 O145 R145 U145">
    <cfRule type="cellIs" dxfId="527" priority="19" operator="greaterThan">
      <formula>0</formula>
    </cfRule>
  </conditionalFormatting>
  <conditionalFormatting sqref="F147 I147 L147 O147 R147 U147">
    <cfRule type="cellIs" dxfId="526" priority="5" operator="greaterThan">
      <formula>0</formula>
    </cfRule>
  </conditionalFormatting>
  <conditionalFormatting sqref="F6:G6 I6:W6">
    <cfRule type="cellIs" dxfId="525" priority="16" operator="equal">
      <formula>0</formula>
    </cfRule>
  </conditionalFormatting>
  <conditionalFormatting sqref="F7:W7">
    <cfRule type="cellIs" dxfId="524" priority="15" operator="equal">
      <formula>0</formula>
    </cfRule>
  </conditionalFormatting>
  <conditionalFormatting sqref="F14:W15">
    <cfRule type="cellIs" dxfId="523" priority="39" operator="equal">
      <formula>0</formula>
    </cfRule>
  </conditionalFormatting>
  <conditionalFormatting sqref="F17:W18">
    <cfRule type="cellIs" dxfId="522" priority="33" operator="equal">
      <formula>0</formula>
    </cfRule>
  </conditionalFormatting>
  <conditionalFormatting sqref="F20:W20 F22:W22 F24:W24 F26:W26 F28:W28 F30:W30 F32:W32 F34:W34">
    <cfRule type="cellIs" dxfId="521" priority="17" operator="equal">
      <formula>0</formula>
    </cfRule>
  </conditionalFormatting>
  <conditionalFormatting sqref="F36:W37 F39:W40 F42:W43 F45:W46 F48:W49 F51:W52 F54:W55 F57:W58 F60:W61 F63:W64 F66:W67 F69:W70 F72:W73 F75:W76 F78:W79 F81:W82 F84:W85 F87:W88 F90:W91 F93:W94 F96:W97 F99:W100 F102:W103 F105:W106 F108:W109 F111:W112 F114:W115 F117:W118 F120:W121 F123:W124 F126:W127">
    <cfRule type="cellIs" dxfId="520" priority="27" operator="equal">
      <formula>0</formula>
    </cfRule>
  </conditionalFormatting>
  <conditionalFormatting sqref="F129:W130 F132:W132 F134:W134 F136:W136 F138:W138 F140:W140 F142:W142 F144:W144 F146:W146 F148:W148">
    <cfRule type="cellIs" dxfId="519" priority="18" operator="equal">
      <formula>0</formula>
    </cfRule>
  </conditionalFormatting>
  <conditionalFormatting sqref="F162:W179">
    <cfRule type="cellIs" dxfId="518" priority="40" operator="equal">
      <formula>0</formula>
    </cfRule>
  </conditionalFormatting>
  <conditionalFormatting sqref="F10:AI11">
    <cfRule type="cellIs" dxfId="517" priority="53" operator="equal">
      <formula>0</formula>
    </cfRule>
    <cfRule type="cellIs" dxfId="516" priority="52" operator="lessThan">
      <formula>0</formula>
    </cfRule>
  </conditionalFormatting>
  <conditionalFormatting sqref="F168:AI169 F172:AI173 F176:AI177 F179:AI179 X164:AI165">
    <cfRule type="cellIs" dxfId="515" priority="46" operator="equal">
      <formula>0</formula>
    </cfRule>
  </conditionalFormatting>
  <conditionalFormatting sqref="G13 J13:K13 M13:N13 P13:Q13 S13:T13 V13:W13 Y13:Z13 AB13 AE13 AH13 Y16:Z16 AB16 AE16 AH16 G19 J19:K19 M19:N19 P19:Q19 S19:T19 V19:W19 Y19:Z19 AB19 AE19 AH19 Y21:Z21 AB21 AE21 AH21 Y23:Z23 AB23 AE23 AH23 Y25:Z25 AB25 AE25 AH25 Y27:Z27 AB27 AE27 AH27 Y29:Z29 AB29 AE29 AH29 Y31:Z31 AB31 AE31 AH31 Y33:Z33 AB33 AE33 AH33 Y35:Z35 AB35 AE35 AH35 Y38:Z38 AB38 AE38 AH38 Y41:Z41 AB41 AE41 AH41 Y44:Z44 AB44 AE44 AH44 Y47:Z47 AB47 AE47 AH47 Y50:Z50 AB50 AE50 AH50 Y53:Z53 AB53 AE53 AH53 Y56:Z56 AB56 AE56 AH56 Y59:Z59 AB59 AE59 AH59 Y62:Z62 AB62 AE62 AH62 Y65:Z65 AB65 AE65 AH65 Y68:Z68 AB68 AE68 AH68 Y71:Z71 AB71 AE71 AH71 Y74:Z74 AB74 AE74 AH74 Y77:Z77 AB77 AE77 AH77 Y80:Z80 AB80 AE80 AH80 Y83:Z83 AB83 AE83 AH83 Y86:Z86 AB86 AE86 AH86 Y89:Z89 AB89 AE89 AH89 Y92:Z92 AB92 AE92 AH92 Y95:Z95 AB95 AE95 AH95 Y98:Z98 AB98 AE98 AH98 Y101:Z101 AB101 AE101 AH101 Y104:Z104 AB104 AE104 AH104 Y107:Z107 AB107 AE107 AH107 Y110:Z110 AB110 AE110 AH110 Y113:Z113 AB113 AE113 AH113 Y116:Z116 AB116 AE116 AH116 Y119:Z119 AB119 AE119 AH119 Y122:Z122 AB122 AE122 AH122 Y125:Z125 AB125 AE125 AH125 Y128:Z128 AB128 AE128 AH128 Y131:Z131 AB131 AE131 AH131 Y133:Z133 AB133 AE133 AH133 Y135:Z135 AB135 AE135 AH135 Y137:Z137 AB137 AE137 AH137 Y139:Z139 AB139 AE139 AH139 Y141:Z141 AB141 AE141 AH141 Y143:Z143 AB143 AE143 AH143 Y145:Z145 AB145 AE145 AH145">
    <cfRule type="cellIs" dxfId="514" priority="48" operator="lessThan">
      <formula>0</formula>
    </cfRule>
  </conditionalFormatting>
  <conditionalFormatting sqref="G16 J16:K16 M16:N16 P16:Q16 S16:T16 V16:W16">
    <cfRule type="cellIs" dxfId="513" priority="37" operator="lessThan">
      <formula>0</formula>
    </cfRule>
  </conditionalFormatting>
  <conditionalFormatting sqref="G21 J21:K21 M21:N21 P21:Q21 S21:T21 V21:W21 G23 J23:K23 M23:N23 P23:Q23 S23:T23 V23:W23 G25 J25:K25 M25:N25 P25:Q25 S25:T25 V25:W25 G27 J27:K27 M27:N27 P27:Q27 S27:T27 V27:W27 G29 J29:K29 M29:N29 P29:Q29 S29:T29 V29:W29 G31 J31:K31 M31:N31 P31:Q31 S31:T31 V31:W31 G33 J33:K33 M33:N33 P33:Q33 S33:T33 V33:W33">
    <cfRule type="cellIs" dxfId="512" priority="25" operator="lessThan">
      <formula>0</formula>
    </cfRule>
  </conditionalFormatting>
  <conditionalFormatting sqref="G35 J35:K35 M35:N35 P35:Q35 S35:T35 V35:W35 G38 J38:K38 M38:N38 P38:Q38 S38:T38 V38:W38 G41 J41:K41 M41:N41 P41:Q41 S41:T41 V41:W41 G44 J44:K44 M44:N44 P44:Q44 S44:T44 V44:W44 G47 J47:K47 M47:N47 P47:Q47 S47:T47 V47:W47 G50 J50:K50 M50:N50 P50:Q50 S50:T50 V50:W50 G53 J53:K53 M53:N53 P53:Q53 S53:T53 V53:W53 G56 J56:K56 M56:N56 P56:Q56 S56:T56 V56:W56 G59 J59:K59 M59:N59 P59:Q59 S59:T59 V59:W59 G62 J62:K62 M62:N62 P62:Q62 S62:T62 V62:W62 G65 J65:K65 M65:N65 P65:Q65 S65:T65 V65:W65 G68 J68:K68 M68:N68 P68:Q68 S68:T68 V68:W68 G71 J71:K71 M71:N71 P71:Q71 S71:T71 V71:W71 G74 J74:K74 M74:N74 P74:Q74 S74:T74 V74:W74 G77 J77:K77 M77:N77 P77:Q77 S77:T77 V77:W77 G80 J80:K80 M80:N80 P80:Q80 S80:T80 V80:W80 G83 J83:K83 M83:N83 P83:Q83 S83:T83 V83:W83 G86 J86:K86 M86:N86 P86:Q86 S86:T86 V86:W86 G89 J89:K89 M89:N89 P89:Q89 S89:T89 V89:W89 G92 J92:K92 M92:N92 P92:Q92 S92:T92 V92:W92 G95 J95:K95 M95:N95 P95:Q95 S95:T95 V95:W95 G98 J98:K98 M98:N98 P98:Q98 S98:T98 V98:W98 G101 J101:K101 M101:N101 P101:Q101 S101:T101 V101:W101 G104 J104:K104 M104:N104 P104:Q104 S104:T104 V104:W104 G107 J107:K107 M107:N107 P107:Q107 S107:T107 V107:W107 G110 J110:K110 M110:N110 P110:Q110 S110:T110 V110:W110 G113 J113:K113 M113:N113 P113:Q113 S113:T113 V113:W113 G116 J116:K116 M116:N116 P116:Q116 S116:T116 V116:W116 G119 J119:K119 M119:N119 P119:Q119 S119:T119 V119:W119 G122 J122:K122 M122:N122 P122:Q122 S122:T122 V122:W122 G125 J125:K125 M125:N125 P125:Q125 S125:T125 V125:W125 G128 J128:K128 M128:N128 P128:Q128 S128:T128 V128:W128">
    <cfRule type="cellIs" dxfId="511" priority="31" operator="lessThan">
      <formula>0</formula>
    </cfRule>
  </conditionalFormatting>
  <conditionalFormatting sqref="G131 J131:K131 M131:N131 P131:Q131 S131:T131 V131:W131 G133 J133:K133 M133:N133 P133:Q133 S133:T133 V133:W133 G135 J135:K135 M135:N135 P135:Q135 S135:T135 V135:W135 G137 J137:K137 M137:N137 P137:Q137 S137:T137 V137:W137 G139 J139:K139 M139:N139 P139:Q139 S139:T139 V139:W139 G141 J141:K141 M141:N141 P141:Q141 S141:T141 V141:W141 G143 J143:K143 M143:N143 P143:Q143 S143:T143 V143:W143 G145 J145:K145 M145:N145 P145:Q145 S145:T145 V145:W145">
    <cfRule type="cellIs" dxfId="510" priority="21" operator="lessThan">
      <formula>0</formula>
    </cfRule>
  </conditionalFormatting>
  <conditionalFormatting sqref="G147 J147:K147 M147:N147 P147:Q147 S147:T147 V147:W147">
    <cfRule type="cellIs" dxfId="509" priority="7" operator="lessThan">
      <formula>0</formula>
    </cfRule>
  </conditionalFormatting>
  <conditionalFormatting sqref="G13:H13 J13:K13 M13:N13 P13:Q13 S13:T13 V13:W13 Y13:Z13 AB13:AC13 AE13:AF13 AH13:AI13 Y16:Z16 AB16:AC16 AE16:AF16 AH16:AI16 G19:H19 J19:K19 M19:N19 P19:Q19 S19:T19 V19:W19 Y19:Z19 AB19:AC19 AE19:AF19 AH19:AI19 Y21:Z21 AB21:AC21 AE21:AF21 AH21:AI21 Y23:Z23 AB23:AC23 AE23:AF23 AH23:AI23 Y25:Z25 AB25:AC25 AE25:AF25 AH25:AI25 Y27:Z27 AB27:AC27 AE27:AF27 AH27:AI27 Y29:Z29 AB29:AC29 AE29:AF29 AH29:AI29 Y31:Z31 AB31:AC31 AE31:AF31 AH31:AI31 Y33:Z33 AB33:AC33 AE33:AF33 AH33:AI33 Y35:Z35 AB35:AC35 AE35:AF35 AH35:AI35 Y38:Z38 AB38:AC38 AE38:AF38 AH38:AI38 Y41:Z41 AB41:AC41 AE41:AF41 AH41:AI41 Y44:Z44 AB44:AC44 AE44:AF44 AH44:AI44 Y47:Z47 AB47:AC47 AE47:AF47 AH47:AI47 Y50:Z50 AB50:AC50 AE50:AF50 AH50:AI50 Y53:Z53 AB53:AC53 AE53:AF53 AH53:AI53 Y56:Z56 AB56:AC56 AE56:AF56 AH56:AI56 Y59:Z59 AB59:AC59 AE59:AF59 AH59:AI59 Y62:Z62 AB62:AC62 AE62:AF62 AH62:AI62 Y65:Z65 AB65:AC65 AE65:AF65 AH65:AI65 Y68:Z68 AB68:AC68 AE68:AF68 AH68:AI68 Y71:Z71 AB71:AC71 AE71:AF71 AH71:AI71 Y74:Z74 AB74:AC74 AE74:AF74 AH74:AI74 Y77:Z77 AB77:AC77 AE77:AF77 AH77:AI77 Y80:Z80 AB80:AC80 AE80:AF80 AH80:AI80 Y83:Z83 AB83:AC83 AE83:AF83 AH83:AI83 Y86:Z86 AB86:AC86 AE86:AF86 AH86:AI86 Y89:Z89 AB89:AC89 AE89:AF89 AH89:AI89 Y92:Z92 AB92:AC92 AE92:AF92 AH92:AI92 Y95:Z95 AB95:AC95 AE95:AF95 AH95:AI95 Y98:Z98 AB98:AC98 AE98:AF98 AH98:AI98 Y101:Z101 AB101:AC101 AE101:AF101 AH101:AI101 Y104:Z104 AB104:AC104 AE104:AF104 AH104:AI104 Y107:Z107 AB107:AC107 AE107:AF107 AH107:AI107 Y110:Z110 AB110:AC110 AE110:AF110 AH110:AI110 Y113:Z113 AB113:AC113 AE113:AF113 AH113:AI113 Y116:Z116 AB116:AC116 AE116:AF116 AH116:AI116 Y119:Z119 AB119:AC119 AE119:AF119 AH119:AI119 Y122:Z122 AB122:AC122 AE122:AF122 AH122:AI122 Y125:Z125 AB125:AC125 AE125:AF125 AH125:AI125 Y128:Z128 AB128:AC128 AE128:AF128 AH128:AI128 Y131:Z131 AB131:AC131 AE131:AF131 AH131:AI131 Y133:Z133 AB133:AC133 AE133:AF133 AH133:AI133 Y135:Z135 AB135:AC135 AE135:AF135 AH135:AI135 Y137:Z137 AB137:AC137 AE137:AF137 AH137:AI137 Y139:Z139 AB139:AC139 AE139:AF139 AH139:AI139 Y141:Z141 AB141:AC141 AE141:AF141 AH141:AI141 Y143:Z143 AB143:AC143 AE143:AF143 AH143:AI143 Y145:Z145 AB145:AC145 AE145:AF145 AH145:AI145">
    <cfRule type="cellIs" dxfId="508" priority="47" operator="equal">
      <formula>0</formula>
    </cfRule>
  </conditionalFormatting>
  <conditionalFormatting sqref="G16:H16 J16:K16 M16:N16 P16:Q16 S16:T16 V16:W16">
    <cfRule type="cellIs" dxfId="507" priority="36" operator="equal">
      <formula>0</formula>
    </cfRule>
  </conditionalFormatting>
  <conditionalFormatting sqref="G21:H21 J21:K21 M21:N21 P21:Q21 S21:T21 V21:W21 G23:H23 J23:K23 M23:N23 P23:Q23 S23:T23 V23:W23 G25:H25 J25:K25 M25:N25 P25:Q25 S25:T25 V25:W25 G27:H27 J27:K27 M27:N27 P27:Q27 S27:T27 V27:W27 G29:H29 J29:K29 M29:N29 P29:Q29 S29:T29 V29:W29 G31:H31 J31:K31 M31:N31 P31:Q31 S31:T31 V31:W31 G33:H33 J33:K33 M33:N33 P33:Q33 S33:T33 V33:W33">
    <cfRule type="cellIs" dxfId="506" priority="24" operator="equal">
      <formula>0</formula>
    </cfRule>
  </conditionalFormatting>
  <conditionalFormatting sqref="G35:H35 J35:K35 M35:N35 P35:Q35 S35:T35 V35:W35 G38:H38 J38:K38 M38:N38 P38:Q38 S38:T38 V38:W38 G41:H41 J41:K41 M41:N41 P41:Q41 S41:T41 V41:W41 G44:H44 J44:K44 M44:N44 P44:Q44 S44:T44 V44:W44 G47:H47 J47:K47 M47:N47 P47:Q47 S47:T47 V47:W47 G50:H50 J50:K50 M50:N50 P50:Q50 S50:T50 V50:W50 G53:H53 J53:K53 M53:N53 P53:Q53 S53:T53 V53:W53 G56:H56 J56:K56 M56:N56 P56:Q56 S56:T56 V56:W56 G59:H59 J59:K59 M59:N59 P59:Q59 S59:T59 V59:W59 G62:H62 J62:K62 M62:N62 P62:Q62 S62:T62 V62:W62 G65:H65 J65:K65 M65:N65 P65:Q65 S65:T65 V65:W65 G68:H68 J68:K68 M68:N68 P68:Q68 S68:T68 V68:W68 G71:H71 J71:K71 M71:N71 P71:Q71 S71:T71 V71:W71 G74:H74 J74:K74 M74:N74 P74:Q74 S74:T74 V74:W74 G77:H77 J77:K77 M77:N77 P77:Q77 S77:T77 V77:W77 G80:H80 J80:K80 M80:N80 P80:Q80 S80:T80 V80:W80 G83:H83 J83:K83 M83:N83 P83:Q83 S83:T83 V83:W83 G86:H86 J86:K86 M86:N86 P86:Q86 S86:T86 V86:W86 G89:H89 J89:K89 M89:N89 P89:Q89 S89:T89 V89:W89 G92:H92 J92:K92 M92:N92 P92:Q92 S92:T92 V92:W92 G95:H95 J95:K95 M95:N95 P95:Q95 S95:T95 V95:W95 G98:H98 J98:K98 M98:N98 P98:Q98 S98:T98 V98:W98 G101:H101 J101:K101 M101:N101 P101:Q101 S101:T101 V101:W101 G104:H104 J104:K104 M104:N104 P104:Q104 S104:T104 V104:W104 G107:H107 J107:K107 M107:N107 P107:Q107 S107:T107 V107:W107 G110:H110 J110:K110 M110:N110 P110:Q110 S110:T110 V110:W110 G113:H113 J113:K113 M113:N113 P113:Q113 S113:T113 V113:W113 G116:H116 J116:K116 M116:N116 P116:Q116 S116:T116 V116:W116 G119:H119 J119:K119 M119:N119 P119:Q119 S119:T119 V119:W119 G122:H122 J122:K122 M122:N122 P122:Q122 S122:T122 V122:W122 G125:H125 J125:K125 M125:N125 P125:Q125 S125:T125 V125:W125 G128:H128 J128:K128 M128:N128 P128:Q128 S128:T128 V128:W128">
    <cfRule type="cellIs" dxfId="505" priority="30" operator="equal">
      <formula>0</formula>
    </cfRule>
  </conditionalFormatting>
  <conditionalFormatting sqref="G131:H131 J131:K131 M131:N131 P131:Q131 S131:T131 V131:W131 G133:H133 J133:K133 M133:N133 P133:Q133 S133:T133 V133:W133 G135:H135 J135:K135 M135:N135 P135:Q135 S135:T135 V135:W135 G137:H137 J137:K137 M137:N137 P137:Q137 S137:T137 V137:W137 G139:H139 J139:K139 M139:N139 P139:Q139 S139:T139 V139:W139 G141:H141 J141:K141 M141:N141 P141:Q141 S141:T141 V141:W141 G143:H143 J143:K143 M143:N143 P143:Q143 S143:T143 V143:W143 G145:H145 J145:K145 M145:N145 P145:Q145 S145:T145 V145:W145">
    <cfRule type="cellIs" dxfId="504" priority="20" operator="equal">
      <formula>0</formula>
    </cfRule>
  </conditionalFormatting>
  <conditionalFormatting sqref="G147:H147 J147:K147 M147:N147 P147:Q147 S147:T147 V147:W147">
    <cfRule type="cellIs" dxfId="503" priority="6" operator="equal">
      <formula>0</formula>
    </cfRule>
  </conditionalFormatting>
  <conditionalFormatting sqref="G149:H154 J149:K154 M149:N154 P149:Q154 S149:T154 V149:W154">
    <cfRule type="cellIs" dxfId="502" priority="41" operator="equal">
      <formula>0</formula>
    </cfRule>
  </conditionalFormatting>
  <conditionalFormatting sqref="H13 AC13 AF13 AI13 AC16 AF16 AI16 H19 AC19 AF19 AI19 AC21 AF21 AI21 AC23 AF23 AI23 AC25 AF25 AI25 AC27 AF27 AI27 AC29 AF29 AI29 AC31 AF31 AI31 AC33 AF33 AI33 AC35 AF35 AI35 AC38 AF38 AI38 AC41 AF41 AI41 AC44 AF44 AI44 AC47 AF47 AI47 AC50 AF50 AI50 AC53 AF53 AI53 AC56 AF56 AI56 AC59 AF59 AI59 AC62 AF62 AI62 AC65 AF65 AI65 AC68 AF68 AI68 AC71 AF71 AI71 AC74 AF74 AI74 AC77 AF77 AI77 AC80 AF80 AI80 AC83 AF83 AI83 AC86 AF86 AI86 AC89 AF89 AI89 AC92 AF92 AI92 AC95 AF95 AI95 AC98 AF98 AI98 AC101 AF101 AI101 AC104 AF104 AI104 AC107 AF107 AI107 AC110 AF110 AI110 AC113 AF113 AI113 AC116 AF116 AI116 AC119 AF119 AI119 AC122 AF122 AI122 AC125 AF125 AI125 AC128 AF128 AI128 AC131 AF131 AI131 AC133 AF133 AI133 AC135 AF135 AI135 AC137 AF137 AI137 AC139 AF139 AI139 AC141 AF141 AI141 AC143 AF143 AI143 AC145 AF145 AI145">
    <cfRule type="cellIs" dxfId="501" priority="51" operator="lessThan">
      <formula>0</formula>
    </cfRule>
  </conditionalFormatting>
  <conditionalFormatting sqref="H16">
    <cfRule type="cellIs" dxfId="500" priority="38" operator="lessThan">
      <formula>0</formula>
    </cfRule>
  </conditionalFormatting>
  <conditionalFormatting sqref="H21 H23 H25 H27 H29 H31 H33">
    <cfRule type="cellIs" dxfId="499" priority="26" operator="lessThan">
      <formula>0</formula>
    </cfRule>
  </conditionalFormatting>
  <conditionalFormatting sqref="H35 H38 H41 H44 H47 H50 H53 H56 H59 H62 H65 H68 H71 H74 H77 H80 H83 H86 H89 H92 H95 H98 H101 H104 H107 H110 H113 H116 H119 H122 H125 H128">
    <cfRule type="cellIs" dxfId="498" priority="32" operator="lessThan">
      <formula>0</formula>
    </cfRule>
  </conditionalFormatting>
  <conditionalFormatting sqref="H131 H133 H135 H137 H139 H141 H143 H145">
    <cfRule type="cellIs" dxfId="497" priority="22" operator="lessThan">
      <formula>0</formula>
    </cfRule>
  </conditionalFormatting>
  <conditionalFormatting sqref="H147">
    <cfRule type="cellIs" dxfId="496" priority="8" operator="lessThan">
      <formula>0</formula>
    </cfRule>
  </conditionalFormatting>
  <conditionalFormatting sqref="I1:I2">
    <cfRule type="cellIs" dxfId="495" priority="12" operator="greaterThan">
      <formula>0</formula>
    </cfRule>
  </conditionalFormatting>
  <conditionalFormatting sqref="J4 L4 S4 U4 G4:G5 O4:P5 E13:E16">
    <cfRule type="cellIs" dxfId="494" priority="43" operator="equal">
      <formula>0</formula>
    </cfRule>
  </conditionalFormatting>
  <conditionalFormatting sqref="L1">
    <cfRule type="cellIs" dxfId="493" priority="11" operator="greaterThan">
      <formula>0</formula>
    </cfRule>
  </conditionalFormatting>
  <conditionalFormatting sqref="L2 G3:K3">
    <cfRule type="cellIs" dxfId="492" priority="14" operator="greaterThan">
      <formula>0</formula>
    </cfRule>
  </conditionalFormatting>
  <conditionalFormatting sqref="L4 G5 X7:AI7 F13 I13 L13 O13 R13 U13 X13 AA13 AD13 AG13 X16 AA16 AD16 AG16 F19 I19 L19 O19 R19 U19 X19 AA19 AD19 AG19 X21 AA21 AD21 AG21 X23 AA23 AD23 AG23 X25 AA25 AD25 AG25 X27 AA27 AD27 AG27 X29 AA29 AD29 AG29 X31 AA31 AD31 AG31 X33 AA33 AD33 AG33 X35 AA35 AD35 AG35 X38 AA38 AD38 AG38 X41 AA41 AD41 AG41 X44 AA44 AD44 AG44 X47 AA47 AD47 AG47 X50 AA50 AD50 AG50 X53 AA53 AD53 AG53 X56 AA56 AD56 AG56 X59 AA59 AD59 AG59 X62 AA62 AD62 AG62 X65 AA65 AD65 AG65 X68 AA68 AD68 AG68 X71 AA71 AD71 AG71 X74 AA74 AD74 AG74 X77 AA77 AD77 AG77 X80 AA80 AD80 AG80 X83 AA83 AD83 AG83 X86 AA86 AD86 AG86 X89 AA89 AD89 AG89 X92 AA92 AD92 AG92 X95 AA95 AD95 AG95 X98 AA98 AD98 AG98 X101 AA101 AD101 AG101 X104 AA104 AD104 AG104 X107 AA107 AD107 AG107 X110 AA110 AD110 AG110 X113 AA113 AD113 AG113 X116 AA116 AD116 AG116 X119 AA119 AD119 AG119 X122 AA122 AD122 AG122 X125 AA125 AD125 AG125 X128 AA128 AD128 AG128 X131 AA131 AD131 AG131 X133 AA133 AD133 AG133 X135 AA135 AD135 AG135 X137 AA137 AD137 AG137 X139 AA139 AD139 AG139 X141 AA141 AD141 AG141 X143 AA143 AD143 AG143 X145 AA145 AD145 AG145">
    <cfRule type="cellIs" dxfId="491" priority="45" operator="greaterThan">
      <formula>0</formula>
    </cfRule>
  </conditionalFormatting>
  <conditionalFormatting sqref="O1">
    <cfRule type="cellIs" dxfId="490" priority="10" operator="greaterThan">
      <formula>0</formula>
    </cfRule>
  </conditionalFormatting>
  <conditionalFormatting sqref="R1 U1">
    <cfRule type="cellIs" dxfId="489" priority="9" operator="greaterThan">
      <formula>0</formula>
    </cfRule>
  </conditionalFormatting>
  <conditionalFormatting sqref="AB6:AC6 AH6:AI6">
    <cfRule type="cellIs" dxfId="488" priority="49" operator="between">
      <formula>1</formula>
      <formula>8</formula>
    </cfRule>
    <cfRule type="cellIs" dxfId="487" priority="50" operator="equal">
      <formula>0</formula>
    </cfRule>
  </conditionalFormatting>
  <dataValidations count="4">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X13 AA13 AD13 AG13 X16 AA16 AD16 AG16 X19 AA19 AD19 AG19 X21 AA21 AD21 AG21 X23 AA23 AD23 AG23 X25 AA25 AD25 AG25 X27 AA27 AD27 AG27 X29 AA29 AD29 AG29 X31 AA31 AD31 AG31 X33 AA33 AD33 AG33 X35 AA35 AD35 AG35 X38 AA38 AD38 AG38 X41 AA41 AD41 AG41 X44 AA44 AD44 AG44 X47 AA47 AD47 AG47 X50 AA50 AD50 AG50 X53 AA53 AD53 AG53 X56 AA56 AD56 AG56 X59 AA59 AD59 AG59 X62 AA62 AD62 AG62 X65 AA65 AD65 AG65 X68 AA68 AD68 AG68 X71 AA71 AD71 AG71 X74 AA74 AD74 AG74 X77 AA77 AD77 AG77 X80 AA80 AD80 AG80 X83 AA83 AD83 AG83 X86 AA86 AD86 AG86 X89 AA89 AD89 AG89 X92 AA92 AD92 AG92 X95 AA95 AD95 AG95 X98 AA98 AD98 AG98 X101 AA101 AD101 AG101 X104 AA104 AD104 AG104 X107 AA107 AD107 AG107 X110 AA110 AD110 AG110 X113 AA113 AD113 AG113 X116 AA116 AD116 AG116 X119 AA119 AD119 AG119 X122 AA122 AD122 AG122 X125 AA125 AD125 AG125 X128 AA128 AD128 AG128 X131 AA131 AD131 AG131 X133 AA133 AD133 AG133 X135 AA135 AD135 AG135 X137 AA137 AD137 AG137 X139 AA139 AD139 AG139 X141 AA141 AD141 AG141 X143 AA143 AD143 AG143 X145 AA145 AD145 AG145" xr:uid="{00000000-0002-0000-1300-000000000000}">
      <formula1>0.00694444444444444</formula1>
      <formula2>0</formula2>
    </dataValidation>
    <dataValidation allowBlank="1" showInputMessage="1" showErrorMessage="1" promptTitle="      DATA INPUT" prompt="ENTER THE VENUE FOR THE GALA  HERE" sqref="L4 G5" xr:uid="{00000000-0002-0000-1300-000001000000}">
      <formula1>0</formula1>
      <formula2>0</formula2>
    </dataValidation>
    <dataValidation allowBlank="1" showInputMessage="1" showErrorMessage="1" promptTitle="        DATA INPUT" prompt="Enter the name of the competing club into the appropriate lane header" sqref="AA7:AI7" xr:uid="{00000000-0002-0000-1300-000002000000}">
      <formula1>0</formula1>
      <formula2>0</formula2>
    </dataValidation>
    <dataValidation allowBlank="1" showInputMessage="1" showErrorMessage="1" promptTitle="       DATA INPUT" prompt="Enter the name of the competing club into the appropriate lane header_x000a_" sqref="X7:Z7" xr:uid="{00000000-0002-0000-1300-000003000000}">
      <formula1>0</formula1>
      <formula2>0</formula2>
    </dataValidation>
  </dataValidations>
  <hyperlinks>
    <hyperlink ref="F1" location="'Gala Setup'!H4" display="Gala _x000a_Setup" xr:uid="{00000000-0004-0000-1300-000000000000}"/>
    <hyperlink ref="I1" location="Recording!C32" display="Gala_x000a_Recording" xr:uid="{00000000-0004-0000-1300-000001000000}"/>
    <hyperlink ref="L1" location="'Final result'!C8" display="Final _x000a_Result" xr:uid="{00000000-0004-0000-1300-000002000000}"/>
    <hyperlink ref="O1" location="'Quick Check'!A1" display="Check _x000a_Results" xr:uid="{00000000-0004-0000-1300-000003000000}"/>
    <hyperlink ref="R1" location="HDR!H3" display="Rankings _x000a_HDR" xr:uid="{00000000-0004-0000-1300-000004000000}"/>
    <hyperlink ref="U1" location="MRF!R1" display="Rankings _x000a_MRF" xr:uid="{00000000-0004-0000-1300-000005000000}"/>
    <hyperlink ref="B166" location="'6 Lane Gala'!F34" display="GO TO EVENT 11" xr:uid="{00000000-0004-0000-1300-000006000000}"/>
    <hyperlink ref="B170" location="'6 Lane Gala'!F58" display="GO TO EVENT 19" xr:uid="{00000000-0004-0000-1300-000007000000}"/>
    <hyperlink ref="B174" location="'6 Lane Gala'!F82" display="GO TO EVENT 27" xr:uid="{00000000-0004-0000-1300-000008000000}"/>
    <hyperlink ref="B178" location="'6 Lane Gala'!F106" display="GO TO EVENT 35" xr:uid="{00000000-0004-0000-1300-000009000000}"/>
    <hyperlink ref="B180" location="'6 Lane Gala'!F130" display="GO TO EVENT 43" xr:uid="{00000000-0004-0000-1300-00000A000000}"/>
  </hyperlinks>
  <printOptions horizontalCentered="1"/>
  <pageMargins left="0.15763888888888899" right="0.15763888888888899" top="0.98402777777777795" bottom="0.98402777777777795" header="0.511811023622047" footer="0.511811023622047"/>
  <pageSetup paperSize="9" scale="39" orientation="portrait" horizontalDpi="300" verticalDpi="300" r:id="rId1"/>
  <rowBreaks count="2" manualBreakCount="2">
    <brk id="61" max="16383" man="1"/>
    <brk id="109"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BH644"/>
  <sheetViews>
    <sheetView showGridLines="0" showRowColHeaders="0" zoomScale="66" zoomScaleNormal="66" workbookViewId="0">
      <pane xSplit="5" ySplit="11" topLeftCell="F12" activePane="bottomRight" state="frozen"/>
      <selection pane="topRight" activeCell="F1" sqref="F1"/>
      <selection pane="bottomLeft" activeCell="A12" sqref="A12"/>
      <selection pane="bottomRight" activeCell="O12" sqref="O12"/>
    </sheetView>
  </sheetViews>
  <sheetFormatPr defaultColWidth="9.109375" defaultRowHeight="19.8" x14ac:dyDescent="0.25"/>
  <cols>
    <col min="1" max="1" width="10.109375" style="833" hidden="1" customWidth="1"/>
    <col min="2" max="2" width="6.109375" style="834" customWidth="1"/>
    <col min="3" max="3" width="9.88671875" style="959" customWidth="1"/>
    <col min="4" max="4" width="10.6640625" style="834" customWidth="1"/>
    <col min="5" max="5" width="40.6640625" style="834" customWidth="1"/>
    <col min="6" max="6" width="17.6640625" style="836" customWidth="1"/>
    <col min="7" max="7" width="6.6640625" style="834" customWidth="1"/>
    <col min="8" max="8" width="5.6640625" style="834" customWidth="1"/>
    <col min="9" max="9" width="17.6640625" style="836" customWidth="1"/>
    <col min="10" max="11" width="5.6640625" style="834" customWidth="1"/>
    <col min="12" max="12" width="17.6640625" style="836" customWidth="1"/>
    <col min="13" max="13" width="5.6640625" style="834" customWidth="1"/>
    <col min="14" max="14" width="6.5546875" style="834" customWidth="1"/>
    <col min="15" max="15" width="17.6640625" style="836" customWidth="1"/>
    <col min="16" max="17" width="5.6640625" style="834" customWidth="1"/>
    <col min="18" max="18" width="17.6640625" style="836" customWidth="1"/>
    <col min="19" max="20" width="5.6640625" style="834" customWidth="1"/>
    <col min="21" max="21" width="17.6640625" style="836" customWidth="1"/>
    <col min="22" max="23" width="5.6640625" style="834" customWidth="1"/>
    <col min="24" max="24" width="17.6640625" style="836" customWidth="1"/>
    <col min="25" max="26" width="5.6640625" style="834" customWidth="1"/>
    <col min="27" max="27" width="17.6640625" style="836" customWidth="1"/>
    <col min="28" max="29" width="5.6640625" style="834" customWidth="1"/>
    <col min="30" max="35" width="5.6640625" style="834" hidden="1" customWidth="1"/>
    <col min="36" max="53" width="5.6640625" style="833" hidden="1" customWidth="1"/>
    <col min="54" max="54" width="10" style="833" hidden="1" customWidth="1"/>
    <col min="55" max="55" width="11.33203125" style="833" hidden="1" customWidth="1"/>
    <col min="56" max="58" width="5.109375" style="833" hidden="1" customWidth="1"/>
    <col min="59" max="59" width="5.33203125" style="833" hidden="1" customWidth="1"/>
    <col min="60" max="80" width="8.33203125" style="833" customWidth="1"/>
    <col min="81" max="16384" width="9.109375" style="833"/>
  </cols>
  <sheetData>
    <row r="1" spans="2:58" ht="78" customHeight="1" x14ac:dyDescent="0.25">
      <c r="B1" s="1442" t="str">
        <f>'Gala Setup'!S4</f>
        <v>NASL.2023 V6</v>
      </c>
      <c r="C1" s="1442"/>
      <c r="D1" s="1442"/>
      <c r="E1" s="1442"/>
      <c r="F1" s="960" t="s">
        <v>4502</v>
      </c>
      <c r="G1" s="1443"/>
      <c r="H1" s="1443"/>
      <c r="I1" s="961" t="s">
        <v>5071</v>
      </c>
      <c r="J1" s="1444"/>
      <c r="K1" s="1444"/>
      <c r="L1" s="960" t="s">
        <v>4322</v>
      </c>
      <c r="M1" s="1445"/>
      <c r="N1" s="1445"/>
      <c r="O1" s="960" t="s">
        <v>5072</v>
      </c>
      <c r="P1" s="1443"/>
      <c r="Q1" s="1443"/>
      <c r="R1" s="960" t="s">
        <v>5126</v>
      </c>
      <c r="S1" s="1446"/>
      <c r="T1" s="1446"/>
      <c r="U1" s="960" t="s">
        <v>5127</v>
      </c>
      <c r="V1" s="837"/>
      <c r="W1" s="844"/>
      <c r="X1" s="960" t="s">
        <v>5073</v>
      </c>
      <c r="Y1" s="962"/>
      <c r="Z1" s="962"/>
      <c r="AA1" s="960" t="s">
        <v>5074</v>
      </c>
      <c r="AB1" s="963"/>
      <c r="AC1" s="963"/>
      <c r="AD1" s="964"/>
      <c r="AE1" s="964"/>
      <c r="AF1" s="964"/>
      <c r="AG1" s="964"/>
      <c r="AH1" s="964"/>
      <c r="AI1" s="964"/>
      <c r="AJ1" s="842"/>
      <c r="AP1" s="833" t="str">
        <f>F6</f>
        <v>HARINGEY AQUATICS</v>
      </c>
      <c r="AQ1" s="833" t="str">
        <f>I6</f>
        <v>STEVENAGE</v>
      </c>
      <c r="AR1" s="833" t="str">
        <f>L6</f>
        <v>BORO OF BROXBOURNE</v>
      </c>
      <c r="AS1" s="833" t="str">
        <f>O6</f>
        <v>AYLESBURY</v>
      </c>
      <c r="AT1" s="833" t="str">
        <f>R6</f>
        <v>BRAINTREE &amp; BOCKING</v>
      </c>
      <c r="AU1" s="833" t="str">
        <f>U6</f>
        <v>Bo of Harrow</v>
      </c>
      <c r="AV1" s="833" t="str">
        <f>X6</f>
        <v>Hillingdon 'B'</v>
      </c>
      <c r="AW1" s="833">
        <f>AA6</f>
        <v>0</v>
      </c>
      <c r="AX1" s="833">
        <f>AD6</f>
        <v>0</v>
      </c>
      <c r="AY1" s="833">
        <f>AG6</f>
        <v>0</v>
      </c>
      <c r="BA1" s="1447"/>
      <c r="BD1" s="965"/>
      <c r="BE1" s="965"/>
      <c r="BF1" s="965"/>
    </row>
    <row r="2" spans="2:58" ht="111" customHeight="1" x14ac:dyDescent="0.25">
      <c r="B2" s="1448" t="s">
        <v>5075</v>
      </c>
      <c r="C2" s="1448"/>
      <c r="D2" s="1448"/>
      <c r="E2" s="1448"/>
      <c r="G2" s="849"/>
      <c r="H2" s="849"/>
      <c r="I2" s="849"/>
      <c r="J2" s="849"/>
      <c r="K2" s="849"/>
      <c r="L2" s="849"/>
      <c r="M2" s="849"/>
      <c r="N2" s="849"/>
      <c r="O2" s="1449" t="str">
        <f>'Gala Setup'!H2</f>
        <v>National Arena Swimming League</v>
      </c>
      <c r="P2" s="1449"/>
      <c r="Q2" s="1449"/>
      <c r="R2" s="1449"/>
      <c r="S2" s="1449"/>
      <c r="T2" s="1449"/>
      <c r="U2" s="1449"/>
      <c r="V2" s="1449"/>
      <c r="W2" s="1449"/>
      <c r="X2" s="1449"/>
      <c r="Y2" s="1449"/>
      <c r="Z2" s="1449"/>
      <c r="AA2" s="1449"/>
      <c r="AB2" s="1449"/>
      <c r="AC2" s="1449"/>
      <c r="AD2" s="966"/>
      <c r="AE2" s="967"/>
      <c r="AF2" s="967"/>
      <c r="AG2" s="967"/>
      <c r="AH2" s="967"/>
      <c r="AI2" s="967"/>
      <c r="AL2" s="833" t="b">
        <f>IF(B6&gt;4,1)</f>
        <v>0</v>
      </c>
      <c r="BA2" s="1447"/>
      <c r="BD2" s="965"/>
      <c r="BE2" s="965"/>
      <c r="BF2" s="965"/>
    </row>
    <row r="3" spans="2:58" ht="30" customHeight="1" x14ac:dyDescent="0.25">
      <c r="B3" s="968"/>
      <c r="C3" s="969" t="str">
        <f>Recording!O5</f>
        <v>1st</v>
      </c>
      <c r="D3" s="969">
        <f>Recording!R5</f>
        <v>252</v>
      </c>
      <c r="E3" s="970" t="str">
        <f>Recording!P5</f>
        <v>BRAINTREE &amp; BOCKING</v>
      </c>
      <c r="F3" s="971" t="s">
        <v>11</v>
      </c>
      <c r="G3" s="1450" t="str">
        <f>'Gala Setup'!H4</f>
        <v>LONDON</v>
      </c>
      <c r="H3" s="1450"/>
      <c r="I3" s="1450"/>
      <c r="J3" s="1450"/>
      <c r="K3" s="1451" t="s">
        <v>13</v>
      </c>
      <c r="L3" s="1451"/>
      <c r="M3" s="1451" t="str">
        <f>'Gala Setup'!J4</f>
        <v>ONE</v>
      </c>
      <c r="N3" s="1451"/>
      <c r="O3" s="1451"/>
      <c r="P3" s="1451"/>
      <c r="Q3" s="1451"/>
      <c r="R3" s="972" t="s">
        <v>4548</v>
      </c>
      <c r="S3" s="1450" t="str">
        <f>'Gala Setup'!H5</f>
        <v>THREE</v>
      </c>
      <c r="T3" s="1450"/>
      <c r="U3" s="1450"/>
      <c r="V3" s="1452" t="s">
        <v>5128</v>
      </c>
      <c r="W3" s="1452"/>
      <c r="X3" s="1452"/>
      <c r="Y3" s="1450" t="str">
        <f>'Gala Setup'!J5</f>
        <v>TWO</v>
      </c>
      <c r="Z3" s="1450"/>
      <c r="AA3" s="1450"/>
      <c r="AB3" s="1450"/>
      <c r="AC3" s="1450"/>
      <c r="AD3" s="973"/>
      <c r="AE3" s="974"/>
      <c r="AF3" s="974"/>
      <c r="AG3" s="974"/>
      <c r="AH3" s="974"/>
      <c r="AI3" s="974"/>
      <c r="BA3" s="1447"/>
      <c r="BD3" s="1453"/>
      <c r="BE3" s="1453"/>
      <c r="BF3" s="1453"/>
    </row>
    <row r="4" spans="2:58" ht="30" customHeight="1" x14ac:dyDescent="0.25">
      <c r="B4" s="975"/>
      <c r="C4" s="969" t="str">
        <f>Recording!O18</f>
        <v>2nd</v>
      </c>
      <c r="D4" s="969">
        <f>Recording!R18</f>
        <v>241</v>
      </c>
      <c r="E4" s="970" t="str">
        <f>Recording!P18</f>
        <v>AYLESBURY</v>
      </c>
      <c r="F4" s="976" t="s">
        <v>4550</v>
      </c>
      <c r="G4" s="1450" t="str">
        <f>'Gala Setup'!H6</f>
        <v>AQUA VALE S &amp; F CENTRE AYLESBURY</v>
      </c>
      <c r="H4" s="1450"/>
      <c r="I4" s="1450"/>
      <c r="J4" s="1450"/>
      <c r="K4" s="1450"/>
      <c r="L4" s="1450"/>
      <c r="M4" s="1450"/>
      <c r="N4" s="1450"/>
      <c r="O4" s="1450"/>
      <c r="P4" s="1450"/>
      <c r="Q4" s="1450"/>
      <c r="R4" s="977" t="s">
        <v>4551</v>
      </c>
      <c r="S4" s="1454">
        <f>'Gala Setup'!H7</f>
        <v>45269</v>
      </c>
      <c r="T4" s="1454"/>
      <c r="U4" s="1454"/>
      <c r="V4" s="1452" t="s">
        <v>5129</v>
      </c>
      <c r="W4" s="1452"/>
      <c r="X4" s="1452"/>
      <c r="Y4" s="1455" t="str">
        <f>'Gala Setup'!J7</f>
        <v>3ER231478</v>
      </c>
      <c r="Z4" s="1455"/>
      <c r="AA4" s="1455"/>
      <c r="AB4" s="1455"/>
      <c r="AC4" s="1455"/>
      <c r="AD4" s="978"/>
      <c r="AE4" s="979"/>
      <c r="AF4" s="979"/>
      <c r="AG4" s="979"/>
      <c r="AH4" s="979"/>
      <c r="AI4" s="979"/>
      <c r="BA4" s="1447"/>
      <c r="BD4" s="1453"/>
      <c r="BE4" s="1453"/>
      <c r="BF4" s="1453"/>
    </row>
    <row r="5" spans="2:58" ht="30" customHeight="1" x14ac:dyDescent="0.25">
      <c r="B5" s="975"/>
      <c r="C5" s="969" t="str">
        <f>Recording!O19</f>
        <v>3rd</v>
      </c>
      <c r="D5" s="969">
        <f>Recording!R19</f>
        <v>212</v>
      </c>
      <c r="E5" s="970" t="str">
        <f>Recording!P19</f>
        <v>Bo of Harrow</v>
      </c>
      <c r="F5" s="980" t="s">
        <v>4327</v>
      </c>
      <c r="G5" s="1456">
        <f>'Gala Setup'!N4</f>
        <v>1</v>
      </c>
      <c r="H5" s="1456"/>
      <c r="I5" s="981" t="s">
        <v>4327</v>
      </c>
      <c r="J5" s="1456">
        <f>'Gala Setup'!N5</f>
        <v>2</v>
      </c>
      <c r="K5" s="1456"/>
      <c r="L5" s="981" t="s">
        <v>4327</v>
      </c>
      <c r="M5" s="1456">
        <f>'Gala Setup'!N6</f>
        <v>3</v>
      </c>
      <c r="N5" s="1456"/>
      <c r="O5" s="981" t="s">
        <v>4327</v>
      </c>
      <c r="P5" s="1456">
        <f>'Gala Setup'!N7</f>
        <v>4</v>
      </c>
      <c r="Q5" s="1456"/>
      <c r="R5" s="981" t="s">
        <v>4327</v>
      </c>
      <c r="S5" s="1456">
        <f>'Gala Setup'!N8</f>
        <v>5</v>
      </c>
      <c r="T5" s="1456"/>
      <c r="U5" s="981" t="s">
        <v>4327</v>
      </c>
      <c r="V5" s="1456">
        <f>'Gala Setup'!N9</f>
        <v>6</v>
      </c>
      <c r="W5" s="1456"/>
      <c r="X5" s="981" t="s">
        <v>4327</v>
      </c>
      <c r="Y5" s="1456">
        <f>'Gala Setup'!N10</f>
        <v>7</v>
      </c>
      <c r="Z5" s="1456"/>
      <c r="AA5" s="981" t="s">
        <v>4327</v>
      </c>
      <c r="AB5" s="1456">
        <f>'Gala Setup'!N11</f>
        <v>0</v>
      </c>
      <c r="AC5" s="1456"/>
      <c r="AD5" s="982" t="s">
        <v>4327</v>
      </c>
      <c r="AE5" s="1383">
        <f>IF(AD6=0,0,IF(M5=0,0,M5+6))</f>
        <v>0</v>
      </c>
      <c r="AF5" s="1383"/>
      <c r="AG5" s="865" t="s">
        <v>4327</v>
      </c>
      <c r="AH5" s="1383">
        <f>IF(AG6=0,0,IF(M5=0,0,M5+7))</f>
        <v>0</v>
      </c>
      <c r="AI5" s="1383"/>
      <c r="AJ5" s="1384" t="s">
        <v>5081</v>
      </c>
      <c r="BA5" s="1447"/>
      <c r="BD5" s="1453"/>
      <c r="BE5" s="1453"/>
      <c r="BF5" s="1453"/>
    </row>
    <row r="6" spans="2:58" ht="30" customHeight="1" x14ac:dyDescent="0.25">
      <c r="B6" s="983">
        <f>COUNT(AP1:AY1)</f>
        <v>3</v>
      </c>
      <c r="C6" s="969" t="str">
        <f>Recording!O20</f>
        <v>4th</v>
      </c>
      <c r="D6" s="969">
        <f>Recording!R20</f>
        <v>208</v>
      </c>
      <c r="E6" s="970" t="str">
        <f>Recording!P20</f>
        <v>Hillingdon 'B'</v>
      </c>
      <c r="F6" s="1457" t="str">
        <f>'Gala Setup'!P4</f>
        <v>HARINGEY AQUATICS</v>
      </c>
      <c r="G6" s="1457"/>
      <c r="H6" s="1457"/>
      <c r="I6" s="1440" t="str">
        <f>'Gala Setup'!P5</f>
        <v>STEVENAGE</v>
      </c>
      <c r="J6" s="1440"/>
      <c r="K6" s="1440"/>
      <c r="L6" s="1440" t="str">
        <f>'Gala Setup'!P6</f>
        <v>BORO OF BROXBOURNE</v>
      </c>
      <c r="M6" s="1440"/>
      <c r="N6" s="1440"/>
      <c r="O6" s="1440" t="str">
        <f>'Gala Setup'!P7</f>
        <v>AYLESBURY</v>
      </c>
      <c r="P6" s="1440"/>
      <c r="Q6" s="1440"/>
      <c r="R6" s="1440" t="str">
        <f>'Gala Setup'!P8</f>
        <v>BRAINTREE &amp; BOCKING</v>
      </c>
      <c r="S6" s="1440"/>
      <c r="T6" s="1440"/>
      <c r="U6" s="1440" t="str">
        <f>'Gala Setup'!P9</f>
        <v>Bo of Harrow</v>
      </c>
      <c r="V6" s="1440"/>
      <c r="W6" s="1440"/>
      <c r="X6" s="1440" t="str">
        <f>'Gala Setup'!P10</f>
        <v>Hillingdon 'B'</v>
      </c>
      <c r="Y6" s="1440"/>
      <c r="Z6" s="1440"/>
      <c r="AA6" s="1440">
        <f>'Gala Setup'!P11</f>
        <v>0</v>
      </c>
      <c r="AB6" s="1440"/>
      <c r="AC6" s="1440"/>
      <c r="AD6" s="1389"/>
      <c r="AE6" s="1389"/>
      <c r="AF6" s="1389"/>
      <c r="AG6" s="1389"/>
      <c r="AH6" s="1389"/>
      <c r="AI6" s="1389"/>
      <c r="AJ6" s="1384"/>
      <c r="BA6" s="1447"/>
      <c r="BD6" s="1453"/>
      <c r="BE6" s="1453"/>
      <c r="BF6" s="1453"/>
    </row>
    <row r="7" spans="2:58" ht="30" customHeight="1" x14ac:dyDescent="0.25">
      <c r="B7" s="975"/>
      <c r="C7" s="969" t="str">
        <f>Recording!O21</f>
        <v>5th</v>
      </c>
      <c r="D7" s="969">
        <f>Recording!R21</f>
        <v>171</v>
      </c>
      <c r="E7" s="970" t="str">
        <f>Recording!P21</f>
        <v>BORO OF BROXBOURNE</v>
      </c>
      <c r="F7" s="1441" t="s">
        <v>4422</v>
      </c>
      <c r="G7" s="1377">
        <f>IF(G9="","",IF(G9&lt;1,"",SUM((G9&lt;J9),(G9&lt;M9),(G9&lt;P9),(G9&lt;S9),(G9&lt;V9),(G9&lt;Y9),(G9&lt;AB9),(G9&lt;AE9),(G9&lt;AH9))+1))</f>
        <v>7</v>
      </c>
      <c r="H7" s="1377"/>
      <c r="I7" s="1378" t="s">
        <v>4422</v>
      </c>
      <c r="J7" s="1377">
        <f>IF(J9="","",IF(J9&lt;1,"",SUM((J9&lt;M9),(J9&lt;P9),(J9&lt;S9),(J9&lt;V9),(J9&lt;Y9),(J9&lt;AB9),(J9&lt;G9),(J9&lt;AE9),(J9&lt;AH9))+1))</f>
        <v>6</v>
      </c>
      <c r="K7" s="1377"/>
      <c r="L7" s="1378" t="s">
        <v>4422</v>
      </c>
      <c r="M7" s="1377">
        <f>IF(M9="","",IF(M9&lt;1,"",SUM((M9&lt;P9),(M9&lt;S9),(M9&lt;V9),(M9&lt;Y9),(M9&lt;AB9),(M9&lt;G9),(M9&lt;J9),(M9&lt;AE9),(M9&lt;AH9))+1))</f>
        <v>5</v>
      </c>
      <c r="N7" s="1377"/>
      <c r="O7" s="1378" t="s">
        <v>4422</v>
      </c>
      <c r="P7" s="1377">
        <f>IF(P9="","",IF(P9&lt;1,"",SUM((P9&lt;S9),(P9&lt;V9),(P9&lt;Y9),(P9&lt;AB9),(P9&lt;G9),(P9&lt;J9),(P9&lt;M9),(P9&lt;AE9),(P9&lt;AH9))+1))</f>
        <v>2</v>
      </c>
      <c r="Q7" s="1377"/>
      <c r="R7" s="1378" t="s">
        <v>4422</v>
      </c>
      <c r="S7" s="1377">
        <f>IF(S9="","",IF(S9&lt;1,"",SUM((S9&lt;V9),(S9&lt;Y9),(S9&lt;AB9),(S9&lt;G9),(S9&lt;J9),(S9&lt;M9),(S9&lt;P9),(S9&lt;AE9),(S9&lt;AH9))+1))</f>
        <v>1</v>
      </c>
      <c r="T7" s="1377"/>
      <c r="U7" s="1378" t="s">
        <v>4422</v>
      </c>
      <c r="V7" s="1377">
        <f>IF(V9="","",IF(V9&lt;1,"",SUM((V9&lt;Y9),(V9&lt;AB9),(V9&lt;G9),(V9&lt;J9),(V9&lt;M9),(V9&lt;P9),(V9&lt;S9),(V9&lt;AE9),(V9&lt;AH9))+1))</f>
        <v>3</v>
      </c>
      <c r="W7" s="1377"/>
      <c r="X7" s="1378" t="s">
        <v>4422</v>
      </c>
      <c r="Y7" s="1377">
        <f>IF(Y9="","",IF(Y9&lt;1,"",SUM((Y9&lt;AB9),(Y9&lt;G9),(Y9&lt;J9),(Y9&lt;M9),(Y9&lt;P9),(Y9&lt;S9),(Y9&lt;V9),(Y9&lt;AE9),(Y9&lt;AH9))+1))</f>
        <v>4</v>
      </c>
      <c r="Z7" s="1377"/>
      <c r="AA7" s="1378" t="s">
        <v>4422</v>
      </c>
      <c r="AB7" s="1377" t="str">
        <f>IF(AB9="","",IF(AB9&lt;1,"",SUM((AB9&lt;G9),(AB9&lt;J9),(AB9&lt;M9),(AB9&lt;P9),(AB9&lt;S9),(AB9&lt;V9),(AB9&lt;Y9),(AB9&lt;AE9),(AB9&lt;AH9))+1))</f>
        <v/>
      </c>
      <c r="AC7" s="1377"/>
      <c r="AD7" s="1441" t="s">
        <v>4422</v>
      </c>
      <c r="AE7" s="1377" t="str">
        <f>IF(AE9="","",IF(AE9&lt;1,"",SUM((AE9&lt;AH9),(AE9&lt;G9),(AE9&lt;J9),(AE9&lt;M9),(AE9&lt;P9),(AE9&lt;S9),(AE9&lt;V9),(AE9&lt;Y9),(AE9&lt;AB9))+1))</f>
        <v/>
      </c>
      <c r="AF7" s="1377"/>
      <c r="AG7" s="1378" t="s">
        <v>4422</v>
      </c>
      <c r="AH7" s="1377" t="str">
        <f>IF(AH9="","",IF(AH9&lt;1,"",SUM((AH9&lt;G9),(AH9&lt;J9),(AH9&lt;M9),(AH9&lt;P9),(AH9&lt;S9),(AH9&lt;V9),(AH9&lt;Y9),(AH9&lt;AB9),(AH9&lt;AE9))+1))</f>
        <v/>
      </c>
      <c r="AI7" s="1377"/>
      <c r="AJ7" s="1384"/>
      <c r="BA7" s="1447"/>
      <c r="BD7" s="1453"/>
      <c r="BE7" s="1453"/>
      <c r="BF7" s="1453"/>
    </row>
    <row r="8" spans="2:58" ht="30" customHeight="1" x14ac:dyDescent="0.25">
      <c r="B8" s="975"/>
      <c r="C8" s="969" t="str">
        <f>Recording!O22</f>
        <v>6th</v>
      </c>
      <c r="D8" s="969">
        <f>Recording!R22</f>
        <v>158</v>
      </c>
      <c r="E8" s="970" t="str">
        <f>Recording!P22</f>
        <v>STEVENAGE</v>
      </c>
      <c r="F8" s="1441"/>
      <c r="G8" s="1377"/>
      <c r="H8" s="1377"/>
      <c r="I8" s="1378"/>
      <c r="J8" s="1377"/>
      <c r="K8" s="1377"/>
      <c r="L8" s="1378"/>
      <c r="M8" s="1377"/>
      <c r="N8" s="1377"/>
      <c r="O8" s="1378"/>
      <c r="P8" s="1377"/>
      <c r="Q8" s="1377"/>
      <c r="R8" s="1378"/>
      <c r="S8" s="1377"/>
      <c r="T8" s="1377"/>
      <c r="U8" s="1378"/>
      <c r="V8" s="1377"/>
      <c r="W8" s="1377"/>
      <c r="X8" s="1378"/>
      <c r="Y8" s="1377"/>
      <c r="Z8" s="1377"/>
      <c r="AA8" s="1378"/>
      <c r="AB8" s="1377"/>
      <c r="AC8" s="1377"/>
      <c r="AD8" s="1441"/>
      <c r="AE8" s="1377"/>
      <c r="AF8" s="1377"/>
      <c r="AG8" s="1378"/>
      <c r="AH8" s="1377"/>
      <c r="AI8" s="1377"/>
      <c r="AJ8" s="1384"/>
      <c r="BA8" s="1447"/>
      <c r="BD8" s="1453"/>
      <c r="BE8" s="1453"/>
      <c r="BF8" s="1453"/>
    </row>
    <row r="9" spans="2:58" ht="30" customHeight="1" x14ac:dyDescent="0.25">
      <c r="B9" s="975"/>
      <c r="C9" s="969" t="str">
        <f>Recording!O23</f>
        <v>7th</v>
      </c>
      <c r="D9" s="969">
        <f>Recording!R23</f>
        <v>152</v>
      </c>
      <c r="E9" s="970" t="str">
        <f>Recording!P23</f>
        <v>HARINGEY AQUATICS</v>
      </c>
      <c r="F9" s="1439" t="s">
        <v>5082</v>
      </c>
      <c r="G9" s="1380">
        <f>SUM(H12:H146)</f>
        <v>152</v>
      </c>
      <c r="H9" s="1380"/>
      <c r="I9" s="1379" t="s">
        <v>5082</v>
      </c>
      <c r="J9" s="1380">
        <f>SUM(K12:K146)</f>
        <v>158</v>
      </c>
      <c r="K9" s="1380"/>
      <c r="L9" s="1379" t="s">
        <v>5082</v>
      </c>
      <c r="M9" s="1380">
        <f>SUM(N12:N146)</f>
        <v>171</v>
      </c>
      <c r="N9" s="1380"/>
      <c r="O9" s="1379" t="s">
        <v>5082</v>
      </c>
      <c r="P9" s="1380">
        <f>SUM(Q12:Q146)</f>
        <v>241</v>
      </c>
      <c r="Q9" s="1380"/>
      <c r="R9" s="1379" t="s">
        <v>5082</v>
      </c>
      <c r="S9" s="1380">
        <f>SUM(T12:T146)</f>
        <v>252</v>
      </c>
      <c r="T9" s="1380"/>
      <c r="U9" s="1379" t="s">
        <v>5082</v>
      </c>
      <c r="V9" s="1380">
        <f>SUM(W12:W146)</f>
        <v>212</v>
      </c>
      <c r="W9" s="1380"/>
      <c r="X9" s="1379" t="s">
        <v>5082</v>
      </c>
      <c r="Y9" s="1380">
        <f>SUM(Z12:Z146)</f>
        <v>208</v>
      </c>
      <c r="Z9" s="1380"/>
      <c r="AA9" s="1379" t="s">
        <v>5082</v>
      </c>
      <c r="AB9" s="1380">
        <f>SUM(AC12:AC146)</f>
        <v>0</v>
      </c>
      <c r="AC9" s="1380"/>
      <c r="AD9" s="1439" t="s">
        <v>5082</v>
      </c>
      <c r="AE9" s="1380">
        <f>SUM(AF12:AF144)</f>
        <v>0</v>
      </c>
      <c r="AF9" s="1380"/>
      <c r="AG9" s="1379" t="s">
        <v>5082</v>
      </c>
      <c r="AH9" s="1380">
        <f>SUM(AI12:AI144)</f>
        <v>0</v>
      </c>
      <c r="AI9" s="1380"/>
      <c r="AJ9" s="1384"/>
      <c r="BA9" s="1447"/>
      <c r="BD9" s="1453"/>
      <c r="BE9" s="1453"/>
      <c r="BF9" s="1453"/>
    </row>
    <row r="10" spans="2:58" ht="30" customHeight="1" x14ac:dyDescent="0.25">
      <c r="B10" s="984"/>
      <c r="C10" s="969">
        <f>Recording!O24</f>
        <v>0</v>
      </c>
      <c r="D10" s="969" t="b">
        <f>Recording!R24</f>
        <v>0</v>
      </c>
      <c r="E10" s="970">
        <f>Recording!P24</f>
        <v>0</v>
      </c>
      <c r="F10" s="1439"/>
      <c r="G10" s="1380"/>
      <c r="H10" s="1380"/>
      <c r="I10" s="1379"/>
      <c r="J10" s="1380"/>
      <c r="K10" s="1380"/>
      <c r="L10" s="1379"/>
      <c r="M10" s="1380"/>
      <c r="N10" s="1380"/>
      <c r="O10" s="1379"/>
      <c r="P10" s="1380"/>
      <c r="Q10" s="1380"/>
      <c r="R10" s="1379"/>
      <c r="S10" s="1380"/>
      <c r="T10" s="1380"/>
      <c r="U10" s="1379"/>
      <c r="V10" s="1380"/>
      <c r="W10" s="1380"/>
      <c r="X10" s="1379"/>
      <c r="Y10" s="1380"/>
      <c r="Z10" s="1380"/>
      <c r="AA10" s="1379"/>
      <c r="AB10" s="1380"/>
      <c r="AC10" s="1380"/>
      <c r="AD10" s="1439"/>
      <c r="AE10" s="1380"/>
      <c r="AF10" s="1380"/>
      <c r="AG10" s="1379"/>
      <c r="AH10" s="1380"/>
      <c r="AI10" s="1380"/>
      <c r="AJ10" s="1384"/>
      <c r="BA10" s="1447"/>
      <c r="BD10" s="1453"/>
      <c r="BE10" s="1453"/>
      <c r="BF10" s="1453"/>
    </row>
    <row r="11" spans="2:58" ht="30" customHeight="1" x14ac:dyDescent="0.25">
      <c r="B11" s="1433" t="s">
        <v>4417</v>
      </c>
      <c r="C11" s="1433"/>
      <c r="D11" s="1433"/>
      <c r="E11" s="1433"/>
      <c r="F11" s="874" t="s">
        <v>4424</v>
      </c>
      <c r="G11" s="873" t="s">
        <v>4422</v>
      </c>
      <c r="H11" s="873" t="s">
        <v>5082</v>
      </c>
      <c r="I11" s="874" t="s">
        <v>4424</v>
      </c>
      <c r="J11" s="873" t="s">
        <v>4422</v>
      </c>
      <c r="K11" s="873" t="s">
        <v>5082</v>
      </c>
      <c r="L11" s="874" t="s">
        <v>4424</v>
      </c>
      <c r="M11" s="873" t="s">
        <v>4422</v>
      </c>
      <c r="N11" s="873" t="s">
        <v>5082</v>
      </c>
      <c r="O11" s="874" t="s">
        <v>4424</v>
      </c>
      <c r="P11" s="873" t="s">
        <v>4422</v>
      </c>
      <c r="Q11" s="875" t="s">
        <v>5082</v>
      </c>
      <c r="R11" s="874" t="s">
        <v>4424</v>
      </c>
      <c r="S11" s="873" t="s">
        <v>4422</v>
      </c>
      <c r="T11" s="873" t="s">
        <v>5082</v>
      </c>
      <c r="U11" s="874" t="s">
        <v>4424</v>
      </c>
      <c r="V11" s="873" t="s">
        <v>4422</v>
      </c>
      <c r="W11" s="873" t="s">
        <v>5082</v>
      </c>
      <c r="X11" s="874" t="s">
        <v>4424</v>
      </c>
      <c r="Y11" s="873" t="s">
        <v>4422</v>
      </c>
      <c r="Z11" s="873" t="s">
        <v>5082</v>
      </c>
      <c r="AA11" s="874" t="s">
        <v>4424</v>
      </c>
      <c r="AB11" s="875" t="s">
        <v>4422</v>
      </c>
      <c r="AC11" s="873" t="s">
        <v>5082</v>
      </c>
      <c r="AD11" s="985" t="s">
        <v>4424</v>
      </c>
      <c r="AE11" s="875" t="s">
        <v>4422</v>
      </c>
      <c r="AF11" s="875" t="s">
        <v>5082</v>
      </c>
      <c r="AG11" s="876" t="s">
        <v>4424</v>
      </c>
      <c r="AH11" s="875" t="s">
        <v>4422</v>
      </c>
      <c r="AI11" s="873" t="s">
        <v>5082</v>
      </c>
      <c r="AJ11" s="1384"/>
      <c r="BA11" s="1447"/>
      <c r="BD11" s="1453"/>
      <c r="BE11" s="1453"/>
      <c r="BF11" s="1453"/>
    </row>
    <row r="12" spans="2:58" ht="42" customHeight="1" x14ac:dyDescent="0.25">
      <c r="B12" s="1434">
        <v>1</v>
      </c>
      <c r="C12" s="1371" t="s">
        <v>5083</v>
      </c>
      <c r="D12" s="1435" t="s">
        <v>5093</v>
      </c>
      <c r="E12" s="986" t="str">
        <f>'Gala Setup'!J9</f>
        <v>200M</v>
      </c>
      <c r="F12" s="987">
        <f>'print 10 lane'!I12</f>
        <v>1.7831018518518519E-3</v>
      </c>
      <c r="G12" s="879">
        <f>IF(F12=0,0,IF(F$6=0,0,IF(F12&lt;1,SUM((F12&gt;I12),(F12&gt;L12),(F12&gt;O12),(F12&gt;R12),(F12&gt;U12),(F12&gt;X12),(F12&gt;AA12),(F12&gt;AD12),(F12&gt;AG12),(F12&gt;BB12)))-$AJ12))</f>
        <v>2</v>
      </c>
      <c r="H12" s="879">
        <f>IF(F12=0,0,IF(F$6=0,0,IF(G12=0,0,((11-G12)))-$B$6))</f>
        <v>6</v>
      </c>
      <c r="I12" s="988">
        <f>'print 10 lane'!L12</f>
        <v>1.8467592592592596E-3</v>
      </c>
      <c r="J12" s="879">
        <f>IF(I12=0,0,IF(I$6=0,0,IF(I12&lt;1,SUM((I12&gt;L12),(I12&gt;O12),(I12&gt;R12),(I12&gt;U12),(I12&gt;X12),(I12&gt;AA12),(I12&gt;F12),(I12&gt;AD12),(I12&gt;AG12),(I12&gt;BB12)))-$AJ12))</f>
        <v>5</v>
      </c>
      <c r="K12" s="879">
        <f>IF(I12=0,0,IF(I$6=0,0,IF(J12=0,0,((11-J12)))-$B$6))</f>
        <v>3</v>
      </c>
      <c r="L12" s="988">
        <f>'print 10 lane'!O12</f>
        <v>1.7894675925925925E-3</v>
      </c>
      <c r="M12" s="879">
        <f>IF(L12=0,0,IF(L$6=0,0,IF(L12&lt;1,SUM((L12&gt;I12),(L12&gt;F12),(L12&gt;O12),(L12&gt;R12),(L12&gt;U12),(L12&gt;X12),(L12&gt;AA12),(L12&gt;AD12),(L12&gt;AG12),(L12&gt;BB12)))-$AJ12))</f>
        <v>3</v>
      </c>
      <c r="N12" s="879">
        <f>IF(L12=0,0,IF(L$6=0,0,IF(M12=0,0,((11-M12)))-$B$6))</f>
        <v>5</v>
      </c>
      <c r="O12" s="988">
        <f>'print 10 lane'!R12</f>
        <v>1.75E-3</v>
      </c>
      <c r="P12" s="879">
        <f>IF(O12=0,0,IF(O$6=0,0,IF(O12&lt;1,SUM((O12&gt;I12),(O12&gt;L12),(O12&gt;F12),(O12&gt;R12),(O12&gt;U12),(O12&gt;X12),(O12&gt;AA12),(O12&gt;AD12),(O12&gt;AG12),(O12&gt;BB12)))-$AJ12))</f>
        <v>1</v>
      </c>
      <c r="Q12" s="879">
        <f>IF(O12=0,0,IF(O$6=0,0,IF(P12=0,0,((11-P12)))-$B$6))</f>
        <v>7</v>
      </c>
      <c r="R12" s="988">
        <f>'print 10 lane'!U12</f>
        <v>1.8901620370370372E-3</v>
      </c>
      <c r="S12" s="879">
        <f>IF(R12=0,0,IF(R$6=0,0,IF(R12&lt;1,SUM((R12&gt;I12),(R12&gt;L12),(R12&gt;O12),(R12&gt;F12),(R12&gt;U12),(R12&gt;X12),(R12&gt;AA12),(R12&gt;AD12),(R12&gt;AG12),(R12&gt;BB12)))-$AJ12))</f>
        <v>7</v>
      </c>
      <c r="T12" s="879">
        <f>IF(R12=0,0,IF(R$6=0,0,IF(S12=0,0,((11-S12)))-$B$6))</f>
        <v>1</v>
      </c>
      <c r="U12" s="988">
        <f>'print 10 lane'!X12</f>
        <v>1.8304398148148149E-3</v>
      </c>
      <c r="V12" s="879">
        <f>IF(U12=0,0,IF(U$6=0,0,IF(U12&lt;1,SUM((U12&gt;I12),(U12&gt;L12),(U12&gt;O12),(U12&gt;R12),(U12&gt;F12),(U12&gt;X12),(U12&gt;AA12),(U12&gt;AD12),(U12&gt;AG12),(U12&gt;BB12)))-$AJ12))</f>
        <v>4</v>
      </c>
      <c r="W12" s="879">
        <f>IF(U12=0,0,IF(U$6=0,0,IF(V12=0,0,((11-V12)))-$B$6))</f>
        <v>4</v>
      </c>
      <c r="X12" s="988">
        <f>'print 10 lane'!AA12</f>
        <v>1.8548611111111109E-3</v>
      </c>
      <c r="Y12" s="879">
        <f>IF(X12=0,0,IF(X$6=0,0,IF(X12&lt;1,SUM((X12&gt;I12),(X12&gt;L12),(X12&gt;O12),(X12&gt;R12),(X12&gt;U12),(X12&gt;F12),(X12&gt;AA12),(X12&gt;AD12),(X12&gt;AG12),(X12&gt;BB12))))-$AJ12)</f>
        <v>6</v>
      </c>
      <c r="Z12" s="879">
        <f>IF(X12=0,0,IF(X$6=0,0,IF(Y12=0,0,((11-Y12)))-$B$6))</f>
        <v>2</v>
      </c>
      <c r="AA12" s="988">
        <f>'print 10 lane'!AD12</f>
        <v>0</v>
      </c>
      <c r="AB12" s="879">
        <f>IF(AA12=0,0,IF(AA$6=0,0,IF(AA12&lt;1,SUM((AA12&gt;I12),(AA12&gt;L12),(AA12&gt;O12),(AA12&gt;R12),(AA12&gt;U12),(AA12&gt;X12),(AA12&gt;AD12),(AA12&gt;AG12),(AA12&gt;F12),(AA12&gt;BB12)))-$AJ12))</f>
        <v>0</v>
      </c>
      <c r="AC12" s="989">
        <f>IF(AA12=0,0,IF(AA$6=0,0,IF(AB12=0,0,((11-AB12)))-$B$6))</f>
        <v>0</v>
      </c>
      <c r="AD12" s="990"/>
      <c r="AE12" s="881"/>
      <c r="AF12" s="881"/>
      <c r="AG12" s="880"/>
      <c r="AH12" s="881"/>
      <c r="AI12" s="882"/>
      <c r="AJ12" s="883">
        <f>COUNTBLANK(F592:O592)</f>
        <v>3</v>
      </c>
      <c r="BA12" s="1436"/>
      <c r="BD12" s="991"/>
      <c r="BE12" s="991"/>
      <c r="BF12" s="991"/>
    </row>
    <row r="13" spans="2:58" ht="42" customHeight="1" x14ac:dyDescent="0.25">
      <c r="B13" s="1434"/>
      <c r="C13" s="1371"/>
      <c r="D13" s="1435"/>
      <c r="E13" s="992" t="s">
        <v>5085</v>
      </c>
      <c r="F13" s="1431" t="str">
        <f>'print 10 lane'!I13</f>
        <v>Bianca Gomez-Velasco</v>
      </c>
      <c r="G13" s="1431"/>
      <c r="H13" s="1431"/>
      <c r="I13" s="1431" t="str">
        <f>'print 10 lane'!L13</f>
        <v>Sophie Stelmach</v>
      </c>
      <c r="J13" s="1431"/>
      <c r="K13" s="1431"/>
      <c r="L13" s="1431" t="str">
        <f>'print 10 lane'!O13</f>
        <v>Hannah Lovelock</v>
      </c>
      <c r="M13" s="1431"/>
      <c r="N13" s="1431"/>
      <c r="O13" s="1431" t="str">
        <f>'print 10 lane'!R13</f>
        <v>Libby Blissett</v>
      </c>
      <c r="P13" s="1431"/>
      <c r="Q13" s="1431"/>
      <c r="R13" s="1431" t="str">
        <f>'print 10 lane'!U13</f>
        <v>Isabelle Talbot</v>
      </c>
      <c r="S13" s="1431"/>
      <c r="T13" s="1431"/>
      <c r="U13" s="1431" t="str">
        <f>'print 10 lane'!X13</f>
        <v>Alice  Sharrock</v>
      </c>
      <c r="V13" s="1431"/>
      <c r="W13" s="1431"/>
      <c r="X13" s="1431" t="str">
        <f>'print 10 lane'!AA13</f>
        <v>Laura Hibberd</v>
      </c>
      <c r="Y13" s="1431"/>
      <c r="Z13" s="1431"/>
      <c r="AA13" s="1431" t="str">
        <f>'print 10 lane'!AD13</f>
        <v xml:space="preserve"> </v>
      </c>
      <c r="AB13" s="1431"/>
      <c r="AC13" s="1431"/>
      <c r="AD13" s="1357"/>
      <c r="AE13" s="1357"/>
      <c r="AF13" s="1357"/>
      <c r="AG13" s="1374"/>
      <c r="AH13" s="1374"/>
      <c r="AI13" s="1374"/>
      <c r="AJ13" s="883"/>
      <c r="BA13" s="1436"/>
      <c r="BD13" s="993"/>
      <c r="BE13" s="993"/>
      <c r="BF13" s="993"/>
    </row>
    <row r="14" spans="2:58" ht="42" customHeight="1" x14ac:dyDescent="0.25">
      <c r="B14" s="1434"/>
      <c r="C14" s="1371"/>
      <c r="D14" s="1435"/>
      <c r="E14" s="994" t="s">
        <v>5086</v>
      </c>
      <c r="F14" s="1425">
        <f>'print 10 lane'!I14</f>
        <v>0</v>
      </c>
      <c r="G14" s="1425"/>
      <c r="H14" s="1425"/>
      <c r="I14" s="1425">
        <f>'print 10 lane'!L14</f>
        <v>0</v>
      </c>
      <c r="J14" s="1425"/>
      <c r="K14" s="1425"/>
      <c r="L14" s="1425">
        <f>'print 10 lane'!O14</f>
        <v>0</v>
      </c>
      <c r="M14" s="1425"/>
      <c r="N14" s="1425"/>
      <c r="O14" s="1425">
        <f>'print 10 lane'!R14</f>
        <v>0</v>
      </c>
      <c r="P14" s="1425"/>
      <c r="Q14" s="1425"/>
      <c r="R14" s="1425">
        <f>'print 10 lane'!U14</f>
        <v>0</v>
      </c>
      <c r="S14" s="1425"/>
      <c r="T14" s="1425"/>
      <c r="U14" s="1425">
        <f>'print 10 lane'!X14</f>
        <v>0</v>
      </c>
      <c r="V14" s="1425"/>
      <c r="W14" s="1425"/>
      <c r="X14" s="1425">
        <f>'print 10 lane'!AA14</f>
        <v>0</v>
      </c>
      <c r="Y14" s="1425"/>
      <c r="Z14" s="1425"/>
      <c r="AA14" s="1425">
        <f>'print 10 lane'!AD14</f>
        <v>0</v>
      </c>
      <c r="AB14" s="1425"/>
      <c r="AC14" s="1425"/>
      <c r="AD14" s="1437"/>
      <c r="AE14" s="1437"/>
      <c r="AF14" s="1437"/>
      <c r="AG14" s="1376"/>
      <c r="AH14" s="1376"/>
      <c r="AI14" s="1376"/>
      <c r="AJ14" s="883"/>
      <c r="BA14" s="1436"/>
      <c r="BD14" s="993"/>
      <c r="BE14" s="993"/>
      <c r="BF14" s="993"/>
    </row>
    <row r="15" spans="2:58" ht="42" customHeight="1" x14ac:dyDescent="0.25">
      <c r="B15" s="1364">
        <v>2</v>
      </c>
      <c r="C15" s="1365" t="s">
        <v>5087</v>
      </c>
      <c r="D15" s="1438" t="s">
        <v>5093</v>
      </c>
      <c r="E15" s="986" t="str">
        <f>'Gala Setup'!J9</f>
        <v>200M</v>
      </c>
      <c r="F15" s="987">
        <f>'print 10 lane'!I15</f>
        <v>0</v>
      </c>
      <c r="G15" s="879">
        <f>IF(F15=0,0,IF(F$6=0,0,IF(F15&lt;1,SUM((F15&gt;I15),(F15&gt;L15),(F15&gt;O15),(F15&gt;R15),(F15&gt;U15),(F15&gt;X15),(F15&gt;AA15),(F15&gt;AD15),(F15&gt;AG15),(F15&gt;BB15)))-$AJ15))</f>
        <v>0</v>
      </c>
      <c r="H15" s="879">
        <f>IF(F15=0,0,IF(F$6=0,0,IF(G15=0,0,((11-G15)))-$B$6))</f>
        <v>0</v>
      </c>
      <c r="I15" s="988">
        <f>'print 10 lane'!L15</f>
        <v>1.8596064814814814E-3</v>
      </c>
      <c r="J15" s="879">
        <f>IF(I15=0,0,IF(I$6=0,0,IF(I15&lt;1,SUM((I15&gt;L15),(I15&gt;O15),(I15&gt;R15),(I15&gt;U15),(I15&gt;X15),(I15&gt;AA15),(I15&gt;F15),(I15&gt;AD15),(I15&gt;AG15),(I15&gt;BB15)))-$AJ15))</f>
        <v>6</v>
      </c>
      <c r="K15" s="879">
        <f>IF(I15=0,0,IF(I$6=0,0,IF(J15=0,0,((11-J15)))-$B$6))</f>
        <v>2</v>
      </c>
      <c r="L15" s="988">
        <f>'print 10 lane'!O15</f>
        <v>1.7115740740740739E-3</v>
      </c>
      <c r="M15" s="879">
        <f>IF(L15=0,0,IF(L$6=0,0,IF(L15&lt;1,SUM((L15&gt;I15),(L15&gt;F15),(L15&gt;O15),(L15&gt;R15),(L15&gt;U15),(L15&gt;X15),(L15&gt;AA15),(L15&gt;AD15),(L15&gt;AG15),(L15&gt;BB15)))-$AJ15))</f>
        <v>5</v>
      </c>
      <c r="N15" s="879">
        <f>IF(L15=0,0,IF(L$6=0,0,IF(M15=0,0,((11-M15)))-$B$6))</f>
        <v>3</v>
      </c>
      <c r="O15" s="988">
        <f>'print 10 lane'!R15</f>
        <v>1.6637731481481484E-3</v>
      </c>
      <c r="P15" s="879">
        <f>IF(O15=0,0,IF(O$6=0,0,IF(O15&lt;1,SUM((O15&gt;I15),(O15&gt;L15),(O15&gt;F15),(O15&gt;R15),(O15&gt;U15),(O15&gt;X15),(O15&gt;AA15),(O15&gt;AD15),(O15&gt;AG15),(O15&gt;BB15)))-$AJ15))</f>
        <v>3</v>
      </c>
      <c r="Q15" s="879">
        <f>IF(O15=0,0,IF(O$6=0,0,IF(P15=0,0,((11-P15)))-$B$6))</f>
        <v>5</v>
      </c>
      <c r="R15" s="988">
        <f>'print 10 lane'!U15</f>
        <v>1.6520833333333333E-3</v>
      </c>
      <c r="S15" s="879">
        <f>IF(R15=0,0,IF(R$6=0,0,IF(R15&lt;1,SUM((R15&gt;I15),(R15&gt;L15),(R15&gt;O15),(R15&gt;F15),(R15&gt;U15),(R15&gt;X15),(R15&gt;AA15),(R15&gt;AD15),(R15&gt;AG15),(R15&gt;BB15)))-$AJ15))</f>
        <v>2</v>
      </c>
      <c r="T15" s="879">
        <f>IF(R15=0,0,IF(R$6=0,0,IF(S15=0,0,((11-S15)))-$B$6))</f>
        <v>6</v>
      </c>
      <c r="U15" s="988">
        <f>'print 10 lane'!X15</f>
        <v>1.6135416666666668E-3</v>
      </c>
      <c r="V15" s="879">
        <f>IF(U15=0,0,IF(U$6=0,0,IF(U15&lt;1,SUM((U15&gt;I15),(U15&gt;L15),(U15&gt;O15),(U15&gt;R15),(U15&gt;F15),(U15&gt;X15),(U15&gt;AA15),(U15&gt;AD15),(U15&gt;AG15),(U15&gt;BB15)))-$AJ15))</f>
        <v>1</v>
      </c>
      <c r="W15" s="879">
        <f>IF(U15=0,0,IF(U$6=0,0,IF(V15=0,0,((11-V15)))-$B$6))</f>
        <v>7</v>
      </c>
      <c r="X15" s="988">
        <f>'print 10 lane'!AA15</f>
        <v>1.6844907407407405E-3</v>
      </c>
      <c r="Y15" s="879">
        <f>IF(X15=0,0,IF(X$6=0,0,IF(X15&lt;1,SUM((X15&gt;I15),(X15&gt;L15),(X15&gt;O15),(X15&gt;R15),(X15&gt;U15),(X15&gt;F15),(X15&gt;AA15),(X15&gt;AD15),(X15&gt;AG15),(X15&gt;BB15))))-$AJ15)</f>
        <v>4</v>
      </c>
      <c r="Z15" s="879">
        <f>IF(X15=0,0,IF(X$6=0,0,IF(Y15=0,0,((11-Y15)))-$B$6))</f>
        <v>4</v>
      </c>
      <c r="AA15" s="988">
        <f>'print 10 lane'!AD15</f>
        <v>0</v>
      </c>
      <c r="AB15" s="879">
        <f>IF(AA15=0,0,IF(AA$6=0,0,IF(AA15&lt;1,SUM((AA15&gt;I15),(AA15&gt;L15),(AA15&gt;O15),(AA15&gt;R15),(AA15&gt;U15),(AA15&gt;X15),(AA15&gt;AD15),(AA15&gt;AG15),(AA15&gt;F15),(AA15&gt;BB15)))-$AJ15))</f>
        <v>0</v>
      </c>
      <c r="AC15" s="989">
        <f>IF(AA15=0,0,IF(AA$6=0,0,IF(AB15=0,0,((11-AB15)))-$B$6))</f>
        <v>0</v>
      </c>
      <c r="AD15" s="990"/>
      <c r="AE15" s="881"/>
      <c r="AF15" s="881"/>
      <c r="AG15" s="880"/>
      <c r="AH15" s="881"/>
      <c r="AI15" s="882"/>
      <c r="AJ15" s="883">
        <f>COUNTBLANK(F593:O593)</f>
        <v>4</v>
      </c>
      <c r="BA15" s="1436"/>
      <c r="BD15" s="993"/>
      <c r="BE15" s="993"/>
      <c r="BF15" s="993"/>
    </row>
    <row r="16" spans="2:58" ht="42" customHeight="1" x14ac:dyDescent="0.25">
      <c r="B16" s="1364"/>
      <c r="C16" s="1365"/>
      <c r="D16" s="1438"/>
      <c r="E16" s="992" t="s">
        <v>5085</v>
      </c>
      <c r="F16" s="1431" t="str">
        <f>'print 10 lane'!I16</f>
        <v>Zente Buzsik</v>
      </c>
      <c r="G16" s="1431"/>
      <c r="H16" s="1431"/>
      <c r="I16" s="1431" t="str">
        <f>'print 10 lane'!L16</f>
        <v>Harry Chapman</v>
      </c>
      <c r="J16" s="1431"/>
      <c r="K16" s="1431"/>
      <c r="L16" s="1431" t="str">
        <f>'print 10 lane'!O16</f>
        <v>George Lovelock</v>
      </c>
      <c r="M16" s="1431"/>
      <c r="N16" s="1431"/>
      <c r="O16" s="1431" t="str">
        <f>'print 10 lane'!R16</f>
        <v>Ellis Bunce</v>
      </c>
      <c r="P16" s="1431"/>
      <c r="Q16" s="1431"/>
      <c r="R16" s="1431" t="str">
        <f>'print 10 lane'!U16</f>
        <v>Albert Orley</v>
      </c>
      <c r="S16" s="1431"/>
      <c r="T16" s="1431"/>
      <c r="U16" s="1431" t="str">
        <f>'print 10 lane'!X16</f>
        <v>Razvan Lembac</v>
      </c>
      <c r="V16" s="1431"/>
      <c r="W16" s="1431"/>
      <c r="X16" s="1431" t="str">
        <f>'print 10 lane'!AA16</f>
        <v>Liam Treanor</v>
      </c>
      <c r="Y16" s="1431"/>
      <c r="Z16" s="1431"/>
      <c r="AA16" s="1431" t="str">
        <f>'print 10 lane'!AD16</f>
        <v xml:space="preserve"> </v>
      </c>
      <c r="AB16" s="1431"/>
      <c r="AC16" s="1431"/>
      <c r="AD16" s="1417"/>
      <c r="AE16" s="1417"/>
      <c r="AF16" s="1417"/>
      <c r="AG16" s="1317"/>
      <c r="AH16" s="1317"/>
      <c r="AI16" s="1317"/>
      <c r="AJ16" s="883"/>
      <c r="BA16" s="1436"/>
      <c r="BD16" s="993"/>
      <c r="BE16" s="993"/>
      <c r="BF16" s="993"/>
    </row>
    <row r="17" spans="2:58" ht="42" customHeight="1" x14ac:dyDescent="0.25">
      <c r="B17" s="1364"/>
      <c r="C17" s="1365"/>
      <c r="D17" s="1438"/>
      <c r="E17" s="995" t="s">
        <v>5086</v>
      </c>
      <c r="F17" s="1425" t="str">
        <f>'print 10 lane'!I17</f>
        <v>6.4 did not initiate the turn straight away when turned onto breast</v>
      </c>
      <c r="G17" s="1425"/>
      <c r="H17" s="1425"/>
      <c r="I17" s="1425">
        <f>'print 10 lane'!L17</f>
        <v>0</v>
      </c>
      <c r="J17" s="1425"/>
      <c r="K17" s="1425"/>
      <c r="L17" s="1425">
        <f>'print 10 lane'!O17</f>
        <v>0</v>
      </c>
      <c r="M17" s="1425"/>
      <c r="N17" s="1425"/>
      <c r="O17" s="1425">
        <f>'print 10 lane'!R17</f>
        <v>0</v>
      </c>
      <c r="P17" s="1425"/>
      <c r="Q17" s="1425"/>
      <c r="R17" s="1425">
        <f>'print 10 lane'!U17</f>
        <v>0</v>
      </c>
      <c r="S17" s="1425"/>
      <c r="T17" s="1425"/>
      <c r="U17" s="1425">
        <f>'print 10 lane'!X17</f>
        <v>0</v>
      </c>
      <c r="V17" s="1425"/>
      <c r="W17" s="1425"/>
      <c r="X17" s="1425">
        <f>'print 10 lane'!AA17</f>
        <v>0</v>
      </c>
      <c r="Y17" s="1425"/>
      <c r="Z17" s="1425"/>
      <c r="AA17" s="1425">
        <f>'print 10 lane'!AD17</f>
        <v>0</v>
      </c>
      <c r="AB17" s="1425"/>
      <c r="AC17" s="1425"/>
      <c r="AD17" s="1339"/>
      <c r="AE17" s="1339"/>
      <c r="AF17" s="1339"/>
      <c r="AG17" s="1368"/>
      <c r="AH17" s="1368"/>
      <c r="AI17" s="1368"/>
      <c r="AJ17" s="883"/>
      <c r="BA17" s="1436"/>
      <c r="BD17" s="993"/>
      <c r="BE17" s="993"/>
      <c r="BF17" s="993"/>
    </row>
    <row r="18" spans="2:58" ht="42" customHeight="1" x14ac:dyDescent="0.25">
      <c r="B18" s="1362">
        <v>3</v>
      </c>
      <c r="C18" s="1358" t="s">
        <v>5083</v>
      </c>
      <c r="D18" s="1432" t="s">
        <v>5088</v>
      </c>
      <c r="E18" s="996" t="s">
        <v>5089</v>
      </c>
      <c r="F18" s="987">
        <f>'print 10 lane'!I18</f>
        <v>1.7363425925925925E-3</v>
      </c>
      <c r="G18" s="879">
        <f>IF(F18=0,0,IF(F$6=0,0,IF(F18&lt;1,SUM((F18&gt;I18),(F18&gt;L18),(F18&gt;O18),(F18&gt;R18),(F18&gt;U18),(F18&gt;X18),(F18&gt;AA18),(F18&gt;AD18),(F18&gt;AG18),(F18&gt;BB18)))-$AJ18))</f>
        <v>1</v>
      </c>
      <c r="H18" s="879">
        <f>IF(F18=0,0,IF(F$6=0,0,IF(G18=0,0,((11-G18)))-$B$6))</f>
        <v>7</v>
      </c>
      <c r="I18" s="988">
        <f>'print 10 lane'!L18</f>
        <v>0</v>
      </c>
      <c r="J18" s="879">
        <f>IF(I18=0,0,IF(I$6=0,0,IF(I18&lt;1,SUM((I18&gt;L18),(I18&gt;O18),(I18&gt;R18),(I18&gt;U18),(I18&gt;X18),(I18&gt;AA18),(I18&gt;F18),(I18&gt;AD18),(I18&gt;AG18),(I18&gt;BB18)))-$AJ18))</f>
        <v>0</v>
      </c>
      <c r="K18" s="879">
        <f>IF(I18=0,0,IF(I$6=0,0,IF(J18=0,0,((11-J18)))-$B$6))</f>
        <v>0</v>
      </c>
      <c r="L18" s="988">
        <f>'print 10 lane'!O18</f>
        <v>0</v>
      </c>
      <c r="M18" s="879">
        <f>IF(L18=0,0,IF(L$6=0,0,IF(L18&lt;1,SUM((L18&gt;I18),(L18&gt;F18),(L18&gt;O18),(L18&gt;R18),(L18&gt;U18),(L18&gt;X18),(L18&gt;AA18),(L18&gt;AD18),(L18&gt;AG18),(L18&gt;BB18)))-$AJ18))</f>
        <v>0</v>
      </c>
      <c r="N18" s="879">
        <f>IF(L18=0,0,IF(L$6=0,0,IF(M18=0,0,((11-M18)))-$B$6))</f>
        <v>0</v>
      </c>
      <c r="O18" s="988">
        <f>'print 10 lane'!R18</f>
        <v>1.8369212962962963E-3</v>
      </c>
      <c r="P18" s="879">
        <f>IF(O18=0,0,IF(O$6=0,0,IF(O18&lt;1,SUM((O18&gt;I18),(O18&gt;L18),(O18&gt;F18),(O18&gt;R18),(O18&gt;U18),(O18&gt;X18),(O18&gt;AA18),(O18&gt;AD18),(O18&gt;AG18),(O18&gt;BB18)))-$AJ18))</f>
        <v>4</v>
      </c>
      <c r="Q18" s="879">
        <f>IF(O18=0,0,IF(O$6=0,0,IF(P18=0,0,((11-P18)))-$B$6))</f>
        <v>4</v>
      </c>
      <c r="R18" s="988">
        <f>'print 10 lane'!U18</f>
        <v>1.8157407407407408E-3</v>
      </c>
      <c r="S18" s="879">
        <f>IF(R18=0,0,IF(R$6=0,0,IF(R18&lt;1,SUM((R18&gt;I18),(R18&gt;L18),(R18&gt;O18),(R18&gt;F18),(R18&gt;U18),(R18&gt;X18),(R18&gt;AA18),(R18&gt;AD18),(R18&gt;AG18),(R18&gt;BB18)))-$AJ18))</f>
        <v>3</v>
      </c>
      <c r="T18" s="879">
        <f>IF(R18=0,0,IF(R$6=0,0,IF(S18=0,0,((11-S18)))-$B$6))</f>
        <v>5</v>
      </c>
      <c r="U18" s="988">
        <f>'print 10 lane'!X18</f>
        <v>1.9184027777777778E-3</v>
      </c>
      <c r="V18" s="879">
        <f>IF(U18=0,0,IF(U$6=0,0,IF(U18&lt;1,SUM((U18&gt;I18),(U18&gt;L18),(U18&gt;O18),(U18&gt;R18),(U18&gt;F18),(U18&gt;X18),(U18&gt;AA18),(U18&gt;AD18),(U18&gt;AG18),(U18&gt;BB18)))-$AJ18))</f>
        <v>5</v>
      </c>
      <c r="W18" s="879">
        <f>IF(U18=0,0,IF(U$6=0,0,IF(V18=0,0,((11-V18)))-$B$6))</f>
        <v>3</v>
      </c>
      <c r="X18" s="988">
        <f>'print 10 lane'!AA18</f>
        <v>1.8145833333333332E-3</v>
      </c>
      <c r="Y18" s="879">
        <f>IF(X18=0,0,IF(X$6=0,0,IF(X18&lt;1,SUM((X18&gt;I18),(X18&gt;L18),(X18&gt;O18),(X18&gt;R18),(X18&gt;U18),(X18&gt;F18),(X18&gt;AA18),(X18&gt;AD18),(X18&gt;AG18),(X18&gt;BB18))))-$AJ18)</f>
        <v>2</v>
      </c>
      <c r="Z18" s="879">
        <f>IF(X18=0,0,IF(X$6=0,0,IF(Y18=0,0,((11-Y18)))-$B$6))</f>
        <v>6</v>
      </c>
      <c r="AA18" s="988">
        <f>'print 10 lane'!AD18</f>
        <v>0</v>
      </c>
      <c r="AB18" s="879">
        <f>IF(AA18=0,0,IF(AA$6=0,0,IF(AA18&lt;1,SUM((AA18&gt;I18),(AA18&gt;L18),(AA18&gt;O18),(AA18&gt;R18),(AA18&gt;U18),(AA18&gt;X18),(AA18&gt;AD18),(AA18&gt;AG18),(AA18&gt;F18),(AA18&gt;BB18)))-$AJ18))</f>
        <v>0</v>
      </c>
      <c r="AC18" s="989">
        <f>IF(AA18=0,0,IF(AA$6=0,0,IF(AB18=0,0,((11-AB18)))-$B$6))</f>
        <v>0</v>
      </c>
      <c r="AD18" s="990"/>
      <c r="AE18" s="881"/>
      <c r="AF18" s="881"/>
      <c r="AG18" s="880"/>
      <c r="AH18" s="881"/>
      <c r="AI18" s="882"/>
      <c r="AJ18" s="883">
        <f>COUNTBLANK(F594:O594)</f>
        <v>5</v>
      </c>
      <c r="BA18" s="1436"/>
      <c r="BD18" s="993"/>
      <c r="BE18" s="993"/>
      <c r="BF18" s="993"/>
    </row>
    <row r="19" spans="2:58" ht="42" customHeight="1" x14ac:dyDescent="0.25">
      <c r="B19" s="1362"/>
      <c r="C19" s="1358"/>
      <c r="D19" s="1432"/>
      <c r="E19" s="997" t="s">
        <v>5086</v>
      </c>
      <c r="F19" s="1425">
        <f>'print 10 lane'!I19</f>
        <v>0</v>
      </c>
      <c r="G19" s="1425"/>
      <c r="H19" s="1425"/>
      <c r="I19" s="1425" t="str">
        <f>'print 10 lane'!L19</f>
        <v>OA swimmer</v>
      </c>
      <c r="J19" s="1425"/>
      <c r="K19" s="1425"/>
      <c r="L19" s="1425">
        <f>'print 10 lane'!O19</f>
        <v>0</v>
      </c>
      <c r="M19" s="1425"/>
      <c r="N19" s="1425"/>
      <c r="O19" s="1425">
        <f>'print 10 lane'!R19</f>
        <v>0</v>
      </c>
      <c r="P19" s="1425"/>
      <c r="Q19" s="1425"/>
      <c r="R19" s="1425">
        <f>'print 10 lane'!U19</f>
        <v>0</v>
      </c>
      <c r="S19" s="1425"/>
      <c r="T19" s="1425"/>
      <c r="U19" s="1425">
        <f>'print 10 lane'!X19</f>
        <v>0</v>
      </c>
      <c r="V19" s="1425"/>
      <c r="W19" s="1425"/>
      <c r="X19" s="1425">
        <f>'print 10 lane'!AA19</f>
        <v>0</v>
      </c>
      <c r="Y19" s="1425"/>
      <c r="Z19" s="1425"/>
      <c r="AA19" s="1425">
        <f>'print 10 lane'!AD19</f>
        <v>0</v>
      </c>
      <c r="AB19" s="1425"/>
      <c r="AC19" s="1425"/>
      <c r="AD19" s="1426"/>
      <c r="AE19" s="1426"/>
      <c r="AF19" s="1426"/>
      <c r="AG19" s="1341"/>
      <c r="AH19" s="1341"/>
      <c r="AI19" s="1341"/>
      <c r="AJ19" s="883"/>
      <c r="BA19" s="1436"/>
      <c r="BD19" s="993"/>
      <c r="BE19" s="993"/>
      <c r="BF19" s="993"/>
    </row>
    <row r="20" spans="2:58" ht="42" customHeight="1" x14ac:dyDescent="0.25">
      <c r="B20" s="1337">
        <v>4</v>
      </c>
      <c r="C20" s="1360" t="s">
        <v>5087</v>
      </c>
      <c r="D20" s="1429" t="s">
        <v>5088</v>
      </c>
      <c r="E20" s="998" t="s">
        <v>5089</v>
      </c>
      <c r="F20" s="987">
        <f>'print 10 lane'!I20</f>
        <v>0</v>
      </c>
      <c r="G20" s="879">
        <f>IF(F20=0,0,IF(F$6=0,0,IF(F20&lt;1,SUM((F20&gt;I20),(F20&gt;L20),(F20&gt;O20),(F20&gt;R20),(F20&gt;U20),(F20&gt;X20),(F20&gt;AA20),(F20&gt;AD20),(F20&gt;AG20),(F20&gt;BB20)))-$AJ20))</f>
        <v>0</v>
      </c>
      <c r="H20" s="879">
        <f>IF(F20=0,0,IF(F$6=0,0,IF(G20=0,0,((11-G20)))-$B$6))</f>
        <v>0</v>
      </c>
      <c r="I20" s="988">
        <f>'print 10 lane'!L20</f>
        <v>1.6399305555555557E-3</v>
      </c>
      <c r="J20" s="879">
        <f>IF(I20=0,0,IF(I$6=0,0,IF(I20&lt;1,SUM((I20&gt;L20),(I20&gt;O20),(I20&gt;R20),(I20&gt;U20),(I20&gt;X20),(I20&gt;AA20),(I20&gt;F20),(I20&gt;AD20),(I20&gt;AG20),(I20&gt;BB20)))-$AJ20))</f>
        <v>1</v>
      </c>
      <c r="K20" s="879">
        <f>IF(I20=0,0,IF(I$6=0,0,IF(J20=0,0,((11-J20)))-$B$6))</f>
        <v>7</v>
      </c>
      <c r="L20" s="988">
        <f>'print 10 lane'!O20</f>
        <v>0</v>
      </c>
      <c r="M20" s="879">
        <f>IF(L20=0,0,IF(L$6=0,0,IF(L20&lt;1,SUM((L20&gt;I20),(L20&gt;F20),(L20&gt;O20),(L20&gt;R20),(L20&gt;U20),(L20&gt;X20),(L20&gt;AA20),(L20&gt;AD20),(L20&gt;AG20),(L20&gt;BB20)))-$AJ20))</f>
        <v>0</v>
      </c>
      <c r="N20" s="879">
        <f>IF(L20=0,0,IF(L$6=0,0,IF(M20=0,0,((11-M20)))-$B$6))</f>
        <v>0</v>
      </c>
      <c r="O20" s="988">
        <f>'print 10 lane'!R20</f>
        <v>2.0035879629629631E-3</v>
      </c>
      <c r="P20" s="879">
        <f>IF(O20=0,0,IF(O$6=0,0,IF(O20&lt;1,SUM((O20&gt;I20),(O20&gt;L20),(O20&gt;F20),(O20&gt;R20),(O20&gt;U20),(O20&gt;X20),(O20&gt;AA20),(O20&gt;AD20),(O20&gt;AG20),(O20&gt;BB20)))-$AJ20))</f>
        <v>5</v>
      </c>
      <c r="Q20" s="879">
        <f>IF(O20=0,0,IF(O$6=0,0,IF(P20=0,0,((11-P20)))-$B$6))</f>
        <v>3</v>
      </c>
      <c r="R20" s="988">
        <f>'print 10 lane'!U20</f>
        <v>1.7332175925925926E-3</v>
      </c>
      <c r="S20" s="879">
        <f>IF(R20=0,0,IF(R$6=0,0,IF(R20&lt;1,SUM((R20&gt;I20),(R20&gt;L20),(R20&gt;O20),(R20&gt;F20),(R20&gt;U20),(R20&gt;X20),(R20&gt;AA20),(R20&gt;AD20),(R20&gt;AG20),(R20&gt;BB20)))-$AJ20))</f>
        <v>2</v>
      </c>
      <c r="T20" s="879">
        <f>IF(R20=0,0,IF(R$6=0,0,IF(S20=0,0,((11-S20)))-$B$6))</f>
        <v>6</v>
      </c>
      <c r="U20" s="988">
        <f>'print 10 lane'!X20</f>
        <v>1.7974537037037037E-3</v>
      </c>
      <c r="V20" s="879">
        <f>IF(U20=0,0,IF(U$6=0,0,IF(U20&lt;1,SUM((U20&gt;I20),(U20&gt;L20),(U20&gt;O20),(U20&gt;R20),(U20&gt;F20),(U20&gt;X20),(U20&gt;AA20),(U20&gt;AD20),(U20&gt;AG20),(U20&gt;BB20)))-$AJ20))</f>
        <v>3</v>
      </c>
      <c r="W20" s="879">
        <f>IF(U20=0,0,IF(U$6=0,0,IF(V20=0,0,((11-V20)))-$B$6))</f>
        <v>5</v>
      </c>
      <c r="X20" s="988">
        <f>'print 10 lane'!AA20</f>
        <v>1.9951388888888892E-3</v>
      </c>
      <c r="Y20" s="879">
        <f>IF(X20=0,0,IF(X$6=0,0,IF(X20&lt;1,SUM((X20&gt;I20),(X20&gt;L20),(X20&gt;O20),(X20&gt;R20),(X20&gt;U20),(X20&gt;F20),(X20&gt;AA20),(X20&gt;AD20),(X20&gt;AG20),(X20&gt;BB20))))-$AJ20)</f>
        <v>4</v>
      </c>
      <c r="Z20" s="879">
        <f>IF(X20=0,0,IF(X$6=0,0,IF(Y20=0,0,((11-Y20)))-$B$6))</f>
        <v>4</v>
      </c>
      <c r="AA20" s="988">
        <f>'print 10 lane'!AD20</f>
        <v>0</v>
      </c>
      <c r="AB20" s="879">
        <f>IF(AA20=0,0,IF(AA$6=0,0,IF(AA20&lt;1,SUM((AA20&gt;I20),(AA20&gt;L20),(AA20&gt;O20),(AA20&gt;R20),(AA20&gt;U20),(AA20&gt;X20),(AA20&gt;AD20),(AA20&gt;AG20),(AA20&gt;F20),(AA20&gt;BB20)))-$AJ20))</f>
        <v>0</v>
      </c>
      <c r="AC20" s="989">
        <f>IF(AA20=0,0,IF(AA$6=0,0,IF(AB20=0,0,((11-AB20)))-$B$6))</f>
        <v>0</v>
      </c>
      <c r="AD20" s="999"/>
      <c r="AE20" s="889"/>
      <c r="AF20" s="889"/>
      <c r="AG20" s="892"/>
      <c r="AH20" s="889"/>
      <c r="AI20" s="890"/>
      <c r="AJ20" s="883">
        <f>COUNTBLANK(F595:O595)</f>
        <v>5</v>
      </c>
      <c r="BA20" s="1436"/>
      <c r="BD20" s="993"/>
      <c r="BE20" s="993"/>
      <c r="BF20" s="993"/>
    </row>
    <row r="21" spans="2:58" ht="42" customHeight="1" x14ac:dyDescent="0.25">
      <c r="B21" s="1337"/>
      <c r="C21" s="1360"/>
      <c r="D21" s="1429"/>
      <c r="E21" s="997" t="s">
        <v>5086</v>
      </c>
      <c r="F21" s="1425" t="str">
        <f>'print 10 lane'!I21</f>
        <v>DNS</v>
      </c>
      <c r="G21" s="1425"/>
      <c r="H21" s="1425"/>
      <c r="I21" s="1425">
        <f>'print 10 lane'!L21</f>
        <v>0</v>
      </c>
      <c r="J21" s="1425"/>
      <c r="K21" s="1425"/>
      <c r="L21" s="1425" t="str">
        <f>'print 10 lane'!O21</f>
        <v>4.4 initiated the start before signal</v>
      </c>
      <c r="M21" s="1425"/>
      <c r="N21" s="1425"/>
      <c r="O21" s="1425">
        <f>'print 10 lane'!R21</f>
        <v>0</v>
      </c>
      <c r="P21" s="1425"/>
      <c r="Q21" s="1425"/>
      <c r="R21" s="1425">
        <f>'print 10 lane'!U21</f>
        <v>0</v>
      </c>
      <c r="S21" s="1425"/>
      <c r="T21" s="1425"/>
      <c r="U21" s="1425">
        <f>'print 10 lane'!X21</f>
        <v>0</v>
      </c>
      <c r="V21" s="1425"/>
      <c r="W21" s="1425"/>
      <c r="X21" s="1425">
        <f>'print 10 lane'!AA21</f>
        <v>0</v>
      </c>
      <c r="Y21" s="1425"/>
      <c r="Z21" s="1425"/>
      <c r="AA21" s="1425">
        <f>'print 10 lane'!AD21</f>
        <v>0</v>
      </c>
      <c r="AB21" s="1425"/>
      <c r="AC21" s="1425"/>
      <c r="AD21" s="1426"/>
      <c r="AE21" s="1426"/>
      <c r="AF21" s="1426"/>
      <c r="AG21" s="1341"/>
      <c r="AH21" s="1341"/>
      <c r="AI21" s="1341"/>
      <c r="AJ21" s="883"/>
      <c r="BA21" s="1436"/>
      <c r="BD21" s="993"/>
      <c r="BE21" s="993"/>
      <c r="BF21" s="993"/>
    </row>
    <row r="22" spans="2:58" ht="42" customHeight="1" x14ac:dyDescent="0.25">
      <c r="B22" s="1337">
        <v>5</v>
      </c>
      <c r="C22" s="1358" t="s">
        <v>5083</v>
      </c>
      <c r="D22" s="1332" t="s">
        <v>5090</v>
      </c>
      <c r="E22" s="998" t="s">
        <v>5091</v>
      </c>
      <c r="F22" s="987">
        <f>'print 10 lane'!I22</f>
        <v>1.645949074074074E-3</v>
      </c>
      <c r="G22" s="879">
        <f>IF(F22=0,0,IF(F$6=0,0,IF(F22&lt;1,SUM((F22&gt;I22),(F22&gt;L22),(F22&gt;O22),(F22&gt;R22),(F22&gt;U22),(F22&gt;X22),(F22&gt;AA22),(F22&gt;AD22),(F22&gt;AG22),(F22&gt;BB22)))-$AJ22))</f>
        <v>2</v>
      </c>
      <c r="H22" s="879">
        <f>IF(F22=0,0,IF(F$6=0,0,IF(G22=0,0,((11-G22)))-$B$6))</f>
        <v>6</v>
      </c>
      <c r="I22" s="988">
        <f>'print 10 lane'!L22</f>
        <v>1.742361111111111E-3</v>
      </c>
      <c r="J22" s="879">
        <f>IF(I22=0,0,IF(I$6=0,0,IF(I22&lt;1,SUM((I22&gt;L22),(I22&gt;O22),(I22&gt;R22),(I22&gt;U22),(I22&gt;X22),(I22&gt;AA22),(I22&gt;F22),(I22&gt;AD22),(I22&gt;AG22),(I22&gt;BB22)))-$AJ22))</f>
        <v>4</v>
      </c>
      <c r="K22" s="879">
        <f>IF(I22=0,0,IF(I$6=0,0,IF(J22=0,0,((11-J22)))-$B$6))</f>
        <v>4</v>
      </c>
      <c r="L22" s="988">
        <f>'print 10 lane'!O22</f>
        <v>1.6287037037037036E-3</v>
      </c>
      <c r="M22" s="879">
        <f>IF(L22=0,0,IF(L$6=0,0,IF(L22&lt;1,SUM((L22&gt;I22),(L22&gt;F22),(L22&gt;O22),(L22&gt;R22),(L22&gt;U22),(L22&gt;X22),(L22&gt;AA22),(L22&gt;AD22),(L22&gt;AG22),(L22&gt;BB22)))-$AJ22))</f>
        <v>1</v>
      </c>
      <c r="N22" s="879">
        <f>IF(L22=0,0,IF(L$6=0,0,IF(M22=0,0,((11-M22)))-$B$6))</f>
        <v>7</v>
      </c>
      <c r="O22" s="988">
        <f>'print 10 lane'!R22</f>
        <v>1.6534722222222222E-3</v>
      </c>
      <c r="P22" s="879">
        <f>IF(O22=0,0,IF(O$6=0,0,IF(O22&lt;1,SUM((O22&gt;I22),(O22&gt;L22),(O22&gt;F22),(O22&gt;R22),(O22&gt;U22),(O22&gt;X22),(O22&gt;AA22),(O22&gt;AD22),(O22&gt;AG22),(O22&gt;BB22)))-$AJ22))</f>
        <v>3</v>
      </c>
      <c r="Q22" s="879">
        <f>IF(O22=0,0,IF(O$6=0,0,IF(P22=0,0,((11-P22)))-$B$6))</f>
        <v>5</v>
      </c>
      <c r="R22" s="988">
        <f>'print 10 lane'!U22</f>
        <v>1.7437500000000003E-3</v>
      </c>
      <c r="S22" s="879">
        <f>IF(R22=0,0,IF(R$6=0,0,IF(R22&lt;1,SUM((R22&gt;I22),(R22&gt;L22),(R22&gt;O22),(R22&gt;F22),(R22&gt;U22),(R22&gt;X22),(R22&gt;AA22),(R22&gt;AD22),(R22&gt;AG22),(R22&gt;BB22)))-$AJ22))</f>
        <v>5</v>
      </c>
      <c r="T22" s="879">
        <f>IF(R22=0,0,IF(R$6=0,0,IF(S22=0,0,((11-S22)))-$B$6))</f>
        <v>3</v>
      </c>
      <c r="U22" s="988">
        <f>'print 10 lane'!X22</f>
        <v>1.9731481481481479E-3</v>
      </c>
      <c r="V22" s="879">
        <f>IF(U22=0,0,IF(U$6=0,0,IF(U22&lt;1,SUM((U22&gt;I22),(U22&gt;L22),(U22&gt;O22),(U22&gt;R22),(U22&gt;F22),(U22&gt;X22),(U22&gt;AA22),(U22&gt;AD22),(U22&gt;AG22),(U22&gt;BB22)))-$AJ22))</f>
        <v>6</v>
      </c>
      <c r="W22" s="879">
        <f>IF(U22=0,0,IF(U$6=0,0,IF(V22=0,0,((11-V22)))-$B$6))</f>
        <v>2</v>
      </c>
      <c r="X22" s="988">
        <f>'print 10 lane'!AA22</f>
        <v>0</v>
      </c>
      <c r="Y22" s="879">
        <f>IF(X22=0,0,IF(X$6=0,0,IF(X22&lt;1,SUM((X22&gt;I22),(X22&gt;L22),(X22&gt;O22),(X22&gt;R22),(X22&gt;U22),(X22&gt;F22),(X22&gt;AA22),(X22&gt;AD22),(X22&gt;AG22),(X22&gt;BB22))))-$AJ22)</f>
        <v>0</v>
      </c>
      <c r="Z22" s="879">
        <f>IF(X22=0,0,IF(X$6=0,0,IF(Y22=0,0,((11-Y22)))-$B$6))</f>
        <v>0</v>
      </c>
      <c r="AA22" s="988">
        <f>'print 10 lane'!AD22</f>
        <v>0</v>
      </c>
      <c r="AB22" s="879">
        <f>IF(AA22=0,0,IF(AA$6=0,0,IF(AA22&lt;1,SUM((AA22&gt;I22),(AA22&gt;L22),(AA22&gt;O22),(AA22&gt;R22),(AA22&gt;U22),(AA22&gt;X22),(AA22&gt;AD22),(AA22&gt;AG22),(AA22&gt;F22),(AA22&gt;BB22)))-$AJ22))</f>
        <v>0</v>
      </c>
      <c r="AC22" s="989">
        <f>IF(AA22=0,0,IF(AA$6=0,0,IF(AB22=0,0,((11-AB22)))-$B$6))</f>
        <v>0</v>
      </c>
      <c r="AD22" s="999"/>
      <c r="AE22" s="889"/>
      <c r="AF22" s="889"/>
      <c r="AG22" s="892"/>
      <c r="AH22" s="889"/>
      <c r="AI22" s="890"/>
      <c r="AJ22" s="883">
        <f>COUNTBLANK(F596:O596)</f>
        <v>4</v>
      </c>
      <c r="BA22" s="1436"/>
    </row>
    <row r="23" spans="2:58" ht="42" customHeight="1" x14ac:dyDescent="0.25">
      <c r="B23" s="1337"/>
      <c r="C23" s="1358"/>
      <c r="D23" s="1332"/>
      <c r="E23" s="997" t="s">
        <v>5086</v>
      </c>
      <c r="F23" s="1425">
        <f>'print 10 lane'!I23</f>
        <v>0</v>
      </c>
      <c r="G23" s="1425"/>
      <c r="H23" s="1425"/>
      <c r="I23" s="1425">
        <f>'print 10 lane'!L23</f>
        <v>0</v>
      </c>
      <c r="J23" s="1425"/>
      <c r="K23" s="1425"/>
      <c r="L23" s="1425">
        <f>'print 10 lane'!O23</f>
        <v>0</v>
      </c>
      <c r="M23" s="1425"/>
      <c r="N23" s="1425"/>
      <c r="O23" s="1425">
        <f>'print 10 lane'!R23</f>
        <v>0</v>
      </c>
      <c r="P23" s="1425"/>
      <c r="Q23" s="1425"/>
      <c r="R23" s="1425">
        <f>'print 10 lane'!U23</f>
        <v>0</v>
      </c>
      <c r="S23" s="1425"/>
      <c r="T23" s="1425"/>
      <c r="U23" s="1425">
        <f>'print 10 lane'!X23</f>
        <v>0</v>
      </c>
      <c r="V23" s="1425"/>
      <c r="W23" s="1425"/>
      <c r="X23" s="1425" t="str">
        <f>'print 10 lane'!AA23</f>
        <v>7.6 did not touch at the turn end with both hands simultaneously</v>
      </c>
      <c r="Y23" s="1425"/>
      <c r="Z23" s="1425"/>
      <c r="AA23" s="1425">
        <f>'print 10 lane'!AD23</f>
        <v>0</v>
      </c>
      <c r="AB23" s="1425"/>
      <c r="AC23" s="1425"/>
      <c r="AD23" s="1426"/>
      <c r="AE23" s="1426"/>
      <c r="AF23" s="1426"/>
      <c r="AG23" s="1341"/>
      <c r="AH23" s="1341"/>
      <c r="AI23" s="1341"/>
      <c r="AJ23" s="883"/>
      <c r="BA23" s="837"/>
    </row>
    <row r="24" spans="2:58" ht="42" customHeight="1" x14ac:dyDescent="0.25">
      <c r="B24" s="1337">
        <v>6</v>
      </c>
      <c r="C24" s="1360" t="s">
        <v>5087</v>
      </c>
      <c r="D24" s="1332" t="s">
        <v>5090</v>
      </c>
      <c r="E24" s="998" t="s">
        <v>5091</v>
      </c>
      <c r="F24" s="987">
        <f>'print 10 lane'!I24</f>
        <v>1.7806712962962965E-3</v>
      </c>
      <c r="G24" s="879">
        <f>IF(F24=0,0,IF(F$6=0,0,IF(F24&lt;1,SUM((F24&gt;I24),(F24&gt;L24),(F24&gt;O24),(F24&gt;R24),(F24&gt;U24),(F24&gt;X24),(F24&gt;AA24),(F24&gt;AD24),(F24&gt;AG24),(F24&gt;BB24)))-$AJ24))</f>
        <v>5</v>
      </c>
      <c r="H24" s="879">
        <f>IF(F24=0,0,IF(F$6=0,0,IF(G24=0,0,((11-G24)))-$B$6))</f>
        <v>3</v>
      </c>
      <c r="I24" s="988">
        <f>'print 10 lane'!L24</f>
        <v>1.7177083333333332E-3</v>
      </c>
      <c r="J24" s="879">
        <f>IF(I24=0,0,IF(I$6=0,0,IF(I24&lt;1,SUM((I24&gt;L24),(I24&gt;O24),(I24&gt;R24),(I24&gt;U24),(I24&gt;X24),(I24&gt;AA24),(I24&gt;F24),(I24&gt;AD24),(I24&gt;AG24),(I24&gt;BB24)))-$AJ24))</f>
        <v>4</v>
      </c>
      <c r="K24" s="879">
        <f>IF(I24=0,0,IF(I$6=0,0,IF(J24=0,0,((11-J24)))-$B$6))</f>
        <v>4</v>
      </c>
      <c r="L24" s="988">
        <f>'print 10 lane'!O24</f>
        <v>1.6693287037037039E-3</v>
      </c>
      <c r="M24" s="879">
        <f>IF(L24=0,0,IF(L$6=0,0,IF(L24&lt;1,SUM((L24&gt;I24),(L24&gt;F24),(L24&gt;O24),(L24&gt;R24),(L24&gt;U24),(L24&gt;X24),(L24&gt;AA24),(L24&gt;AD24),(L24&gt;AG24),(L24&gt;BB24)))-$AJ24))</f>
        <v>3</v>
      </c>
      <c r="N24" s="879">
        <f>IF(L24=0,0,IF(L$6=0,0,IF(M24=0,0,((11-M24)))-$B$6))</f>
        <v>5</v>
      </c>
      <c r="O24" s="988">
        <f>'print 10 lane'!R24</f>
        <v>1.8538194444444446E-3</v>
      </c>
      <c r="P24" s="879">
        <f>IF(O24=0,0,IF(O$6=0,0,IF(O24&lt;1,SUM((O24&gt;I24),(O24&gt;L24),(O24&gt;F24),(O24&gt;R24),(O24&gt;U24),(O24&gt;X24),(O24&gt;AA24),(O24&gt;AD24),(O24&gt;AG24),(O24&gt;BB24)))-$AJ24))</f>
        <v>7</v>
      </c>
      <c r="Q24" s="879">
        <f>IF(O24=0,0,IF(O$6=0,0,IF(P24=0,0,((11-P24)))-$B$6))</f>
        <v>1</v>
      </c>
      <c r="R24" s="988">
        <f>'print 10 lane'!U24</f>
        <v>1.8093750000000002E-3</v>
      </c>
      <c r="S24" s="879">
        <f>IF(R24=0,0,IF(R$6=0,0,IF(R24&lt;1,SUM((R24&gt;I24),(R24&gt;L24),(R24&gt;O24),(R24&gt;F24),(R24&gt;U24),(R24&gt;X24),(R24&gt;AA24),(R24&gt;AD24),(R24&gt;AG24),(R24&gt;BB24)))-$AJ24))</f>
        <v>6</v>
      </c>
      <c r="T24" s="879">
        <f>IF(R24=0,0,IF(R$6=0,0,IF(S24=0,0,((11-S24)))-$B$6))</f>
        <v>2</v>
      </c>
      <c r="U24" s="988">
        <f>'print 10 lane'!X24</f>
        <v>1.5825231481481482E-3</v>
      </c>
      <c r="V24" s="879">
        <f>IF(U24=0,0,IF(U$6=0,0,IF(U24&lt;1,SUM((U24&gt;I24),(U24&gt;L24),(U24&gt;O24),(U24&gt;R24),(U24&gt;F24),(U24&gt;X24),(U24&gt;AA24),(U24&gt;AD24),(U24&gt;AG24),(U24&gt;BB24)))-$AJ24))</f>
        <v>2</v>
      </c>
      <c r="W24" s="879">
        <f>IF(U24=0,0,IF(U$6=0,0,IF(V24=0,0,((11-V24)))-$B$6))</f>
        <v>6</v>
      </c>
      <c r="X24" s="988">
        <f>'print 10 lane'!AA24</f>
        <v>1.5534722222222224E-3</v>
      </c>
      <c r="Y24" s="879">
        <f>IF(X24=0,0,IF(X$6=0,0,IF(X24&lt;1,SUM((X24&gt;I24),(X24&gt;L24),(X24&gt;O24),(X24&gt;R24),(X24&gt;U24),(X24&gt;F24),(X24&gt;AA24),(X24&gt;AD24),(X24&gt;AG24),(X24&gt;BB24))))-$AJ24)</f>
        <v>1</v>
      </c>
      <c r="Z24" s="879">
        <f>IF(X24=0,0,IF(X$6=0,0,IF(Y24=0,0,((11-Y24)))-$B$6))</f>
        <v>7</v>
      </c>
      <c r="AA24" s="988">
        <f>'print 10 lane'!AD24</f>
        <v>0</v>
      </c>
      <c r="AB24" s="879">
        <f>IF(AA24=0,0,IF(AA$6=0,0,IF(AA24&lt;1,SUM((AA24&gt;I24),(AA24&gt;L24),(AA24&gt;O24),(AA24&gt;R24),(AA24&gt;U24),(AA24&gt;X24),(AA24&gt;AD24),(AA24&gt;AG24),(AA24&gt;F24),(AA24&gt;BB24)))-$AJ24))</f>
        <v>0</v>
      </c>
      <c r="AC24" s="989">
        <f>IF(AA24=0,0,IF(AA$6=0,0,IF(AB24=0,0,((11-AB24)))-$B$6))</f>
        <v>0</v>
      </c>
      <c r="AD24" s="999"/>
      <c r="AE24" s="889"/>
      <c r="AF24" s="889"/>
      <c r="AG24" s="892"/>
      <c r="AH24" s="889"/>
      <c r="AI24" s="890"/>
      <c r="AJ24" s="883">
        <f>COUNTBLANK(F597:O597)</f>
        <v>3</v>
      </c>
      <c r="BA24" s="837"/>
    </row>
    <row r="25" spans="2:58" ht="42" customHeight="1" x14ac:dyDescent="0.25">
      <c r="B25" s="1337"/>
      <c r="C25" s="1360"/>
      <c r="D25" s="1332"/>
      <c r="E25" s="997" t="s">
        <v>5086</v>
      </c>
      <c r="F25" s="1425">
        <f>'print 10 lane'!I25</f>
        <v>0</v>
      </c>
      <c r="G25" s="1425"/>
      <c r="H25" s="1425"/>
      <c r="I25" s="1425">
        <f>'print 10 lane'!L25</f>
        <v>0</v>
      </c>
      <c r="J25" s="1425"/>
      <c r="K25" s="1425"/>
      <c r="L25" s="1425">
        <f>'print 10 lane'!O25</f>
        <v>0</v>
      </c>
      <c r="M25" s="1425"/>
      <c r="N25" s="1425"/>
      <c r="O25" s="1425">
        <f>'print 10 lane'!R25</f>
        <v>0</v>
      </c>
      <c r="P25" s="1425"/>
      <c r="Q25" s="1425"/>
      <c r="R25" s="1425">
        <f>'print 10 lane'!U25</f>
        <v>0</v>
      </c>
      <c r="S25" s="1425"/>
      <c r="T25" s="1425"/>
      <c r="U25" s="1425">
        <f>'print 10 lane'!X25</f>
        <v>0</v>
      </c>
      <c r="V25" s="1425"/>
      <c r="W25" s="1425"/>
      <c r="X25" s="1425">
        <f>'print 10 lane'!AA25</f>
        <v>0</v>
      </c>
      <c r="Y25" s="1425"/>
      <c r="Z25" s="1425"/>
      <c r="AA25" s="1425">
        <f>'print 10 lane'!AD25</f>
        <v>0</v>
      </c>
      <c r="AB25" s="1425"/>
      <c r="AC25" s="1425"/>
      <c r="AD25" s="1426"/>
      <c r="AE25" s="1426"/>
      <c r="AF25" s="1426"/>
      <c r="AG25" s="1341"/>
      <c r="AH25" s="1341"/>
      <c r="AI25" s="1341"/>
      <c r="AJ25" s="883"/>
      <c r="BA25" s="837"/>
    </row>
    <row r="26" spans="2:58" ht="42" customHeight="1" x14ac:dyDescent="0.25">
      <c r="B26" s="1337">
        <v>7</v>
      </c>
      <c r="C26" s="1358" t="s">
        <v>5083</v>
      </c>
      <c r="D26" s="1332" t="s">
        <v>5092</v>
      </c>
      <c r="E26" s="998" t="s">
        <v>5089</v>
      </c>
      <c r="F26" s="987">
        <f>'print 10 lane'!I26</f>
        <v>1.4748842592592591E-3</v>
      </c>
      <c r="G26" s="879">
        <f>IF(F26=0,0,IF(F$6=0,0,IF(F26&lt;1,SUM((F26&gt;I26),(F26&gt;L26),(F26&gt;O26),(F26&gt;R26),(F26&gt;U26),(F26&gt;X26),(F26&gt;AA26),(F26&gt;AD26),(F26&gt;AG26),(F26&gt;BB26)))-$AJ26))</f>
        <v>7</v>
      </c>
      <c r="H26" s="879">
        <f>IF(F26=0,0,IF(F$6=0,0,IF(G26=0,0,((11-G26)))-$B$6))</f>
        <v>1</v>
      </c>
      <c r="I26" s="988">
        <f>'print 10 lane'!L26</f>
        <v>1.4600694444444444E-3</v>
      </c>
      <c r="J26" s="879">
        <f>IF(I26=0,0,IF(I$6=0,0,IF(I26&lt;1,SUM((I26&gt;L26),(I26&gt;O26),(I26&gt;R26),(I26&gt;U26),(I26&gt;X26),(I26&gt;AA26),(I26&gt;F26),(I26&gt;AD26),(I26&gt;AG26),(I26&gt;BB26)))-$AJ26))</f>
        <v>6</v>
      </c>
      <c r="K26" s="879">
        <f>IF(I26=0,0,IF(I$6=0,0,IF(J26=0,0,((11-J26)))-$B$6))</f>
        <v>2</v>
      </c>
      <c r="L26" s="988">
        <f>'print 10 lane'!O26</f>
        <v>1.4290509259259258E-3</v>
      </c>
      <c r="M26" s="879">
        <f>IF(L26=0,0,IF(L$6=0,0,IF(L26&lt;1,SUM((L26&gt;I26),(L26&gt;F26),(L26&gt;O26),(L26&gt;R26),(L26&gt;U26),(L26&gt;X26),(L26&gt;AA26),(L26&gt;AD26),(L26&gt;AG26),(L26&gt;BB26)))-$AJ26))</f>
        <v>4</v>
      </c>
      <c r="N26" s="879">
        <f>IF(L26=0,0,IF(L$6=0,0,IF(M26=0,0,((11-M26)))-$B$6))</f>
        <v>4</v>
      </c>
      <c r="O26" s="988">
        <f>'print 10 lane'!R26</f>
        <v>1.4349537037037037E-3</v>
      </c>
      <c r="P26" s="879">
        <f>IF(O26=0,0,IF(O$6=0,0,IF(O26&lt;1,SUM((O26&gt;I26),(O26&gt;L26),(O26&gt;F26),(O26&gt;R26),(O26&gt;U26),(O26&gt;X26),(O26&gt;AA26),(O26&gt;AD26),(O26&gt;AG26),(O26&gt;BB26)))-$AJ26))</f>
        <v>5</v>
      </c>
      <c r="Q26" s="879">
        <f>IF(O26=0,0,IF(O$6=0,0,IF(P26=0,0,((11-P26)))-$B$6))</f>
        <v>3</v>
      </c>
      <c r="R26" s="988">
        <f>'print 10 lane'!U26</f>
        <v>1.3890046296296298E-3</v>
      </c>
      <c r="S26" s="879">
        <f>IF(R26=0,0,IF(R$6=0,0,IF(R26&lt;1,SUM((R26&gt;I26),(R26&gt;L26),(R26&gt;O26),(R26&gt;F26),(R26&gt;U26),(R26&gt;X26),(R26&gt;AA26),(R26&gt;AD26),(R26&gt;AG26),(R26&gt;BB26)))-$AJ26))</f>
        <v>1</v>
      </c>
      <c r="T26" s="879">
        <f>IF(R26=0,0,IF(R$6=0,0,IF(S26=0,0,((11-S26)))-$B$6))</f>
        <v>7</v>
      </c>
      <c r="U26" s="988">
        <f>'print 10 lane'!X26</f>
        <v>1.391435185185185E-3</v>
      </c>
      <c r="V26" s="879">
        <f>IF(U26=0,0,IF(U$6=0,0,IF(U26&lt;1,SUM((U26&gt;I26),(U26&gt;L26),(U26&gt;O26),(U26&gt;R26),(U26&gt;F26),(U26&gt;X26),(U26&gt;AA26),(U26&gt;AD26),(U26&gt;AG26),(U26&gt;BB26)))-$AJ26))</f>
        <v>2</v>
      </c>
      <c r="W26" s="879">
        <f>IF(U26=0,0,IF(U$6=0,0,IF(V26=0,0,((11-V26)))-$B$6))</f>
        <v>6</v>
      </c>
      <c r="X26" s="988">
        <f>'print 10 lane'!AA26</f>
        <v>1.4256944444444445E-3</v>
      </c>
      <c r="Y26" s="879">
        <f>IF(X26=0,0,IF(X$6=0,0,IF(X26&lt;1,SUM((X26&gt;I26),(X26&gt;L26),(X26&gt;O26),(X26&gt;R26),(X26&gt;U26),(X26&gt;F26),(X26&gt;AA26),(X26&gt;AD26),(X26&gt;AG26),(X26&gt;BB26))))-$AJ26)</f>
        <v>3</v>
      </c>
      <c r="Z26" s="879">
        <f>IF(X26=0,0,IF(X$6=0,0,IF(Y26=0,0,((11-Y26)))-$B$6))</f>
        <v>5</v>
      </c>
      <c r="AA26" s="988">
        <f>'print 10 lane'!AD26</f>
        <v>0</v>
      </c>
      <c r="AB26" s="879">
        <f>IF(AA26=0,0,IF(AA$6=0,0,IF(AA26&lt;1,SUM((AA26&gt;I26),(AA26&gt;L26),(AA26&gt;O26),(AA26&gt;R26),(AA26&gt;U26),(AA26&gt;X26),(AA26&gt;AD26),(AA26&gt;AG26),(AA26&gt;F26),(AA26&gt;BB26)))-$AJ26))</f>
        <v>0</v>
      </c>
      <c r="AC26" s="989">
        <f>IF(AA26=0,0,IF(AA$6=0,0,IF(AB26=0,0,((11-AB26)))-$B$6))</f>
        <v>0</v>
      </c>
      <c r="AD26" s="999"/>
      <c r="AE26" s="889"/>
      <c r="AF26" s="889"/>
      <c r="AG26" s="892"/>
      <c r="AH26" s="889"/>
      <c r="AI26" s="890"/>
      <c r="AJ26" s="883">
        <f>COUNTBLANK(F598:O598)</f>
        <v>3</v>
      </c>
      <c r="BA26" s="837"/>
    </row>
    <row r="27" spans="2:58" ht="42" customHeight="1" x14ac:dyDescent="0.25">
      <c r="B27" s="1337"/>
      <c r="C27" s="1358"/>
      <c r="D27" s="1332"/>
      <c r="E27" s="997" t="s">
        <v>5086</v>
      </c>
      <c r="F27" s="1425">
        <f>'print 10 lane'!I27</f>
        <v>0</v>
      </c>
      <c r="G27" s="1425"/>
      <c r="H27" s="1425"/>
      <c r="I27" s="1425">
        <f>'print 10 lane'!L27</f>
        <v>0</v>
      </c>
      <c r="J27" s="1425"/>
      <c r="K27" s="1425"/>
      <c r="L27" s="1425">
        <f>'print 10 lane'!O27</f>
        <v>0</v>
      </c>
      <c r="M27" s="1425"/>
      <c r="N27" s="1425"/>
      <c r="O27" s="1425">
        <f>'print 10 lane'!R27</f>
        <v>0</v>
      </c>
      <c r="P27" s="1425"/>
      <c r="Q27" s="1425"/>
      <c r="R27" s="1425">
        <f>'print 10 lane'!U27</f>
        <v>0</v>
      </c>
      <c r="S27" s="1425"/>
      <c r="T27" s="1425"/>
      <c r="U27" s="1425">
        <f>'print 10 lane'!X27</f>
        <v>0</v>
      </c>
      <c r="V27" s="1425"/>
      <c r="W27" s="1425"/>
      <c r="X27" s="1425">
        <f>'print 10 lane'!AA27</f>
        <v>0</v>
      </c>
      <c r="Y27" s="1425"/>
      <c r="Z27" s="1425"/>
      <c r="AA27" s="1425">
        <f>'print 10 lane'!AD27</f>
        <v>0</v>
      </c>
      <c r="AB27" s="1425"/>
      <c r="AC27" s="1425"/>
      <c r="AD27" s="1426"/>
      <c r="AE27" s="1426"/>
      <c r="AF27" s="1426"/>
      <c r="AG27" s="1341"/>
      <c r="AH27" s="1341"/>
      <c r="AI27" s="1341"/>
      <c r="AJ27" s="883"/>
      <c r="BA27" s="837"/>
    </row>
    <row r="28" spans="2:58" ht="42" customHeight="1" x14ac:dyDescent="0.25">
      <c r="B28" s="1337">
        <v>8</v>
      </c>
      <c r="C28" s="1360" t="s">
        <v>5087</v>
      </c>
      <c r="D28" s="1332" t="s">
        <v>5092</v>
      </c>
      <c r="E28" s="998" t="s">
        <v>5089</v>
      </c>
      <c r="F28" s="987">
        <f>'print 10 lane'!I28</f>
        <v>1.4600694444444444E-3</v>
      </c>
      <c r="G28" s="879">
        <f>IF(F28=0,0,IF(F$6=0,0,IF(F28&lt;1,SUM((F28&gt;I28),(F28&gt;L28),(F28&gt;O28),(F28&gt;R28),(F28&gt;U28),(F28&gt;X28),(F28&gt;AA28),(F28&gt;AD28),(F28&gt;AG28),(F28&gt;BB28)))-$AJ28))</f>
        <v>7</v>
      </c>
      <c r="H28" s="879">
        <f>IF(F28=0,0,IF(F$6=0,0,IF(G28=0,0,((11-G28)))-$B$6))</f>
        <v>1</v>
      </c>
      <c r="I28" s="988">
        <f>'print 10 lane'!L28</f>
        <v>1.3547453703703701E-3</v>
      </c>
      <c r="J28" s="879">
        <f>IF(I28=0,0,IF(I$6=0,0,IF(I28&lt;1,SUM((I28&gt;L28),(I28&gt;O28),(I28&gt;R28),(I28&gt;U28),(I28&gt;X28),(I28&gt;AA28),(I28&gt;F28),(I28&gt;AD28),(I28&gt;AG28),(I28&gt;BB28)))-$AJ28))</f>
        <v>5</v>
      </c>
      <c r="K28" s="879">
        <f>IF(I28=0,0,IF(I$6=0,0,IF(J28=0,0,((11-J28)))-$B$6))</f>
        <v>3</v>
      </c>
      <c r="L28" s="988">
        <f>'print 10 lane'!O28</f>
        <v>1.4348379629629631E-3</v>
      </c>
      <c r="M28" s="879">
        <f>IF(L28=0,0,IF(L$6=0,0,IF(L28&lt;1,SUM((L28&gt;I28),(L28&gt;F28),(L28&gt;O28),(L28&gt;R28),(L28&gt;U28),(L28&gt;X28),(L28&gt;AA28),(L28&gt;AD28),(L28&gt;AG28),(L28&gt;BB28)))-$AJ28))</f>
        <v>6</v>
      </c>
      <c r="N28" s="879">
        <f>IF(L28=0,0,IF(L$6=0,0,IF(M28=0,0,((11-M28)))-$B$6))</f>
        <v>2</v>
      </c>
      <c r="O28" s="988">
        <f>'print 10 lane'!R28</f>
        <v>1.3260416666666666E-3</v>
      </c>
      <c r="P28" s="879">
        <f>IF(O28=0,0,IF(O$6=0,0,IF(O28&lt;1,SUM((O28&gt;I28),(O28&gt;L28),(O28&gt;F28),(O28&gt;R28),(O28&gt;U28),(O28&gt;X28),(O28&gt;AA28),(O28&gt;AD28),(O28&gt;AG28),(O28&gt;BB28)))-$AJ28))</f>
        <v>4</v>
      </c>
      <c r="Q28" s="879">
        <f>IF(O28=0,0,IF(O$6=0,0,IF(P28=0,0,((11-P28)))-$B$6))</f>
        <v>4</v>
      </c>
      <c r="R28" s="988">
        <f>'print 10 lane'!U28</f>
        <v>1.2678240740740742E-3</v>
      </c>
      <c r="S28" s="879">
        <f>IF(R28=0,0,IF(R$6=0,0,IF(R28&lt;1,SUM((R28&gt;I28),(R28&gt;L28),(R28&gt;O28),(R28&gt;F28),(R28&gt;U28),(R28&gt;X28),(R28&gt;AA28),(R28&gt;AD28),(R28&gt;AG28),(R28&gt;BB28)))-$AJ28))</f>
        <v>2</v>
      </c>
      <c r="T28" s="879">
        <f>IF(R28=0,0,IF(R$6=0,0,IF(S28=0,0,((11-S28)))-$B$6))</f>
        <v>6</v>
      </c>
      <c r="U28" s="988">
        <f>'print 10 lane'!X28</f>
        <v>1.262037037037037E-3</v>
      </c>
      <c r="V28" s="879">
        <f>IF(U28=0,0,IF(U$6=0,0,IF(U28&lt;1,SUM((U28&gt;I28),(U28&gt;L28),(U28&gt;O28),(U28&gt;R28),(U28&gt;F28),(U28&gt;X28),(U28&gt;AA28),(U28&gt;AD28),(U28&gt;AG28),(U28&gt;BB28)))-$AJ28))</f>
        <v>1</v>
      </c>
      <c r="W28" s="879">
        <f>IF(U28=0,0,IF(U$6=0,0,IF(V28=0,0,((11-V28)))-$B$6))</f>
        <v>7</v>
      </c>
      <c r="X28" s="988">
        <f>'print 10 lane'!AA28</f>
        <v>1.3180555555555556E-3</v>
      </c>
      <c r="Y28" s="879">
        <f>IF(X28=0,0,IF(X$6=0,0,IF(X28&lt;1,SUM((X28&gt;I28),(X28&gt;L28),(X28&gt;O28),(X28&gt;R28),(X28&gt;U28),(X28&gt;F28),(X28&gt;AA28),(X28&gt;AD28),(X28&gt;AG28),(X28&gt;BB28))))-$AJ28)</f>
        <v>3</v>
      </c>
      <c r="Z28" s="879">
        <f>IF(X28=0,0,IF(X$6=0,0,IF(Y28=0,0,((11-Y28)))-$B$6))</f>
        <v>5</v>
      </c>
      <c r="AA28" s="988">
        <f>'print 10 lane'!AD28</f>
        <v>0</v>
      </c>
      <c r="AB28" s="879">
        <f>IF(AA28=0,0,IF(AA$6=0,0,IF(AA28&lt;1,SUM((AA28&gt;I28),(AA28&gt;L28),(AA28&gt;O28),(AA28&gt;R28),(AA28&gt;U28),(AA28&gt;X28),(AA28&gt;AD28),(AA28&gt;AG28),(AA28&gt;F28),(AA28&gt;BB28)))-$AJ28))</f>
        <v>0</v>
      </c>
      <c r="AC28" s="989">
        <f>IF(AA28=0,0,IF(AA$6=0,0,IF(AB28=0,0,((11-AB28)))-$B$6))</f>
        <v>0</v>
      </c>
      <c r="AD28" s="999"/>
      <c r="AE28" s="889"/>
      <c r="AF28" s="889"/>
      <c r="AG28" s="892"/>
      <c r="AH28" s="889"/>
      <c r="AI28" s="890"/>
      <c r="AJ28" s="883">
        <f>COUNTBLANK(F599:O599)</f>
        <v>3</v>
      </c>
      <c r="BA28" s="837"/>
    </row>
    <row r="29" spans="2:58" ht="42" customHeight="1" x14ac:dyDescent="0.25">
      <c r="B29" s="1337"/>
      <c r="C29" s="1360"/>
      <c r="D29" s="1332"/>
      <c r="E29" s="997" t="s">
        <v>5086</v>
      </c>
      <c r="F29" s="1425">
        <f>'print 10 lane'!I29</f>
        <v>0</v>
      </c>
      <c r="G29" s="1425"/>
      <c r="H29" s="1425"/>
      <c r="I29" s="1425">
        <f>'print 10 lane'!L29</f>
        <v>0</v>
      </c>
      <c r="J29" s="1425"/>
      <c r="K29" s="1425"/>
      <c r="L29" s="1425">
        <f>'print 10 lane'!O29</f>
        <v>0</v>
      </c>
      <c r="M29" s="1425"/>
      <c r="N29" s="1425"/>
      <c r="O29" s="1425">
        <f>'print 10 lane'!R29</f>
        <v>0</v>
      </c>
      <c r="P29" s="1425"/>
      <c r="Q29" s="1425"/>
      <c r="R29" s="1425">
        <f>'print 10 lane'!U29</f>
        <v>0</v>
      </c>
      <c r="S29" s="1425"/>
      <c r="T29" s="1425"/>
      <c r="U29" s="1425">
        <f>'print 10 lane'!X29</f>
        <v>0</v>
      </c>
      <c r="V29" s="1425"/>
      <c r="W29" s="1425"/>
      <c r="X29" s="1425">
        <f>'print 10 lane'!AA29</f>
        <v>0</v>
      </c>
      <c r="Y29" s="1425"/>
      <c r="Z29" s="1425"/>
      <c r="AA29" s="1425">
        <f>'print 10 lane'!AD29</f>
        <v>0</v>
      </c>
      <c r="AB29" s="1425"/>
      <c r="AC29" s="1425"/>
      <c r="AD29" s="1426"/>
      <c r="AE29" s="1426"/>
      <c r="AF29" s="1426"/>
      <c r="AG29" s="1341"/>
      <c r="AH29" s="1341"/>
      <c r="AI29" s="1341"/>
      <c r="AJ29" s="883"/>
      <c r="BA29" s="837"/>
    </row>
    <row r="30" spans="2:58" ht="42" customHeight="1" x14ac:dyDescent="0.25">
      <c r="B30" s="1337">
        <v>9</v>
      </c>
      <c r="C30" s="1358" t="s">
        <v>5083</v>
      </c>
      <c r="D30" s="1424" t="s">
        <v>5093</v>
      </c>
      <c r="E30" s="998" t="s">
        <v>5091</v>
      </c>
      <c r="F30" s="987">
        <f>'print 10 lane'!I30</f>
        <v>0</v>
      </c>
      <c r="G30" s="879">
        <f>IF(F30=0,0,IF(F$6=0,0,IF(F30&lt;1,SUM((F30&gt;I30),(F30&gt;L30),(F30&gt;O30),(F30&gt;R30),(F30&gt;U30),(F30&gt;X30),(F30&gt;AA30),(F30&gt;AD30),(F30&gt;AG30),(F30&gt;BB30)))-$AJ30))</f>
        <v>0</v>
      </c>
      <c r="H30" s="879">
        <f>IF(F30=0,0,IF(F$6=0,0,IF(G30=0,0,((11-G30)))-$B$6))</f>
        <v>0</v>
      </c>
      <c r="I30" s="988">
        <f>'print 10 lane'!L30</f>
        <v>1.6187500000000002E-3</v>
      </c>
      <c r="J30" s="879">
        <f>IF(I30=0,0,IF(I$6=0,0,IF(I30&lt;1,SUM((I30&gt;L30),(I30&gt;O30),(I30&gt;R30),(I30&gt;U30),(I30&gt;X30),(I30&gt;AA30),(I30&gt;F30),(I30&gt;AD30),(I30&gt;AG30),(I30&gt;BB30)))-$AJ30))</f>
        <v>6</v>
      </c>
      <c r="K30" s="879">
        <f>IF(I30=0,0,IF(I$6=0,0,IF(J30=0,0,((11-J30)))-$B$6))</f>
        <v>2</v>
      </c>
      <c r="L30" s="988">
        <f>'print 10 lane'!O30</f>
        <v>1.6140046296296295E-3</v>
      </c>
      <c r="M30" s="879">
        <f>IF(L30=0,0,IF(L$6=0,0,IF(L30&lt;1,SUM((L30&gt;I30),(L30&gt;F30),(L30&gt;O30),(L30&gt;R30),(L30&gt;U30),(L30&gt;X30),(L30&gt;AA30),(L30&gt;AD30),(L30&gt;AG30),(L30&gt;BB30)))-$AJ30))</f>
        <v>5</v>
      </c>
      <c r="N30" s="879">
        <f>IF(L30=0,0,IF(L$6=0,0,IF(M30=0,0,((11-M30)))-$B$6))</f>
        <v>3</v>
      </c>
      <c r="O30" s="988">
        <f>'print 10 lane'!R30</f>
        <v>1.5174768518518517E-3</v>
      </c>
      <c r="P30" s="879">
        <f>IF(O30=0,0,IF(O$6=0,0,IF(O30&lt;1,SUM((O30&gt;I30),(O30&gt;L30),(O30&gt;F30),(O30&gt;R30),(O30&gt;U30),(O30&gt;X30),(O30&gt;AA30),(O30&gt;AD30),(O30&gt;AG30),(O30&gt;BB30)))-$AJ30))</f>
        <v>1</v>
      </c>
      <c r="Q30" s="879">
        <f>IF(O30=0,0,IF(O$6=0,0,IF(P30=0,0,((11-P30)))-$B$6))</f>
        <v>7</v>
      </c>
      <c r="R30" s="988">
        <f>'print 10 lane'!U30</f>
        <v>1.5806712962962962E-3</v>
      </c>
      <c r="S30" s="879">
        <f>IF(R30=0,0,IF(R$6=0,0,IF(R30&lt;1,SUM((R30&gt;I30),(R30&gt;L30),(R30&gt;O30),(R30&gt;F30),(R30&gt;U30),(R30&gt;X30),(R30&gt;AA30),(R30&gt;AD30),(R30&gt;AG30),(R30&gt;BB30)))-$AJ30))</f>
        <v>3</v>
      </c>
      <c r="T30" s="879">
        <f>IF(R30=0,0,IF(R$6=0,0,IF(S30=0,0,((11-S30)))-$B$6))</f>
        <v>5</v>
      </c>
      <c r="U30" s="988">
        <f>'print 10 lane'!X30</f>
        <v>1.6027777777777776E-3</v>
      </c>
      <c r="V30" s="879">
        <f>IF(U30=0,0,IF(U$6=0,0,IF(U30&lt;1,SUM((U30&gt;I30),(U30&gt;L30),(U30&gt;O30),(U30&gt;R30),(U30&gt;F30),(U30&gt;X30),(U30&gt;AA30),(U30&gt;AD30),(U30&gt;AG30),(U30&gt;BB30)))-$AJ30))</f>
        <v>4</v>
      </c>
      <c r="W30" s="879">
        <f>IF(U30=0,0,IF(U$6=0,0,IF(V30=0,0,((11-V30)))-$B$6))</f>
        <v>4</v>
      </c>
      <c r="X30" s="988">
        <f>'print 10 lane'!AA30</f>
        <v>1.5299768518518518E-3</v>
      </c>
      <c r="Y30" s="879">
        <f>IF(X30=0,0,IF(X$6=0,0,IF(X30&lt;1,SUM((X30&gt;I30),(X30&gt;L30),(X30&gt;O30),(X30&gt;R30),(X30&gt;U30),(X30&gt;F30),(X30&gt;AA30),(X30&gt;AD30),(X30&gt;AG30),(X30&gt;BB30))))-$AJ30)</f>
        <v>2</v>
      </c>
      <c r="Z30" s="879">
        <f>IF(X30=0,0,IF(X$6=0,0,IF(Y30=0,0,((11-Y30)))-$B$6))</f>
        <v>6</v>
      </c>
      <c r="AA30" s="988">
        <f>'print 10 lane'!AD30</f>
        <v>0</v>
      </c>
      <c r="AB30" s="879">
        <f>IF(AA30=0,0,IF(AA$6=0,0,IF(AA30&lt;1,SUM((AA30&gt;I30),(AA30&gt;L30),(AA30&gt;O30),(AA30&gt;R30),(AA30&gt;U30),(AA30&gt;X30),(AA30&gt;AD30),(AA30&gt;AG30),(AA30&gt;F30),(AA30&gt;BB30)))-$AJ30))</f>
        <v>0</v>
      </c>
      <c r="AC30" s="989">
        <f>IF(AA30=0,0,IF(AA$6=0,0,IF(AB30=0,0,((11-AB30)))-$B$6))</f>
        <v>0</v>
      </c>
      <c r="AD30" s="999"/>
      <c r="AE30" s="889"/>
      <c r="AF30" s="889"/>
      <c r="AG30" s="892"/>
      <c r="AH30" s="889"/>
      <c r="AI30" s="890"/>
      <c r="AJ30" s="883">
        <f>COUNTBLANK(F600:O600)</f>
        <v>4</v>
      </c>
      <c r="BA30" s="837"/>
    </row>
    <row r="31" spans="2:58" ht="42" customHeight="1" x14ac:dyDescent="0.25">
      <c r="B31" s="1337"/>
      <c r="C31" s="1358"/>
      <c r="D31" s="1424"/>
      <c r="E31" s="997" t="s">
        <v>5086</v>
      </c>
      <c r="F31" s="1425" t="str">
        <f>'print 10 lane'!I31</f>
        <v>10.12 Jump before incoming swimmer touched the wall</v>
      </c>
      <c r="G31" s="1425"/>
      <c r="H31" s="1425"/>
      <c r="I31" s="1425">
        <f>'print 10 lane'!L31</f>
        <v>0</v>
      </c>
      <c r="J31" s="1425"/>
      <c r="K31" s="1425"/>
      <c r="L31" s="1425">
        <f>'print 10 lane'!O31</f>
        <v>0</v>
      </c>
      <c r="M31" s="1425"/>
      <c r="N31" s="1425"/>
      <c r="O31" s="1425">
        <f>'print 10 lane'!R31</f>
        <v>0</v>
      </c>
      <c r="P31" s="1425"/>
      <c r="Q31" s="1425"/>
      <c r="R31" s="1425">
        <f>'print 10 lane'!U31</f>
        <v>0</v>
      </c>
      <c r="S31" s="1425"/>
      <c r="T31" s="1425"/>
      <c r="U31" s="1425">
        <f>'print 10 lane'!X31</f>
        <v>0</v>
      </c>
      <c r="V31" s="1425"/>
      <c r="W31" s="1425"/>
      <c r="X31" s="1425">
        <f>'print 10 lane'!AA31</f>
        <v>0</v>
      </c>
      <c r="Y31" s="1425"/>
      <c r="Z31" s="1425"/>
      <c r="AA31" s="1425">
        <f>'print 10 lane'!AD31</f>
        <v>0</v>
      </c>
      <c r="AB31" s="1425"/>
      <c r="AC31" s="1425"/>
      <c r="AD31" s="1426"/>
      <c r="AE31" s="1426"/>
      <c r="AF31" s="1426"/>
      <c r="AG31" s="1341"/>
      <c r="AH31" s="1341"/>
      <c r="AI31" s="1341"/>
      <c r="AJ31" s="883"/>
      <c r="BA31" s="837"/>
    </row>
    <row r="32" spans="2:58" ht="42" customHeight="1" x14ac:dyDescent="0.25">
      <c r="B32" s="1359">
        <v>10</v>
      </c>
      <c r="C32" s="1360" t="s">
        <v>5087</v>
      </c>
      <c r="D32" s="1424" t="s">
        <v>5093</v>
      </c>
      <c r="E32" s="998" t="s">
        <v>5091</v>
      </c>
      <c r="F32" s="987">
        <f>'print 10 lane'!I32</f>
        <v>1.5916666666666666E-3</v>
      </c>
      <c r="G32" s="879">
        <f>IF(F32=0,0,IF(F$6=0,0,IF(F32&lt;1,SUM((F32&gt;I32),(F32&gt;L32),(F32&gt;O32),(F32&gt;R32),(F32&gt;U32),(F32&gt;X32),(F32&gt;AA32),(F32&gt;AD32),(F32&gt;AG32),(F32&gt;BB32)))-$AJ32))</f>
        <v>6</v>
      </c>
      <c r="H32" s="879">
        <f>IF(F32=0,0,IF(F$6=0,0,IF(G32=0,0,((11-G32)))-$B$6))</f>
        <v>2</v>
      </c>
      <c r="I32" s="988">
        <f>'print 10 lane'!L32</f>
        <v>1.5048611111111111E-3</v>
      </c>
      <c r="J32" s="879">
        <f>IF(I32=0,0,IF(I$6=0,0,IF(I32&lt;1,SUM((I32&gt;L32),(I32&gt;O32),(I32&gt;R32),(I32&gt;U32),(I32&gt;X32),(I32&gt;AA32),(I32&gt;F32),(I32&gt;AD32),(I32&gt;AG32),(I32&gt;BB32)))-$AJ32))</f>
        <v>5</v>
      </c>
      <c r="K32" s="879">
        <f>IF(I32=0,0,IF(I$6=0,0,IF(J32=0,0,((11-J32)))-$B$6))</f>
        <v>3</v>
      </c>
      <c r="L32" s="988">
        <f>'print 10 lane'!O32</f>
        <v>0</v>
      </c>
      <c r="M32" s="879">
        <f>IF(L32=0,0,IF(L$6=0,0,IF(L32&lt;1,SUM((L32&gt;I32),(L32&gt;F32),(L32&gt;O32),(L32&gt;R32),(L32&gt;U32),(L32&gt;X32),(L32&gt;AA32),(L32&gt;AD32),(L32&gt;AG32),(L32&gt;BB32)))-$AJ32))</f>
        <v>0</v>
      </c>
      <c r="N32" s="879">
        <f>IF(L32=0,0,IF(L$6=0,0,IF(M32=0,0,((11-M32)))-$B$6))</f>
        <v>0</v>
      </c>
      <c r="O32" s="988">
        <f>'print 10 lane'!R32</f>
        <v>1.3813657407407409E-3</v>
      </c>
      <c r="P32" s="879">
        <f>IF(O32=0,0,IF(O$6=0,0,IF(O32&lt;1,SUM((O32&gt;I32),(O32&gt;L32),(O32&gt;F32),(O32&gt;R32),(O32&gt;U32),(O32&gt;X32),(O32&gt;AA32),(O32&gt;AD32),(O32&gt;AG32),(O32&gt;BB32)))-$AJ32))</f>
        <v>2</v>
      </c>
      <c r="Q32" s="879">
        <f>IF(O32=0,0,IF(O$6=0,0,IF(P32=0,0,((11-P32)))-$B$6))</f>
        <v>6</v>
      </c>
      <c r="R32" s="988">
        <f>'print 10 lane'!U32</f>
        <v>1.4202546296296298E-3</v>
      </c>
      <c r="S32" s="879">
        <f>IF(R32=0,0,IF(R$6=0,0,IF(R32&lt;1,SUM((R32&gt;I32),(R32&gt;L32),(R32&gt;O32),(R32&gt;F32),(R32&gt;U32),(R32&gt;X32),(R32&gt;AA32),(R32&gt;AD32),(R32&gt;AG32),(R32&gt;BB32)))-$AJ32))</f>
        <v>4</v>
      </c>
      <c r="T32" s="879">
        <f>IF(R32=0,0,IF(R$6=0,0,IF(S32=0,0,((11-S32)))-$B$6))</f>
        <v>4</v>
      </c>
      <c r="U32" s="988">
        <f>'print 10 lane'!X32</f>
        <v>1.3542824074074073E-3</v>
      </c>
      <c r="V32" s="879">
        <f>IF(U32=0,0,IF(U$6=0,0,IF(U32&lt;1,SUM((U32&gt;I32),(U32&gt;L32),(U32&gt;O32),(U32&gt;R32),(U32&gt;F32),(U32&gt;X32),(U32&gt;AA32),(U32&gt;AD32),(U32&gt;AG32),(U32&gt;BB32)))-$AJ32))</f>
        <v>1</v>
      </c>
      <c r="W32" s="879">
        <f>IF(U32=0,0,IF(U$6=0,0,IF(V32=0,0,((11-V32)))-$B$6))</f>
        <v>7</v>
      </c>
      <c r="X32" s="988">
        <f>'print 10 lane'!AA32</f>
        <v>1.420138888888889E-3</v>
      </c>
      <c r="Y32" s="879">
        <f>IF(X32=0,0,IF(X$6=0,0,IF(X32&lt;1,SUM((X32&gt;I32),(X32&gt;L32),(X32&gt;O32),(X32&gt;R32),(X32&gt;U32),(X32&gt;F32),(X32&gt;AA32),(X32&gt;AD32),(X32&gt;AG32),(X32&gt;BB32))))-$AJ32)</f>
        <v>3</v>
      </c>
      <c r="Z32" s="879">
        <f>IF(X32=0,0,IF(X$6=0,0,IF(Y32=0,0,((11-Y32)))-$B$6))</f>
        <v>5</v>
      </c>
      <c r="AA32" s="988">
        <f>'print 10 lane'!AD32</f>
        <v>0</v>
      </c>
      <c r="AB32" s="879">
        <f>IF(AA32=0,0,IF(AA$6=0,0,IF(AA32&lt;1,SUM((AA32&gt;I32),(AA32&gt;L32),(AA32&gt;O32),(AA32&gt;R32),(AA32&gt;U32),(AA32&gt;X32),(AA32&gt;AD32),(AA32&gt;AG32),(AA32&gt;F32),(AA32&gt;BB32)))-$AJ32))</f>
        <v>0</v>
      </c>
      <c r="AC32" s="989">
        <f>IF(AA32=0,0,IF(AA$6=0,0,IF(AB32=0,0,((11-AB32)))-$B$6))</f>
        <v>0</v>
      </c>
      <c r="AD32" s="999"/>
      <c r="AE32" s="889"/>
      <c r="AF32" s="889"/>
      <c r="AG32" s="892"/>
      <c r="AH32" s="889"/>
      <c r="AI32" s="890"/>
      <c r="AJ32" s="883">
        <f>COUNTBLANK(F601:O601)</f>
        <v>4</v>
      </c>
      <c r="BA32" s="837"/>
    </row>
    <row r="33" spans="2:53" ht="42" customHeight="1" x14ac:dyDescent="0.25">
      <c r="B33" s="1359"/>
      <c r="C33" s="1360"/>
      <c r="D33" s="1424"/>
      <c r="E33" s="997" t="s">
        <v>5086</v>
      </c>
      <c r="F33" s="1425">
        <f>'print 10 lane'!I33</f>
        <v>0</v>
      </c>
      <c r="G33" s="1425"/>
      <c r="H33" s="1425"/>
      <c r="I33" s="1425">
        <f>'print 10 lane'!L33</f>
        <v>0</v>
      </c>
      <c r="J33" s="1425"/>
      <c r="K33" s="1425"/>
      <c r="L33" s="1425" t="str">
        <f>'print 10 lane'!O33</f>
        <v>10.12 swimmer left the block before incoming swimmer touched the wall</v>
      </c>
      <c r="M33" s="1425"/>
      <c r="N33" s="1425"/>
      <c r="O33" s="1425">
        <f>'print 10 lane'!R33</f>
        <v>0</v>
      </c>
      <c r="P33" s="1425"/>
      <c r="Q33" s="1425"/>
      <c r="R33" s="1425">
        <f>'print 10 lane'!U33</f>
        <v>0</v>
      </c>
      <c r="S33" s="1425"/>
      <c r="T33" s="1425"/>
      <c r="U33" s="1425">
        <f>'print 10 lane'!X33</f>
        <v>0</v>
      </c>
      <c r="V33" s="1425"/>
      <c r="W33" s="1425"/>
      <c r="X33" s="1425">
        <f>'print 10 lane'!AA33</f>
        <v>0</v>
      </c>
      <c r="Y33" s="1425"/>
      <c r="Z33" s="1425"/>
      <c r="AA33" s="1425">
        <f>'print 10 lane'!AD33</f>
        <v>0</v>
      </c>
      <c r="AB33" s="1425"/>
      <c r="AC33" s="1425"/>
      <c r="AD33" s="1428"/>
      <c r="AE33" s="1428"/>
      <c r="AF33" s="1428"/>
      <c r="AG33" s="1346"/>
      <c r="AH33" s="1346"/>
      <c r="AI33" s="1346"/>
      <c r="AJ33" s="883"/>
      <c r="BA33" s="837"/>
    </row>
    <row r="34" spans="2:53" ht="42" customHeight="1" x14ac:dyDescent="0.25">
      <c r="B34" s="1349">
        <v>11</v>
      </c>
      <c r="C34" s="1333" t="s">
        <v>5083</v>
      </c>
      <c r="D34" s="1429" t="s">
        <v>5094</v>
      </c>
      <c r="E34" s="1430" t="s">
        <v>5095</v>
      </c>
      <c r="F34" s="987">
        <f>'print 10 lane'!I34</f>
        <v>5.1493055555555558E-4</v>
      </c>
      <c r="G34" s="879">
        <f>IF(F34=0,0,IF(F$6=0,0,IF(F34&lt;1,SUM((F34&gt;I34),(F34&gt;L34),(F34&gt;O34),(F34&gt;R34),(F34&gt;U34),(F34&gt;X34),(F34&gt;AA34),(F34&gt;AD34),(F34&gt;AG34),(F34&gt;BB34)))-$AJ34))</f>
        <v>4</v>
      </c>
      <c r="H34" s="879">
        <f>IF(F34=0,0,IF(F$6=0,0,IF(G34=0,0,((11-G34)))-$B$6))</f>
        <v>4</v>
      </c>
      <c r="I34" s="988">
        <f>'print 10 lane'!L34</f>
        <v>5.1990740740740741E-4</v>
      </c>
      <c r="J34" s="879">
        <f>IF(I34=0,0,IF(I$6=0,0,IF(I34&lt;1,SUM((I34&gt;L34),(I34&gt;O34),(I34&gt;R34),(I34&gt;U34),(I34&gt;X34),(I34&gt;AA34),(I34&gt;F34),(I34&gt;AD34),(I34&gt;AG34),(I34&gt;BB34)))-$AJ34))</f>
        <v>5</v>
      </c>
      <c r="K34" s="879">
        <f>IF(I34=0,0,IF(I$6=0,0,IF(J34=0,0,((11-J34)))-$B$6))</f>
        <v>3</v>
      </c>
      <c r="L34" s="988">
        <f>'print 10 lane'!O34</f>
        <v>0</v>
      </c>
      <c r="M34" s="879">
        <f>IF(L34=0,0,IF(L$6=0,0,IF(L34&lt;1,SUM((L34&gt;I34),(L34&gt;F34),(L34&gt;O34),(L34&gt;R34),(L34&gt;U34),(L34&gt;X34),(L34&gt;AA34),(L34&gt;AD34),(L34&gt;AG34),(L34&gt;BB34)))-$AJ34))</f>
        <v>0</v>
      </c>
      <c r="N34" s="879">
        <f>IF(L34=0,0,IF(L$6=0,0,IF(M34=0,0,((11-M34)))-$B$6))</f>
        <v>0</v>
      </c>
      <c r="O34" s="988">
        <f>'print 10 lane'!R34</f>
        <v>4.6643518518518518E-4</v>
      </c>
      <c r="P34" s="879">
        <f>IF(O34=0,0,IF(O$6=0,0,IF(O34&lt;1,SUM((O34&gt;I34),(O34&gt;L34),(O34&gt;F34),(O34&gt;R34),(O34&gt;U34),(O34&gt;X34),(O34&gt;AA34),(O34&gt;AD34),(O34&gt;AG34),(O34&gt;BB34)))-$AJ34))</f>
        <v>2</v>
      </c>
      <c r="Q34" s="879">
        <f>IF(O34=0,0,IF(O$6=0,0,IF(P34=0,0,((11-P34)))-$B$6))</f>
        <v>6</v>
      </c>
      <c r="R34" s="988">
        <f>'print 10 lane'!U34</f>
        <v>4.6516203703703699E-4</v>
      </c>
      <c r="S34" s="879">
        <f>IF(R34=0,0,IF(R$6=0,0,IF(R34&lt;1,SUM((R34&gt;I34),(R34&gt;L34),(R34&gt;O34),(R34&gt;F34),(R34&gt;U34),(R34&gt;X34),(R34&gt;AA34),(R34&gt;AD34),(R34&gt;AG34),(R34&gt;BB34)))-$AJ34))</f>
        <v>1</v>
      </c>
      <c r="T34" s="879">
        <f>IF(R34=0,0,IF(R$6=0,0,IF(S34=0,0,((11-S34)))-$B$6))</f>
        <v>7</v>
      </c>
      <c r="U34" s="988">
        <f>'print 10 lane'!X34</f>
        <v>5.346064814814815E-4</v>
      </c>
      <c r="V34" s="879">
        <f>IF(U34=0,0,IF(U$6=0,0,IF(U34&lt;1,SUM((U34&gt;I34),(U34&gt;L34),(U34&gt;O34),(U34&gt;R34),(U34&gt;F34),(U34&gt;X34),(U34&gt;AA34),(U34&gt;AD34),(U34&gt;AG34),(U34&gt;BB34)))-$AJ34))</f>
        <v>6</v>
      </c>
      <c r="W34" s="879">
        <f>IF(U34=0,0,IF(U$6=0,0,IF(V34=0,0,((11-V34)))-$B$6))</f>
        <v>2</v>
      </c>
      <c r="X34" s="988">
        <f>'print 10 lane'!AA34</f>
        <v>4.9548611111111115E-4</v>
      </c>
      <c r="Y34" s="879">
        <f>IF(X34=0,0,IF(X$6=0,0,IF(X34&lt;1,SUM((X34&gt;I34),(X34&gt;L34),(X34&gt;O34),(X34&gt;R34),(X34&gt;U34),(X34&gt;F34),(X34&gt;AA34),(X34&gt;AD34),(X34&gt;AG34),(X34&gt;BB34))))-$AJ34)</f>
        <v>3</v>
      </c>
      <c r="Z34" s="879">
        <f>IF(X34=0,0,IF(X$6=0,0,IF(Y34=0,0,((11-Y34)))-$B$6))</f>
        <v>5</v>
      </c>
      <c r="AA34" s="988">
        <f>'print 10 lane'!AD34</f>
        <v>0</v>
      </c>
      <c r="AB34" s="879">
        <f>IF(AA34=0,0,IF(AA$6=0,0,IF(AA34&lt;1,SUM((AA34&gt;I34),(AA34&gt;L34),(AA34&gt;O34),(AA34&gt;R34),(AA34&gt;U34),(AA34&gt;X34),(AA34&gt;AD34),(AA34&gt;AG34),(AA34&gt;F34),(AA34&gt;BB34)))-$AJ34))</f>
        <v>0</v>
      </c>
      <c r="AC34" s="989">
        <f>IF(AA34=0,0,IF(AA$6=0,0,IF(AB34=0,0,((11-AB34)))-$B$6))</f>
        <v>0</v>
      </c>
      <c r="AD34" s="990"/>
      <c r="AE34" s="881"/>
      <c r="AF34" s="881"/>
      <c r="AG34" s="880"/>
      <c r="AH34" s="881"/>
      <c r="AI34" s="882"/>
      <c r="AJ34" s="883">
        <f>COUNTBLANK(F602:O602)</f>
        <v>4</v>
      </c>
      <c r="BA34" s="837"/>
    </row>
    <row r="35" spans="2:53" ht="42" customHeight="1" x14ac:dyDescent="0.25">
      <c r="B35" s="1349"/>
      <c r="C35" s="1333"/>
      <c r="D35" s="1429"/>
      <c r="E35" s="1430"/>
      <c r="F35" s="1431" t="str">
        <f>'print 10 lane'!I35</f>
        <v>Eleanor Skinner</v>
      </c>
      <c r="G35" s="1431"/>
      <c r="H35" s="1431"/>
      <c r="I35" s="1431" t="str">
        <f>'print 10 lane'!L35</f>
        <v>Esmae Green</v>
      </c>
      <c r="J35" s="1431"/>
      <c r="K35" s="1431"/>
      <c r="L35" s="1431" t="str">
        <f>'print 10 lane'!O35</f>
        <v>Hannah Jounor</v>
      </c>
      <c r="M35" s="1431"/>
      <c r="N35" s="1431"/>
      <c r="O35" s="1431" t="str">
        <f>'print 10 lane'!R35</f>
        <v>Chelsea Dare</v>
      </c>
      <c r="P35" s="1431"/>
      <c r="Q35" s="1431"/>
      <c r="R35" s="1431" t="str">
        <f>'print 10 lane'!U35</f>
        <v>Maisie Cooper</v>
      </c>
      <c r="S35" s="1431"/>
      <c r="T35" s="1431"/>
      <c r="U35" s="1431" t="str">
        <f>'print 10 lane'!X35</f>
        <v>Mahika Chandrashekar</v>
      </c>
      <c r="V35" s="1431"/>
      <c r="W35" s="1431"/>
      <c r="X35" s="1431" t="str">
        <f>'print 10 lane'!AA35</f>
        <v>Zara Jobanputra</v>
      </c>
      <c r="Y35" s="1431"/>
      <c r="Z35" s="1431"/>
      <c r="AA35" s="1431" t="str">
        <f>'print 10 lane'!AD35</f>
        <v xml:space="preserve"> </v>
      </c>
      <c r="AB35" s="1431"/>
      <c r="AC35" s="1431"/>
      <c r="AD35" s="1426"/>
      <c r="AE35" s="1426"/>
      <c r="AF35" s="1426"/>
      <c r="AG35" s="1341"/>
      <c r="AH35" s="1341"/>
      <c r="AI35" s="1341"/>
      <c r="AJ35" s="883"/>
      <c r="BA35" s="837"/>
    </row>
    <row r="36" spans="2:53" ht="42" customHeight="1" x14ac:dyDescent="0.25">
      <c r="B36" s="1349"/>
      <c r="C36" s="1333"/>
      <c r="D36" s="1429"/>
      <c r="E36" s="997" t="s">
        <v>5086</v>
      </c>
      <c r="F36" s="1425">
        <f>'print 10 lane'!I36</f>
        <v>0</v>
      </c>
      <c r="G36" s="1425"/>
      <c r="H36" s="1425"/>
      <c r="I36" s="1425">
        <f>'print 10 lane'!L36</f>
        <v>0</v>
      </c>
      <c r="J36" s="1425"/>
      <c r="K36" s="1425"/>
      <c r="L36" s="1425">
        <f>'print 10 lane'!O36</f>
        <v>0</v>
      </c>
      <c r="M36" s="1425"/>
      <c r="N36" s="1425"/>
      <c r="O36" s="1425">
        <f>'print 10 lane'!R36</f>
        <v>0</v>
      </c>
      <c r="P36" s="1425"/>
      <c r="Q36" s="1425"/>
      <c r="R36" s="1425">
        <f>'print 10 lane'!U36</f>
        <v>0</v>
      </c>
      <c r="S36" s="1425"/>
      <c r="T36" s="1425"/>
      <c r="U36" s="1425">
        <f>'print 10 lane'!X36</f>
        <v>0</v>
      </c>
      <c r="V36" s="1425"/>
      <c r="W36" s="1425"/>
      <c r="X36" s="1425">
        <f>'print 10 lane'!AA36</f>
        <v>0</v>
      </c>
      <c r="Y36" s="1425"/>
      <c r="Z36" s="1425"/>
      <c r="AA36" s="1425">
        <f>'print 10 lane'!AD36</f>
        <v>0</v>
      </c>
      <c r="AB36" s="1425"/>
      <c r="AC36" s="1425"/>
      <c r="AD36" s="1428"/>
      <c r="AE36" s="1428"/>
      <c r="AF36" s="1428"/>
      <c r="AG36" s="1346"/>
      <c r="AH36" s="1346"/>
      <c r="AI36" s="1346"/>
      <c r="AJ36" s="883"/>
      <c r="BA36" s="837"/>
    </row>
    <row r="37" spans="2:53" ht="42" customHeight="1" x14ac:dyDescent="0.25">
      <c r="B37" s="1355">
        <v>12</v>
      </c>
      <c r="C37" s="1343" t="s">
        <v>5087</v>
      </c>
      <c r="D37" s="1429" t="s">
        <v>5094</v>
      </c>
      <c r="E37" s="1430" t="s">
        <v>5095</v>
      </c>
      <c r="F37" s="987">
        <f>'print 10 lane'!I37</f>
        <v>0</v>
      </c>
      <c r="G37" s="879">
        <f>IF(F37=0,0,IF(F$6=0,0,IF(F37&lt;1,SUM((F37&gt;I37),(F37&gt;L37),(F37&gt;O37),(F37&gt;R37),(F37&gt;U37),(F37&gt;X37),(F37&gt;AA37),(F37&gt;AD37),(F37&gt;AG37),(F37&gt;BB37)))-$AJ37))</f>
        <v>0</v>
      </c>
      <c r="H37" s="879">
        <f>IF(F37=0,0,IF(F$6=0,0,IF(G37=0,0,((11-G37)))-$B$6))</f>
        <v>0</v>
      </c>
      <c r="I37" s="988">
        <f>'print 10 lane'!L37</f>
        <v>4.6608796296296302E-4</v>
      </c>
      <c r="J37" s="879">
        <f>IF(I37=0,0,IF(I$6=0,0,IF(I37&lt;1,SUM((I37&gt;L37),(I37&gt;O37),(I37&gt;R37),(I37&gt;U37),(I37&gt;X37),(I37&gt;AA37),(I37&gt;F37),(I37&gt;AD37),(I37&gt;AG37),(I37&gt;BB37)))-$AJ37))</f>
        <v>1</v>
      </c>
      <c r="K37" s="879">
        <f>IF(I37=0,0,IF(I$6=0,0,IF(J37=0,0,((11-J37)))-$B$6))</f>
        <v>7</v>
      </c>
      <c r="L37" s="988">
        <f>'print 10 lane'!O37</f>
        <v>5.4340277777777785E-4</v>
      </c>
      <c r="M37" s="879">
        <f>IF(L37=0,0,IF(L$6=0,0,IF(L37&lt;1,SUM((L37&gt;I37),(L37&gt;F37),(L37&gt;O37),(L37&gt;R37),(L37&gt;U37),(L37&gt;X37),(L37&gt;AA37),(L37&gt;AD37),(L37&gt;AG37),(L37&gt;BB37)))-$AJ37))</f>
        <v>6</v>
      </c>
      <c r="N37" s="879">
        <f>IF(L37=0,0,IF(L$6=0,0,IF(M37=0,0,((11-M37)))-$B$6))</f>
        <v>2</v>
      </c>
      <c r="O37" s="988">
        <f>'print 10 lane'!R37</f>
        <v>5.3668981481481482E-4</v>
      </c>
      <c r="P37" s="879">
        <f>IF(O37=0,0,IF(O$6=0,0,IF(O37&lt;1,SUM((O37&gt;I37),(O37&gt;L37),(O37&gt;F37),(O37&gt;R37),(O37&gt;U37),(O37&gt;X37),(O37&gt;AA37),(O37&gt;AD37),(O37&gt;AG37),(O37&gt;BB37)))-$AJ37))</f>
        <v>5</v>
      </c>
      <c r="Q37" s="879">
        <f>IF(O37=0,0,IF(O$6=0,0,IF(P37=0,0,((11-P37)))-$B$6))</f>
        <v>3</v>
      </c>
      <c r="R37" s="988">
        <f>'print 10 lane'!U37</f>
        <v>4.7870370370370368E-4</v>
      </c>
      <c r="S37" s="879">
        <f>IF(R37=0,0,IF(R$6=0,0,IF(R37&lt;1,SUM((R37&gt;I37),(R37&gt;L37),(R37&gt;O37),(R37&gt;F37),(R37&gt;U37),(R37&gt;X37),(R37&gt;AA37),(R37&gt;AD37),(R37&gt;AG37),(R37&gt;BB37)))-$AJ37))</f>
        <v>2</v>
      </c>
      <c r="T37" s="879">
        <f>IF(R37=0,0,IF(R$6=0,0,IF(S37=0,0,((11-S37)))-$B$6))</f>
        <v>6</v>
      </c>
      <c r="U37" s="988">
        <f>'print 10 lane'!X37</f>
        <v>5.2071759259259259E-4</v>
      </c>
      <c r="V37" s="879">
        <f>IF(U37=0,0,IF(U$6=0,0,IF(U37&lt;1,SUM((U37&gt;I37),(U37&gt;L37),(U37&gt;O37),(U37&gt;R37),(U37&gt;F37),(U37&gt;X37),(U37&gt;AA37),(U37&gt;AD37),(U37&gt;AG37),(U37&gt;BB37)))-$AJ37))</f>
        <v>3</v>
      </c>
      <c r="W37" s="879">
        <f>IF(U37=0,0,IF(U$6=0,0,IF(V37=0,0,((11-V37)))-$B$6))</f>
        <v>5</v>
      </c>
      <c r="X37" s="988">
        <f>'print 10 lane'!AA37</f>
        <v>5.3321759259259262E-4</v>
      </c>
      <c r="Y37" s="879">
        <f>IF(X37=0,0,IF(X$6=0,0,IF(X37&lt;1,SUM((X37&gt;I37),(X37&gt;L37),(X37&gt;O37),(X37&gt;R37),(X37&gt;U37),(X37&gt;F37),(X37&gt;AA37),(X37&gt;AD37),(X37&gt;AG37),(X37&gt;BB37))))-$AJ37)</f>
        <v>4</v>
      </c>
      <c r="Z37" s="879">
        <f>IF(X37=0,0,IF(X$6=0,0,IF(Y37=0,0,((11-Y37)))-$B$6))</f>
        <v>4</v>
      </c>
      <c r="AA37" s="988">
        <f>'print 10 lane'!AD37</f>
        <v>0</v>
      </c>
      <c r="AB37" s="879">
        <f>IF(AA37=0,0,IF(AA$6=0,0,IF(AA37&lt;1,SUM((AA37&gt;I37),(AA37&gt;L37),(AA37&gt;O37),(AA37&gt;R37),(AA37&gt;U37),(AA37&gt;X37),(AA37&gt;AD37),(AA37&gt;AG37),(AA37&gt;F37),(AA37&gt;BB37)))-$AJ37))</f>
        <v>0</v>
      </c>
      <c r="AC37" s="989">
        <f>IF(AA37=0,0,IF(AA$6=0,0,IF(AB37=0,0,((11-AB37)))-$B$6))</f>
        <v>0</v>
      </c>
      <c r="AD37" s="1000"/>
      <c r="AE37" s="895"/>
      <c r="AF37" s="895"/>
      <c r="AG37" s="894"/>
      <c r="AH37" s="895"/>
      <c r="AI37" s="895"/>
      <c r="AJ37" s="896">
        <f>COUNTBLANK(F603:O603)</f>
        <v>4</v>
      </c>
      <c r="BA37" s="837"/>
    </row>
    <row r="38" spans="2:53" ht="42" customHeight="1" x14ac:dyDescent="0.25">
      <c r="B38" s="1355"/>
      <c r="C38" s="1343"/>
      <c r="D38" s="1429"/>
      <c r="E38" s="1430"/>
      <c r="F38" s="1431" t="str">
        <f>'print 10 lane'!I38</f>
        <v>Leonardo Goad</v>
      </c>
      <c r="G38" s="1431"/>
      <c r="H38" s="1431"/>
      <c r="I38" s="1431" t="str">
        <f>'print 10 lane'!L38</f>
        <v>James Winter</v>
      </c>
      <c r="J38" s="1431"/>
      <c r="K38" s="1431"/>
      <c r="L38" s="1431" t="str">
        <f>'print 10 lane'!O38</f>
        <v>Liam  Thompson</v>
      </c>
      <c r="M38" s="1431"/>
      <c r="N38" s="1431"/>
      <c r="O38" s="1431" t="str">
        <f>'print 10 lane'!R38</f>
        <v>Simon Rosa</v>
      </c>
      <c r="P38" s="1431"/>
      <c r="Q38" s="1431"/>
      <c r="R38" s="1431" t="str">
        <f>'print 10 lane'!U38</f>
        <v>Myron Young</v>
      </c>
      <c r="S38" s="1431"/>
      <c r="T38" s="1431"/>
      <c r="U38" s="1431" t="str">
        <f>'print 10 lane'!X38</f>
        <v>Macsen Roberts</v>
      </c>
      <c r="V38" s="1431"/>
      <c r="W38" s="1431"/>
      <c r="X38" s="1431" t="str">
        <f>'print 10 lane'!AA38</f>
        <v>Christopher Li Mow Ching</v>
      </c>
      <c r="Y38" s="1431"/>
      <c r="Z38" s="1431"/>
      <c r="AA38" s="1431" t="str">
        <f>'print 10 lane'!AD38</f>
        <v xml:space="preserve"> </v>
      </c>
      <c r="AB38" s="1431"/>
      <c r="AC38" s="1431"/>
      <c r="AD38" s="1426"/>
      <c r="AE38" s="1426"/>
      <c r="AF38" s="1426"/>
      <c r="AG38" s="1341"/>
      <c r="AH38" s="1341"/>
      <c r="AI38" s="1341"/>
      <c r="AJ38" s="896"/>
      <c r="BA38" s="837"/>
    </row>
    <row r="39" spans="2:53" ht="42" customHeight="1" x14ac:dyDescent="0.25">
      <c r="B39" s="1355"/>
      <c r="C39" s="1343"/>
      <c r="D39" s="1429"/>
      <c r="E39" s="997" t="s">
        <v>5086</v>
      </c>
      <c r="F39" s="1425" t="str">
        <f>'print 10 lane'!I39</f>
        <v>6.2 left position on back except when executing the turn</v>
      </c>
      <c r="G39" s="1425"/>
      <c r="H39" s="1425"/>
      <c r="I39" s="1425">
        <f>'print 10 lane'!L39</f>
        <v>0</v>
      </c>
      <c r="J39" s="1425"/>
      <c r="K39" s="1425"/>
      <c r="L39" s="1425">
        <f>'print 10 lane'!O39</f>
        <v>0</v>
      </c>
      <c r="M39" s="1425"/>
      <c r="N39" s="1425"/>
      <c r="O39" s="1425">
        <f>'print 10 lane'!R39</f>
        <v>0</v>
      </c>
      <c r="P39" s="1425"/>
      <c r="Q39" s="1425"/>
      <c r="R39" s="1425">
        <f>'print 10 lane'!U39</f>
        <v>0</v>
      </c>
      <c r="S39" s="1425"/>
      <c r="T39" s="1425"/>
      <c r="U39" s="1425">
        <f>'print 10 lane'!X39</f>
        <v>0</v>
      </c>
      <c r="V39" s="1425"/>
      <c r="W39" s="1425"/>
      <c r="X39" s="1425">
        <f>'print 10 lane'!AA39</f>
        <v>0</v>
      </c>
      <c r="Y39" s="1425"/>
      <c r="Z39" s="1425"/>
      <c r="AA39" s="1425">
        <f>'print 10 lane'!AD39</f>
        <v>0</v>
      </c>
      <c r="AB39" s="1425"/>
      <c r="AC39" s="1425"/>
      <c r="AD39" s="1334"/>
      <c r="AE39" s="1334"/>
      <c r="AF39" s="1334"/>
      <c r="AG39" s="1354"/>
      <c r="AH39" s="1354"/>
      <c r="AI39" s="1354"/>
      <c r="AJ39" s="896"/>
      <c r="BA39" s="837"/>
    </row>
    <row r="40" spans="2:53" ht="42" customHeight="1" x14ac:dyDescent="0.25">
      <c r="B40" s="1349">
        <v>13</v>
      </c>
      <c r="C40" s="1333" t="s">
        <v>5083</v>
      </c>
      <c r="D40" s="1424" t="s">
        <v>5096</v>
      </c>
      <c r="E40" s="1430" t="s">
        <v>5097</v>
      </c>
      <c r="F40" s="987">
        <f>'print 10 lane'!I40</f>
        <v>9.4062500000000005E-4</v>
      </c>
      <c r="G40" s="879">
        <f>IF(F40=0,0,IF(F$6=0,0,IF(F40&lt;1,SUM((F40&gt;I40),(F40&gt;L40),(F40&gt;O40),(F40&gt;R40),(F40&gt;U40),(F40&gt;X40),(F40&gt;AA40),(F40&gt;AD40),(F40&gt;AG40),(F40&gt;BB40)))-$AJ40))</f>
        <v>1</v>
      </c>
      <c r="H40" s="879">
        <f>IF(F40=0,0,IF(F$6=0,0,IF(G40=0,0,((11-G40)))-$B$6))</f>
        <v>7</v>
      </c>
      <c r="I40" s="988">
        <f>'print 10 lane'!L40</f>
        <v>1.1271990740740741E-3</v>
      </c>
      <c r="J40" s="879">
        <f>IF(I40=0,0,IF(I$6=0,0,IF(I40&lt;1,SUM((I40&gt;L40),(I40&gt;O40),(I40&gt;R40),(I40&gt;U40),(I40&gt;X40),(I40&gt;AA40),(I40&gt;F40),(I40&gt;AD40),(I40&gt;AG40),(I40&gt;BB40)))-$AJ40))</f>
        <v>5</v>
      </c>
      <c r="K40" s="879">
        <f>IF(I40=0,0,IF(I$6=0,0,IF(J40=0,0,((11-J40)))-$B$6))</f>
        <v>3</v>
      </c>
      <c r="L40" s="988">
        <f>'print 10 lane'!O40</f>
        <v>9.5138888888888888E-4</v>
      </c>
      <c r="M40" s="879">
        <f>IF(L40=0,0,IF(L$6=0,0,IF(L40&lt;1,SUM((L40&gt;I40),(L40&gt;F40),(L40&gt;O40),(L40&gt;R40),(L40&gt;U40),(L40&gt;X40),(L40&gt;AA40),(L40&gt;AD40),(L40&gt;AG40),(L40&gt;BB40)))-$AJ40))</f>
        <v>2</v>
      </c>
      <c r="N40" s="879">
        <f>IF(L40=0,0,IF(L$6=0,0,IF(M40=0,0,((11-M40)))-$B$6))</f>
        <v>6</v>
      </c>
      <c r="O40" s="988">
        <f>'print 10 lane'!R40</f>
        <v>1.0512731481481482E-3</v>
      </c>
      <c r="P40" s="879">
        <f>IF(O40=0,0,IF(O$6=0,0,IF(O40&lt;1,SUM((O40&gt;I40),(O40&gt;L40),(O40&gt;F40),(O40&gt;R40),(O40&gt;U40),(O40&gt;X40),(O40&gt;AA40),(O40&gt;AD40),(O40&gt;AG40),(O40&gt;BB40)))-$AJ40))</f>
        <v>3</v>
      </c>
      <c r="Q40" s="879">
        <f>IF(O40=0,0,IF(O$6=0,0,IF(P40=0,0,((11-P40)))-$B$6))</f>
        <v>5</v>
      </c>
      <c r="R40" s="988">
        <f>'print 10 lane'!U40</f>
        <v>1.135185185185185E-3</v>
      </c>
      <c r="S40" s="879">
        <f>IF(R40=0,0,IF(R$6=0,0,IF(R40&lt;1,SUM((R40&gt;I40),(R40&gt;L40),(R40&gt;O40),(R40&gt;F40),(R40&gt;U40),(R40&gt;X40),(R40&gt;AA40),(R40&gt;AD40),(R40&gt;AG40),(R40&gt;BB40)))-$AJ40))</f>
        <v>6</v>
      </c>
      <c r="T40" s="879">
        <f>IF(R40=0,0,IF(R$6=0,0,IF(S40=0,0,((11-S40)))-$B$6))</f>
        <v>2</v>
      </c>
      <c r="U40" s="988">
        <f>'print 10 lane'!X40</f>
        <v>1.2004629629629631E-3</v>
      </c>
      <c r="V40" s="879">
        <f>IF(U40=0,0,IF(U$6=0,0,IF(U40&lt;1,SUM((U40&gt;I40),(U40&gt;L40),(U40&gt;O40),(U40&gt;R40),(U40&gt;F40),(U40&gt;X40),(U40&gt;AA40),(U40&gt;AD40),(U40&gt;AG40),(U40&gt;BB40)))-$AJ40))</f>
        <v>7</v>
      </c>
      <c r="W40" s="879">
        <f>IF(U40=0,0,IF(U$6=0,0,IF(V40=0,0,((11-V40)))-$B$6))</f>
        <v>1</v>
      </c>
      <c r="X40" s="988">
        <f>'print 10 lane'!AA40</f>
        <v>1.0837962962962962E-3</v>
      </c>
      <c r="Y40" s="879">
        <f>IF(X40=0,0,IF(X$6=0,0,IF(X40&lt;1,SUM((X40&gt;I40),(X40&gt;L40),(X40&gt;O40),(X40&gt;R40),(X40&gt;U40),(X40&gt;F40),(X40&gt;AA40),(X40&gt;AD40),(X40&gt;AG40),(X40&gt;BB40))))-$AJ40)</f>
        <v>4</v>
      </c>
      <c r="Z40" s="879">
        <f>IF(X40=0,0,IF(X$6=0,0,IF(Y40=0,0,((11-Y40)))-$B$6))</f>
        <v>4</v>
      </c>
      <c r="AA40" s="988">
        <f>'print 10 lane'!AD40</f>
        <v>0</v>
      </c>
      <c r="AB40" s="879">
        <f>IF(AA40=0,0,IF(AA$6=0,0,IF(AA40&lt;1,SUM((AA40&gt;I40),(AA40&gt;L40),(AA40&gt;O40),(AA40&gt;R40),(AA40&gt;U40),(AA40&gt;X40),(AA40&gt;AD40),(AA40&gt;AG40),(AA40&gt;F40),(AA40&gt;BB40)))-$AJ40))</f>
        <v>0</v>
      </c>
      <c r="AC40" s="989">
        <f>IF(AA40=0,0,IF(AA$6=0,0,IF(AB40=0,0,((11-AB40)))-$B$6))</f>
        <v>0</v>
      </c>
      <c r="AD40" s="990"/>
      <c r="AE40" s="881"/>
      <c r="AF40" s="881"/>
      <c r="AG40" s="880"/>
      <c r="AH40" s="881"/>
      <c r="AI40" s="882"/>
      <c r="AJ40" s="883">
        <f>COUNTBLANK(F604:O604)</f>
        <v>3</v>
      </c>
      <c r="BA40" s="837"/>
    </row>
    <row r="41" spans="2:53" ht="42" customHeight="1" x14ac:dyDescent="0.25">
      <c r="B41" s="1349"/>
      <c r="C41" s="1333"/>
      <c r="D41" s="1424"/>
      <c r="E41" s="1430"/>
      <c r="F41" s="1431" t="str">
        <f>'print 10 lane'!I41</f>
        <v>Amy Hanson</v>
      </c>
      <c r="G41" s="1431"/>
      <c r="H41" s="1431"/>
      <c r="I41" s="1431" t="str">
        <f>'print 10 lane'!L41</f>
        <v>Ruby Whitby</v>
      </c>
      <c r="J41" s="1431"/>
      <c r="K41" s="1431"/>
      <c r="L41" s="1431" t="str">
        <f>'print 10 lane'!O41</f>
        <v>Mia Nelson</v>
      </c>
      <c r="M41" s="1431"/>
      <c r="N41" s="1431"/>
      <c r="O41" s="1431" t="str">
        <f>'print 10 lane'!R41</f>
        <v>Frances Starsmore</v>
      </c>
      <c r="P41" s="1431"/>
      <c r="Q41" s="1431"/>
      <c r="R41" s="1431" t="str">
        <f>'print 10 lane'!U41</f>
        <v>Isabelle Reeve</v>
      </c>
      <c r="S41" s="1431"/>
      <c r="T41" s="1431"/>
      <c r="U41" s="1431" t="str">
        <f>'print 10 lane'!X41</f>
        <v>Emma Sum</v>
      </c>
      <c r="V41" s="1431"/>
      <c r="W41" s="1431"/>
      <c r="X41" s="1431" t="str">
        <f>'print 10 lane'!AA41</f>
        <v>Mia Curle</v>
      </c>
      <c r="Y41" s="1431"/>
      <c r="Z41" s="1431"/>
      <c r="AA41" s="1431" t="str">
        <f>'print 10 lane'!AD41</f>
        <v xml:space="preserve"> </v>
      </c>
      <c r="AB41" s="1431"/>
      <c r="AC41" s="1431"/>
      <c r="AD41" s="1426"/>
      <c r="AE41" s="1426"/>
      <c r="AF41" s="1426"/>
      <c r="AG41" s="1341"/>
      <c r="AH41" s="1341"/>
      <c r="AI41" s="1341"/>
      <c r="AJ41" s="883"/>
      <c r="BA41" s="837"/>
    </row>
    <row r="42" spans="2:53" ht="42" customHeight="1" x14ac:dyDescent="0.25">
      <c r="B42" s="1349"/>
      <c r="C42" s="1333"/>
      <c r="D42" s="1424"/>
      <c r="E42" s="997" t="s">
        <v>5086</v>
      </c>
      <c r="F42" s="1425">
        <f>'print 10 lane'!I42</f>
        <v>0</v>
      </c>
      <c r="G42" s="1425"/>
      <c r="H42" s="1425"/>
      <c r="I42" s="1425">
        <f>'print 10 lane'!L42</f>
        <v>0</v>
      </c>
      <c r="J42" s="1425"/>
      <c r="K42" s="1425"/>
      <c r="L42" s="1425">
        <f>'print 10 lane'!O42</f>
        <v>0</v>
      </c>
      <c r="M42" s="1425"/>
      <c r="N42" s="1425"/>
      <c r="O42" s="1425">
        <f>'print 10 lane'!R42</f>
        <v>0</v>
      </c>
      <c r="P42" s="1425"/>
      <c r="Q42" s="1425"/>
      <c r="R42" s="1425">
        <f>'print 10 lane'!U42</f>
        <v>0</v>
      </c>
      <c r="S42" s="1425"/>
      <c r="T42" s="1425"/>
      <c r="U42" s="1425">
        <f>'print 10 lane'!X42</f>
        <v>0</v>
      </c>
      <c r="V42" s="1425"/>
      <c r="W42" s="1425"/>
      <c r="X42" s="1425">
        <f>'print 10 lane'!AA42</f>
        <v>0</v>
      </c>
      <c r="Y42" s="1425"/>
      <c r="Z42" s="1425"/>
      <c r="AA42" s="1425">
        <f>'print 10 lane'!AD42</f>
        <v>0</v>
      </c>
      <c r="AB42" s="1425"/>
      <c r="AC42" s="1425"/>
      <c r="AD42" s="1428"/>
      <c r="AE42" s="1428"/>
      <c r="AF42" s="1428"/>
      <c r="AG42" s="1346"/>
      <c r="AH42" s="1346"/>
      <c r="AI42" s="1346"/>
      <c r="AJ42" s="883"/>
      <c r="BA42" s="837"/>
    </row>
    <row r="43" spans="2:53" ht="42" customHeight="1" x14ac:dyDescent="0.25">
      <c r="B43" s="1352">
        <v>14</v>
      </c>
      <c r="C43" s="1343" t="s">
        <v>5087</v>
      </c>
      <c r="D43" s="1424" t="s">
        <v>5096</v>
      </c>
      <c r="E43" s="1430" t="s">
        <v>5097</v>
      </c>
      <c r="F43" s="987">
        <f>'print 10 lane'!I43</f>
        <v>1.1857638888888888E-3</v>
      </c>
      <c r="G43" s="879">
        <f>IF(F43=0,0,IF(F$6=0,0,IF(F43&lt;1,SUM((F43&gt;I43),(F43&gt;L43),(F43&gt;O43),(F43&gt;R43),(F43&gt;U43),(F43&gt;X43),(F43&gt;AA43),(F43&gt;AD43),(F43&gt;AG43),(F43&gt;BB43)))-$AJ43))</f>
        <v>7</v>
      </c>
      <c r="H43" s="879">
        <f>IF(F43=0,0,IF(F$6=0,0,IF(G43=0,0,((11-G43)))-$B$6))</f>
        <v>1</v>
      </c>
      <c r="I43" s="988">
        <f>'print 10 lane'!L43</f>
        <v>1.0996527777777777E-3</v>
      </c>
      <c r="J43" s="879">
        <f>IF(I43=0,0,IF(I$6=0,0,IF(I43&lt;1,SUM((I43&gt;L43),(I43&gt;O43),(I43&gt;R43),(I43&gt;U43),(I43&gt;X43),(I43&gt;AA43),(I43&gt;F43),(I43&gt;AD43),(I43&gt;AG43),(I43&gt;BB43)))-$AJ43))</f>
        <v>5</v>
      </c>
      <c r="K43" s="879">
        <f>IF(I43=0,0,IF(I$6=0,0,IF(J43=0,0,((11-J43)))-$B$6))</f>
        <v>3</v>
      </c>
      <c r="L43" s="988">
        <f>'print 10 lane'!O43</f>
        <v>1.0501157407407408E-3</v>
      </c>
      <c r="M43" s="879">
        <f>IF(L43=0,0,IF(L$6=0,0,IF(L43&lt;1,SUM((L43&gt;I43),(L43&gt;F43),(L43&gt;O43),(L43&gt;R43),(L43&gt;U43),(L43&gt;X43),(L43&gt;AA43),(L43&gt;AD43),(L43&gt;AG43),(L43&gt;BB43)))-$AJ43))</f>
        <v>3</v>
      </c>
      <c r="N43" s="879">
        <f>IF(L43=0,0,IF(L$6=0,0,IF(M43=0,0,((11-M43)))-$B$6))</f>
        <v>5</v>
      </c>
      <c r="O43" s="988">
        <f>'print 10 lane'!R43</f>
        <v>1.1608796296296295E-3</v>
      </c>
      <c r="P43" s="879">
        <f>IF(O43=0,0,IF(O$6=0,0,IF(O43&lt;1,SUM((O43&gt;I43),(O43&gt;L43),(O43&gt;F43),(O43&gt;R43),(O43&gt;U43),(O43&gt;X43),(O43&gt;AA43),(O43&gt;AD43),(O43&gt;AG43),(O43&gt;BB43)))-$AJ43))</f>
        <v>6</v>
      </c>
      <c r="Q43" s="879">
        <f>IF(O43=0,0,IF(O$6=0,0,IF(P43=0,0,((11-P43)))-$B$6))</f>
        <v>2</v>
      </c>
      <c r="R43" s="988">
        <f>'print 10 lane'!U43</f>
        <v>1.0450231481481482E-3</v>
      </c>
      <c r="S43" s="879">
        <f>IF(R43=0,0,IF(R$6=0,0,IF(R43&lt;1,SUM((R43&gt;I43),(R43&gt;L43),(R43&gt;O43),(R43&gt;F43),(R43&gt;U43),(R43&gt;X43),(R43&gt;AA43),(R43&gt;AD43),(R43&gt;AG43),(R43&gt;BB43)))-$AJ43))</f>
        <v>2</v>
      </c>
      <c r="T43" s="879">
        <f>IF(R43=0,0,IF(R$6=0,0,IF(S43=0,0,((11-S43)))-$B$6))</f>
        <v>6</v>
      </c>
      <c r="U43" s="988">
        <f>'print 10 lane'!X43</f>
        <v>1.0557870370370372E-3</v>
      </c>
      <c r="V43" s="879">
        <f>IF(U43=0,0,IF(U$6=0,0,IF(U43&lt;1,SUM((U43&gt;I43),(U43&gt;L43),(U43&gt;O43),(U43&gt;R43),(U43&gt;F43),(U43&gt;X43),(U43&gt;AA43),(U43&gt;AD43),(U43&gt;AG43),(U43&gt;BB43)))-$AJ43))</f>
        <v>4</v>
      </c>
      <c r="W43" s="879">
        <f>IF(U43=0,0,IF(U$6=0,0,IF(V43=0,0,((11-V43)))-$B$6))</f>
        <v>4</v>
      </c>
      <c r="X43" s="988">
        <f>'print 10 lane'!AA43</f>
        <v>8.9733796296296295E-4</v>
      </c>
      <c r="Y43" s="879">
        <f>IF(X43=0,0,IF(X$6=0,0,IF(X43&lt;1,SUM((X43&gt;I43),(X43&gt;L43),(X43&gt;O43),(X43&gt;R43),(X43&gt;U43),(X43&gt;F43),(X43&gt;AA43),(X43&gt;AD43),(X43&gt;AG43),(X43&gt;BB43))))-$AJ43)</f>
        <v>1</v>
      </c>
      <c r="Z43" s="879">
        <f>IF(X43=0,0,IF(X$6=0,0,IF(Y43=0,0,((11-Y43)))-$B$6))</f>
        <v>7</v>
      </c>
      <c r="AA43" s="988">
        <f>'print 10 lane'!AD43</f>
        <v>0</v>
      </c>
      <c r="AB43" s="879">
        <f>IF(AA43=0,0,IF(AA$6=0,0,IF(AA43&lt;1,SUM((AA43&gt;I43),(AA43&gt;L43),(AA43&gt;O43),(AA43&gt;R43),(AA43&gt;U43),(AA43&gt;X43),(AA43&gt;AD43),(AA43&gt;AG43),(AA43&gt;F43),(AA43&gt;BB43)))-$AJ43))</f>
        <v>0</v>
      </c>
      <c r="AC43" s="989">
        <f>IF(AA43=0,0,IF(AA$6=0,0,IF(AB43=0,0,((11-AB43)))-$B$6))</f>
        <v>0</v>
      </c>
      <c r="AD43" s="1000"/>
      <c r="AE43" s="895"/>
      <c r="AF43" s="895"/>
      <c r="AG43" s="894"/>
      <c r="AH43" s="895"/>
      <c r="AI43" s="895"/>
      <c r="AJ43" s="896">
        <f>COUNTBLANK(F605:O605)</f>
        <v>3</v>
      </c>
      <c r="BA43" s="837"/>
    </row>
    <row r="44" spans="2:53" ht="42" customHeight="1" x14ac:dyDescent="0.25">
      <c r="B44" s="1352"/>
      <c r="C44" s="1343"/>
      <c r="D44" s="1424"/>
      <c r="E44" s="1430"/>
      <c r="F44" s="1431" t="str">
        <f>'print 10 lane'!I44</f>
        <v>Albert Nezha</v>
      </c>
      <c r="G44" s="1431"/>
      <c r="H44" s="1431"/>
      <c r="I44" s="1431" t="str">
        <f>'print 10 lane'!L44</f>
        <v>Kai Jun Wai Cheung</v>
      </c>
      <c r="J44" s="1431"/>
      <c r="K44" s="1431"/>
      <c r="L44" s="1431" t="str">
        <f>'print 10 lane'!O44</f>
        <v>Ryan Wimpenny</v>
      </c>
      <c r="M44" s="1431"/>
      <c r="N44" s="1431"/>
      <c r="O44" s="1431" t="str">
        <f>'print 10 lane'!R44</f>
        <v>Samuel Rosa</v>
      </c>
      <c r="P44" s="1431"/>
      <c r="Q44" s="1431"/>
      <c r="R44" s="1431" t="str">
        <f>'print 10 lane'!U44</f>
        <v>Bradley Rawlinson</v>
      </c>
      <c r="S44" s="1431"/>
      <c r="T44" s="1431"/>
      <c r="U44" s="1431" t="str">
        <f>'print 10 lane'!X44</f>
        <v>Dylan Roberts</v>
      </c>
      <c r="V44" s="1431"/>
      <c r="W44" s="1431"/>
      <c r="X44" s="1431" t="str">
        <f>'print 10 lane'!AA44</f>
        <v>Advay Bhatia</v>
      </c>
      <c r="Y44" s="1431"/>
      <c r="Z44" s="1431"/>
      <c r="AA44" s="1431" t="str">
        <f>'print 10 lane'!AD44</f>
        <v xml:space="preserve"> </v>
      </c>
      <c r="AB44" s="1431"/>
      <c r="AC44" s="1431"/>
      <c r="AD44" s="1426"/>
      <c r="AE44" s="1426"/>
      <c r="AF44" s="1426"/>
      <c r="AG44" s="1341"/>
      <c r="AH44" s="1341"/>
      <c r="AI44" s="1341"/>
      <c r="AJ44" s="896"/>
      <c r="BA44" s="837"/>
    </row>
    <row r="45" spans="2:53" ht="42" customHeight="1" x14ac:dyDescent="0.25">
      <c r="B45" s="1352"/>
      <c r="C45" s="1343"/>
      <c r="D45" s="1424"/>
      <c r="E45" s="997" t="s">
        <v>5086</v>
      </c>
      <c r="F45" s="1425">
        <f>'print 10 lane'!I45</f>
        <v>0</v>
      </c>
      <c r="G45" s="1425"/>
      <c r="H45" s="1425"/>
      <c r="I45" s="1425">
        <f>'print 10 lane'!L45</f>
        <v>0</v>
      </c>
      <c r="J45" s="1425"/>
      <c r="K45" s="1425"/>
      <c r="L45" s="1425">
        <f>'print 10 lane'!O45</f>
        <v>0</v>
      </c>
      <c r="M45" s="1425"/>
      <c r="N45" s="1425"/>
      <c r="O45" s="1425">
        <f>'print 10 lane'!R45</f>
        <v>0</v>
      </c>
      <c r="P45" s="1425"/>
      <c r="Q45" s="1425"/>
      <c r="R45" s="1425">
        <f>'print 10 lane'!U45</f>
        <v>0</v>
      </c>
      <c r="S45" s="1425"/>
      <c r="T45" s="1425"/>
      <c r="U45" s="1425">
        <f>'print 10 lane'!X45</f>
        <v>0</v>
      </c>
      <c r="V45" s="1425"/>
      <c r="W45" s="1425"/>
      <c r="X45" s="1425">
        <f>'print 10 lane'!AA45</f>
        <v>0</v>
      </c>
      <c r="Y45" s="1425"/>
      <c r="Z45" s="1425"/>
      <c r="AA45" s="1425">
        <f>'print 10 lane'!AD45</f>
        <v>0</v>
      </c>
      <c r="AB45" s="1425"/>
      <c r="AC45" s="1425"/>
      <c r="AD45" s="1334"/>
      <c r="AE45" s="1334"/>
      <c r="AF45" s="1334"/>
      <c r="AG45" s="1354"/>
      <c r="AH45" s="1354"/>
      <c r="AI45" s="1354"/>
      <c r="AJ45" s="896"/>
      <c r="BA45" s="837"/>
    </row>
    <row r="46" spans="2:53" ht="42" customHeight="1" x14ac:dyDescent="0.25">
      <c r="B46" s="1349">
        <v>15</v>
      </c>
      <c r="C46" s="1333" t="s">
        <v>5083</v>
      </c>
      <c r="D46" s="1424" t="s">
        <v>5098</v>
      </c>
      <c r="E46" s="1430" t="s">
        <v>5099</v>
      </c>
      <c r="F46" s="987">
        <f>'print 10 lane'!I46</f>
        <v>8.9375000000000001E-4</v>
      </c>
      <c r="G46" s="879">
        <f>IF(F46=0,0,IF(F$6=0,0,IF(F46&lt;1,SUM((F46&gt;I46),(F46&gt;L46),(F46&gt;O46),(F46&gt;R46),(F46&gt;U46),(F46&gt;X46),(F46&gt;AA46),(F46&gt;AD46),(F46&gt;AG46),(F46&gt;BB46)))-$AJ46))</f>
        <v>5</v>
      </c>
      <c r="H46" s="879">
        <f>IF(F46=0,0,IF(F$6=0,0,IF(G46=0,0,((11-G46)))-$B$6))</f>
        <v>3</v>
      </c>
      <c r="I46" s="988">
        <f>'print 10 lane'!L46</f>
        <v>9.2106481481481477E-4</v>
      </c>
      <c r="J46" s="879">
        <f>IF(I46=0,0,IF(I$6=0,0,IF(I46&lt;1,SUM((I46&gt;L46),(I46&gt;O46),(I46&gt;R46),(I46&gt;U46),(I46&gt;X46),(I46&gt;AA46),(I46&gt;F46),(I46&gt;AD46),(I46&gt;AG46),(I46&gt;BB46)))-$AJ46))</f>
        <v>6</v>
      </c>
      <c r="K46" s="879">
        <f>IF(I46=0,0,IF(I$6=0,0,IF(J46=0,0,((11-J46)))-$B$6))</f>
        <v>2</v>
      </c>
      <c r="L46" s="988">
        <f>'print 10 lane'!O46</f>
        <v>8.6793981481481488E-4</v>
      </c>
      <c r="M46" s="879">
        <f>IF(L46=0,0,IF(L$6=0,0,IF(L46&lt;1,SUM((L46&gt;I46),(L46&gt;F46),(L46&gt;O46),(L46&gt;R46),(L46&gt;U46),(L46&gt;X46),(L46&gt;AA46),(L46&gt;AD46),(L46&gt;AG46),(L46&gt;BB46)))-$AJ46))</f>
        <v>4</v>
      </c>
      <c r="N46" s="879">
        <f>IF(L46=0,0,IF(L$6=0,0,IF(M46=0,0,((11-M46)))-$B$6))</f>
        <v>4</v>
      </c>
      <c r="O46" s="988">
        <f>'print 10 lane'!R46</f>
        <v>7.7500000000000008E-4</v>
      </c>
      <c r="P46" s="879">
        <f>IF(O46=0,0,IF(O$6=0,0,IF(O46&lt;1,SUM((O46&gt;I46),(O46&gt;L46),(O46&gt;F46),(O46&gt;R46),(O46&gt;U46),(O46&gt;X46),(O46&gt;AA46),(O46&gt;AD46),(O46&gt;AG46),(O46&gt;BB46)))-$AJ46))</f>
        <v>1</v>
      </c>
      <c r="Q46" s="879">
        <f>IF(O46=0,0,IF(O$6=0,0,IF(P46=0,0,((11-P46)))-$B$6))</f>
        <v>7</v>
      </c>
      <c r="R46" s="988">
        <f>'print 10 lane'!U46</f>
        <v>8.3391203703703709E-4</v>
      </c>
      <c r="S46" s="879">
        <f>IF(R46=0,0,IF(R$6=0,0,IF(R46&lt;1,SUM((R46&gt;I46),(R46&gt;L46),(R46&gt;O46),(R46&gt;F46),(R46&gt;U46),(R46&gt;X46),(R46&gt;AA46),(R46&gt;AD46),(R46&gt;AG46),(R46&gt;BB46)))-$AJ46))</f>
        <v>2</v>
      </c>
      <c r="T46" s="879">
        <f>IF(R46=0,0,IF(R$6=0,0,IF(S46=0,0,((11-S46)))-$B$6))</f>
        <v>6</v>
      </c>
      <c r="U46" s="988">
        <f>'print 10 lane'!X46</f>
        <v>8.4525462962962972E-4</v>
      </c>
      <c r="V46" s="879">
        <f>IF(U46=0,0,IF(U$6=0,0,IF(U46&lt;1,SUM((U46&gt;I46),(U46&gt;L46),(U46&gt;O46),(U46&gt;R46),(U46&gt;F46),(U46&gt;X46),(U46&gt;AA46),(U46&gt;AD46),(U46&gt;AG46),(U46&gt;BB46)))-$AJ46))</f>
        <v>3</v>
      </c>
      <c r="W46" s="879">
        <f>IF(U46=0,0,IF(U$6=0,0,IF(V46=0,0,((11-V46)))-$B$6))</f>
        <v>5</v>
      </c>
      <c r="X46" s="988">
        <f>'print 10 lane'!AA46</f>
        <v>9.3564814814814812E-4</v>
      </c>
      <c r="Y46" s="879">
        <f>IF(X46=0,0,IF(X$6=0,0,IF(X46&lt;1,SUM((X46&gt;I46),(X46&gt;L46),(X46&gt;O46),(X46&gt;R46),(X46&gt;U46),(X46&gt;F46),(X46&gt;AA46),(X46&gt;AD46),(X46&gt;AG46),(X46&gt;BB46))))-$AJ46)</f>
        <v>7</v>
      </c>
      <c r="Z46" s="879">
        <f>IF(X46=0,0,IF(X$6=0,0,IF(Y46=0,0,((11-Y46)))-$B$6))</f>
        <v>1</v>
      </c>
      <c r="AA46" s="988">
        <f>'print 10 lane'!AD46</f>
        <v>0</v>
      </c>
      <c r="AB46" s="879">
        <f>IF(AA46=0,0,IF(AA$6=0,0,IF(AA46&lt;1,SUM((AA46&gt;I46),(AA46&gt;L46),(AA46&gt;O46),(AA46&gt;R46),(AA46&gt;U46),(AA46&gt;X46),(AA46&gt;AD46),(AA46&gt;AG46),(AA46&gt;F46),(AA46&gt;BB46)))-$AJ46))</f>
        <v>0</v>
      </c>
      <c r="AC46" s="989">
        <f>IF(AA46=0,0,IF(AA$6=0,0,IF(AB46=0,0,((11-AB46)))-$B$6))</f>
        <v>0</v>
      </c>
      <c r="AD46" s="990"/>
      <c r="AE46" s="881"/>
      <c r="AF46" s="881"/>
      <c r="AG46" s="880"/>
      <c r="AH46" s="881"/>
      <c r="AI46" s="882"/>
      <c r="AJ46" s="883">
        <f>COUNTBLANK(F606:O606)</f>
        <v>3</v>
      </c>
      <c r="BA46" s="837"/>
    </row>
    <row r="47" spans="2:53" s="897" customFormat="1" ht="42" customHeight="1" x14ac:dyDescent="0.25">
      <c r="B47" s="1349"/>
      <c r="C47" s="1333"/>
      <c r="D47" s="1424"/>
      <c r="E47" s="1430"/>
      <c r="F47" s="1431" t="str">
        <f>'print 10 lane'!I47</f>
        <v>Shreya Bavishi</v>
      </c>
      <c r="G47" s="1431"/>
      <c r="H47" s="1431"/>
      <c r="I47" s="1431" t="str">
        <f>'print 10 lane'!L47</f>
        <v>Daisy Harradine</v>
      </c>
      <c r="J47" s="1431"/>
      <c r="K47" s="1431"/>
      <c r="L47" s="1431" t="str">
        <f>'print 10 lane'!O47</f>
        <v>Hannah Lovelock</v>
      </c>
      <c r="M47" s="1431"/>
      <c r="N47" s="1431"/>
      <c r="O47" s="1431" t="str">
        <f>'print 10 lane'!R47</f>
        <v>Megan Johnson</v>
      </c>
      <c r="P47" s="1431"/>
      <c r="Q47" s="1431"/>
      <c r="R47" s="1431" t="str">
        <f>'print 10 lane'!U47</f>
        <v>Hollie Heighes</v>
      </c>
      <c r="S47" s="1431"/>
      <c r="T47" s="1431"/>
      <c r="U47" s="1431" t="str">
        <f>'print 10 lane'!X47</f>
        <v>Alice  Sharrock</v>
      </c>
      <c r="V47" s="1431"/>
      <c r="W47" s="1431"/>
      <c r="X47" s="1431" t="str">
        <f>'print 10 lane'!AA47</f>
        <v>Keanna Roets</v>
      </c>
      <c r="Y47" s="1431"/>
      <c r="Z47" s="1431"/>
      <c r="AA47" s="1431" t="str">
        <f>'print 10 lane'!AD47</f>
        <v xml:space="preserve"> </v>
      </c>
      <c r="AB47" s="1431"/>
      <c r="AC47" s="1431"/>
      <c r="AD47" s="1426"/>
      <c r="AE47" s="1426"/>
      <c r="AF47" s="1426"/>
      <c r="AG47" s="1341"/>
      <c r="AH47" s="1341"/>
      <c r="AI47" s="1341"/>
      <c r="AJ47" s="883"/>
      <c r="BA47" s="898"/>
    </row>
    <row r="48" spans="2:53" s="897" customFormat="1" ht="42" customHeight="1" x14ac:dyDescent="0.25">
      <c r="B48" s="1349"/>
      <c r="C48" s="1333"/>
      <c r="D48" s="1424"/>
      <c r="E48" s="997" t="s">
        <v>5086</v>
      </c>
      <c r="F48" s="1425">
        <f>'print 10 lane'!I48</f>
        <v>0</v>
      </c>
      <c r="G48" s="1425"/>
      <c r="H48" s="1425"/>
      <c r="I48" s="1425">
        <f>'print 10 lane'!L48</f>
        <v>0</v>
      </c>
      <c r="J48" s="1425"/>
      <c r="K48" s="1425"/>
      <c r="L48" s="1425">
        <f>'print 10 lane'!O48</f>
        <v>0</v>
      </c>
      <c r="M48" s="1425"/>
      <c r="N48" s="1425"/>
      <c r="O48" s="1425">
        <f>'print 10 lane'!R48</f>
        <v>0</v>
      </c>
      <c r="P48" s="1425"/>
      <c r="Q48" s="1425"/>
      <c r="R48" s="1425">
        <f>'print 10 lane'!U48</f>
        <v>0</v>
      </c>
      <c r="S48" s="1425"/>
      <c r="T48" s="1425"/>
      <c r="U48" s="1425">
        <f>'print 10 lane'!X48</f>
        <v>0</v>
      </c>
      <c r="V48" s="1425"/>
      <c r="W48" s="1425"/>
      <c r="X48" s="1425">
        <f>'print 10 lane'!AA48</f>
        <v>0</v>
      </c>
      <c r="Y48" s="1425"/>
      <c r="Z48" s="1425"/>
      <c r="AA48" s="1425">
        <f>'print 10 lane'!AD48</f>
        <v>0</v>
      </c>
      <c r="AB48" s="1425"/>
      <c r="AC48" s="1425"/>
      <c r="AD48" s="1428"/>
      <c r="AE48" s="1428"/>
      <c r="AF48" s="1428"/>
      <c r="AG48" s="1346"/>
      <c r="AH48" s="1346"/>
      <c r="AI48" s="1346"/>
      <c r="AJ48" s="883"/>
      <c r="BA48" s="898"/>
    </row>
    <row r="49" spans="2:53" ht="42" customHeight="1" x14ac:dyDescent="0.25">
      <c r="B49" s="1349">
        <v>16</v>
      </c>
      <c r="C49" s="1343" t="s">
        <v>5087</v>
      </c>
      <c r="D49" s="1424" t="s">
        <v>5098</v>
      </c>
      <c r="E49" s="1430" t="s">
        <v>5099</v>
      </c>
      <c r="F49" s="987">
        <f>'print 10 lane'!I49</f>
        <v>9.2187499999999995E-4</v>
      </c>
      <c r="G49" s="879">
        <f>IF(F49=0,0,IF(F$6=0,0,IF(F49&lt;1,SUM((F49&gt;I49),(F49&gt;L49),(F49&gt;O49),(F49&gt;R49),(F49&gt;U49),(F49&gt;X49),(F49&gt;AA49),(F49&gt;AD49),(F49&gt;AG49),(F49&gt;BB49)))-$AJ49))</f>
        <v>5</v>
      </c>
      <c r="H49" s="879">
        <f>IF(F49=0,0,IF(F$6=0,0,IF(G49=0,0,((11-G49)))-$B$6))</f>
        <v>3</v>
      </c>
      <c r="I49" s="988">
        <f>'print 10 lane'!L49</f>
        <v>8.1967592592592595E-4</v>
      </c>
      <c r="J49" s="879">
        <f>IF(I49=0,0,IF(I$6=0,0,IF(I49&lt;1,SUM((I49&gt;L49),(I49&gt;O49),(I49&gt;R49),(I49&gt;U49),(I49&gt;X49),(I49&gt;AA49),(I49&gt;F49),(I49&gt;AD49),(I49&gt;AG49),(I49&gt;BB49)))-$AJ49))</f>
        <v>4</v>
      </c>
      <c r="K49" s="879">
        <f>IF(I49=0,0,IF(I$6=0,0,IF(J49=0,0,((11-J49)))-$B$6))</f>
        <v>4</v>
      </c>
      <c r="L49" s="988">
        <f>'print 10 lane'!O49</f>
        <v>9.8182870370370373E-4</v>
      </c>
      <c r="M49" s="879">
        <f>IF(L49=0,0,IF(L$6=0,0,IF(L49&lt;1,SUM((L49&gt;I49),(L49&gt;F49),(L49&gt;O49),(L49&gt;R49),(L49&gt;U49),(L49&gt;X49),(L49&gt;AA49),(L49&gt;AD49),(L49&gt;AG49),(L49&gt;BB49)))-$AJ49))</f>
        <v>6</v>
      </c>
      <c r="N49" s="879">
        <f>IF(L49=0,0,IF(L$6=0,0,IF(M49=0,0,((11-M49)))-$B$6))</f>
        <v>2</v>
      </c>
      <c r="O49" s="988">
        <f>'print 10 lane'!R49</f>
        <v>7.7662037037037033E-4</v>
      </c>
      <c r="P49" s="879">
        <f>IF(O49=0,0,IF(O$6=0,0,IF(O49&lt;1,SUM((O49&gt;I49),(O49&gt;L49),(O49&gt;F49),(O49&gt;R49),(O49&gt;U49),(O49&gt;X49),(O49&gt;AA49),(O49&gt;AD49),(O49&gt;AG49),(O49&gt;BB49)))-$AJ49))</f>
        <v>2</v>
      </c>
      <c r="Q49" s="879">
        <f>IF(O49=0,0,IF(O$6=0,0,IF(P49=0,0,((11-P49)))-$B$6))</f>
        <v>6</v>
      </c>
      <c r="R49" s="988">
        <f>'print 10 lane'!U49</f>
        <v>7.4768518518518511E-4</v>
      </c>
      <c r="S49" s="879">
        <f>IF(R49=0,0,IF(R$6=0,0,IF(R49&lt;1,SUM((R49&gt;I49),(R49&gt;L49),(R49&gt;O49),(R49&gt;F49),(R49&gt;U49),(R49&gt;X49),(R49&gt;AA49),(R49&gt;AD49),(R49&gt;AG49),(R49&gt;BB49)))-$AJ49))</f>
        <v>1</v>
      </c>
      <c r="T49" s="879">
        <f>IF(R49=0,0,IF(R$6=0,0,IF(S49=0,0,((11-S49)))-$B$6))</f>
        <v>7</v>
      </c>
      <c r="U49" s="988">
        <f>'print 10 lane'!X49</f>
        <v>0</v>
      </c>
      <c r="V49" s="879">
        <f>IF(U49=0,0,IF(U$6=0,0,IF(U49&lt;1,SUM((U49&gt;I49),(U49&gt;L49),(U49&gt;O49),(U49&gt;R49),(U49&gt;F49),(U49&gt;X49),(U49&gt;AA49),(U49&gt;AD49),(U49&gt;AG49),(U49&gt;BB49)))-$AJ49))</f>
        <v>0</v>
      </c>
      <c r="W49" s="879">
        <f>IF(U49=0,0,IF(U$6=0,0,IF(V49=0,0,((11-V49)))-$B$6))</f>
        <v>0</v>
      </c>
      <c r="X49" s="988">
        <f>'print 10 lane'!AA49</f>
        <v>8.1678240740740745E-4</v>
      </c>
      <c r="Y49" s="879">
        <f>IF(X49=0,0,IF(X$6=0,0,IF(X49&lt;1,SUM((X49&gt;I49),(X49&gt;L49),(X49&gt;O49),(X49&gt;R49),(X49&gt;U49),(X49&gt;F49),(X49&gt;AA49),(X49&gt;AD49),(X49&gt;AG49),(X49&gt;BB49))))-$AJ49)</f>
        <v>3</v>
      </c>
      <c r="Z49" s="879">
        <f>IF(X49=0,0,IF(X$6=0,0,IF(Y49=0,0,((11-Y49)))-$B$6))</f>
        <v>5</v>
      </c>
      <c r="AA49" s="988">
        <f>'print 10 lane'!AD49</f>
        <v>0</v>
      </c>
      <c r="AB49" s="879">
        <f>IF(AA49=0,0,IF(AA$6=0,0,IF(AA49&lt;1,SUM((AA49&gt;I49),(AA49&gt;L49),(AA49&gt;O49),(AA49&gt;R49),(AA49&gt;U49),(AA49&gt;X49),(AA49&gt;AD49),(AA49&gt;AG49),(AA49&gt;F49),(AA49&gt;BB49)))-$AJ49))</f>
        <v>0</v>
      </c>
      <c r="AC49" s="989">
        <f>IF(AA49=0,0,IF(AA$6=0,0,IF(AB49=0,0,((11-AB49)))-$B$6))</f>
        <v>0</v>
      </c>
      <c r="AD49" s="990"/>
      <c r="AE49" s="881"/>
      <c r="AF49" s="881"/>
      <c r="AG49" s="880"/>
      <c r="AH49" s="881"/>
      <c r="AI49" s="882"/>
      <c r="AJ49" s="883">
        <f>COUNTBLANK(F607:O607)</f>
        <v>4</v>
      </c>
      <c r="BA49" s="837"/>
    </row>
    <row r="50" spans="2:53" ht="42" customHeight="1" x14ac:dyDescent="0.25">
      <c r="B50" s="1349"/>
      <c r="C50" s="1343"/>
      <c r="D50" s="1424"/>
      <c r="E50" s="1430"/>
      <c r="F50" s="1431" t="str">
        <f>'print 10 lane'!I50</f>
        <v>Zalan Tornay</v>
      </c>
      <c r="G50" s="1431"/>
      <c r="H50" s="1431"/>
      <c r="I50" s="1431" t="str">
        <f>'print 10 lane'!L50</f>
        <v>Alexander Gregory</v>
      </c>
      <c r="J50" s="1431"/>
      <c r="K50" s="1431"/>
      <c r="L50" s="1431" t="str">
        <f>'print 10 lane'!O50</f>
        <v>Alfie Bullock</v>
      </c>
      <c r="M50" s="1431"/>
      <c r="N50" s="1431"/>
      <c r="O50" s="1431" t="str">
        <f>'print 10 lane'!R50</f>
        <v>Charles Raines</v>
      </c>
      <c r="P50" s="1431"/>
      <c r="Q50" s="1431"/>
      <c r="R50" s="1431" t="str">
        <f>'print 10 lane'!U50</f>
        <v>Albert Orley</v>
      </c>
      <c r="S50" s="1431"/>
      <c r="T50" s="1431"/>
      <c r="U50" s="1431" t="str">
        <f>'print 10 lane'!X50</f>
        <v>Louis Waissman</v>
      </c>
      <c r="V50" s="1431"/>
      <c r="W50" s="1431"/>
      <c r="X50" s="1431" t="str">
        <f>'print 10 lane'!AA50</f>
        <v>Tsz Kwai Chan</v>
      </c>
      <c r="Y50" s="1431"/>
      <c r="Z50" s="1431"/>
      <c r="AA50" s="1431" t="str">
        <f>'print 10 lane'!AD50</f>
        <v xml:space="preserve"> </v>
      </c>
      <c r="AB50" s="1431"/>
      <c r="AC50" s="1431"/>
      <c r="AD50" s="1426"/>
      <c r="AE50" s="1426"/>
      <c r="AF50" s="1426"/>
      <c r="AG50" s="1341"/>
      <c r="AH50" s="1341"/>
      <c r="AI50" s="1341"/>
      <c r="AJ50" s="883"/>
      <c r="BA50" s="837"/>
    </row>
    <row r="51" spans="2:53" ht="42" customHeight="1" x14ac:dyDescent="0.25">
      <c r="B51" s="1349"/>
      <c r="C51" s="1343"/>
      <c r="D51" s="1424"/>
      <c r="E51" s="997" t="s">
        <v>5086</v>
      </c>
      <c r="F51" s="1425">
        <f>'print 10 lane'!I51</f>
        <v>0</v>
      </c>
      <c r="G51" s="1425"/>
      <c r="H51" s="1425"/>
      <c r="I51" s="1425">
        <f>'print 10 lane'!L51</f>
        <v>0</v>
      </c>
      <c r="J51" s="1425"/>
      <c r="K51" s="1425"/>
      <c r="L51" s="1425">
        <f>'print 10 lane'!O51</f>
        <v>0</v>
      </c>
      <c r="M51" s="1425"/>
      <c r="N51" s="1425"/>
      <c r="O51" s="1425">
        <f>'print 10 lane'!R51</f>
        <v>0</v>
      </c>
      <c r="P51" s="1425"/>
      <c r="Q51" s="1425"/>
      <c r="R51" s="1425">
        <f>'print 10 lane'!U51</f>
        <v>0</v>
      </c>
      <c r="S51" s="1425"/>
      <c r="T51" s="1425"/>
      <c r="U51" s="1425" t="str">
        <f>'print 10 lane'!X51</f>
        <v>6.4 turn not initiated straight away once turned over</v>
      </c>
      <c r="V51" s="1425"/>
      <c r="W51" s="1425"/>
      <c r="X51" s="1425">
        <f>'print 10 lane'!AA51</f>
        <v>0</v>
      </c>
      <c r="Y51" s="1425"/>
      <c r="Z51" s="1425"/>
      <c r="AA51" s="1425">
        <f>'print 10 lane'!AD51</f>
        <v>0</v>
      </c>
      <c r="AB51" s="1425"/>
      <c r="AC51" s="1425"/>
      <c r="AD51" s="1428"/>
      <c r="AE51" s="1428"/>
      <c r="AF51" s="1428"/>
      <c r="AG51" s="1346"/>
      <c r="AH51" s="1346"/>
      <c r="AI51" s="1346"/>
      <c r="AJ51" s="883"/>
      <c r="BA51" s="837"/>
    </row>
    <row r="52" spans="2:53" ht="42" customHeight="1" x14ac:dyDescent="0.25">
      <c r="B52" s="1349">
        <v>17</v>
      </c>
      <c r="C52" s="1333" t="s">
        <v>5083</v>
      </c>
      <c r="D52" s="1424" t="s">
        <v>5093</v>
      </c>
      <c r="E52" s="1430" t="s">
        <v>5100</v>
      </c>
      <c r="F52" s="987">
        <f>'print 10 lane'!I52</f>
        <v>8.8090277777777776E-4</v>
      </c>
      <c r="G52" s="879">
        <f>IF(F52=0,0,IF(F$6=0,0,IF(F52&lt;1,SUM((F52&gt;I52),(F52&gt;L52),(F52&gt;O52),(F52&gt;R52),(F52&gt;U52),(F52&gt;X52),(F52&gt;AA52),(F52&gt;AD52),(F52&gt;AG52),(F52&gt;BB52)))-$AJ52))</f>
        <v>3</v>
      </c>
      <c r="H52" s="879">
        <f>IF(F52=0,0,IF(F$6=0,0,IF(G52=0,0,((11-G52)))-$B$6))</f>
        <v>5</v>
      </c>
      <c r="I52" s="988">
        <f>'print 10 lane'!L52</f>
        <v>9.2118055555555562E-4</v>
      </c>
      <c r="J52" s="879">
        <f>IF(I52=0,0,IF(I$6=0,0,IF(I52&lt;1,SUM((I52&gt;L52),(I52&gt;O52),(I52&gt;R52),(I52&gt;U52),(I52&gt;X52),(I52&gt;AA52),(I52&gt;F52),(I52&gt;AD52),(I52&gt;AG52),(I52&gt;BB52)))-$AJ52))</f>
        <v>7</v>
      </c>
      <c r="K52" s="879">
        <f>IF(I52=0,0,IF(I$6=0,0,IF(J52=0,0,((11-J52)))-$B$6))</f>
        <v>1</v>
      </c>
      <c r="L52" s="988">
        <f>'print 10 lane'!O52</f>
        <v>9.0671296296296301E-4</v>
      </c>
      <c r="M52" s="879">
        <f>IF(L52=0,0,IF(L$6=0,0,IF(L52&lt;1,SUM((L52&gt;I52),(L52&gt;F52),(L52&gt;O52),(L52&gt;R52),(L52&gt;U52),(L52&gt;X52),(L52&gt;AA52),(L52&gt;AD52),(L52&gt;AG52),(L52&gt;BB52)))-$AJ52))</f>
        <v>6</v>
      </c>
      <c r="N52" s="879">
        <f>IF(L52=0,0,IF(L$6=0,0,IF(M52=0,0,((11-M52)))-$B$6))</f>
        <v>2</v>
      </c>
      <c r="O52" s="988">
        <f>'print 10 lane'!R52</f>
        <v>7.9513888888888896E-4</v>
      </c>
      <c r="P52" s="879">
        <f>IF(O52=0,0,IF(O$6=0,0,IF(O52&lt;1,SUM((O52&gt;I52),(O52&gt;L52),(O52&gt;F52),(O52&gt;R52),(O52&gt;U52),(O52&gt;X52),(O52&gt;AA52),(O52&gt;AD52),(O52&gt;AG52),(O52&gt;BB52)))-$AJ52))</f>
        <v>1</v>
      </c>
      <c r="Q52" s="879">
        <f>IF(O52=0,0,IF(O$6=0,0,IF(P52=0,0,((11-P52)))-$B$6))</f>
        <v>7</v>
      </c>
      <c r="R52" s="988">
        <f>'print 10 lane'!U52</f>
        <v>8.6215277777777777E-4</v>
      </c>
      <c r="S52" s="879">
        <f>IF(R52=0,0,IF(R$6=0,0,IF(R52&lt;1,SUM((R52&gt;I52),(R52&gt;L52),(R52&gt;O52),(R52&gt;F52),(R52&gt;U52),(R52&gt;X52),(R52&gt;AA52),(R52&gt;AD52),(R52&gt;AG52),(R52&gt;BB52)))-$AJ52))</f>
        <v>2</v>
      </c>
      <c r="T52" s="879">
        <f>IF(R52=0,0,IF(R$6=0,0,IF(S52=0,0,((11-S52)))-$B$6))</f>
        <v>6</v>
      </c>
      <c r="U52" s="988">
        <f>'print 10 lane'!X52</f>
        <v>9.0601851851851857E-4</v>
      </c>
      <c r="V52" s="879">
        <f>IF(U52=0,0,IF(U$6=0,0,IF(U52&lt;1,SUM((U52&gt;I52),(U52&gt;L52),(U52&gt;O52),(U52&gt;R52),(U52&gt;F52),(U52&gt;X52),(U52&gt;AA52),(U52&gt;AD52),(U52&gt;AG52),(U52&gt;BB52)))-$AJ52))</f>
        <v>5</v>
      </c>
      <c r="W52" s="879">
        <f>IF(U52=0,0,IF(U$6=0,0,IF(V52=0,0,((11-V52)))-$B$6))</f>
        <v>3</v>
      </c>
      <c r="X52" s="988">
        <f>'print 10 lane'!AA52</f>
        <v>8.9131944444444447E-4</v>
      </c>
      <c r="Y52" s="879">
        <f>IF(X52=0,0,IF(X$6=0,0,IF(X52&lt;1,SUM((X52&gt;I52),(X52&gt;L52),(X52&gt;O52),(X52&gt;R52),(X52&gt;U52),(X52&gt;F52),(X52&gt;AA52),(X52&gt;AD52),(X52&gt;AG52),(X52&gt;BB52))))-$AJ52)</f>
        <v>4</v>
      </c>
      <c r="Z52" s="879">
        <f>IF(X52=0,0,IF(X$6=0,0,IF(Y52=0,0,((11-Y52)))-$B$6))</f>
        <v>4</v>
      </c>
      <c r="AA52" s="988">
        <f>'print 10 lane'!AD52</f>
        <v>0</v>
      </c>
      <c r="AB52" s="879">
        <f>IF(AA52=0,0,IF(AA$6=0,0,IF(AA52&lt;1,SUM((AA52&gt;I52),(AA52&gt;L52),(AA52&gt;O52),(AA52&gt;R52),(AA52&gt;U52),(AA52&gt;X52),(AA52&gt;AD52),(AA52&gt;AG52),(AA52&gt;F52),(AA52&gt;BB52)))-$AJ52))</f>
        <v>0</v>
      </c>
      <c r="AC52" s="989">
        <f>IF(AA52=0,0,IF(AA$6=0,0,IF(AB52=0,0,((11-AB52)))-$B$6))</f>
        <v>0</v>
      </c>
      <c r="AD52" s="990"/>
      <c r="AE52" s="881"/>
      <c r="AF52" s="881"/>
      <c r="AG52" s="880"/>
      <c r="AH52" s="881"/>
      <c r="AI52" s="882"/>
      <c r="AJ52" s="883">
        <f>COUNTBLANK(F608:O608)</f>
        <v>3</v>
      </c>
      <c r="BA52" s="837"/>
    </row>
    <row r="53" spans="2:53" ht="42" customHeight="1" x14ac:dyDescent="0.25">
      <c r="B53" s="1349"/>
      <c r="C53" s="1333"/>
      <c r="D53" s="1424"/>
      <c r="E53" s="1430"/>
      <c r="F53" s="1431" t="str">
        <f>'print 10 lane'!I53</f>
        <v>Maja Grzybek</v>
      </c>
      <c r="G53" s="1431"/>
      <c r="H53" s="1431"/>
      <c r="I53" s="1431" t="str">
        <f>'print 10 lane'!L53</f>
        <v>Madeleine Bailiss</v>
      </c>
      <c r="J53" s="1431"/>
      <c r="K53" s="1431"/>
      <c r="L53" s="1431" t="str">
        <f>'print 10 lane'!O53</f>
        <v>Sophie Clark</v>
      </c>
      <c r="M53" s="1431"/>
      <c r="N53" s="1431"/>
      <c r="O53" s="1431" t="str">
        <f>'print 10 lane'!R53</f>
        <v>Libby Blissett</v>
      </c>
      <c r="P53" s="1431"/>
      <c r="Q53" s="1431"/>
      <c r="R53" s="1431" t="str">
        <f>'print 10 lane'!U53</f>
        <v>Kathryn Edwards</v>
      </c>
      <c r="S53" s="1431"/>
      <c r="T53" s="1431"/>
      <c r="U53" s="1431" t="str">
        <f>'print 10 lane'!X53</f>
        <v>Laura Leksander</v>
      </c>
      <c r="V53" s="1431"/>
      <c r="W53" s="1431"/>
      <c r="X53" s="1431" t="str">
        <f>'print 10 lane'!AA53</f>
        <v>Keira Brannigan</v>
      </c>
      <c r="Y53" s="1431"/>
      <c r="Z53" s="1431"/>
      <c r="AA53" s="1431" t="str">
        <f>'print 10 lane'!AD53</f>
        <v xml:space="preserve"> </v>
      </c>
      <c r="AB53" s="1431"/>
      <c r="AC53" s="1431"/>
      <c r="AD53" s="1426"/>
      <c r="AE53" s="1426"/>
      <c r="AF53" s="1426"/>
      <c r="AG53" s="1341"/>
      <c r="AH53" s="1341"/>
      <c r="AI53" s="1341"/>
      <c r="AJ53" s="883"/>
      <c r="BA53" s="837"/>
    </row>
    <row r="54" spans="2:53" ht="42" customHeight="1" x14ac:dyDescent="0.25">
      <c r="B54" s="1349"/>
      <c r="C54" s="1333"/>
      <c r="D54" s="1424"/>
      <c r="E54" s="997" t="s">
        <v>5086</v>
      </c>
      <c r="F54" s="1425">
        <f>'print 10 lane'!I54</f>
        <v>0</v>
      </c>
      <c r="G54" s="1425"/>
      <c r="H54" s="1425"/>
      <c r="I54" s="1425">
        <f>'print 10 lane'!L54</f>
        <v>0</v>
      </c>
      <c r="J54" s="1425"/>
      <c r="K54" s="1425"/>
      <c r="L54" s="1425">
        <f>'print 10 lane'!O54</f>
        <v>0</v>
      </c>
      <c r="M54" s="1425"/>
      <c r="N54" s="1425"/>
      <c r="O54" s="1425">
        <f>'print 10 lane'!R54</f>
        <v>0</v>
      </c>
      <c r="P54" s="1425"/>
      <c r="Q54" s="1425"/>
      <c r="R54" s="1425">
        <f>'print 10 lane'!U54</f>
        <v>0</v>
      </c>
      <c r="S54" s="1425"/>
      <c r="T54" s="1425"/>
      <c r="U54" s="1425">
        <f>'print 10 lane'!X54</f>
        <v>0</v>
      </c>
      <c r="V54" s="1425"/>
      <c r="W54" s="1425"/>
      <c r="X54" s="1425">
        <f>'print 10 lane'!AA54</f>
        <v>0</v>
      </c>
      <c r="Y54" s="1425"/>
      <c r="Z54" s="1425"/>
      <c r="AA54" s="1425">
        <f>'print 10 lane'!AD54</f>
        <v>0</v>
      </c>
      <c r="AB54" s="1425"/>
      <c r="AC54" s="1425"/>
      <c r="AD54" s="1428"/>
      <c r="AE54" s="1428"/>
      <c r="AF54" s="1428"/>
      <c r="AG54" s="1346"/>
      <c r="AH54" s="1346"/>
      <c r="AI54" s="1346"/>
      <c r="AJ54" s="883"/>
      <c r="BA54" s="837"/>
    </row>
    <row r="55" spans="2:53" ht="42" customHeight="1" x14ac:dyDescent="0.25">
      <c r="B55" s="1349">
        <v>18</v>
      </c>
      <c r="C55" s="1343" t="s">
        <v>5087</v>
      </c>
      <c r="D55" s="1424" t="s">
        <v>5093</v>
      </c>
      <c r="E55" s="1430" t="s">
        <v>5100</v>
      </c>
      <c r="F55" s="987">
        <f>'print 10 lane'!I55</f>
        <v>0</v>
      </c>
      <c r="G55" s="879">
        <f>IF(F55=0,0,IF(F$6=0,0,IF(F55&lt;1,SUM((F55&gt;I55),(F55&gt;L55),(F55&gt;O55),(F55&gt;R55),(F55&gt;U55),(F55&gt;X55),(F55&gt;AA55),(F55&gt;AD55),(F55&gt;AG55),(F55&gt;BB55)))-$AJ55))</f>
        <v>0</v>
      </c>
      <c r="H55" s="879">
        <f>IF(F55=0,0,IF(F$6=0,0,IF(G55=0,0,((11-G55)))-$B$6))</f>
        <v>0</v>
      </c>
      <c r="I55" s="988">
        <f>'print 10 lane'!L55</f>
        <v>1.0456018518518518E-3</v>
      </c>
      <c r="J55" s="879">
        <f>IF(I55=0,0,IF(I$6=0,0,IF(I55&lt;1,SUM((I55&gt;L55),(I55&gt;O55),(I55&gt;R55),(I55&gt;U55),(I55&gt;X55),(I55&gt;AA55),(I55&gt;F55),(I55&gt;AD55),(I55&gt;AG55),(I55&gt;BB55)))-$AJ55))</f>
        <v>6</v>
      </c>
      <c r="K55" s="879">
        <f>IF(I55=0,0,IF(I$6=0,0,IF(J55=0,0,((11-J55)))-$B$6))</f>
        <v>2</v>
      </c>
      <c r="L55" s="988">
        <f>'print 10 lane'!O55</f>
        <v>8.0162037037037018E-4</v>
      </c>
      <c r="M55" s="879">
        <f>IF(L55=0,0,IF(L$6=0,0,IF(L55&lt;1,SUM((L55&gt;I55),(L55&gt;F55),(L55&gt;O55),(L55&gt;R55),(L55&gt;U55),(L55&gt;X55),(L55&gt;AA55),(L55&gt;AD55),(L55&gt;AG55),(L55&gt;BB55)))-$AJ55))</f>
        <v>5</v>
      </c>
      <c r="N55" s="879">
        <f>IF(L55=0,0,IF(L$6=0,0,IF(M55=0,0,((11-M55)))-$B$6))</f>
        <v>3</v>
      </c>
      <c r="O55" s="988">
        <f>'print 10 lane'!R55</f>
        <v>7.4166666666666662E-4</v>
      </c>
      <c r="P55" s="879">
        <f>IF(O55=0,0,IF(O$6=0,0,IF(O55&lt;1,SUM((O55&gt;I55),(O55&gt;L55),(O55&gt;F55),(O55&gt;R55),(O55&gt;U55),(O55&gt;X55),(O55&gt;AA55),(O55&gt;AD55),(O55&gt;AG55),(O55&gt;BB55)))-$AJ55))</f>
        <v>2</v>
      </c>
      <c r="Q55" s="879">
        <f>IF(O55=0,0,IF(O$6=0,0,IF(P55=0,0,((11-P55)))-$B$6))</f>
        <v>6</v>
      </c>
      <c r="R55" s="988">
        <f>'print 10 lane'!U55</f>
        <v>7.594907407407407E-4</v>
      </c>
      <c r="S55" s="879">
        <f>IF(R55=0,0,IF(R$6=0,0,IF(R55&lt;1,SUM((R55&gt;I55),(R55&gt;L55),(R55&gt;O55),(R55&gt;F55),(R55&gt;U55),(R55&gt;X55),(R55&gt;AA55),(R55&gt;AD55),(R55&gt;AG55),(R55&gt;BB55)))-$AJ55))</f>
        <v>4</v>
      </c>
      <c r="T55" s="879">
        <f>IF(R55=0,0,IF(R$6=0,0,IF(S55=0,0,((11-S55)))-$B$6))</f>
        <v>4</v>
      </c>
      <c r="U55" s="988">
        <f>'print 10 lane'!X55</f>
        <v>7.1388888888888891E-4</v>
      </c>
      <c r="V55" s="879">
        <f>IF(U55=0,0,IF(U$6=0,0,IF(U55&lt;1,SUM((U55&gt;I55),(U55&gt;L55),(U55&gt;O55),(U55&gt;R55),(U55&gt;F55),(U55&gt;X55),(U55&gt;AA55),(U55&gt;AD55),(U55&gt;AG55),(U55&gt;BB55)))-$AJ55))</f>
        <v>1</v>
      </c>
      <c r="W55" s="879">
        <f>IF(U55=0,0,IF(U$6=0,0,IF(V55=0,0,((11-V55)))-$B$6))</f>
        <v>7</v>
      </c>
      <c r="X55" s="988">
        <f>'print 10 lane'!AA55</f>
        <v>7.53125E-4</v>
      </c>
      <c r="Y55" s="879">
        <f>IF(X55=0,0,IF(X$6=0,0,IF(X55&lt;1,SUM((X55&gt;I55),(X55&gt;L55),(X55&gt;O55),(X55&gt;R55),(X55&gt;U55),(X55&gt;F55),(X55&gt;AA55),(X55&gt;AD55),(X55&gt;AG55),(X55&gt;BB55))))-$AJ55)</f>
        <v>3</v>
      </c>
      <c r="Z55" s="879">
        <f>IF(X55=0,0,IF(X$6=0,0,IF(Y55=0,0,((11-Y55)))-$B$6))</f>
        <v>5</v>
      </c>
      <c r="AA55" s="988">
        <f>'print 10 lane'!AD55</f>
        <v>0</v>
      </c>
      <c r="AB55" s="879">
        <f>IF(AA55=0,0,IF(AA$6=0,0,IF(AA55&lt;1,SUM((AA55&gt;I55),(AA55&gt;L55),(AA55&gt;O55),(AA55&gt;R55),(AA55&gt;U55),(AA55&gt;X55),(AA55&gt;AD55),(AA55&gt;AG55),(AA55&gt;F55),(AA55&gt;BB55)))-$AJ55))</f>
        <v>0</v>
      </c>
      <c r="AC55" s="989">
        <f>IF(AA55=0,0,IF(AA$6=0,0,IF(AB55=0,0,((11-AB55)))-$B$6))</f>
        <v>0</v>
      </c>
      <c r="AD55" s="990"/>
      <c r="AE55" s="881"/>
      <c r="AF55" s="881"/>
      <c r="AG55" s="880"/>
      <c r="AH55" s="881"/>
      <c r="AI55" s="882"/>
      <c r="AJ55" s="883">
        <f>COUNTBLANK(F609:O609)</f>
        <v>4</v>
      </c>
      <c r="BA55" s="837"/>
    </row>
    <row r="56" spans="2:53" ht="42" customHeight="1" x14ac:dyDescent="0.25">
      <c r="B56" s="1349"/>
      <c r="C56" s="1343"/>
      <c r="D56" s="1424"/>
      <c r="E56" s="1430"/>
      <c r="F56" s="1431" t="str">
        <f>'print 10 lane'!I56</f>
        <v xml:space="preserve"> </v>
      </c>
      <c r="G56" s="1431"/>
      <c r="H56" s="1431"/>
      <c r="I56" s="1431" t="str">
        <f>'print 10 lane'!L56</f>
        <v>Samuel Heraty</v>
      </c>
      <c r="J56" s="1431"/>
      <c r="K56" s="1431"/>
      <c r="L56" s="1431" t="str">
        <f>'print 10 lane'!O56</f>
        <v>Luke Morley</v>
      </c>
      <c r="M56" s="1431"/>
      <c r="N56" s="1431"/>
      <c r="O56" s="1431" t="str">
        <f>'print 10 lane'!R56</f>
        <v>Ellis Bunce</v>
      </c>
      <c r="P56" s="1431"/>
      <c r="Q56" s="1431"/>
      <c r="R56" s="1431" t="str">
        <f>'print 10 lane'!U56</f>
        <v>Daniel Parker</v>
      </c>
      <c r="S56" s="1431"/>
      <c r="T56" s="1431"/>
      <c r="U56" s="1431" t="str">
        <f>'print 10 lane'!X56</f>
        <v>Shanil Ramaiya</v>
      </c>
      <c r="V56" s="1431"/>
      <c r="W56" s="1431"/>
      <c r="X56" s="1431" t="str">
        <f>'print 10 lane'!AA56</f>
        <v>Liam Treanor</v>
      </c>
      <c r="Y56" s="1431"/>
      <c r="Z56" s="1431"/>
      <c r="AA56" s="1431" t="str">
        <f>'print 10 lane'!AD56</f>
        <v xml:space="preserve"> </v>
      </c>
      <c r="AB56" s="1431"/>
      <c r="AC56" s="1431"/>
      <c r="AD56" s="1426"/>
      <c r="AE56" s="1426"/>
      <c r="AF56" s="1426"/>
      <c r="AG56" s="1341"/>
      <c r="AH56" s="1341"/>
      <c r="AI56" s="1341"/>
      <c r="AJ56" s="883"/>
      <c r="BA56" s="837"/>
    </row>
    <row r="57" spans="2:53" ht="42" customHeight="1" x14ac:dyDescent="0.25">
      <c r="B57" s="1349"/>
      <c r="C57" s="1343"/>
      <c r="D57" s="1424"/>
      <c r="E57" s="997" t="s">
        <v>5086</v>
      </c>
      <c r="F57" s="1425" t="str">
        <f>'print 10 lane'!I57</f>
        <v>DNS</v>
      </c>
      <c r="G57" s="1425"/>
      <c r="H57" s="1425"/>
      <c r="I57" s="1425">
        <f>'print 10 lane'!L57</f>
        <v>0</v>
      </c>
      <c r="J57" s="1425"/>
      <c r="K57" s="1425"/>
      <c r="L57" s="1425">
        <f>'print 10 lane'!O57</f>
        <v>0</v>
      </c>
      <c r="M57" s="1425"/>
      <c r="N57" s="1425"/>
      <c r="O57" s="1425">
        <f>'print 10 lane'!R57</f>
        <v>0</v>
      </c>
      <c r="P57" s="1425"/>
      <c r="Q57" s="1425"/>
      <c r="R57" s="1425">
        <f>'print 10 lane'!U57</f>
        <v>0</v>
      </c>
      <c r="S57" s="1425"/>
      <c r="T57" s="1425"/>
      <c r="U57" s="1425">
        <f>'print 10 lane'!X57</f>
        <v>0</v>
      </c>
      <c r="V57" s="1425"/>
      <c r="W57" s="1425"/>
      <c r="X57" s="1425">
        <f>'print 10 lane'!AA57</f>
        <v>0</v>
      </c>
      <c r="Y57" s="1425"/>
      <c r="Z57" s="1425"/>
      <c r="AA57" s="1425">
        <f>'print 10 lane'!AD57</f>
        <v>0</v>
      </c>
      <c r="AB57" s="1425"/>
      <c r="AC57" s="1425"/>
      <c r="AD57" s="1428"/>
      <c r="AE57" s="1428"/>
      <c r="AF57" s="1428"/>
      <c r="AG57" s="1346"/>
      <c r="AH57" s="1346"/>
      <c r="AI57" s="1346"/>
      <c r="AJ57" s="883"/>
      <c r="BA57" s="837"/>
    </row>
    <row r="58" spans="2:53" ht="42" customHeight="1" x14ac:dyDescent="0.25">
      <c r="B58" s="1349">
        <v>19</v>
      </c>
      <c r="C58" s="1333" t="s">
        <v>5083</v>
      </c>
      <c r="D58" s="1429" t="s">
        <v>5094</v>
      </c>
      <c r="E58" s="1430" t="s">
        <v>5101</v>
      </c>
      <c r="F58" s="987">
        <f>'print 10 lane'!I58</f>
        <v>4.4745370370370365E-4</v>
      </c>
      <c r="G58" s="879">
        <f>IF(F58=0,0,IF(F$6=0,0,IF(F58&lt;1,SUM((F58&gt;I58),(F58&gt;L58),(F58&gt;O58),(F58&gt;R58),(F58&gt;U58),(F58&gt;X58),(F58&gt;AA58),(F58&gt;AD58),(F58&gt;AG58),(F58&gt;BB58)))-$AJ58))</f>
        <v>1</v>
      </c>
      <c r="H58" s="879">
        <f>IF(F58=0,0,IF(F$6=0,0,IF(G58=0,0,((11-G58)))-$B$6))</f>
        <v>7</v>
      </c>
      <c r="I58" s="988">
        <f>'print 10 lane'!L58</f>
        <v>5.0428240740740739E-4</v>
      </c>
      <c r="J58" s="879">
        <f>IF(I58=0,0,IF(I$6=0,0,IF(I58&lt;1,SUM((I58&gt;L58),(I58&gt;O58),(I58&gt;R58),(I58&gt;U58),(I58&gt;X58),(I58&gt;AA58),(I58&gt;F58),(I58&gt;AD58),(I58&gt;AG58),(I58&gt;BB58)))-$AJ58))</f>
        <v>3</v>
      </c>
      <c r="K58" s="879">
        <f>IF(I58=0,0,IF(I$6=0,0,IF(J58=0,0,((11-J58)))-$B$6))</f>
        <v>5</v>
      </c>
      <c r="L58" s="988">
        <f>'print 10 lane'!O58</f>
        <v>4.9270833333333339E-4</v>
      </c>
      <c r="M58" s="879">
        <f>IF(L58=0,0,IF(L$6=0,0,IF(L58&lt;1,SUM((L58&gt;I58),(L58&gt;F58),(L58&gt;O58),(L58&gt;R58),(L58&gt;U58),(L58&gt;X58),(L58&gt;AA58),(L58&gt;AD58),(L58&gt;AG58),(L58&gt;BB58)))-$AJ58))</f>
        <v>2</v>
      </c>
      <c r="N58" s="879">
        <f>IF(L58=0,0,IF(L$6=0,0,IF(M58=0,0,((11-M58)))-$B$6))</f>
        <v>6</v>
      </c>
      <c r="O58" s="988">
        <f>'print 10 lane'!R58</f>
        <v>5.276620370370371E-4</v>
      </c>
      <c r="P58" s="879">
        <f>IF(O58=0,0,IF(O$6=0,0,IF(O58&lt;1,SUM((O58&gt;I58),(O58&gt;L58),(O58&gt;F58),(O58&gt;R58),(O58&gt;U58),(O58&gt;X58),(O58&gt;AA58),(O58&gt;AD58),(O58&gt;AG58),(O58&gt;BB58)))-$AJ58))</f>
        <v>5</v>
      </c>
      <c r="Q58" s="879">
        <f>IF(O58=0,0,IF(O$6=0,0,IF(P58=0,0,((11-P58)))-$B$6))</f>
        <v>3</v>
      </c>
      <c r="R58" s="988">
        <f>'print 10 lane'!U58</f>
        <v>5.4780092592592586E-4</v>
      </c>
      <c r="S58" s="879">
        <f>IF(R58=0,0,IF(R$6=0,0,IF(R58&lt;1,SUM((R58&gt;I58),(R58&gt;L58),(R58&gt;O58),(R58&gt;F58),(R58&gt;U58),(R58&gt;X58),(R58&gt;AA58),(R58&gt;AD58),(R58&gt;AG58),(R58&gt;BB58)))-$AJ58))</f>
        <v>7</v>
      </c>
      <c r="T58" s="879">
        <f>IF(R58=0,0,IF(R$6=0,0,IF(S58=0,0,((11-S58)))-$B$6))</f>
        <v>1</v>
      </c>
      <c r="U58" s="988">
        <f>'print 10 lane'!X58</f>
        <v>5.398148148148148E-4</v>
      </c>
      <c r="V58" s="879">
        <f>IF(U58=0,0,IF(U$6=0,0,IF(U58&lt;1,SUM((U58&gt;I58),(U58&gt;L58),(U58&gt;O58),(U58&gt;R58),(U58&gt;F58),(U58&gt;X58),(U58&gt;AA58),(U58&gt;AD58),(U58&gt;AG58),(U58&gt;BB58)))-$AJ58))</f>
        <v>6</v>
      </c>
      <c r="W58" s="879">
        <f>IF(U58=0,0,IF(U$6=0,0,IF(V58=0,0,((11-V58)))-$B$6))</f>
        <v>2</v>
      </c>
      <c r="X58" s="988">
        <f>'print 10 lane'!AA58</f>
        <v>5.0543981481481479E-4</v>
      </c>
      <c r="Y58" s="879">
        <f>IF(X58=0,0,IF(X$6=0,0,IF(X58&lt;1,SUM((X58&gt;I58),(X58&gt;L58),(X58&gt;O58),(X58&gt;R58),(X58&gt;U58),(X58&gt;F58),(X58&gt;AA58),(X58&gt;AD58),(X58&gt;AG58),(X58&gt;BB58))))-$AJ58)</f>
        <v>4</v>
      </c>
      <c r="Z58" s="879">
        <f>IF(X58=0,0,IF(X$6=0,0,IF(Y58=0,0,((11-Y58)))-$B$6))</f>
        <v>4</v>
      </c>
      <c r="AA58" s="988">
        <f>'print 10 lane'!AD58</f>
        <v>0</v>
      </c>
      <c r="AB58" s="879">
        <f>IF(AA58=0,0,IF(AA$6=0,0,IF(AA58&lt;1,SUM((AA58&gt;I58),(AA58&gt;L58),(AA58&gt;O58),(AA58&gt;R58),(AA58&gt;U58),(AA58&gt;X58),(AA58&gt;AD58),(AA58&gt;AG58),(AA58&gt;F58),(AA58&gt;BB58)))-$AJ58))</f>
        <v>0</v>
      </c>
      <c r="AC58" s="989">
        <f>IF(AA58=0,0,IF(AA$6=0,0,IF(AB58=0,0,((11-AB58)))-$B$6))</f>
        <v>0</v>
      </c>
      <c r="AD58" s="990"/>
      <c r="AE58" s="881"/>
      <c r="AF58" s="881"/>
      <c r="AG58" s="880"/>
      <c r="AH58" s="881"/>
      <c r="AI58" s="882"/>
      <c r="AJ58" s="883">
        <f>COUNTBLANK(F610:O610)</f>
        <v>3</v>
      </c>
      <c r="BA58" s="837"/>
    </row>
    <row r="59" spans="2:53" ht="42" customHeight="1" x14ac:dyDescent="0.25">
      <c r="B59" s="1349"/>
      <c r="C59" s="1333"/>
      <c r="D59" s="1429"/>
      <c r="E59" s="1430"/>
      <c r="F59" s="1431" t="str">
        <f>'print 10 lane'!I59</f>
        <v>Claudia Savov</v>
      </c>
      <c r="G59" s="1431"/>
      <c r="H59" s="1431"/>
      <c r="I59" s="1431" t="str">
        <f>'print 10 lane'!L59</f>
        <v>Maya Wegner</v>
      </c>
      <c r="J59" s="1431"/>
      <c r="K59" s="1431"/>
      <c r="L59" s="1431" t="str">
        <f>'print 10 lane'!O59</f>
        <v>Scarlett Omand</v>
      </c>
      <c r="M59" s="1431"/>
      <c r="N59" s="1431"/>
      <c r="O59" s="1431" t="str">
        <f>'print 10 lane'!R59</f>
        <v>Willow Brownbridge</v>
      </c>
      <c r="P59" s="1431"/>
      <c r="Q59" s="1431"/>
      <c r="R59" s="1431" t="str">
        <f>'print 10 lane'!U59</f>
        <v>Caoife Long</v>
      </c>
      <c r="S59" s="1431"/>
      <c r="T59" s="1431"/>
      <c r="U59" s="1431" t="str">
        <f>'print 10 lane'!X59</f>
        <v>Miraya  Patel</v>
      </c>
      <c r="V59" s="1431"/>
      <c r="W59" s="1431"/>
      <c r="X59" s="1431" t="str">
        <f>'print 10 lane'!AA59</f>
        <v>Zara Jobanputra</v>
      </c>
      <c r="Y59" s="1431"/>
      <c r="Z59" s="1431"/>
      <c r="AA59" s="1431" t="str">
        <f>'print 10 lane'!AD59</f>
        <v xml:space="preserve"> </v>
      </c>
      <c r="AB59" s="1431"/>
      <c r="AC59" s="1431"/>
      <c r="AD59" s="1426"/>
      <c r="AE59" s="1426"/>
      <c r="AF59" s="1426"/>
      <c r="AG59" s="1341"/>
      <c r="AH59" s="1341"/>
      <c r="AI59" s="1341"/>
      <c r="AJ59" s="883"/>
      <c r="BA59" s="837"/>
    </row>
    <row r="60" spans="2:53" ht="42" customHeight="1" x14ac:dyDescent="0.25">
      <c r="B60" s="1349"/>
      <c r="C60" s="1333"/>
      <c r="D60" s="1429"/>
      <c r="E60" s="997" t="s">
        <v>5086</v>
      </c>
      <c r="F60" s="1425">
        <f>'print 10 lane'!I60</f>
        <v>0</v>
      </c>
      <c r="G60" s="1425"/>
      <c r="H60" s="1425"/>
      <c r="I60" s="1425">
        <f>'print 10 lane'!L60</f>
        <v>0</v>
      </c>
      <c r="J60" s="1425"/>
      <c r="K60" s="1425"/>
      <c r="L60" s="1425">
        <f>'print 10 lane'!O60</f>
        <v>0</v>
      </c>
      <c r="M60" s="1425"/>
      <c r="N60" s="1425"/>
      <c r="O60" s="1425">
        <f>'print 10 lane'!R60</f>
        <v>0</v>
      </c>
      <c r="P60" s="1425"/>
      <c r="Q60" s="1425"/>
      <c r="R60" s="1425">
        <f>'print 10 lane'!U60</f>
        <v>0</v>
      </c>
      <c r="S60" s="1425"/>
      <c r="T60" s="1425"/>
      <c r="U60" s="1425">
        <f>'print 10 lane'!X60</f>
        <v>0</v>
      </c>
      <c r="V60" s="1425"/>
      <c r="W60" s="1425"/>
      <c r="X60" s="1425">
        <f>'print 10 lane'!AA60</f>
        <v>0</v>
      </c>
      <c r="Y60" s="1425"/>
      <c r="Z60" s="1425"/>
      <c r="AA60" s="1425">
        <f>'print 10 lane'!AD60</f>
        <v>0</v>
      </c>
      <c r="AB60" s="1425"/>
      <c r="AC60" s="1425"/>
      <c r="AD60" s="1428"/>
      <c r="AE60" s="1428"/>
      <c r="AF60" s="1428"/>
      <c r="AG60" s="1345"/>
      <c r="AH60" s="1345"/>
      <c r="AI60" s="1345"/>
      <c r="AJ60" s="883"/>
      <c r="BA60" s="837"/>
    </row>
    <row r="61" spans="2:53" ht="42" customHeight="1" x14ac:dyDescent="0.25">
      <c r="B61" s="1349">
        <v>20</v>
      </c>
      <c r="C61" s="1343" t="s">
        <v>5087</v>
      </c>
      <c r="D61" s="1429" t="s">
        <v>5094</v>
      </c>
      <c r="E61" s="1430" t="s">
        <v>5101</v>
      </c>
      <c r="F61" s="987">
        <f>'print 10 lane'!I61</f>
        <v>6.6365740740740751E-4</v>
      </c>
      <c r="G61" s="879">
        <f>IF(F61=0,0,IF(F$6=0,0,IF(F61&lt;1,SUM((F61&gt;I61),(F61&gt;L61),(F61&gt;O61),(F61&gt;R61),(F61&gt;U61),(F61&gt;X61),(F61&gt;AA61),(F61&gt;AD61),(F61&gt;AG61),(F61&gt;BB61)))-$AJ61))</f>
        <v>6</v>
      </c>
      <c r="H61" s="879">
        <f>IF(F61=0,0,IF(F$6=0,0,IF(G61=0,0,((11-G61)))-$B$6))</f>
        <v>2</v>
      </c>
      <c r="I61" s="988">
        <f>'print 10 lane'!L61</f>
        <v>4.5636574074074074E-4</v>
      </c>
      <c r="J61" s="879">
        <f>IF(I61=0,0,IF(I$6=0,0,IF(I61&lt;1,SUM((I61&gt;L61),(I61&gt;O61),(I61&gt;R61),(I61&gt;U61),(I61&gt;X61),(I61&gt;AA61),(I61&gt;F61),(I61&gt;AD61),(I61&gt;AG61),(I61&gt;BB61)))-$AJ61))</f>
        <v>1</v>
      </c>
      <c r="K61" s="879">
        <f>IF(I61=0,0,IF(I$6=0,0,IF(J61=0,0,((11-J61)))-$B$6))</f>
        <v>7</v>
      </c>
      <c r="L61" s="988">
        <f>'print 10 lane'!O61</f>
        <v>5.5312500000000001E-4</v>
      </c>
      <c r="M61" s="879">
        <f>IF(L61=0,0,IF(L$6=0,0,IF(L61&lt;1,SUM((L61&gt;I61),(L61&gt;F61),(L61&gt;O61),(L61&gt;R61),(L61&gt;U61),(L61&gt;X61),(L61&gt;AA61),(L61&gt;AD61),(L61&gt;AG61),(L61&gt;BB61)))-$AJ61))</f>
        <v>3</v>
      </c>
      <c r="N61" s="879">
        <f>IF(L61=0,0,IF(L$6=0,0,IF(M61=0,0,((11-M61)))-$B$6))</f>
        <v>5</v>
      </c>
      <c r="O61" s="988">
        <f>'print 10 lane'!R61</f>
        <v>0</v>
      </c>
      <c r="P61" s="879">
        <f>IF(O61=0,0,IF(O$6=0,0,IF(O61&lt;1,SUM((O61&gt;I61),(O61&gt;L61),(O61&gt;F61),(O61&gt;R61),(O61&gt;U61),(O61&gt;X61),(O61&gt;AA61),(O61&gt;AD61),(O61&gt;AG61),(O61&gt;BB61)))-$AJ61))</f>
        <v>0</v>
      </c>
      <c r="Q61" s="879">
        <f>IF(O61=0,0,IF(O$6=0,0,IF(P61=0,0,((11-P61)))-$B$6))</f>
        <v>0</v>
      </c>
      <c r="R61" s="988">
        <f>'print 10 lane'!U61</f>
        <v>5.807870370370371E-4</v>
      </c>
      <c r="S61" s="879">
        <f>IF(R61=0,0,IF(R$6=0,0,IF(R61&lt;1,SUM((R61&gt;I61),(R61&gt;L61),(R61&gt;O61),(R61&gt;F61),(R61&gt;U61),(R61&gt;X61),(R61&gt;AA61),(R61&gt;AD61),(R61&gt;AG61),(R61&gt;BB61)))-$AJ61))</f>
        <v>4</v>
      </c>
      <c r="T61" s="879">
        <f>IF(R61=0,0,IF(R$6=0,0,IF(S61=0,0,((11-S61)))-$B$6))</f>
        <v>4</v>
      </c>
      <c r="U61" s="988">
        <f>'print 10 lane'!X61</f>
        <v>4.7685185185185195E-4</v>
      </c>
      <c r="V61" s="879">
        <f>IF(U61=0,0,IF(U$6=0,0,IF(U61&lt;1,SUM((U61&gt;I61),(U61&gt;L61),(U61&gt;O61),(U61&gt;R61),(U61&gt;F61),(U61&gt;X61),(U61&gt;AA61),(U61&gt;AD61),(U61&gt;AG61),(U61&gt;BB61)))-$AJ61))</f>
        <v>2</v>
      </c>
      <c r="W61" s="879">
        <f>IF(U61=0,0,IF(U$6=0,0,IF(V61=0,0,((11-V61)))-$B$6))</f>
        <v>6</v>
      </c>
      <c r="X61" s="988">
        <f>'print 10 lane'!AA61</f>
        <v>5.8124999999999995E-4</v>
      </c>
      <c r="Y61" s="879">
        <f>IF(X61=0,0,IF(X$6=0,0,IF(X61&lt;1,SUM((X61&gt;I61),(X61&gt;L61),(X61&gt;O61),(X61&gt;R61),(X61&gt;U61),(X61&gt;F61),(X61&gt;AA61),(X61&gt;AD61),(X61&gt;AG61),(X61&gt;BB61))))-$AJ61)</f>
        <v>5</v>
      </c>
      <c r="Z61" s="879">
        <f>IF(X61=0,0,IF(X$6=0,0,IF(Y61=0,0,((11-Y61)))-$B$6))</f>
        <v>3</v>
      </c>
      <c r="AA61" s="988">
        <f>'print 10 lane'!AD61</f>
        <v>0</v>
      </c>
      <c r="AB61" s="879">
        <f>IF(AA61=0,0,IF(AA$6=0,0,IF(AA61&lt;1,SUM((AA61&gt;I61),(AA61&gt;L61),(AA61&gt;O61),(AA61&gt;R61),(AA61&gt;U61),(AA61&gt;X61),(AA61&gt;AD61),(AA61&gt;AG61),(AA61&gt;F61),(AA61&gt;BB61)))-$AJ61))</f>
        <v>0</v>
      </c>
      <c r="AC61" s="989">
        <f>IF(AA61=0,0,IF(AA$6=0,0,IF(AB61=0,0,((11-AB61)))-$B$6))</f>
        <v>0</v>
      </c>
      <c r="AD61" s="990"/>
      <c r="AE61" s="881"/>
      <c r="AF61" s="881"/>
      <c r="AG61" s="880"/>
      <c r="AH61" s="881"/>
      <c r="AI61" s="882"/>
      <c r="AJ61" s="883">
        <f>COUNTBLANK(F611:O611)</f>
        <v>4</v>
      </c>
      <c r="BA61" s="837"/>
    </row>
    <row r="62" spans="2:53" ht="42" customHeight="1" x14ac:dyDescent="0.25">
      <c r="B62" s="1349"/>
      <c r="C62" s="1343"/>
      <c r="D62" s="1429"/>
      <c r="E62" s="1430"/>
      <c r="F62" s="1431" t="str">
        <f>'print 10 lane'!I62</f>
        <v>Kornel Kern-Konyar</v>
      </c>
      <c r="G62" s="1431"/>
      <c r="H62" s="1431"/>
      <c r="I62" s="1431" t="str">
        <f>'print 10 lane'!L62</f>
        <v>James Winter</v>
      </c>
      <c r="J62" s="1431"/>
      <c r="K62" s="1431"/>
      <c r="L62" s="1431" t="str">
        <f>'print 10 lane'!O62</f>
        <v>Maxwell Croft</v>
      </c>
      <c r="M62" s="1431"/>
      <c r="N62" s="1431"/>
      <c r="O62" s="1431" t="str">
        <f>'print 10 lane'!R62</f>
        <v>Simon Rosa</v>
      </c>
      <c r="P62" s="1431"/>
      <c r="Q62" s="1431"/>
      <c r="R62" s="1431" t="str">
        <f>'print 10 lane'!U62</f>
        <v>Myron Young</v>
      </c>
      <c r="S62" s="1431"/>
      <c r="T62" s="1431"/>
      <c r="U62" s="1431" t="str">
        <f>'print 10 lane'!X62</f>
        <v>Mikhail Fedorov</v>
      </c>
      <c r="V62" s="1431"/>
      <c r="W62" s="1431"/>
      <c r="X62" s="1431" t="str">
        <f>'print 10 lane'!AA62</f>
        <v>Jai Bhuwania</v>
      </c>
      <c r="Y62" s="1431"/>
      <c r="Z62" s="1431"/>
      <c r="AA62" s="1431" t="str">
        <f>'print 10 lane'!AD62</f>
        <v xml:space="preserve"> </v>
      </c>
      <c r="AB62" s="1431"/>
      <c r="AC62" s="1431"/>
      <c r="AD62" s="1426"/>
      <c r="AE62" s="1426"/>
      <c r="AF62" s="1426"/>
      <c r="AG62" s="1341"/>
      <c r="AH62" s="1341"/>
      <c r="AI62" s="1341"/>
      <c r="AJ62" s="883"/>
      <c r="BA62" s="837"/>
    </row>
    <row r="63" spans="2:53" ht="42" customHeight="1" x14ac:dyDescent="0.25">
      <c r="B63" s="1349"/>
      <c r="C63" s="1343"/>
      <c r="D63" s="1429"/>
      <c r="E63" s="997" t="s">
        <v>5086</v>
      </c>
      <c r="F63" s="1425">
        <f>'print 10 lane'!I63</f>
        <v>0</v>
      </c>
      <c r="G63" s="1425"/>
      <c r="H63" s="1425"/>
      <c r="I63" s="1425">
        <f>'print 10 lane'!L63</f>
        <v>0</v>
      </c>
      <c r="J63" s="1425"/>
      <c r="K63" s="1425"/>
      <c r="L63" s="1425">
        <f>'print 10 lane'!O63</f>
        <v>0</v>
      </c>
      <c r="M63" s="1425"/>
      <c r="N63" s="1425"/>
      <c r="O63" s="1425" t="str">
        <f>'print 10 lane'!R63</f>
        <v>8.2 non simultaneous arms</v>
      </c>
      <c r="P63" s="1425"/>
      <c r="Q63" s="1425"/>
      <c r="R63" s="1425">
        <f>'print 10 lane'!U63</f>
        <v>0</v>
      </c>
      <c r="S63" s="1425"/>
      <c r="T63" s="1425"/>
      <c r="U63" s="1425">
        <f>'print 10 lane'!X63</f>
        <v>0</v>
      </c>
      <c r="V63" s="1425"/>
      <c r="W63" s="1425"/>
      <c r="X63" s="1425">
        <f>'print 10 lane'!AA63</f>
        <v>0</v>
      </c>
      <c r="Y63" s="1425"/>
      <c r="Z63" s="1425"/>
      <c r="AA63" s="1425">
        <f>'print 10 lane'!AD63</f>
        <v>0</v>
      </c>
      <c r="AB63" s="1425"/>
      <c r="AC63" s="1425"/>
      <c r="AD63" s="1428"/>
      <c r="AE63" s="1428"/>
      <c r="AF63" s="1428"/>
      <c r="AG63" s="1345"/>
      <c r="AH63" s="1345"/>
      <c r="AI63" s="1345"/>
      <c r="AJ63" s="883"/>
      <c r="BA63" s="837"/>
    </row>
    <row r="64" spans="2:53" ht="42" customHeight="1" x14ac:dyDescent="0.25">
      <c r="B64" s="1349">
        <v>21</v>
      </c>
      <c r="C64" s="1333" t="s">
        <v>5083</v>
      </c>
      <c r="D64" s="1424" t="s">
        <v>5090</v>
      </c>
      <c r="E64" s="1430" t="s">
        <v>5099</v>
      </c>
      <c r="F64" s="987">
        <f>'print 10 lane'!I64</f>
        <v>1.0196759259259258E-3</v>
      </c>
      <c r="G64" s="879">
        <f>IF(F64=0,0,IF(F$6=0,0,IF(F64&lt;1,SUM((F64&gt;I64),(F64&gt;L64),(F64&gt;O64),(F64&gt;R64),(F64&gt;U64),(F64&gt;X64),(F64&gt;AA64),(F64&gt;AD64),(F64&gt;AG64),(F64&gt;BB64)))-$AJ64))</f>
        <v>6</v>
      </c>
      <c r="H64" s="879">
        <f>IF(F64=0,0,IF(F$6=0,0,IF(G64=0,0,((11-G64)))-$B$6))</f>
        <v>2</v>
      </c>
      <c r="I64" s="988">
        <f>'print 10 lane'!L64</f>
        <v>9.2986111111111101E-4</v>
      </c>
      <c r="J64" s="879">
        <f>IF(I64=0,0,IF(I$6=0,0,IF(I64&lt;1,SUM((I64&gt;L64),(I64&gt;O64),(I64&gt;R64),(I64&gt;U64),(I64&gt;X64),(I64&gt;AA64),(I64&gt;F64),(I64&gt;AD64),(I64&gt;AG64),(I64&gt;BB64)))-$AJ64))</f>
        <v>4</v>
      </c>
      <c r="K64" s="879">
        <f>IF(I64=0,0,IF(I$6=0,0,IF(J64=0,0,((11-J64)))-$B$6))</f>
        <v>4</v>
      </c>
      <c r="L64" s="988">
        <f>'print 10 lane'!O64</f>
        <v>9.0185185185185192E-4</v>
      </c>
      <c r="M64" s="879">
        <f>IF(L64=0,0,IF(L$6=0,0,IF(L64&lt;1,SUM((L64&gt;I64),(L64&gt;F64),(L64&gt;O64),(L64&gt;R64),(L64&gt;U64),(L64&gt;X64),(L64&gt;AA64),(L64&gt;AD64),(L64&gt;AG64),(L64&gt;BB64)))-$AJ64))</f>
        <v>2</v>
      </c>
      <c r="N64" s="879">
        <f>IF(L64=0,0,IF(L$6=0,0,IF(M64=0,0,((11-M64)))-$B$6))</f>
        <v>6</v>
      </c>
      <c r="O64" s="988">
        <f>'print 10 lane'!R64</f>
        <v>8.8587962962962969E-4</v>
      </c>
      <c r="P64" s="879">
        <f>IF(O64=0,0,IF(O$6=0,0,IF(O64&lt;1,SUM((O64&gt;I64),(O64&gt;L64),(O64&gt;F64),(O64&gt;R64),(O64&gt;U64),(O64&gt;X64),(O64&gt;AA64),(O64&gt;AD64),(O64&gt;AG64),(O64&gt;BB64)))-$AJ64))</f>
        <v>1</v>
      </c>
      <c r="Q64" s="879">
        <f>IF(O64=0,0,IF(O$6=0,0,IF(P64=0,0,((11-P64)))-$B$6))</f>
        <v>7</v>
      </c>
      <c r="R64" s="988">
        <f>'print 10 lane'!U64</f>
        <v>9.4004629629629614E-4</v>
      </c>
      <c r="S64" s="879">
        <f>IF(R64=0,0,IF(R$6=0,0,IF(R64&lt;1,SUM((R64&gt;I64),(R64&gt;L64),(R64&gt;O64),(R64&gt;F64),(R64&gt;U64),(R64&gt;X64),(R64&gt;AA64),(R64&gt;AD64),(R64&gt;AG64),(R64&gt;BB64)))-$AJ64))</f>
        <v>5</v>
      </c>
      <c r="T64" s="879">
        <f>IF(R64=0,0,IF(R$6=0,0,IF(S64=0,0,((11-S64)))-$B$6))</f>
        <v>3</v>
      </c>
      <c r="U64" s="988">
        <f>'print 10 lane'!X64</f>
        <v>9.2581018518518522E-4</v>
      </c>
      <c r="V64" s="879">
        <f>IF(U64=0,0,IF(U$6=0,0,IF(U64&lt;1,SUM((U64&gt;I64),(U64&gt;L64),(U64&gt;O64),(U64&gt;R64),(U64&gt;F64),(U64&gt;X64),(U64&gt;AA64),(U64&gt;AD64),(U64&gt;AG64),(U64&gt;BB64)))-$AJ64))</f>
        <v>3</v>
      </c>
      <c r="W64" s="879">
        <f>IF(U64=0,0,IF(U$6=0,0,IF(V64=0,0,((11-V64)))-$B$6))</f>
        <v>5</v>
      </c>
      <c r="X64" s="988">
        <f>'print 10 lane'!AA64</f>
        <v>0</v>
      </c>
      <c r="Y64" s="879">
        <f>IF(X64=0,0,IF(X$6=0,0,IF(X64&lt;1,SUM((X64&gt;I64),(X64&gt;L64),(X64&gt;O64),(X64&gt;R64),(X64&gt;U64),(X64&gt;F64),(X64&gt;AA64),(X64&gt;AD64),(X64&gt;AG64),(X64&gt;BB64))))-$AJ64)</f>
        <v>0</v>
      </c>
      <c r="Z64" s="879">
        <f>IF(X64=0,0,IF(X$6=0,0,IF(Y64=0,0,((11-Y64)))-$B$6))</f>
        <v>0</v>
      </c>
      <c r="AA64" s="988">
        <f>'print 10 lane'!AD64</f>
        <v>0</v>
      </c>
      <c r="AB64" s="879">
        <f>IF(AA64=0,0,IF(AA$6=0,0,IF(AA64&lt;1,SUM((AA64&gt;I64),(AA64&gt;L64),(AA64&gt;O64),(AA64&gt;R64),(AA64&gt;U64),(AA64&gt;X64),(AA64&gt;AD64),(AA64&gt;AG64),(AA64&gt;F64),(AA64&gt;BB64)))-$AJ64))</f>
        <v>0</v>
      </c>
      <c r="AC64" s="989">
        <f>IF(AA64=0,0,IF(AA$6=0,0,IF(AB64=0,0,((11-AB64)))-$B$6))</f>
        <v>0</v>
      </c>
      <c r="AD64" s="990"/>
      <c r="AE64" s="881"/>
      <c r="AF64" s="881"/>
      <c r="AG64" s="880"/>
      <c r="AH64" s="881"/>
      <c r="AI64" s="882"/>
      <c r="AJ64" s="883">
        <f>COUNTBLANK(F612:O612)</f>
        <v>4</v>
      </c>
      <c r="BA64" s="837"/>
    </row>
    <row r="65" spans="2:53" ht="42" customHeight="1" x14ac:dyDescent="0.25">
      <c r="B65" s="1349"/>
      <c r="C65" s="1333"/>
      <c r="D65" s="1424"/>
      <c r="E65" s="1430"/>
      <c r="F65" s="1431" t="str">
        <f>'print 10 lane'!I65</f>
        <v>Ane Pedraza-Eguia</v>
      </c>
      <c r="G65" s="1431"/>
      <c r="H65" s="1431"/>
      <c r="I65" s="1431" t="str">
        <f>'print 10 lane'!L65</f>
        <v>Sophie Heraty</v>
      </c>
      <c r="J65" s="1431"/>
      <c r="K65" s="1431"/>
      <c r="L65" s="1431" t="str">
        <f>'print 10 lane'!O65</f>
        <v>Maya Robu</v>
      </c>
      <c r="M65" s="1431"/>
      <c r="N65" s="1431"/>
      <c r="O65" s="1431" t="str">
        <f>'print 10 lane'!R65</f>
        <v>Frances Starsmore</v>
      </c>
      <c r="P65" s="1431"/>
      <c r="Q65" s="1431"/>
      <c r="R65" s="1431" t="str">
        <f>'print 10 lane'!U65</f>
        <v>Orlagh Northgrave</v>
      </c>
      <c r="S65" s="1431"/>
      <c r="T65" s="1431"/>
      <c r="U65" s="1431" t="str">
        <f>'print 10 lane'!X65</f>
        <v>Polina  Fedorova</v>
      </c>
      <c r="V65" s="1431"/>
      <c r="W65" s="1431"/>
      <c r="X65" s="1431" t="str">
        <f>'print 10 lane'!AA65</f>
        <v>Jessica Riach</v>
      </c>
      <c r="Y65" s="1431"/>
      <c r="Z65" s="1431"/>
      <c r="AA65" s="1431" t="str">
        <f>'print 10 lane'!AD65</f>
        <v xml:space="preserve"> </v>
      </c>
      <c r="AB65" s="1431"/>
      <c r="AC65" s="1431"/>
      <c r="AD65" s="1426"/>
      <c r="AE65" s="1426"/>
      <c r="AF65" s="1426"/>
      <c r="AG65" s="1341"/>
      <c r="AH65" s="1341"/>
      <c r="AI65" s="1341"/>
      <c r="AJ65" s="883"/>
      <c r="BA65" s="837"/>
    </row>
    <row r="66" spans="2:53" ht="42" customHeight="1" x14ac:dyDescent="0.25">
      <c r="B66" s="1349"/>
      <c r="C66" s="1333"/>
      <c r="D66" s="1424"/>
      <c r="E66" s="997" t="s">
        <v>5086</v>
      </c>
      <c r="F66" s="1425">
        <f>'print 10 lane'!I66</f>
        <v>0</v>
      </c>
      <c r="G66" s="1425"/>
      <c r="H66" s="1425"/>
      <c r="I66" s="1425">
        <f>'print 10 lane'!L66</f>
        <v>0</v>
      </c>
      <c r="J66" s="1425"/>
      <c r="K66" s="1425"/>
      <c r="L66" s="1425">
        <f>'print 10 lane'!O66</f>
        <v>0</v>
      </c>
      <c r="M66" s="1425"/>
      <c r="N66" s="1425"/>
      <c r="O66" s="1425">
        <f>'print 10 lane'!R66</f>
        <v>0</v>
      </c>
      <c r="P66" s="1425"/>
      <c r="Q66" s="1425"/>
      <c r="R66" s="1425">
        <f>'print 10 lane'!U66</f>
        <v>0</v>
      </c>
      <c r="S66" s="1425"/>
      <c r="T66" s="1425"/>
      <c r="U66" s="1425">
        <f>'print 10 lane'!X66</f>
        <v>0</v>
      </c>
      <c r="V66" s="1425"/>
      <c r="W66" s="1425"/>
      <c r="X66" s="1425" t="str">
        <f>'print 10 lane'!AA66</f>
        <v>6.4 didn't initiate turn straight away when turned onto front at turn</v>
      </c>
      <c r="Y66" s="1425"/>
      <c r="Z66" s="1425"/>
      <c r="AA66" s="1425">
        <f>'print 10 lane'!AD66</f>
        <v>0</v>
      </c>
      <c r="AB66" s="1425"/>
      <c r="AC66" s="1425"/>
      <c r="AD66" s="1428"/>
      <c r="AE66" s="1428"/>
      <c r="AF66" s="1428"/>
      <c r="AG66" s="1345"/>
      <c r="AH66" s="1345"/>
      <c r="AI66" s="1345"/>
      <c r="AJ66" s="883"/>
      <c r="BA66" s="837"/>
    </row>
    <row r="67" spans="2:53" ht="42" customHeight="1" x14ac:dyDescent="0.25">
      <c r="B67" s="1349">
        <v>22</v>
      </c>
      <c r="C67" s="1343" t="s">
        <v>5087</v>
      </c>
      <c r="D67" s="1424" t="s">
        <v>5090</v>
      </c>
      <c r="E67" s="1430" t="s">
        <v>5099</v>
      </c>
      <c r="F67" s="987">
        <f>'print 10 lane'!I67</f>
        <v>9.3923611111111117E-4</v>
      </c>
      <c r="G67" s="879">
        <f>IF(F67=0,0,IF(F$6=0,0,IF(F67&lt;1,SUM((F67&gt;I67),(F67&gt;L67),(F67&gt;O67),(F67&gt;R67),(F67&gt;U67),(F67&gt;X67),(F67&gt;AA67),(F67&gt;AD67),(F67&gt;AG67),(F67&gt;BB67)))-$AJ67))</f>
        <v>5</v>
      </c>
      <c r="H67" s="879">
        <f>IF(F67=0,0,IF(F$6=0,0,IF(G67=0,0,((11-G67)))-$B$6))</f>
        <v>3</v>
      </c>
      <c r="I67" s="988">
        <f>'print 10 lane'!L67</f>
        <v>1.0121527777777778E-3</v>
      </c>
      <c r="J67" s="879">
        <f>IF(I67=0,0,IF(I$6=0,0,IF(I67&lt;1,SUM((I67&gt;L67),(I67&gt;O67),(I67&gt;R67),(I67&gt;U67),(I67&gt;X67),(I67&gt;AA67),(I67&gt;F67),(I67&gt;AD67),(I67&gt;AG67),(I67&gt;BB67)))-$AJ67))</f>
        <v>6</v>
      </c>
      <c r="K67" s="879">
        <f>IF(I67=0,0,IF(I$6=0,0,IF(J67=0,0,((11-J67)))-$B$6))</f>
        <v>2</v>
      </c>
      <c r="L67" s="988">
        <f>'print 10 lane'!O67</f>
        <v>9.3715277777777775E-4</v>
      </c>
      <c r="M67" s="879">
        <f>IF(L67=0,0,IF(L$6=0,0,IF(L67&lt;1,SUM((L67&gt;I67),(L67&gt;F67),(L67&gt;O67),(L67&gt;R67),(L67&gt;U67),(L67&gt;X67),(L67&gt;AA67),(L67&gt;AD67),(L67&gt;AG67),(L67&gt;BB67)))-$AJ67))</f>
        <v>4</v>
      </c>
      <c r="N67" s="879">
        <f>IF(L67=0,0,IF(L$6=0,0,IF(M67=0,0,((11-M67)))-$B$6))</f>
        <v>4</v>
      </c>
      <c r="O67" s="988">
        <f>'print 10 lane'!R67</f>
        <v>1.0128472222222221E-3</v>
      </c>
      <c r="P67" s="879">
        <f>IF(O67=0,0,IF(O$6=0,0,IF(O67&lt;1,SUM((O67&gt;I67),(O67&gt;L67),(O67&gt;F67),(O67&gt;R67),(O67&gt;U67),(O67&gt;X67),(O67&gt;AA67),(O67&gt;AD67),(O67&gt;AG67),(O67&gt;BB67)))-$AJ67))</f>
        <v>7</v>
      </c>
      <c r="Q67" s="879">
        <f>IF(O67=0,0,IF(O$6=0,0,IF(P67=0,0,((11-P67)))-$B$6))</f>
        <v>1</v>
      </c>
      <c r="R67" s="988">
        <f>'print 10 lane'!U67</f>
        <v>9.032407407407408E-4</v>
      </c>
      <c r="S67" s="879">
        <f>IF(R67=0,0,IF(R$6=0,0,IF(R67&lt;1,SUM((R67&gt;I67),(R67&gt;L67),(R67&gt;O67),(R67&gt;F67),(R67&gt;U67),(R67&gt;X67),(R67&gt;AA67),(R67&gt;AD67),(R67&gt;AG67),(R67&gt;BB67)))-$AJ67))</f>
        <v>3</v>
      </c>
      <c r="T67" s="879">
        <f>IF(R67=0,0,IF(R$6=0,0,IF(S67=0,0,((11-S67)))-$B$6))</f>
        <v>5</v>
      </c>
      <c r="U67" s="988">
        <f>'print 10 lane'!X67</f>
        <v>7.9201388888888898E-4</v>
      </c>
      <c r="V67" s="879">
        <f>IF(U67=0,0,IF(U$6=0,0,IF(U67&lt;1,SUM((U67&gt;I67),(U67&gt;L67),(U67&gt;O67),(U67&gt;R67),(U67&gt;F67),(U67&gt;X67),(U67&gt;AA67),(U67&gt;AD67),(U67&gt;AG67),(U67&gt;BB67)))-$AJ67))</f>
        <v>1</v>
      </c>
      <c r="W67" s="879">
        <f>IF(U67=0,0,IF(U$6=0,0,IF(V67=0,0,((11-V67)))-$B$6))</f>
        <v>7</v>
      </c>
      <c r="X67" s="988">
        <f>'print 10 lane'!AA67</f>
        <v>7.9988425925925919E-4</v>
      </c>
      <c r="Y67" s="879">
        <f>IF(X67=0,0,IF(X$6=0,0,IF(X67&lt;1,SUM((X67&gt;I67),(X67&gt;L67),(X67&gt;O67),(X67&gt;R67),(X67&gt;U67),(X67&gt;F67),(X67&gt;AA67),(X67&gt;AD67),(X67&gt;AG67),(X67&gt;BB67))))-$AJ67)</f>
        <v>2</v>
      </c>
      <c r="Z67" s="879">
        <f>IF(X67=0,0,IF(X$6=0,0,IF(Y67=0,0,((11-Y67)))-$B$6))</f>
        <v>6</v>
      </c>
      <c r="AA67" s="988">
        <f>'print 10 lane'!AD67</f>
        <v>0</v>
      </c>
      <c r="AB67" s="879">
        <f>IF(AA67=0,0,IF(AA$6=0,0,IF(AA67&lt;1,SUM((AA67&gt;I67),(AA67&gt;L67),(AA67&gt;O67),(AA67&gt;R67),(AA67&gt;U67),(AA67&gt;X67),(AA67&gt;AD67),(AA67&gt;AG67),(AA67&gt;F67),(AA67&gt;BB67)))-$AJ67))</f>
        <v>0</v>
      </c>
      <c r="AC67" s="989">
        <f>IF(AA67=0,0,IF(AA$6=0,0,IF(AB67=0,0,((11-AB67)))-$B$6))</f>
        <v>0</v>
      </c>
      <c r="AD67" s="990"/>
      <c r="AE67" s="881"/>
      <c r="AF67" s="881"/>
      <c r="AG67" s="880"/>
      <c r="AH67" s="881"/>
      <c r="AI67" s="882"/>
      <c r="AJ67" s="883">
        <f>COUNTBLANK(F613:O613)</f>
        <v>3</v>
      </c>
      <c r="BA67" s="837"/>
    </row>
    <row r="68" spans="2:53" ht="42" customHeight="1" x14ac:dyDescent="0.25">
      <c r="B68" s="1349"/>
      <c r="C68" s="1343"/>
      <c r="D68" s="1424"/>
      <c r="E68" s="1430"/>
      <c r="F68" s="1431" t="str">
        <f>'print 10 lane'!I68</f>
        <v>Yigit Ilhan</v>
      </c>
      <c r="G68" s="1431"/>
      <c r="H68" s="1431"/>
      <c r="I68" s="1431" t="str">
        <f>'print 10 lane'!L68</f>
        <v>James Winter</v>
      </c>
      <c r="J68" s="1431"/>
      <c r="K68" s="1431"/>
      <c r="L68" s="1431" t="str">
        <f>'print 10 lane'!O68</f>
        <v>Ryan Wimpenny</v>
      </c>
      <c r="M68" s="1431"/>
      <c r="N68" s="1431"/>
      <c r="O68" s="1431" t="str">
        <f>'print 10 lane'!R68</f>
        <v>Samuel Rosa</v>
      </c>
      <c r="P68" s="1431"/>
      <c r="Q68" s="1431"/>
      <c r="R68" s="1431" t="str">
        <f>'print 10 lane'!U68</f>
        <v>Liam Hurst</v>
      </c>
      <c r="S68" s="1431"/>
      <c r="T68" s="1431"/>
      <c r="U68" s="1431" t="str">
        <f>'print 10 lane'!X68</f>
        <v>Gert Zeqiri</v>
      </c>
      <c r="V68" s="1431"/>
      <c r="W68" s="1431"/>
      <c r="X68" s="1431" t="str">
        <f>'print 10 lane'!AA68</f>
        <v>Advay Bhatia</v>
      </c>
      <c r="Y68" s="1431"/>
      <c r="Z68" s="1431"/>
      <c r="AA68" s="1431" t="str">
        <f>'print 10 lane'!AD68</f>
        <v xml:space="preserve"> </v>
      </c>
      <c r="AB68" s="1431"/>
      <c r="AC68" s="1431"/>
      <c r="AD68" s="1426"/>
      <c r="AE68" s="1426"/>
      <c r="AF68" s="1426"/>
      <c r="AG68" s="1341"/>
      <c r="AH68" s="1341"/>
      <c r="AI68" s="1341"/>
      <c r="AJ68" s="883"/>
      <c r="BA68" s="837"/>
    </row>
    <row r="69" spans="2:53" ht="42" customHeight="1" x14ac:dyDescent="0.25">
      <c r="B69" s="1349"/>
      <c r="C69" s="1343"/>
      <c r="D69" s="1424"/>
      <c r="E69" s="997" t="s">
        <v>5086</v>
      </c>
      <c r="F69" s="1425">
        <f>'print 10 lane'!I69</f>
        <v>0</v>
      </c>
      <c r="G69" s="1425"/>
      <c r="H69" s="1425"/>
      <c r="I69" s="1425">
        <f>'print 10 lane'!L69</f>
        <v>0</v>
      </c>
      <c r="J69" s="1425"/>
      <c r="K69" s="1425"/>
      <c r="L69" s="1425">
        <f>'print 10 lane'!O69</f>
        <v>0</v>
      </c>
      <c r="M69" s="1425"/>
      <c r="N69" s="1425"/>
      <c r="O69" s="1425">
        <f>'print 10 lane'!R69</f>
        <v>0</v>
      </c>
      <c r="P69" s="1425"/>
      <c r="Q69" s="1425"/>
      <c r="R69" s="1425">
        <f>'print 10 lane'!U69</f>
        <v>0</v>
      </c>
      <c r="S69" s="1425"/>
      <c r="T69" s="1425"/>
      <c r="U69" s="1425">
        <f>'print 10 lane'!X69</f>
        <v>0</v>
      </c>
      <c r="V69" s="1425"/>
      <c r="W69" s="1425"/>
      <c r="X69" s="1425">
        <f>'print 10 lane'!AA69</f>
        <v>0</v>
      </c>
      <c r="Y69" s="1425"/>
      <c r="Z69" s="1425"/>
      <c r="AA69" s="1425">
        <f>'print 10 lane'!AD69</f>
        <v>0</v>
      </c>
      <c r="AB69" s="1425"/>
      <c r="AC69" s="1425"/>
      <c r="AD69" s="1428"/>
      <c r="AE69" s="1428"/>
      <c r="AF69" s="1428"/>
      <c r="AG69" s="1345"/>
      <c r="AH69" s="1345"/>
      <c r="AI69" s="1345"/>
      <c r="AJ69" s="883"/>
      <c r="BA69" s="837"/>
    </row>
    <row r="70" spans="2:53" ht="42" customHeight="1" x14ac:dyDescent="0.25">
      <c r="B70" s="1349">
        <v>23</v>
      </c>
      <c r="C70" s="1333" t="s">
        <v>5083</v>
      </c>
      <c r="D70" s="1424" t="s">
        <v>5092</v>
      </c>
      <c r="E70" s="1430" t="s">
        <v>5100</v>
      </c>
      <c r="F70" s="987">
        <f>'print 10 lane'!I70</f>
        <v>8.8113425925925913E-4</v>
      </c>
      <c r="G70" s="879">
        <f>IF(F70=0,0,IF(F$6=0,0,IF(F70&lt;1,SUM((F70&gt;I70),(F70&gt;L70),(F70&gt;O70),(F70&gt;R70),(F70&gt;U70),(F70&gt;X70),(F70&gt;AA70),(F70&gt;AD70),(F70&gt;AG70),(F70&gt;BB70)))-$AJ70))</f>
        <v>4</v>
      </c>
      <c r="H70" s="879">
        <f>IF(F70=0,0,IF(F$6=0,0,IF(G70=0,0,((11-G70)))-$B$6))</f>
        <v>4</v>
      </c>
      <c r="I70" s="988">
        <f>'print 10 lane'!L70</f>
        <v>9.0543981481481476E-4</v>
      </c>
      <c r="J70" s="879">
        <f>IF(I70=0,0,IF(I$6=0,0,IF(I70&lt;1,SUM((I70&gt;L70),(I70&gt;O70),(I70&gt;R70),(I70&gt;U70),(I70&gt;X70),(I70&gt;AA70),(I70&gt;F70),(I70&gt;AD70),(I70&gt;AG70),(I70&gt;BB70)))-$AJ70))</f>
        <v>5</v>
      </c>
      <c r="K70" s="879">
        <f>IF(I70=0,0,IF(I$6=0,0,IF(J70=0,0,((11-J70)))-$B$6))</f>
        <v>3</v>
      </c>
      <c r="L70" s="988">
        <f>'print 10 lane'!O70</f>
        <v>8.7824074074074063E-4</v>
      </c>
      <c r="M70" s="879">
        <f>IF(L70=0,0,IF(L$6=0,0,IF(L70&lt;1,SUM((L70&gt;I70),(L70&gt;F70),(L70&gt;O70),(L70&gt;R70),(L70&gt;U70),(L70&gt;X70),(L70&gt;AA70),(L70&gt;AD70),(L70&gt;AG70),(L70&gt;BB70)))-$AJ70))</f>
        <v>3</v>
      </c>
      <c r="N70" s="879">
        <f>IF(L70=0,0,IF(L$6=0,0,IF(M70=0,0,((11-M70)))-$B$6))</f>
        <v>5</v>
      </c>
      <c r="O70" s="988">
        <f>'print 10 lane'!R70</f>
        <v>9.1539351851851851E-4</v>
      </c>
      <c r="P70" s="879">
        <f>IF(O70=0,0,IF(O$6=0,0,IF(O70&lt;1,SUM((O70&gt;I70),(O70&gt;L70),(O70&gt;F70),(O70&gt;R70),(O70&gt;U70),(O70&gt;X70),(O70&gt;AA70),(O70&gt;AD70),(O70&gt;AG70),(O70&gt;BB70)))-$AJ70))</f>
        <v>6</v>
      </c>
      <c r="Q70" s="879">
        <f>IF(O70=0,0,IF(O$6=0,0,IF(P70=0,0,((11-P70)))-$B$6))</f>
        <v>2</v>
      </c>
      <c r="R70" s="988">
        <f>'print 10 lane'!U70</f>
        <v>8.155092592592592E-4</v>
      </c>
      <c r="S70" s="879">
        <f>IF(R70=0,0,IF(R$6=0,0,IF(R70&lt;1,SUM((R70&gt;I70),(R70&gt;L70),(R70&gt;O70),(R70&gt;F70),(R70&gt;U70),(R70&gt;X70),(R70&gt;AA70),(R70&gt;AD70),(R70&gt;AG70),(R70&gt;BB70)))-$AJ70))</f>
        <v>1</v>
      </c>
      <c r="T70" s="879">
        <f>IF(R70=0,0,IF(R$6=0,0,IF(S70=0,0,((11-S70)))-$B$6))</f>
        <v>7</v>
      </c>
      <c r="U70" s="988">
        <f>'print 10 lane'!X70</f>
        <v>9.3287037037037036E-4</v>
      </c>
      <c r="V70" s="879">
        <f>IF(U70=0,0,IF(U$6=0,0,IF(U70&lt;1,SUM((U70&gt;I70),(U70&gt;L70),(U70&gt;O70),(U70&gt;R70),(U70&gt;F70),(U70&gt;X70),(U70&gt;AA70),(U70&gt;AD70),(U70&gt;AG70),(U70&gt;BB70)))-$AJ70))</f>
        <v>7</v>
      </c>
      <c r="W70" s="879">
        <f>IF(U70=0,0,IF(U$6=0,0,IF(V70=0,0,((11-V70)))-$B$6))</f>
        <v>1</v>
      </c>
      <c r="X70" s="988">
        <f>'print 10 lane'!AA70</f>
        <v>8.5023148148148143E-4</v>
      </c>
      <c r="Y70" s="879">
        <f>IF(X70=0,0,IF(X$6=0,0,IF(X70&lt;1,SUM((X70&gt;I70),(X70&gt;L70),(X70&gt;O70),(X70&gt;R70),(X70&gt;U70),(X70&gt;F70),(X70&gt;AA70),(X70&gt;AD70),(X70&gt;AG70),(X70&gt;BB70))))-$AJ70)</f>
        <v>2</v>
      </c>
      <c r="Z70" s="879">
        <f>IF(X70=0,0,IF(X$6=0,0,IF(Y70=0,0,((11-Y70)))-$B$6))</f>
        <v>6</v>
      </c>
      <c r="AA70" s="988">
        <f>'print 10 lane'!AD70</f>
        <v>0</v>
      </c>
      <c r="AB70" s="879">
        <f>IF(AA70=0,0,IF(AA$6=0,0,IF(AA70&lt;1,SUM((AA70&gt;I70),(AA70&gt;L70),(AA70&gt;O70),(AA70&gt;R70),(AA70&gt;U70),(AA70&gt;X70),(AA70&gt;AD70),(AA70&gt;AG70),(AA70&gt;F70),(AA70&gt;BB70)))-$AJ70))</f>
        <v>0</v>
      </c>
      <c r="AC70" s="989">
        <f>IF(AA70=0,0,IF(AA$6=0,0,IF(AB70=0,0,((11-AB70)))-$B$6))</f>
        <v>0</v>
      </c>
      <c r="AD70" s="990"/>
      <c r="AE70" s="881"/>
      <c r="AF70" s="881"/>
      <c r="AG70" s="880"/>
      <c r="AH70" s="881"/>
      <c r="AI70" s="882"/>
      <c r="AJ70" s="883">
        <f>COUNTBLANK(F614:O614)</f>
        <v>3</v>
      </c>
      <c r="BA70" s="837"/>
    </row>
    <row r="71" spans="2:53" ht="42" customHeight="1" x14ac:dyDescent="0.25">
      <c r="B71" s="1349"/>
      <c r="C71" s="1333"/>
      <c r="D71" s="1424"/>
      <c r="E71" s="1430"/>
      <c r="F71" s="1431" t="str">
        <f>'print 10 lane'!I71</f>
        <v>Zoe Panayi</v>
      </c>
      <c r="G71" s="1431"/>
      <c r="H71" s="1431"/>
      <c r="I71" s="1431" t="str">
        <f>'print 10 lane'!L71</f>
        <v>Charlotte Lyon</v>
      </c>
      <c r="J71" s="1431"/>
      <c r="K71" s="1431"/>
      <c r="L71" s="1431" t="str">
        <f>'print 10 lane'!O71</f>
        <v>Hannah Lovelock</v>
      </c>
      <c r="M71" s="1431"/>
      <c r="N71" s="1431"/>
      <c r="O71" s="1431" t="str">
        <f>'print 10 lane'!R71</f>
        <v>Annabella Cojeen</v>
      </c>
      <c r="P71" s="1431"/>
      <c r="Q71" s="1431"/>
      <c r="R71" s="1431" t="str">
        <f>'print 10 lane'!U71</f>
        <v>Mia Macklin</v>
      </c>
      <c r="S71" s="1431"/>
      <c r="T71" s="1431"/>
      <c r="U71" s="1431" t="str">
        <f>'print 10 lane'!X71</f>
        <v>Crina Stefania  Bostan</v>
      </c>
      <c r="V71" s="1431"/>
      <c r="W71" s="1431"/>
      <c r="X71" s="1431" t="str">
        <f>'print 10 lane'!AA71</f>
        <v>Keira Brannigan</v>
      </c>
      <c r="Y71" s="1431"/>
      <c r="Z71" s="1431"/>
      <c r="AA71" s="1431" t="str">
        <f>'print 10 lane'!AD71</f>
        <v xml:space="preserve"> </v>
      </c>
      <c r="AB71" s="1431"/>
      <c r="AC71" s="1431"/>
      <c r="AD71" s="1426"/>
      <c r="AE71" s="1426"/>
      <c r="AF71" s="1426"/>
      <c r="AG71" s="1341"/>
      <c r="AH71" s="1341"/>
      <c r="AI71" s="1341"/>
      <c r="AJ71" s="883"/>
      <c r="BA71" s="837"/>
    </row>
    <row r="72" spans="2:53" ht="42" customHeight="1" x14ac:dyDescent="0.25">
      <c r="B72" s="1349"/>
      <c r="C72" s="1333"/>
      <c r="D72" s="1424"/>
      <c r="E72" s="997" t="s">
        <v>5086</v>
      </c>
      <c r="F72" s="1425">
        <f>'print 10 lane'!I72</f>
        <v>0</v>
      </c>
      <c r="G72" s="1425"/>
      <c r="H72" s="1425"/>
      <c r="I72" s="1425">
        <f>'print 10 lane'!L72</f>
        <v>0</v>
      </c>
      <c r="J72" s="1425"/>
      <c r="K72" s="1425"/>
      <c r="L72" s="1425">
        <f>'print 10 lane'!O72</f>
        <v>0</v>
      </c>
      <c r="M72" s="1425"/>
      <c r="N72" s="1425"/>
      <c r="O72" s="1425">
        <f>'print 10 lane'!R72</f>
        <v>0</v>
      </c>
      <c r="P72" s="1425"/>
      <c r="Q72" s="1425"/>
      <c r="R72" s="1425">
        <f>'print 10 lane'!U72</f>
        <v>0</v>
      </c>
      <c r="S72" s="1425"/>
      <c r="T72" s="1425"/>
      <c r="U72" s="1425">
        <f>'print 10 lane'!X72</f>
        <v>0</v>
      </c>
      <c r="V72" s="1425"/>
      <c r="W72" s="1425"/>
      <c r="X72" s="1425">
        <f>'print 10 lane'!AA72</f>
        <v>0</v>
      </c>
      <c r="Y72" s="1425"/>
      <c r="Z72" s="1425"/>
      <c r="AA72" s="1425">
        <f>'print 10 lane'!AD72</f>
        <v>0</v>
      </c>
      <c r="AB72" s="1425"/>
      <c r="AC72" s="1425"/>
      <c r="AD72" s="1428"/>
      <c r="AE72" s="1428"/>
      <c r="AF72" s="1428"/>
      <c r="AG72" s="1345"/>
      <c r="AH72" s="1345"/>
      <c r="AI72" s="1345"/>
      <c r="AJ72" s="883"/>
      <c r="BA72" s="837"/>
    </row>
    <row r="73" spans="2:53" ht="42" customHeight="1" x14ac:dyDescent="0.25">
      <c r="B73" s="1349">
        <v>24</v>
      </c>
      <c r="C73" s="1343" t="s">
        <v>5087</v>
      </c>
      <c r="D73" s="1424" t="s">
        <v>5092</v>
      </c>
      <c r="E73" s="1430" t="s">
        <v>5100</v>
      </c>
      <c r="F73" s="987">
        <f>'print 10 lane'!I73</f>
        <v>0</v>
      </c>
      <c r="G73" s="879">
        <f>IF(F73=0,0,IF(F$6=0,0,IF(F73&lt;1,SUM((F73&gt;I73),(F73&gt;L73),(F73&gt;O73),(F73&gt;R73),(F73&gt;U73),(F73&gt;X73),(F73&gt;AA73),(F73&gt;AD73),(F73&gt;AG73),(F73&gt;BB73)))-$AJ73))</f>
        <v>0</v>
      </c>
      <c r="H73" s="879">
        <f>IF(F73=0,0,IF(F$6=0,0,IF(G73=0,0,((11-G73)))-$B$6))</f>
        <v>0</v>
      </c>
      <c r="I73" s="988">
        <f>'print 10 lane'!L73</f>
        <v>9.9282407407407414E-4</v>
      </c>
      <c r="J73" s="879">
        <f>IF(I73=0,0,IF(I$6=0,0,IF(I73&lt;1,SUM((I73&gt;L73),(I73&gt;O73),(I73&gt;R73),(I73&gt;U73),(I73&gt;X73),(I73&gt;AA73),(I73&gt;F73),(I73&gt;AD73),(I73&gt;AG73),(I73&gt;BB73)))-$AJ73))</f>
        <v>6</v>
      </c>
      <c r="K73" s="879">
        <f>IF(I73=0,0,IF(I$6=0,0,IF(J73=0,0,((11-J73)))-$B$6))</f>
        <v>2</v>
      </c>
      <c r="L73" s="988">
        <f>'print 10 lane'!O73</f>
        <v>8.9733796296296295E-4</v>
      </c>
      <c r="M73" s="879">
        <f>IF(L73=0,0,IF(L$6=0,0,IF(L73&lt;1,SUM((L73&gt;I73),(L73&gt;F73),(L73&gt;O73),(L73&gt;R73),(L73&gt;U73),(L73&gt;X73),(L73&gt;AA73),(L73&gt;AD73),(L73&gt;AG73),(L73&gt;BB73)))-$AJ73))</f>
        <v>5</v>
      </c>
      <c r="N73" s="879">
        <f>IF(L73=0,0,IF(L$6=0,0,IF(M73=0,0,((11-M73)))-$B$6))</f>
        <v>3</v>
      </c>
      <c r="O73" s="988">
        <f>'print 10 lane'!R73</f>
        <v>7.7939814814814809E-4</v>
      </c>
      <c r="P73" s="879">
        <f>IF(O73=0,0,IF(O$6=0,0,IF(O73&lt;1,SUM((O73&gt;I73),(O73&gt;L73),(O73&gt;F73),(O73&gt;R73),(O73&gt;U73),(O73&gt;X73),(O73&gt;AA73),(O73&gt;AD73),(O73&gt;AG73),(O73&gt;BB73)))-$AJ73))</f>
        <v>3</v>
      </c>
      <c r="Q73" s="879">
        <f>IF(O73=0,0,IF(O$6=0,0,IF(P73=0,0,((11-P73)))-$B$6))</f>
        <v>5</v>
      </c>
      <c r="R73" s="988">
        <f>'print 10 lane'!U73</f>
        <v>7.0729166666666672E-4</v>
      </c>
      <c r="S73" s="879">
        <f>IF(R73=0,0,IF(R$6=0,0,IF(R73&lt;1,SUM((R73&gt;I73),(R73&gt;L73),(R73&gt;O73),(R73&gt;F73),(R73&gt;U73),(R73&gt;X73),(R73&gt;AA73),(R73&gt;AD73),(R73&gt;AG73),(R73&gt;BB73)))-$AJ73))</f>
        <v>1</v>
      </c>
      <c r="T73" s="879">
        <f>IF(R73=0,0,IF(R$6=0,0,IF(S73=0,0,((11-S73)))-$B$6))</f>
        <v>7</v>
      </c>
      <c r="U73" s="988">
        <f>'print 10 lane'!X73</f>
        <v>7.3865740740740749E-4</v>
      </c>
      <c r="V73" s="879">
        <f>IF(U73=0,0,IF(U$6=0,0,IF(U73&lt;1,SUM((U73&gt;I73),(U73&gt;L73),(U73&gt;O73),(U73&gt;R73),(U73&gt;F73),(U73&gt;X73),(U73&gt;AA73),(U73&gt;AD73),(U73&gt;AG73),(U73&gt;BB73)))-$AJ73))</f>
        <v>2</v>
      </c>
      <c r="W73" s="879">
        <f>IF(U73=0,0,IF(U$6=0,0,IF(V73=0,0,((11-V73)))-$B$6))</f>
        <v>6</v>
      </c>
      <c r="X73" s="988">
        <f>'print 10 lane'!AA73</f>
        <v>7.9444444444444452E-4</v>
      </c>
      <c r="Y73" s="879">
        <f>IF(X73=0,0,IF(X$6=0,0,IF(X73&lt;1,SUM((X73&gt;I73),(X73&gt;L73),(X73&gt;O73),(X73&gt;R73),(X73&gt;U73),(X73&gt;F73),(X73&gt;AA73),(X73&gt;AD73),(X73&gt;AG73),(X73&gt;BB73))))-$AJ73)</f>
        <v>4</v>
      </c>
      <c r="Z73" s="879">
        <f>IF(X73=0,0,IF(X$6=0,0,IF(Y73=0,0,((11-Y73)))-$B$6))</f>
        <v>4</v>
      </c>
      <c r="AA73" s="988">
        <f>'print 10 lane'!AD73</f>
        <v>0</v>
      </c>
      <c r="AB73" s="879">
        <f>IF(AA73=0,0,IF(AA$6=0,0,IF(AA73&lt;1,SUM((AA73&gt;I73),(AA73&gt;L73),(AA73&gt;O73),(AA73&gt;R73),(AA73&gt;U73),(AA73&gt;X73),(AA73&gt;AD73),(AA73&gt;AG73),(AA73&gt;F73),(AA73&gt;BB73)))-$AJ73))</f>
        <v>0</v>
      </c>
      <c r="AC73" s="989">
        <f>IF(AA73=0,0,IF(AA$6=0,0,IF(AB73=0,0,((11-AB73)))-$B$6))</f>
        <v>0</v>
      </c>
      <c r="AD73" s="990"/>
      <c r="AE73" s="881"/>
      <c r="AF73" s="881"/>
      <c r="AG73" s="880"/>
      <c r="AH73" s="881"/>
      <c r="AI73" s="882"/>
      <c r="AJ73" s="883">
        <f>COUNTBLANK(F615:O615)</f>
        <v>4</v>
      </c>
      <c r="BA73" s="837"/>
    </row>
    <row r="74" spans="2:53" ht="42" customHeight="1" x14ac:dyDescent="0.25">
      <c r="B74" s="1349"/>
      <c r="C74" s="1343"/>
      <c r="D74" s="1424"/>
      <c r="E74" s="1430"/>
      <c r="F74" s="1431" t="str">
        <f>'print 10 lane'!I74</f>
        <v xml:space="preserve"> </v>
      </c>
      <c r="G74" s="1431"/>
      <c r="H74" s="1431"/>
      <c r="I74" s="1431" t="str">
        <f>'print 10 lane'!L74</f>
        <v>Oliver Tubridy</v>
      </c>
      <c r="J74" s="1431"/>
      <c r="K74" s="1431"/>
      <c r="L74" s="1431" t="str">
        <f>'print 10 lane'!O74</f>
        <v>Alfie Bullock</v>
      </c>
      <c r="M74" s="1431"/>
      <c r="N74" s="1431"/>
      <c r="O74" s="1431" t="str">
        <f>'print 10 lane'!R74</f>
        <v>Rafi Gibson</v>
      </c>
      <c r="P74" s="1431"/>
      <c r="Q74" s="1431"/>
      <c r="R74" s="1431" t="str">
        <f>'print 10 lane'!U74</f>
        <v>Joshua Parker</v>
      </c>
      <c r="S74" s="1431"/>
      <c r="T74" s="1431"/>
      <c r="U74" s="1431" t="str">
        <f>'print 10 lane'!X74</f>
        <v xml:space="preserve">Owen  Roberts </v>
      </c>
      <c r="V74" s="1431"/>
      <c r="W74" s="1431"/>
      <c r="X74" s="1431" t="str">
        <f>'print 10 lane'!AA74</f>
        <v>Aaran Parmar</v>
      </c>
      <c r="Y74" s="1431"/>
      <c r="Z74" s="1431"/>
      <c r="AA74" s="1431" t="str">
        <f>'print 10 lane'!AD74</f>
        <v xml:space="preserve"> </v>
      </c>
      <c r="AB74" s="1431"/>
      <c r="AC74" s="1431"/>
      <c r="AD74" s="1426"/>
      <c r="AE74" s="1426"/>
      <c r="AF74" s="1426"/>
      <c r="AG74" s="1341"/>
      <c r="AH74" s="1341"/>
      <c r="AI74" s="1341"/>
      <c r="AJ74" s="883"/>
      <c r="BA74" s="837"/>
    </row>
    <row r="75" spans="2:53" ht="42" customHeight="1" x14ac:dyDescent="0.25">
      <c r="B75" s="1349"/>
      <c r="C75" s="1343"/>
      <c r="D75" s="1424"/>
      <c r="E75" s="997" t="s">
        <v>5086</v>
      </c>
      <c r="F75" s="1425" t="str">
        <f>'print 10 lane'!I75</f>
        <v>dns</v>
      </c>
      <c r="G75" s="1425"/>
      <c r="H75" s="1425"/>
      <c r="I75" s="1425">
        <f>'print 10 lane'!L75</f>
        <v>0</v>
      </c>
      <c r="J75" s="1425"/>
      <c r="K75" s="1425"/>
      <c r="L75" s="1425">
        <f>'print 10 lane'!O75</f>
        <v>0</v>
      </c>
      <c r="M75" s="1425"/>
      <c r="N75" s="1425"/>
      <c r="O75" s="1425">
        <f>'print 10 lane'!R75</f>
        <v>0</v>
      </c>
      <c r="P75" s="1425"/>
      <c r="Q75" s="1425"/>
      <c r="R75" s="1425">
        <f>'print 10 lane'!U75</f>
        <v>0</v>
      </c>
      <c r="S75" s="1425"/>
      <c r="T75" s="1425"/>
      <c r="U75" s="1425">
        <f>'print 10 lane'!X75</f>
        <v>0</v>
      </c>
      <c r="V75" s="1425"/>
      <c r="W75" s="1425"/>
      <c r="X75" s="1425">
        <f>'print 10 lane'!AA75</f>
        <v>0</v>
      </c>
      <c r="Y75" s="1425"/>
      <c r="Z75" s="1425"/>
      <c r="AA75" s="1425">
        <f>'print 10 lane'!AD75</f>
        <v>0</v>
      </c>
      <c r="AB75" s="1425"/>
      <c r="AC75" s="1425"/>
      <c r="AD75" s="1428"/>
      <c r="AE75" s="1428"/>
      <c r="AF75" s="1428"/>
      <c r="AG75" s="1345"/>
      <c r="AH75" s="1345"/>
      <c r="AI75" s="1345"/>
      <c r="AJ75" s="883"/>
      <c r="BA75" s="837"/>
    </row>
    <row r="76" spans="2:53" ht="42" customHeight="1" x14ac:dyDescent="0.25">
      <c r="B76" s="1349">
        <v>25</v>
      </c>
      <c r="C76" s="1333" t="s">
        <v>5083</v>
      </c>
      <c r="D76" s="1424" t="s">
        <v>5093</v>
      </c>
      <c r="E76" s="1430" t="s">
        <v>5099</v>
      </c>
      <c r="F76" s="987">
        <f>'print 10 lane'!I76</f>
        <v>9.5601851851851848E-4</v>
      </c>
      <c r="G76" s="879">
        <f>IF(F76=0,0,IF(F$6=0,0,IF(F76&lt;1,SUM((F76&gt;I76),(F76&gt;L76),(F76&gt;O76),(F76&gt;R76),(F76&gt;U76),(F76&gt;X76),(F76&gt;AA76),(F76&gt;AD76),(F76&gt;AG76),(F76&gt;BB76)))-$AJ76))</f>
        <v>7</v>
      </c>
      <c r="H76" s="879">
        <f>IF(F76=0,0,IF(F$6=0,0,IF(G76=0,0,((11-G76)))-$B$6))</f>
        <v>1</v>
      </c>
      <c r="I76" s="988">
        <f>'print 10 lane'!L76</f>
        <v>8.688657407407408E-4</v>
      </c>
      <c r="J76" s="879">
        <f>IF(I76=0,0,IF(I$6=0,0,IF(I76&lt;1,SUM((I76&gt;L76),(I76&gt;O76),(I76&gt;R76),(I76&gt;U76),(I76&gt;X76),(I76&gt;AA76),(I76&gt;F76),(I76&gt;AD76),(I76&gt;AG76),(I76&gt;BB76)))-$AJ76))</f>
        <v>4</v>
      </c>
      <c r="K76" s="879">
        <f>IF(I76=0,0,IF(I$6=0,0,IF(J76=0,0,((11-J76)))-$B$6))</f>
        <v>4</v>
      </c>
      <c r="L76" s="988">
        <f>'print 10 lane'!O76</f>
        <v>8.9016203703703707E-4</v>
      </c>
      <c r="M76" s="879">
        <f>IF(L76=0,0,IF(L$6=0,0,IF(L76&lt;1,SUM((L76&gt;I76),(L76&gt;F76),(L76&gt;O76),(L76&gt;R76),(L76&gt;U76),(L76&gt;X76),(L76&gt;AA76),(L76&gt;AD76),(L76&gt;AG76),(L76&gt;BB76)))-$AJ76))</f>
        <v>5</v>
      </c>
      <c r="N76" s="879">
        <f>IF(L76=0,0,IF(L$6=0,0,IF(M76=0,0,((11-M76)))-$B$6))</f>
        <v>3</v>
      </c>
      <c r="O76" s="988">
        <f>'print 10 lane'!R76</f>
        <v>7.8784722222222233E-4</v>
      </c>
      <c r="P76" s="879">
        <f>IF(O76=0,0,IF(O$6=0,0,IF(O76&lt;1,SUM((O76&gt;I76),(O76&gt;L76),(O76&gt;F76),(O76&gt;R76),(O76&gt;U76),(O76&gt;X76),(O76&gt;AA76),(O76&gt;AD76),(O76&gt;AG76),(O76&gt;BB76)))-$AJ76))</f>
        <v>1</v>
      </c>
      <c r="Q76" s="879">
        <f>IF(O76=0,0,IF(O$6=0,0,IF(P76=0,0,((11-P76)))-$B$6))</f>
        <v>7</v>
      </c>
      <c r="R76" s="988">
        <f>'print 10 lane'!U76</f>
        <v>8.3194444444444451E-4</v>
      </c>
      <c r="S76" s="879">
        <f>IF(R76=0,0,IF(R$6=0,0,IF(R76&lt;1,SUM((R76&gt;I76),(R76&gt;L76),(R76&gt;O76),(R76&gt;F76),(R76&gt;U76),(R76&gt;X76),(R76&gt;AA76),(R76&gt;AD76),(R76&gt;AG76),(R76&gt;BB76)))-$AJ76))</f>
        <v>2</v>
      </c>
      <c r="T76" s="879">
        <f>IF(R76=0,0,IF(R$6=0,0,IF(S76=0,0,((11-S76)))-$B$6))</f>
        <v>6</v>
      </c>
      <c r="U76" s="988">
        <f>'print 10 lane'!X76</f>
        <v>9.0694444444444449E-4</v>
      </c>
      <c r="V76" s="879">
        <f>IF(U76=0,0,IF(U$6=0,0,IF(U76&lt;1,SUM((U76&gt;I76),(U76&gt;L76),(U76&gt;O76),(U76&gt;R76),(U76&gt;F76),(U76&gt;X76),(U76&gt;AA76),(U76&gt;AD76),(U76&gt;AG76),(U76&gt;BB76)))-$AJ76))</f>
        <v>6</v>
      </c>
      <c r="W76" s="879">
        <f>IF(U76=0,0,IF(U$6=0,0,IF(V76=0,0,((11-V76)))-$B$6))</f>
        <v>2</v>
      </c>
      <c r="X76" s="988">
        <f>'print 10 lane'!AA76</f>
        <v>8.4166666666666667E-4</v>
      </c>
      <c r="Y76" s="879">
        <f>IF(X76=0,0,IF(X$6=0,0,IF(X76&lt;1,SUM((X76&gt;I76),(X76&gt;L76),(X76&gt;O76),(X76&gt;R76),(X76&gt;U76),(X76&gt;F76),(X76&gt;AA76),(X76&gt;AD76),(X76&gt;AG76),(X76&gt;BB76))))-$AJ76)</f>
        <v>3</v>
      </c>
      <c r="Z76" s="879">
        <f>IF(X76=0,0,IF(X$6=0,0,IF(Y76=0,0,((11-Y76)))-$B$6))</f>
        <v>5</v>
      </c>
      <c r="AA76" s="988">
        <f>'print 10 lane'!AD76</f>
        <v>0</v>
      </c>
      <c r="AB76" s="879">
        <f>IF(AA76=0,0,IF(AA$6=0,0,IF(AA76&lt;1,SUM((AA76&gt;I76),(AA76&gt;L76),(AA76&gt;O76),(AA76&gt;R76),(AA76&gt;U76),(AA76&gt;X76),(AA76&gt;AD76),(AA76&gt;AG76),(AA76&gt;F76),(AA76&gt;BB76)))-$AJ76))</f>
        <v>0</v>
      </c>
      <c r="AC76" s="989">
        <f>IF(AA76=0,0,IF(AA$6=0,0,IF(AB76=0,0,((11-AB76)))-$B$6))</f>
        <v>0</v>
      </c>
      <c r="AD76" s="990"/>
      <c r="AE76" s="881"/>
      <c r="AF76" s="881"/>
      <c r="AG76" s="880"/>
      <c r="AH76" s="881"/>
      <c r="AI76" s="882"/>
      <c r="AJ76" s="883">
        <f>COUNTBLANK(F616:O616)</f>
        <v>3</v>
      </c>
      <c r="BA76" s="837"/>
    </row>
    <row r="77" spans="2:53" ht="42" customHeight="1" x14ac:dyDescent="0.25">
      <c r="B77" s="1349"/>
      <c r="C77" s="1333"/>
      <c r="D77" s="1424"/>
      <c r="E77" s="1430"/>
      <c r="F77" s="1431" t="str">
        <f>'print 10 lane'!I77</f>
        <v>Isabel Spyrou</v>
      </c>
      <c r="G77" s="1431"/>
      <c r="H77" s="1431"/>
      <c r="I77" s="1431" t="str">
        <f>'print 10 lane'!L77</f>
        <v>Sophie Lyon</v>
      </c>
      <c r="J77" s="1431"/>
      <c r="K77" s="1431"/>
      <c r="L77" s="1431" t="str">
        <f>'print 10 lane'!O77</f>
        <v>Grace Sofokleous-Ames</v>
      </c>
      <c r="M77" s="1431"/>
      <c r="N77" s="1431"/>
      <c r="O77" s="1431" t="str">
        <f>'print 10 lane'!R77</f>
        <v>Megan Johnson</v>
      </c>
      <c r="P77" s="1431"/>
      <c r="Q77" s="1431"/>
      <c r="R77" s="1431" t="str">
        <f>'print 10 lane'!U77</f>
        <v>Isabelle Talbot</v>
      </c>
      <c r="S77" s="1431"/>
      <c r="T77" s="1431"/>
      <c r="U77" s="1431" t="str">
        <f>'print 10 lane'!X77</f>
        <v>Hannah Barrios</v>
      </c>
      <c r="V77" s="1431"/>
      <c r="W77" s="1431"/>
      <c r="X77" s="1431" t="str">
        <f>'print 10 lane'!AA77</f>
        <v>Kayla Van Zyl</v>
      </c>
      <c r="Y77" s="1431"/>
      <c r="Z77" s="1431"/>
      <c r="AA77" s="1431" t="str">
        <f>'print 10 lane'!AD77</f>
        <v xml:space="preserve"> </v>
      </c>
      <c r="AB77" s="1431"/>
      <c r="AC77" s="1431"/>
      <c r="AD77" s="1426"/>
      <c r="AE77" s="1426"/>
      <c r="AF77" s="1426"/>
      <c r="AG77" s="1341"/>
      <c r="AH77" s="1341"/>
      <c r="AI77" s="1341"/>
      <c r="AJ77" s="883"/>
      <c r="BA77" s="837"/>
    </row>
    <row r="78" spans="2:53" ht="42" customHeight="1" x14ac:dyDescent="0.25">
      <c r="B78" s="1349"/>
      <c r="C78" s="1333"/>
      <c r="D78" s="1424"/>
      <c r="E78" s="997" t="s">
        <v>5086</v>
      </c>
      <c r="F78" s="1425">
        <f>'print 10 lane'!I78</f>
        <v>0</v>
      </c>
      <c r="G78" s="1425"/>
      <c r="H78" s="1425"/>
      <c r="I78" s="1425">
        <f>'print 10 lane'!L78</f>
        <v>0</v>
      </c>
      <c r="J78" s="1425"/>
      <c r="K78" s="1425"/>
      <c r="L78" s="1425">
        <f>'print 10 lane'!O78</f>
        <v>0</v>
      </c>
      <c r="M78" s="1425"/>
      <c r="N78" s="1425"/>
      <c r="O78" s="1425">
        <f>'print 10 lane'!R78</f>
        <v>0</v>
      </c>
      <c r="P78" s="1425"/>
      <c r="Q78" s="1425"/>
      <c r="R78" s="1425">
        <f>'print 10 lane'!U78</f>
        <v>0</v>
      </c>
      <c r="S78" s="1425"/>
      <c r="T78" s="1425"/>
      <c r="U78" s="1425">
        <f>'print 10 lane'!X78</f>
        <v>0</v>
      </c>
      <c r="V78" s="1425"/>
      <c r="W78" s="1425"/>
      <c r="X78" s="1425">
        <f>'print 10 lane'!AA78</f>
        <v>0</v>
      </c>
      <c r="Y78" s="1425"/>
      <c r="Z78" s="1425"/>
      <c r="AA78" s="1425">
        <f>'print 10 lane'!AD78</f>
        <v>0</v>
      </c>
      <c r="AB78" s="1425"/>
      <c r="AC78" s="1425"/>
      <c r="AD78" s="1428"/>
      <c r="AE78" s="1428"/>
      <c r="AF78" s="1428"/>
      <c r="AG78" s="1345"/>
      <c r="AH78" s="1345"/>
      <c r="AI78" s="1345"/>
      <c r="AJ78" s="883"/>
      <c r="BA78" s="837"/>
    </row>
    <row r="79" spans="2:53" ht="42" customHeight="1" x14ac:dyDescent="0.25">
      <c r="B79" s="1349">
        <v>26</v>
      </c>
      <c r="C79" s="1343" t="s">
        <v>5087</v>
      </c>
      <c r="D79" s="1424" t="s">
        <v>5093</v>
      </c>
      <c r="E79" s="1430" t="s">
        <v>5099</v>
      </c>
      <c r="F79" s="987">
        <f>'print 10 lane'!I79</f>
        <v>8.2303240740740741E-4</v>
      </c>
      <c r="G79" s="879">
        <f>IF(F79=0,0,IF(F$6=0,0,IF(F79&lt;1,SUM((F79&gt;I79),(F79&gt;L79),(F79&gt;O79),(F79&gt;R79),(F79&gt;U79),(F79&gt;X79),(F79&gt;AA79),(F79&gt;AD79),(F79&gt;AG79),(F79&gt;BB79)))-$AJ79))</f>
        <v>6</v>
      </c>
      <c r="H79" s="879">
        <f>IF(F79=0,0,IF(F$6=0,0,IF(G79=0,0,((11-G79)))-$B$6))</f>
        <v>2</v>
      </c>
      <c r="I79" s="988">
        <f>'print 10 lane'!L79</f>
        <v>7.9606481481481466E-4</v>
      </c>
      <c r="J79" s="879">
        <f>IF(I79=0,0,IF(I$6=0,0,IF(I79&lt;1,SUM((I79&gt;L79),(I79&gt;O79),(I79&gt;R79),(I79&gt;U79),(I79&gt;X79),(I79&gt;AA79),(I79&gt;F79),(I79&gt;AD79),(I79&gt;AG79),(I79&gt;BB79)))-$AJ79))</f>
        <v>4</v>
      </c>
      <c r="K79" s="879">
        <f>IF(I79=0,0,IF(I$6=0,0,IF(J79=0,0,((11-J79)))-$B$6))</f>
        <v>4</v>
      </c>
      <c r="L79" s="988">
        <f>'print 10 lane'!O79</f>
        <v>0</v>
      </c>
      <c r="M79" s="879">
        <f>IF(L79=0,0,IF(L$6=0,0,IF(L79&lt;1,SUM((L79&gt;I79),(L79&gt;F79),(L79&gt;O79),(L79&gt;R79),(L79&gt;U79),(L79&gt;X79),(L79&gt;AA79),(L79&gt;AD79),(L79&gt;AG79),(L79&gt;BB79)))-$AJ79))</f>
        <v>0</v>
      </c>
      <c r="N79" s="879">
        <f>IF(L79=0,0,IF(L$6=0,0,IF(M79=0,0,((11-M79)))-$B$6))</f>
        <v>0</v>
      </c>
      <c r="O79" s="988">
        <f>'print 10 lane'!R79</f>
        <v>7.1481481481481483E-4</v>
      </c>
      <c r="P79" s="879">
        <f>IF(O79=0,0,IF(O$6=0,0,IF(O79&lt;1,SUM((O79&gt;I79),(O79&gt;L79),(O79&gt;F79),(O79&gt;R79),(O79&gt;U79),(O79&gt;X79),(O79&gt;AA79),(O79&gt;AD79),(O79&gt;AG79),(O79&gt;BB79)))-$AJ79))</f>
        <v>1</v>
      </c>
      <c r="Q79" s="879">
        <f>IF(O79=0,0,IF(O$6=0,0,IF(P79=0,0,((11-P79)))-$B$6))</f>
        <v>7</v>
      </c>
      <c r="R79" s="988">
        <f>'print 10 lane'!U79</f>
        <v>7.6111111111111117E-4</v>
      </c>
      <c r="S79" s="879">
        <f>IF(R79=0,0,IF(R$6=0,0,IF(R79&lt;1,SUM((R79&gt;I79),(R79&gt;L79),(R79&gt;O79),(R79&gt;F79),(R79&gt;U79),(R79&gt;X79),(R79&gt;AA79),(R79&gt;AD79),(R79&gt;AG79),(R79&gt;BB79)))-$AJ79))</f>
        <v>2</v>
      </c>
      <c r="T79" s="879">
        <f>IF(R79=0,0,IF(R$6=0,0,IF(S79=0,0,((11-S79)))-$B$6))</f>
        <v>6</v>
      </c>
      <c r="U79" s="988">
        <f>'print 10 lane'!X79</f>
        <v>7.7326388888888887E-4</v>
      </c>
      <c r="V79" s="879">
        <f>IF(U79=0,0,IF(U$6=0,0,IF(U79&lt;1,SUM((U79&gt;I79),(U79&gt;L79),(U79&gt;O79),(U79&gt;R79),(U79&gt;F79),(U79&gt;X79),(U79&gt;AA79),(U79&gt;AD79),(U79&gt;AG79),(U79&gt;BB79)))-$AJ79))</f>
        <v>3</v>
      </c>
      <c r="W79" s="879">
        <f>IF(U79=0,0,IF(U$6=0,0,IF(V79=0,0,((11-V79)))-$B$6))</f>
        <v>5</v>
      </c>
      <c r="X79" s="988">
        <f>'print 10 lane'!AA79</f>
        <v>8.189814814814814E-4</v>
      </c>
      <c r="Y79" s="879">
        <f>IF(X79=0,0,IF(X$6=0,0,IF(X79&lt;1,SUM((X79&gt;I79),(X79&gt;L79),(X79&gt;O79),(X79&gt;R79),(X79&gt;U79),(X79&gt;F79),(X79&gt;AA79),(X79&gt;AD79),(X79&gt;AG79),(X79&gt;BB79))))-$AJ79)</f>
        <v>5</v>
      </c>
      <c r="Z79" s="879">
        <f>IF(X79=0,0,IF(X$6=0,0,IF(Y79=0,0,((11-Y79)))-$B$6))</f>
        <v>3</v>
      </c>
      <c r="AA79" s="988">
        <f>'print 10 lane'!AD79</f>
        <v>0</v>
      </c>
      <c r="AB79" s="879">
        <f>IF(AA79=0,0,IF(AA$6=0,0,IF(AA79&lt;1,SUM((AA79&gt;I79),(AA79&gt;L79),(AA79&gt;O79),(AA79&gt;R79),(AA79&gt;U79),(AA79&gt;X79),(AA79&gt;AD79),(AA79&gt;AG79),(AA79&gt;F79),(AA79&gt;BB79)))-$AJ79))</f>
        <v>0</v>
      </c>
      <c r="AC79" s="989">
        <f>IF(AA79=0,0,IF(AA$6=0,0,IF(AB79=0,0,((11-AB79)))-$B$6))</f>
        <v>0</v>
      </c>
      <c r="AD79" s="990"/>
      <c r="AE79" s="881"/>
      <c r="AF79" s="881"/>
      <c r="AG79" s="880"/>
      <c r="AH79" s="881"/>
      <c r="AI79" s="882"/>
      <c r="AJ79" s="883">
        <f>COUNTBLANK(F617:O617)</f>
        <v>4</v>
      </c>
      <c r="BA79" s="837"/>
    </row>
    <row r="80" spans="2:53" ht="42" customHeight="1" x14ac:dyDescent="0.25">
      <c r="B80" s="1349"/>
      <c r="C80" s="1343"/>
      <c r="D80" s="1424"/>
      <c r="E80" s="1430"/>
      <c r="F80" s="1431" t="str">
        <f>'print 10 lane'!I80</f>
        <v>James Smeaton</v>
      </c>
      <c r="G80" s="1431"/>
      <c r="H80" s="1431"/>
      <c r="I80" s="1431" t="str">
        <f>'print 10 lane'!L80</f>
        <v>Matthew Costello</v>
      </c>
      <c r="J80" s="1431"/>
      <c r="K80" s="1431"/>
      <c r="L80" s="1431" t="str">
        <f>'print 10 lane'!O80</f>
        <v>Charlie Cropley</v>
      </c>
      <c r="M80" s="1431"/>
      <c r="N80" s="1431"/>
      <c r="O80" s="1431" t="str">
        <f>'print 10 lane'!R80</f>
        <v>Matthew Masters</v>
      </c>
      <c r="P80" s="1431"/>
      <c r="Q80" s="1431"/>
      <c r="R80" s="1431" t="str">
        <f>'print 10 lane'!U80</f>
        <v>Jamie Hartnup</v>
      </c>
      <c r="S80" s="1431"/>
      <c r="T80" s="1431"/>
      <c r="U80" s="1431" t="str">
        <f>'print 10 lane'!X80</f>
        <v>Owen Roberts</v>
      </c>
      <c r="V80" s="1431"/>
      <c r="W80" s="1431"/>
      <c r="X80" s="1431" t="str">
        <f>'print 10 lane'!AA80</f>
        <v>Tsz Kwai Chan</v>
      </c>
      <c r="Y80" s="1431"/>
      <c r="Z80" s="1431"/>
      <c r="AA80" s="1431" t="str">
        <f>'print 10 lane'!AD80</f>
        <v xml:space="preserve"> </v>
      </c>
      <c r="AB80" s="1431"/>
      <c r="AC80" s="1431"/>
      <c r="AD80" s="1426"/>
      <c r="AE80" s="1426"/>
      <c r="AF80" s="1426"/>
      <c r="AG80" s="1341"/>
      <c r="AH80" s="1341"/>
      <c r="AI80" s="1341"/>
      <c r="AJ80" s="883"/>
      <c r="BA80" s="837"/>
    </row>
    <row r="81" spans="2:53" ht="42" customHeight="1" x14ac:dyDescent="0.25">
      <c r="B81" s="1349"/>
      <c r="C81" s="1343"/>
      <c r="D81" s="1424"/>
      <c r="E81" s="997" t="s">
        <v>5086</v>
      </c>
      <c r="F81" s="1425">
        <f>'print 10 lane'!I81</f>
        <v>0</v>
      </c>
      <c r="G81" s="1425"/>
      <c r="H81" s="1425"/>
      <c r="I81" s="1425">
        <f>'print 10 lane'!L81</f>
        <v>0</v>
      </c>
      <c r="J81" s="1425"/>
      <c r="K81" s="1425"/>
      <c r="L81" s="1425" t="str">
        <f>'print 10 lane'!O81</f>
        <v>6.4 did not immediately initiate turn</v>
      </c>
      <c r="M81" s="1425"/>
      <c r="N81" s="1425"/>
      <c r="O81" s="1425">
        <f>'print 10 lane'!R81</f>
        <v>0</v>
      </c>
      <c r="P81" s="1425"/>
      <c r="Q81" s="1425"/>
      <c r="R81" s="1425">
        <f>'print 10 lane'!U81</f>
        <v>0</v>
      </c>
      <c r="S81" s="1425"/>
      <c r="T81" s="1425"/>
      <c r="U81" s="1425">
        <f>'print 10 lane'!X81</f>
        <v>0</v>
      </c>
      <c r="V81" s="1425"/>
      <c r="W81" s="1425"/>
      <c r="X81" s="1425">
        <f>'print 10 lane'!AA81</f>
        <v>0</v>
      </c>
      <c r="Y81" s="1425"/>
      <c r="Z81" s="1425"/>
      <c r="AA81" s="1425">
        <f>'print 10 lane'!AD81</f>
        <v>0</v>
      </c>
      <c r="AB81" s="1425"/>
      <c r="AC81" s="1425"/>
      <c r="AD81" s="1428"/>
      <c r="AE81" s="1428"/>
      <c r="AF81" s="1428"/>
      <c r="AG81" s="1345"/>
      <c r="AH81" s="1345"/>
      <c r="AI81" s="1345"/>
      <c r="AJ81" s="883"/>
      <c r="BA81" s="837"/>
    </row>
    <row r="82" spans="2:53" ht="42" customHeight="1" x14ac:dyDescent="0.25">
      <c r="B82" s="1349">
        <v>27</v>
      </c>
      <c r="C82" s="1333" t="s">
        <v>5083</v>
      </c>
      <c r="D82" s="1429" t="s">
        <v>5094</v>
      </c>
      <c r="E82" s="1430" t="s">
        <v>5102</v>
      </c>
      <c r="F82" s="987">
        <f>'print 10 lane'!I82</f>
        <v>5.8287037037037042E-4</v>
      </c>
      <c r="G82" s="879">
        <f>IF(F82=0,0,IF(F$6=0,0,IF(F82&lt;1,SUM((F82&gt;I82),(F82&gt;L82),(F82&gt;O82),(F82&gt;R82),(F82&gt;U82),(F82&gt;X82),(F82&gt;AA82),(F82&gt;AD82),(F82&gt;AG82),(F82&gt;BB82)))-$AJ82))</f>
        <v>5</v>
      </c>
      <c r="H82" s="879">
        <f>IF(F82=0,0,IF(F$6=0,0,IF(G82=0,0,((11-G82)))-$B$6))</f>
        <v>3</v>
      </c>
      <c r="I82" s="988">
        <f>'print 10 lane'!L82</f>
        <v>6.0682870370370372E-4</v>
      </c>
      <c r="J82" s="879">
        <f>IF(I82=0,0,IF(I$6=0,0,IF(I82&lt;1,SUM((I82&gt;L82),(I82&gt;O82),(I82&gt;R82),(I82&gt;U82),(I82&gt;X82),(I82&gt;AA82),(I82&gt;F82),(I82&gt;AD82),(I82&gt;AG82),(I82&gt;BB82)))-$AJ82))</f>
        <v>6</v>
      </c>
      <c r="K82" s="879">
        <f>IF(I82=0,0,IF(I$6=0,0,IF(J82=0,0,((11-J82)))-$B$6))</f>
        <v>2</v>
      </c>
      <c r="L82" s="988">
        <f>'print 10 lane'!O82</f>
        <v>0</v>
      </c>
      <c r="M82" s="879">
        <f>IF(L82=0,0,IF(L$6=0,0,IF(L82&lt;1,SUM((L82&gt;I82),(L82&gt;F82),(L82&gt;O82),(L82&gt;R82),(L82&gt;U82),(L82&gt;X82),(L82&gt;AA82),(L82&gt;AD82),(L82&gt;AG82),(L82&gt;BB82)))-$AJ82))</f>
        <v>0</v>
      </c>
      <c r="N82" s="879">
        <f>IF(L82=0,0,IF(L$6=0,0,IF(M82=0,0,((11-M82)))-$B$6))</f>
        <v>0</v>
      </c>
      <c r="O82" s="988">
        <f>'print 10 lane'!R82</f>
        <v>5.7696759259259257E-4</v>
      </c>
      <c r="P82" s="879">
        <f>IF(O82=0,0,IF(O$6=0,0,IF(O82&lt;1,SUM((O82&gt;I82),(O82&gt;L82),(O82&gt;F82),(O82&gt;R82),(O82&gt;U82),(O82&gt;X82),(O82&gt;AA82),(O82&gt;AD82),(O82&gt;AG82),(O82&gt;BB82)))-$AJ82))</f>
        <v>1</v>
      </c>
      <c r="Q82" s="879">
        <f>IF(O82=0,0,IF(O$6=0,0,IF(P82=0,0,((11-P82)))-$B$6))</f>
        <v>7</v>
      </c>
      <c r="R82" s="988">
        <f>'print 10 lane'!U82</f>
        <v>5.8101851851851858E-4</v>
      </c>
      <c r="S82" s="879">
        <f>IF(R82=0,0,IF(R$6=0,0,IF(R82&lt;1,SUM((R82&gt;I82),(R82&gt;L82),(R82&gt;O82),(R82&gt;F82),(R82&gt;U82),(R82&gt;X82),(R82&gt;AA82),(R82&gt;AD82),(R82&gt;AG82),(R82&gt;BB82)))-$AJ82))</f>
        <v>4</v>
      </c>
      <c r="T82" s="879">
        <f>IF(R82=0,0,IF(R$6=0,0,IF(S82=0,0,((11-S82)))-$B$6))</f>
        <v>4</v>
      </c>
      <c r="U82" s="988">
        <f>'print 10 lane'!X82</f>
        <v>5.8090277777777773E-4</v>
      </c>
      <c r="V82" s="879">
        <f>IF(U82=0,0,IF(U$6=0,0,IF(U82&lt;1,SUM((U82&gt;I82),(U82&gt;L82),(U82&gt;O82),(U82&gt;R82),(U82&gt;F82),(U82&gt;X82),(U82&gt;AA82),(U82&gt;AD82),(U82&gt;AG82),(U82&gt;BB82)))-$AJ82))</f>
        <v>3</v>
      </c>
      <c r="W82" s="879">
        <f>IF(U82=0,0,IF(U$6=0,0,IF(V82=0,0,((11-V82)))-$B$6))</f>
        <v>5</v>
      </c>
      <c r="X82" s="988">
        <f>'print 10 lane'!AA82</f>
        <v>5.8032407407407414E-4</v>
      </c>
      <c r="Y82" s="879">
        <f>IF(X82=0,0,IF(X$6=0,0,IF(X82&lt;1,SUM((X82&gt;I82),(X82&gt;L82),(X82&gt;O82),(X82&gt;R82),(X82&gt;U82),(X82&gt;F82),(X82&gt;AA82),(X82&gt;AD82),(X82&gt;AG82),(X82&gt;BB82))))-$AJ82)</f>
        <v>2</v>
      </c>
      <c r="Z82" s="879">
        <f>IF(X82=0,0,IF(X$6=0,0,IF(Y82=0,0,((11-Y82)))-$B$6))</f>
        <v>6</v>
      </c>
      <c r="AA82" s="988">
        <f>'print 10 lane'!AD82</f>
        <v>0</v>
      </c>
      <c r="AB82" s="879">
        <f>IF(AA82=0,0,IF(AA$6=0,0,IF(AA82&lt;1,SUM((AA82&gt;I82),(AA82&gt;L82),(AA82&gt;O82),(AA82&gt;R82),(AA82&gt;U82),(AA82&gt;X82),(AA82&gt;AD82),(AA82&gt;AG82),(AA82&gt;F82),(AA82&gt;BB82)))-$AJ82))</f>
        <v>0</v>
      </c>
      <c r="AC82" s="989">
        <f>IF(AA82=0,0,IF(AA$6=0,0,IF(AB82=0,0,((11-AB82)))-$B$6))</f>
        <v>0</v>
      </c>
      <c r="AD82" s="990"/>
      <c r="AE82" s="881"/>
      <c r="AF82" s="881"/>
      <c r="AG82" s="880"/>
      <c r="AH82" s="881"/>
      <c r="AI82" s="882"/>
      <c r="AJ82" s="883">
        <f>COUNTBLANK(F618:O618)</f>
        <v>4</v>
      </c>
      <c r="BA82" s="837"/>
    </row>
    <row r="83" spans="2:53" ht="42" customHeight="1" x14ac:dyDescent="0.25">
      <c r="B83" s="1349"/>
      <c r="C83" s="1333"/>
      <c r="D83" s="1429"/>
      <c r="E83" s="1430"/>
      <c r="F83" s="1431" t="str">
        <f>'print 10 lane'!I83</f>
        <v>Ines Puente</v>
      </c>
      <c r="G83" s="1431"/>
      <c r="H83" s="1431"/>
      <c r="I83" s="1431" t="str">
        <f>'print 10 lane'!L83</f>
        <v>Seren Cooper</v>
      </c>
      <c r="J83" s="1431"/>
      <c r="K83" s="1431"/>
      <c r="L83" s="1431" t="str">
        <f>'print 10 lane'!O83</f>
        <v>Hannah Jounor</v>
      </c>
      <c r="M83" s="1431"/>
      <c r="N83" s="1431"/>
      <c r="O83" s="1431" t="str">
        <f>'print 10 lane'!R83</f>
        <v>Mia Zubcevic</v>
      </c>
      <c r="P83" s="1431"/>
      <c r="Q83" s="1431"/>
      <c r="R83" s="1431" t="str">
        <f>'print 10 lane'!U83</f>
        <v>Caoife Long</v>
      </c>
      <c r="S83" s="1431"/>
      <c r="T83" s="1431"/>
      <c r="U83" s="1431" t="str">
        <f>'print 10 lane'!X83</f>
        <v>Miraya  Patel</v>
      </c>
      <c r="V83" s="1431"/>
      <c r="W83" s="1431"/>
      <c r="X83" s="1431" t="str">
        <f>'print 10 lane'!AA83</f>
        <v>Lara Shah</v>
      </c>
      <c r="Y83" s="1431"/>
      <c r="Z83" s="1431"/>
      <c r="AA83" s="1431" t="str">
        <f>'print 10 lane'!AD83</f>
        <v xml:space="preserve"> </v>
      </c>
      <c r="AB83" s="1431"/>
      <c r="AC83" s="1431"/>
      <c r="AD83" s="1426"/>
      <c r="AE83" s="1426"/>
      <c r="AF83" s="1426"/>
      <c r="AG83" s="1341"/>
      <c r="AH83" s="1341"/>
      <c r="AI83" s="1341"/>
      <c r="AJ83" s="883"/>
      <c r="BA83" s="837"/>
    </row>
    <row r="84" spans="2:53" ht="42" customHeight="1" x14ac:dyDescent="0.25">
      <c r="B84" s="1349"/>
      <c r="C84" s="1333"/>
      <c r="D84" s="1429"/>
      <c r="E84" s="997" t="s">
        <v>5086</v>
      </c>
      <c r="F84" s="1425">
        <f>'print 10 lane'!I84</f>
        <v>0</v>
      </c>
      <c r="G84" s="1425"/>
      <c r="H84" s="1425"/>
      <c r="I84" s="1425">
        <f>'print 10 lane'!L84</f>
        <v>0</v>
      </c>
      <c r="J84" s="1425"/>
      <c r="K84" s="1425"/>
      <c r="L84" s="1425">
        <f>'print 10 lane'!O84</f>
        <v>0</v>
      </c>
      <c r="M84" s="1425"/>
      <c r="N84" s="1425"/>
      <c r="O84" s="1425">
        <f>'print 10 lane'!R84</f>
        <v>0</v>
      </c>
      <c r="P84" s="1425"/>
      <c r="Q84" s="1425"/>
      <c r="R84" s="1425">
        <f>'print 10 lane'!U84</f>
        <v>0</v>
      </c>
      <c r="S84" s="1425"/>
      <c r="T84" s="1425"/>
      <c r="U84" s="1425">
        <f>'print 10 lane'!X84</f>
        <v>0</v>
      </c>
      <c r="V84" s="1425"/>
      <c r="W84" s="1425"/>
      <c r="X84" s="1425">
        <f>'print 10 lane'!AA84</f>
        <v>0</v>
      </c>
      <c r="Y84" s="1425"/>
      <c r="Z84" s="1425"/>
      <c r="AA84" s="1425">
        <f>'print 10 lane'!AD84</f>
        <v>0</v>
      </c>
      <c r="AB84" s="1425"/>
      <c r="AC84" s="1425"/>
      <c r="AD84" s="1428"/>
      <c r="AE84" s="1428"/>
      <c r="AF84" s="1428"/>
      <c r="AG84" s="1346"/>
      <c r="AH84" s="1346"/>
      <c r="AI84" s="1346"/>
      <c r="AJ84" s="883"/>
      <c r="BA84" s="837"/>
    </row>
    <row r="85" spans="2:53" ht="42" customHeight="1" x14ac:dyDescent="0.25">
      <c r="B85" s="1349">
        <v>28</v>
      </c>
      <c r="C85" s="1343" t="s">
        <v>5087</v>
      </c>
      <c r="D85" s="1429" t="s">
        <v>5094</v>
      </c>
      <c r="E85" s="1430" t="s">
        <v>5102</v>
      </c>
      <c r="F85" s="987">
        <f>'print 10 lane'!I85</f>
        <v>0</v>
      </c>
      <c r="G85" s="879">
        <f>IF(F85=0,0,IF(F$6=0,0,IF(F85&lt;1,SUM((F85&gt;I85),(F85&gt;L85),(F85&gt;O85),(F85&gt;R85),(F85&gt;U85),(F85&gt;X85),(F85&gt;AA85),(F85&gt;AD85),(F85&gt;AG85),(F85&gt;BB85)))-$AJ85))</f>
        <v>0</v>
      </c>
      <c r="H85" s="879">
        <f>IF(F85=0,0,IF(F$6=0,0,IF(G85=0,0,((11-G85)))-$B$6))</f>
        <v>0</v>
      </c>
      <c r="I85" s="988">
        <f>'print 10 lane'!L85</f>
        <v>4.9606481481481485E-4</v>
      </c>
      <c r="J85" s="879">
        <f>IF(I85=0,0,IF(I$6=0,0,IF(I85&lt;1,SUM((I85&gt;L85),(I85&gt;O85),(I85&gt;R85),(I85&gt;U85),(I85&gt;X85),(I85&gt;AA85),(I85&gt;F85),(I85&gt;AD85),(I85&gt;AG85),(I85&gt;BB85)))-$AJ85))</f>
        <v>1</v>
      </c>
      <c r="K85" s="879">
        <f>IF(I85=0,0,IF(I$6=0,0,IF(J85=0,0,((11-J85)))-$B$6))</f>
        <v>7</v>
      </c>
      <c r="L85" s="988">
        <f>'print 10 lane'!O85</f>
        <v>6.1481481481481478E-4</v>
      </c>
      <c r="M85" s="879">
        <f>IF(L85=0,0,IF(L$6=0,0,IF(L85&lt;1,SUM((L85&gt;I85),(L85&gt;F85),(L85&gt;O85),(L85&gt;R85),(L85&gt;U85),(L85&gt;X85),(L85&gt;AA85),(L85&gt;AD85),(L85&gt;AG85),(L85&gt;BB85)))-$AJ85))</f>
        <v>5</v>
      </c>
      <c r="N85" s="879">
        <f>IF(L85=0,0,IF(L$6=0,0,IF(M85=0,0,((11-M85)))-$B$6))</f>
        <v>3</v>
      </c>
      <c r="O85" s="988">
        <f>'print 10 lane'!R85</f>
        <v>5.7210648148148149E-4</v>
      </c>
      <c r="P85" s="879">
        <f>IF(O85=0,0,IF(O$6=0,0,IF(O85&lt;1,SUM((O85&gt;I85),(O85&gt;L85),(O85&gt;F85),(O85&gt;R85),(O85&gt;U85),(O85&gt;X85),(O85&gt;AA85),(O85&gt;AD85),(O85&gt;AG85),(O85&gt;BB85)))-$AJ85))</f>
        <v>4</v>
      </c>
      <c r="Q85" s="879">
        <f>IF(O85=0,0,IF(O$6=0,0,IF(P85=0,0,((11-P85)))-$B$6))</f>
        <v>4</v>
      </c>
      <c r="R85" s="988">
        <f>'print 10 lane'!U85</f>
        <v>5.1655092592592594E-4</v>
      </c>
      <c r="S85" s="879">
        <f>IF(R85=0,0,IF(R$6=0,0,IF(R85&lt;1,SUM((R85&gt;I85),(R85&gt;L85),(R85&gt;O85),(R85&gt;F85),(R85&gt;U85),(R85&gt;X85),(R85&gt;AA85),(R85&gt;AD85),(R85&gt;AG85),(R85&gt;BB85)))-$AJ85))</f>
        <v>2</v>
      </c>
      <c r="T85" s="879">
        <f>IF(R85=0,0,IF(R$6=0,0,IF(S85=0,0,((11-S85)))-$B$6))</f>
        <v>6</v>
      </c>
      <c r="U85" s="988">
        <f>'print 10 lane'!X85</f>
        <v>5.7083333333333324E-4</v>
      </c>
      <c r="V85" s="879">
        <f>IF(U85=0,0,IF(U$6=0,0,IF(U85&lt;1,SUM((U85&gt;I85),(U85&gt;L85),(U85&gt;O85),(U85&gt;R85),(U85&gt;F85),(U85&gt;X85),(U85&gt;AA85),(U85&gt;AD85),(U85&gt;AG85),(U85&gt;BB85)))-$AJ85))</f>
        <v>3</v>
      </c>
      <c r="W85" s="879">
        <f>IF(U85=0,0,IF(U$6=0,0,IF(V85=0,0,((11-V85)))-$B$6))</f>
        <v>5</v>
      </c>
      <c r="X85" s="988">
        <f>'print 10 lane'!AA85</f>
        <v>6.1990740740740745E-4</v>
      </c>
      <c r="Y85" s="879">
        <f>IF(X85=0,0,IF(X$6=0,0,IF(X85&lt;1,SUM((X85&gt;I85),(X85&gt;L85),(X85&gt;O85),(X85&gt;R85),(X85&gt;U85),(X85&gt;F85),(X85&gt;AA85),(X85&gt;AD85),(X85&gt;AG85),(X85&gt;BB85))))-$AJ85)</f>
        <v>6</v>
      </c>
      <c r="Z85" s="879">
        <f>IF(X85=0,0,IF(X$6=0,0,IF(Y85=0,0,((11-Y85)))-$B$6))</f>
        <v>2</v>
      </c>
      <c r="AA85" s="988">
        <f>'print 10 lane'!AD85</f>
        <v>0</v>
      </c>
      <c r="AB85" s="879">
        <f>IF(AA85=0,0,IF(AA$6=0,0,IF(AA85&lt;1,SUM((AA85&gt;I85),(AA85&gt;L85),(AA85&gt;O85),(AA85&gt;R85),(AA85&gt;U85),(AA85&gt;X85),(AA85&gt;AD85),(AA85&gt;AG85),(AA85&gt;F85),(AA85&gt;BB85)))-$AJ85))</f>
        <v>0</v>
      </c>
      <c r="AC85" s="989">
        <f>IF(AA85=0,0,IF(AA$6=0,0,IF(AB85=0,0,((11-AB85)))-$B$6))</f>
        <v>0</v>
      </c>
      <c r="AD85" s="990"/>
      <c r="AE85" s="881"/>
      <c r="AF85" s="881"/>
      <c r="AG85" s="880"/>
      <c r="AH85" s="881"/>
      <c r="AI85" s="882"/>
      <c r="AJ85" s="883">
        <f>COUNTBLANK(F619:O619)</f>
        <v>4</v>
      </c>
      <c r="BA85" s="837"/>
    </row>
    <row r="86" spans="2:53" ht="42" customHeight="1" x14ac:dyDescent="0.25">
      <c r="B86" s="1349"/>
      <c r="C86" s="1343"/>
      <c r="D86" s="1429"/>
      <c r="E86" s="1430"/>
      <c r="F86" s="1431" t="str">
        <f>'print 10 lane'!I86</f>
        <v>Leonardo Goad</v>
      </c>
      <c r="G86" s="1431"/>
      <c r="H86" s="1431"/>
      <c r="I86" s="1431" t="str">
        <f>'print 10 lane'!L86</f>
        <v>Kai Jun Wai Cheung</v>
      </c>
      <c r="J86" s="1431"/>
      <c r="K86" s="1431"/>
      <c r="L86" s="1431" t="str">
        <f>'print 10 lane'!O86</f>
        <v>Harry Lythgoe</v>
      </c>
      <c r="M86" s="1431"/>
      <c r="N86" s="1431"/>
      <c r="O86" s="1431" t="str">
        <f>'print 10 lane'!R86</f>
        <v>James Mohammed</v>
      </c>
      <c r="P86" s="1431"/>
      <c r="Q86" s="1431"/>
      <c r="R86" s="1431" t="str">
        <f>'print 10 lane'!U86</f>
        <v>Braden Barnacle</v>
      </c>
      <c r="S86" s="1431"/>
      <c r="T86" s="1431"/>
      <c r="U86" s="1431" t="str">
        <f>'print 10 lane'!X86</f>
        <v>Macsen Roberts</v>
      </c>
      <c r="V86" s="1431"/>
      <c r="W86" s="1431"/>
      <c r="X86" s="1431" t="str">
        <f>'print 10 lane'!AA86</f>
        <v>Christopher Li Mow Ching</v>
      </c>
      <c r="Y86" s="1431"/>
      <c r="Z86" s="1431"/>
      <c r="AA86" s="1431" t="str">
        <f>'print 10 lane'!AD86</f>
        <v xml:space="preserve"> </v>
      </c>
      <c r="AB86" s="1431"/>
      <c r="AC86" s="1431"/>
      <c r="AD86" s="1426"/>
      <c r="AE86" s="1426"/>
      <c r="AF86" s="1426"/>
      <c r="AG86" s="1341"/>
      <c r="AH86" s="1341"/>
      <c r="AI86" s="1341"/>
      <c r="AJ86" s="883"/>
      <c r="BA86" s="837"/>
    </row>
    <row r="87" spans="2:53" ht="42" customHeight="1" x14ac:dyDescent="0.25">
      <c r="B87" s="1349"/>
      <c r="C87" s="1343"/>
      <c r="D87" s="1429"/>
      <c r="E87" s="1001" t="s">
        <v>5086</v>
      </c>
      <c r="F87" s="1425" t="str">
        <f>'print 10 lane'!I87</f>
        <v>7.2 arms not simultaneuous</v>
      </c>
      <c r="G87" s="1425"/>
      <c r="H87" s="1425"/>
      <c r="I87" s="1425">
        <f>'print 10 lane'!L87</f>
        <v>0</v>
      </c>
      <c r="J87" s="1425"/>
      <c r="K87" s="1425"/>
      <c r="L87" s="1425">
        <f>'print 10 lane'!O87</f>
        <v>0</v>
      </c>
      <c r="M87" s="1425"/>
      <c r="N87" s="1425"/>
      <c r="O87" s="1425">
        <f>'print 10 lane'!R87</f>
        <v>0</v>
      </c>
      <c r="P87" s="1425"/>
      <c r="Q87" s="1425"/>
      <c r="R87" s="1425">
        <f>'print 10 lane'!U87</f>
        <v>0</v>
      </c>
      <c r="S87" s="1425"/>
      <c r="T87" s="1425"/>
      <c r="U87" s="1425">
        <f>'print 10 lane'!X87</f>
        <v>0</v>
      </c>
      <c r="V87" s="1425"/>
      <c r="W87" s="1425"/>
      <c r="X87" s="1425">
        <f>'print 10 lane'!AA87</f>
        <v>0</v>
      </c>
      <c r="Y87" s="1425"/>
      <c r="Z87" s="1425"/>
      <c r="AA87" s="1425">
        <f>'print 10 lane'!AD87</f>
        <v>0</v>
      </c>
      <c r="AB87" s="1425"/>
      <c r="AC87" s="1425"/>
      <c r="AD87" s="1428"/>
      <c r="AE87" s="1428"/>
      <c r="AF87" s="1428"/>
      <c r="AG87" s="1346"/>
      <c r="AH87" s="1346"/>
      <c r="AI87" s="1346"/>
      <c r="AJ87" s="883"/>
      <c r="BA87" s="837"/>
    </row>
    <row r="88" spans="2:53" ht="42" customHeight="1" x14ac:dyDescent="0.25">
      <c r="B88" s="1349">
        <v>29</v>
      </c>
      <c r="C88" s="1333" t="s">
        <v>5083</v>
      </c>
      <c r="D88" s="1424" t="s">
        <v>5090</v>
      </c>
      <c r="E88" s="1430" t="s">
        <v>5100</v>
      </c>
      <c r="F88" s="987">
        <f>'print 10 lane'!I88</f>
        <v>9.662037037037036E-4</v>
      </c>
      <c r="G88" s="879">
        <f>IF(F88=0,0,IF(F$6=0,0,IF(F88&lt;1,SUM((F88&gt;I88),(F88&gt;L88),(F88&gt;O88),(F88&gt;R88),(F88&gt;U88),(F88&gt;X88),(F88&gt;AA88),(F88&gt;AD88),(F88&gt;AG88),(F88&gt;BB88)))-$AJ88))</f>
        <v>4</v>
      </c>
      <c r="H88" s="879">
        <f>IF(F88=0,0,IF(F$6=0,0,IF(G88=0,0,((11-G88)))-$B$6))</f>
        <v>4</v>
      </c>
      <c r="I88" s="988">
        <f>'print 10 lane'!L88</f>
        <v>1.0836805555555556E-3</v>
      </c>
      <c r="J88" s="879">
        <f>IF(I88=0,0,IF(I$6=0,0,IF(I88&lt;1,SUM((I88&gt;L88),(I88&gt;O88),(I88&gt;R88),(I88&gt;U88),(I88&gt;X88),(I88&gt;AA88),(I88&gt;F88),(I88&gt;AD88),(I88&gt;AG88),(I88&gt;BB88)))-$AJ88))</f>
        <v>7</v>
      </c>
      <c r="K88" s="879">
        <f>IF(I88=0,0,IF(I$6=0,0,IF(J88=0,0,((11-J88)))-$B$6))</f>
        <v>1</v>
      </c>
      <c r="L88" s="988">
        <f>'print 10 lane'!O88</f>
        <v>9.8414351851851853E-4</v>
      </c>
      <c r="M88" s="879">
        <f>IF(L88=0,0,IF(L$6=0,0,IF(L88&lt;1,SUM((L88&gt;I88),(L88&gt;F88),(L88&gt;O88),(L88&gt;R88),(L88&gt;U88),(L88&gt;X88),(L88&gt;AA88),(L88&gt;AD88),(L88&gt;AG88),(L88&gt;BB88)))-$AJ88))</f>
        <v>5</v>
      </c>
      <c r="N88" s="879">
        <f>IF(L88=0,0,IF(L$6=0,0,IF(M88=0,0,((11-M88)))-$B$6))</f>
        <v>3</v>
      </c>
      <c r="O88" s="988">
        <f>'print 10 lane'!R88</f>
        <v>9.0659722222222216E-4</v>
      </c>
      <c r="P88" s="879">
        <f>IF(O88=0,0,IF(O$6=0,0,IF(O88&lt;1,SUM((O88&gt;I88),(O88&gt;L88),(O88&gt;F88),(O88&gt;R88),(O88&gt;U88),(O88&gt;X88),(O88&gt;AA88),(O88&gt;AD88),(O88&gt;AG88),(O88&gt;BB88)))-$AJ88))</f>
        <v>1</v>
      </c>
      <c r="Q88" s="879">
        <f>IF(O88=0,0,IF(O$6=0,0,IF(P88=0,0,((11-P88)))-$B$6))</f>
        <v>7</v>
      </c>
      <c r="R88" s="988">
        <f>'print 10 lane'!U88</f>
        <v>9.0937499999999992E-4</v>
      </c>
      <c r="S88" s="879">
        <f>IF(R88=0,0,IF(R$6=0,0,IF(R88&lt;1,SUM((R88&gt;I88),(R88&gt;L88),(R88&gt;O88),(R88&gt;F88),(R88&gt;U88),(R88&gt;X88),(R88&gt;AA88),(R88&gt;AD88),(R88&gt;AG88),(R88&gt;BB88)))-$AJ88))</f>
        <v>2</v>
      </c>
      <c r="T88" s="879">
        <f>IF(R88=0,0,IF(R$6=0,0,IF(S88=0,0,((11-S88)))-$B$6))</f>
        <v>6</v>
      </c>
      <c r="U88" s="988">
        <f>'print 10 lane'!X88</f>
        <v>9.300925925925926E-4</v>
      </c>
      <c r="V88" s="879">
        <f>IF(U88=0,0,IF(U$6=0,0,IF(U88&lt;1,SUM((U88&gt;I88),(U88&gt;L88),(U88&gt;O88),(U88&gt;R88),(U88&gt;F88),(U88&gt;X88),(U88&gt;AA88),(U88&gt;AD88),(U88&gt;AG88),(U88&gt;BB88)))-$AJ88))</f>
        <v>3</v>
      </c>
      <c r="W88" s="879">
        <f>IF(U88=0,0,IF(U$6=0,0,IF(V88=0,0,((11-V88)))-$B$6))</f>
        <v>5</v>
      </c>
      <c r="X88" s="988">
        <f>'print 10 lane'!AA88</f>
        <v>1.016087962962963E-3</v>
      </c>
      <c r="Y88" s="879">
        <f>IF(X88=0,0,IF(X$6=0,0,IF(X88&lt;1,SUM((X88&gt;I88),(X88&gt;L88),(X88&gt;O88),(X88&gt;R88),(X88&gt;U88),(X88&gt;F88),(X88&gt;AA88),(X88&gt;AD88),(X88&gt;AG88),(X88&gt;BB88))))-$AJ88)</f>
        <v>6</v>
      </c>
      <c r="Z88" s="879">
        <f>IF(X88=0,0,IF(X$6=0,0,IF(Y88=0,0,((11-Y88)))-$B$6))</f>
        <v>2</v>
      </c>
      <c r="AA88" s="988">
        <f>'print 10 lane'!AD88</f>
        <v>0</v>
      </c>
      <c r="AB88" s="879">
        <f>IF(AA88=0,0,IF(AA$6=0,0,IF(AA88&lt;1,SUM((AA88&gt;I88),(AA88&gt;L88),(AA88&gt;O88),(AA88&gt;R88),(AA88&gt;U88),(AA88&gt;X88),(AA88&gt;AD88),(AA88&gt;AG88),(AA88&gt;F88),(AA88&gt;BB88)))-$AJ88))</f>
        <v>0</v>
      </c>
      <c r="AC88" s="989">
        <f>IF(AA88=0,0,IF(AA$6=0,0,IF(AB88=0,0,((11-AB88)))-$B$6))</f>
        <v>0</v>
      </c>
      <c r="AD88" s="990"/>
      <c r="AE88" s="881"/>
      <c r="AF88" s="881"/>
      <c r="AG88" s="880"/>
      <c r="AH88" s="881"/>
      <c r="AI88" s="882"/>
      <c r="AJ88" s="883">
        <f>COUNTBLANK(F620:O620)</f>
        <v>3</v>
      </c>
      <c r="BA88" s="837"/>
    </row>
    <row r="89" spans="2:53" ht="42" customHeight="1" x14ac:dyDescent="0.25">
      <c r="B89" s="1349"/>
      <c r="C89" s="1333"/>
      <c r="D89" s="1424"/>
      <c r="E89" s="1430"/>
      <c r="F89" s="1431" t="str">
        <f>'print 10 lane'!I89</f>
        <v>Edanur Yigit</v>
      </c>
      <c r="G89" s="1431"/>
      <c r="H89" s="1431"/>
      <c r="I89" s="1431" t="str">
        <f>'print 10 lane'!L89</f>
        <v>Jasmin Hunt</v>
      </c>
      <c r="J89" s="1431"/>
      <c r="K89" s="1431"/>
      <c r="L89" s="1431" t="str">
        <f>'print 10 lane'!O89</f>
        <v>Niamh Holland</v>
      </c>
      <c r="M89" s="1431"/>
      <c r="N89" s="1431"/>
      <c r="O89" s="1431" t="str">
        <f>'print 10 lane'!R89</f>
        <v>Isla Mohammed</v>
      </c>
      <c r="P89" s="1431"/>
      <c r="Q89" s="1431"/>
      <c r="R89" s="1431" t="str">
        <f>'print 10 lane'!U89</f>
        <v>Aimee Baker</v>
      </c>
      <c r="S89" s="1431"/>
      <c r="T89" s="1431"/>
      <c r="U89" s="1431" t="str">
        <f>'print 10 lane'!X89</f>
        <v>Emma Sum</v>
      </c>
      <c r="V89" s="1431"/>
      <c r="W89" s="1431"/>
      <c r="X89" s="1431" t="str">
        <f>'print 10 lane'!AA89</f>
        <v>Mia Curle</v>
      </c>
      <c r="Y89" s="1431"/>
      <c r="Z89" s="1431"/>
      <c r="AA89" s="1431" t="str">
        <f>'print 10 lane'!AD89</f>
        <v xml:space="preserve"> </v>
      </c>
      <c r="AB89" s="1431"/>
      <c r="AC89" s="1431"/>
      <c r="AD89" s="1426"/>
      <c r="AE89" s="1426"/>
      <c r="AF89" s="1426"/>
      <c r="AG89" s="1341"/>
      <c r="AH89" s="1341"/>
      <c r="AI89" s="1341"/>
      <c r="AJ89" s="883"/>
      <c r="BA89" s="837"/>
    </row>
    <row r="90" spans="2:53" ht="42" customHeight="1" x14ac:dyDescent="0.25">
      <c r="B90" s="1349"/>
      <c r="C90" s="1333"/>
      <c r="D90" s="1424"/>
      <c r="E90" s="1001" t="s">
        <v>5086</v>
      </c>
      <c r="F90" s="1425">
        <f>'print 10 lane'!I90</f>
        <v>0</v>
      </c>
      <c r="G90" s="1425"/>
      <c r="H90" s="1425"/>
      <c r="I90" s="1425">
        <f>'print 10 lane'!L90</f>
        <v>0</v>
      </c>
      <c r="J90" s="1425"/>
      <c r="K90" s="1425"/>
      <c r="L90" s="1425">
        <f>'print 10 lane'!O90</f>
        <v>0</v>
      </c>
      <c r="M90" s="1425"/>
      <c r="N90" s="1425"/>
      <c r="O90" s="1425">
        <f>'print 10 lane'!R90</f>
        <v>0</v>
      </c>
      <c r="P90" s="1425"/>
      <c r="Q90" s="1425"/>
      <c r="R90" s="1425">
        <f>'print 10 lane'!U90</f>
        <v>0</v>
      </c>
      <c r="S90" s="1425"/>
      <c r="T90" s="1425"/>
      <c r="U90" s="1425">
        <f>'print 10 lane'!X90</f>
        <v>0</v>
      </c>
      <c r="V90" s="1425"/>
      <c r="W90" s="1425"/>
      <c r="X90" s="1425">
        <f>'print 10 lane'!AA90</f>
        <v>0</v>
      </c>
      <c r="Y90" s="1425"/>
      <c r="Z90" s="1425"/>
      <c r="AA90" s="1425">
        <f>'print 10 lane'!AD90</f>
        <v>0</v>
      </c>
      <c r="AB90" s="1425"/>
      <c r="AC90" s="1425"/>
      <c r="AD90" s="1428"/>
      <c r="AE90" s="1428"/>
      <c r="AF90" s="1428"/>
      <c r="AG90" s="1346"/>
      <c r="AH90" s="1346"/>
      <c r="AI90" s="1346"/>
      <c r="AJ90" s="883"/>
      <c r="BA90" s="837"/>
    </row>
    <row r="91" spans="2:53" ht="42" customHeight="1" x14ac:dyDescent="0.25">
      <c r="B91" s="1349">
        <v>30</v>
      </c>
      <c r="C91" s="1343" t="s">
        <v>5087</v>
      </c>
      <c r="D91" s="1424" t="s">
        <v>5090</v>
      </c>
      <c r="E91" s="1430" t="s">
        <v>5100</v>
      </c>
      <c r="F91" s="987">
        <f>'print 10 lane'!I91</f>
        <v>9.8692129629629629E-4</v>
      </c>
      <c r="G91" s="879">
        <f>IF(F91=0,0,IF(F$6=0,0,IF(F91&lt;1,SUM((F91&gt;I91),(F91&gt;L91),(F91&gt;O91),(F91&gt;R91),(F91&gt;U91),(F91&gt;X91),(F91&gt;AA91),(F91&gt;AD91),(F91&gt;AG91),(F91&gt;BB91)))-$AJ91))</f>
        <v>4</v>
      </c>
      <c r="H91" s="879">
        <f>IF(F91=0,0,IF(F$6=0,0,IF(G91=0,0,((11-G91)))-$B$6))</f>
        <v>4</v>
      </c>
      <c r="I91" s="988">
        <f>'print 10 lane'!L91</f>
        <v>1.004976851851852E-3</v>
      </c>
      <c r="J91" s="879">
        <f>IF(I91=0,0,IF(I$6=0,0,IF(I91&lt;1,SUM((I91&gt;L91),(I91&gt;O91),(I91&gt;R91),(I91&gt;U91),(I91&gt;X91),(I91&gt;AA91),(I91&gt;F91),(I91&gt;AD91),(I91&gt;AG91),(I91&gt;BB91)))-$AJ91))</f>
        <v>5</v>
      </c>
      <c r="K91" s="879">
        <f>IF(I91=0,0,IF(I$6=0,0,IF(J91=0,0,((11-J91)))-$B$6))</f>
        <v>3</v>
      </c>
      <c r="L91" s="988">
        <f>'print 10 lane'!O91</f>
        <v>9.1284722222222212E-4</v>
      </c>
      <c r="M91" s="879">
        <f>IF(L91=0,0,IF(L$6=0,0,IF(L91&lt;1,SUM((L91&gt;I91),(L91&gt;F91),(L91&gt;O91),(L91&gt;R91),(L91&gt;U91),(L91&gt;X91),(L91&gt;AA91),(L91&gt;AD91),(L91&gt;AG91),(L91&gt;BB91)))-$AJ91))</f>
        <v>2</v>
      </c>
      <c r="N91" s="879">
        <f>IF(L91=0,0,IF(L$6=0,0,IF(M91=0,0,((11-M91)))-$B$6))</f>
        <v>6</v>
      </c>
      <c r="O91" s="988">
        <f>'print 10 lane'!R91</f>
        <v>1.0731481481481479E-3</v>
      </c>
      <c r="P91" s="879">
        <f>IF(O91=0,0,IF(O$6=0,0,IF(O91&lt;1,SUM((O91&gt;I91),(O91&gt;L91),(O91&gt;F91),(O91&gt;R91),(O91&gt;U91),(O91&gt;X91),(O91&gt;AA91),(O91&gt;AD91),(O91&gt;AG91),(O91&gt;BB91)))-$AJ91))</f>
        <v>6</v>
      </c>
      <c r="Q91" s="879">
        <f>IF(O91=0,0,IF(O$6=0,0,IF(P91=0,0,((11-P91)))-$B$6))</f>
        <v>2</v>
      </c>
      <c r="R91" s="988">
        <f>'print 10 lane'!U91</f>
        <v>1.2238425925925926E-3</v>
      </c>
      <c r="S91" s="879">
        <f>IF(R91=0,0,IF(R$6=0,0,IF(R91&lt;1,SUM((R91&gt;I91),(R91&gt;L91),(R91&gt;O91),(R91&gt;F91),(R91&gt;U91),(R91&gt;X91),(R91&gt;AA91),(R91&gt;AD91),(R91&gt;AG91),(R91&gt;BB91)))-$AJ91))</f>
        <v>7</v>
      </c>
      <c r="T91" s="879">
        <f>IF(R91=0,0,IF(R$6=0,0,IF(S91=0,0,((11-S91)))-$B$6))</f>
        <v>1</v>
      </c>
      <c r="U91" s="988">
        <f>'print 10 lane'!X91</f>
        <v>9.4016203703703699E-4</v>
      </c>
      <c r="V91" s="879">
        <f>IF(U91=0,0,IF(U$6=0,0,IF(U91&lt;1,SUM((U91&gt;I91),(U91&gt;L91),(U91&gt;O91),(U91&gt;R91),(U91&gt;F91),(U91&gt;X91),(U91&gt;AA91),(U91&gt;AD91),(U91&gt;AG91),(U91&gt;BB91)))-$AJ91))</f>
        <v>3</v>
      </c>
      <c r="W91" s="879">
        <f>IF(U91=0,0,IF(U$6=0,0,IF(V91=0,0,((11-V91)))-$B$6))</f>
        <v>5</v>
      </c>
      <c r="X91" s="988">
        <f>'print 10 lane'!AA91</f>
        <v>8.3668981481481474E-4</v>
      </c>
      <c r="Y91" s="879">
        <f>IF(X91=0,0,IF(X$6=0,0,IF(X91&lt;1,SUM((X91&gt;I91),(X91&gt;L91),(X91&gt;O91),(X91&gt;R91),(X91&gt;U91),(X91&gt;F91),(X91&gt;AA91),(X91&gt;AD91),(X91&gt;AG91),(X91&gt;BB91))))-$AJ91)</f>
        <v>1</v>
      </c>
      <c r="Z91" s="879">
        <f>IF(X91=0,0,IF(X$6=0,0,IF(Y91=0,0,((11-Y91)))-$B$6))</f>
        <v>7</v>
      </c>
      <c r="AA91" s="988">
        <f>'print 10 lane'!AD91</f>
        <v>0</v>
      </c>
      <c r="AB91" s="879">
        <f>IF(AA91=0,0,IF(AA$6=0,0,IF(AA91&lt;1,SUM((AA91&gt;I91),(AA91&gt;L91),(AA91&gt;O91),(AA91&gt;R91),(AA91&gt;U91),(AA91&gt;X91),(AA91&gt;AD91),(AA91&gt;AG91),(AA91&gt;F91),(AA91&gt;BB91)))-$AJ91))</f>
        <v>0</v>
      </c>
      <c r="AC91" s="989">
        <f>IF(AA91=0,0,IF(AA$6=0,0,IF(AB91=0,0,((11-AB91)))-$B$6))</f>
        <v>0</v>
      </c>
      <c r="AD91" s="990"/>
      <c r="AE91" s="881"/>
      <c r="AF91" s="881"/>
      <c r="AG91" s="880"/>
      <c r="AH91" s="881"/>
      <c r="AI91" s="882"/>
      <c r="AJ91" s="883">
        <f>COUNTBLANK(F621:O621)</f>
        <v>3</v>
      </c>
      <c r="BA91" s="837"/>
    </row>
    <row r="92" spans="2:53" ht="42" customHeight="1" x14ac:dyDescent="0.25">
      <c r="B92" s="1349"/>
      <c r="C92" s="1343"/>
      <c r="D92" s="1424"/>
      <c r="E92" s="1430"/>
      <c r="F92" s="1431" t="str">
        <f>'print 10 lane'!I92</f>
        <v>Ned Peter Andrews</v>
      </c>
      <c r="G92" s="1431"/>
      <c r="H92" s="1431"/>
      <c r="I92" s="1431" t="str">
        <f>'print 10 lane'!L92</f>
        <v>Oliver Tubridy</v>
      </c>
      <c r="J92" s="1431"/>
      <c r="K92" s="1431"/>
      <c r="L92" s="1431" t="str">
        <f>'print 10 lane'!O92</f>
        <v>Mikhail Zharinov</v>
      </c>
      <c r="M92" s="1431"/>
      <c r="N92" s="1431"/>
      <c r="O92" s="1431" t="str">
        <f>'print 10 lane'!R92</f>
        <v>Riley Bunce</v>
      </c>
      <c r="P92" s="1431"/>
      <c r="Q92" s="1431"/>
      <c r="R92" s="1431" t="str">
        <f>'print 10 lane'!U92</f>
        <v>Poyraz Akbiyik</v>
      </c>
      <c r="S92" s="1431"/>
      <c r="T92" s="1431"/>
      <c r="U92" s="1431" t="str">
        <f>'print 10 lane'!X92</f>
        <v>Cosmin Ioan  Iojan</v>
      </c>
      <c r="V92" s="1431"/>
      <c r="W92" s="1431"/>
      <c r="X92" s="1431" t="str">
        <f>'print 10 lane'!AA92</f>
        <v>Daniel Celi</v>
      </c>
      <c r="Y92" s="1431"/>
      <c r="Z92" s="1431"/>
      <c r="AA92" s="1431" t="str">
        <f>'print 10 lane'!AD92</f>
        <v xml:space="preserve"> </v>
      </c>
      <c r="AB92" s="1431"/>
      <c r="AC92" s="1431"/>
      <c r="AD92" s="1426"/>
      <c r="AE92" s="1426"/>
      <c r="AF92" s="1426"/>
      <c r="AG92" s="1341"/>
      <c r="AH92" s="1341"/>
      <c r="AI92" s="1341"/>
      <c r="AJ92" s="883"/>
      <c r="BA92" s="837"/>
    </row>
    <row r="93" spans="2:53" ht="42" customHeight="1" x14ac:dyDescent="0.25">
      <c r="B93" s="1349"/>
      <c r="C93" s="1343"/>
      <c r="D93" s="1424"/>
      <c r="E93" s="1001" t="s">
        <v>5086</v>
      </c>
      <c r="F93" s="1425">
        <f>'print 10 lane'!I93</f>
        <v>0</v>
      </c>
      <c r="G93" s="1425"/>
      <c r="H93" s="1425"/>
      <c r="I93" s="1425">
        <f>'print 10 lane'!L93</f>
        <v>0</v>
      </c>
      <c r="J93" s="1425"/>
      <c r="K93" s="1425"/>
      <c r="L93" s="1425">
        <f>'print 10 lane'!O93</f>
        <v>0</v>
      </c>
      <c r="M93" s="1425"/>
      <c r="N93" s="1425"/>
      <c r="O93" s="1425">
        <f>'print 10 lane'!R93</f>
        <v>0</v>
      </c>
      <c r="P93" s="1425"/>
      <c r="Q93" s="1425"/>
      <c r="R93" s="1425">
        <f>'print 10 lane'!U93</f>
        <v>0</v>
      </c>
      <c r="S93" s="1425"/>
      <c r="T93" s="1425"/>
      <c r="U93" s="1425">
        <f>'print 10 lane'!X93</f>
        <v>0</v>
      </c>
      <c r="V93" s="1425"/>
      <c r="W93" s="1425"/>
      <c r="X93" s="1425">
        <f>'print 10 lane'!AA93</f>
        <v>0</v>
      </c>
      <c r="Y93" s="1425"/>
      <c r="Z93" s="1425"/>
      <c r="AA93" s="1425">
        <f>'print 10 lane'!AD93</f>
        <v>0</v>
      </c>
      <c r="AB93" s="1425"/>
      <c r="AC93" s="1425"/>
      <c r="AD93" s="1428"/>
      <c r="AE93" s="1428"/>
      <c r="AF93" s="1428"/>
      <c r="AG93" s="1346"/>
      <c r="AH93" s="1346"/>
      <c r="AI93" s="1346"/>
      <c r="AJ93" s="883"/>
      <c r="BA93" s="837"/>
    </row>
    <row r="94" spans="2:53" ht="42" customHeight="1" x14ac:dyDescent="0.25">
      <c r="B94" s="1349">
        <v>31</v>
      </c>
      <c r="C94" s="1333" t="s">
        <v>5083</v>
      </c>
      <c r="D94" s="1424" t="s">
        <v>5092</v>
      </c>
      <c r="E94" s="1430" t="s">
        <v>5103</v>
      </c>
      <c r="F94" s="987">
        <f>'print 10 lane'!I94</f>
        <v>8.273148148148149E-4</v>
      </c>
      <c r="G94" s="879">
        <f>IF(F94=0,0,IF(F$6=0,0,IF(F94&lt;1,SUM((F94&gt;I94),(F94&gt;L94),(F94&gt;O94),(F94&gt;R94),(F94&gt;U94),(F94&gt;X94),(F94&gt;AA94),(F94&gt;AD94),(F94&gt;AG94),(F94&gt;BB94)))-$AJ94))</f>
        <v>7</v>
      </c>
      <c r="H94" s="879">
        <f>IF(F94=0,0,IF(F$6=0,0,IF(G94=0,0,((11-G94)))-$B$6))</f>
        <v>1</v>
      </c>
      <c r="I94" s="988">
        <f>'print 10 lane'!L94</f>
        <v>7.3935185185185182E-4</v>
      </c>
      <c r="J94" s="879">
        <f>IF(I94=0,0,IF(I$6=0,0,IF(I94&lt;1,SUM((I94&gt;L94),(I94&gt;O94),(I94&gt;R94),(I94&gt;U94),(I94&gt;X94),(I94&gt;AA94),(I94&gt;F94),(I94&gt;AD94),(I94&gt;AG94),(I94&gt;BB94)))-$AJ94))</f>
        <v>2</v>
      </c>
      <c r="K94" s="879">
        <f>IF(I94=0,0,IF(I$6=0,0,IF(J94=0,0,((11-J94)))-$B$6))</f>
        <v>6</v>
      </c>
      <c r="L94" s="988">
        <f>'print 10 lane'!O94</f>
        <v>7.7731481481481477E-4</v>
      </c>
      <c r="M94" s="879">
        <f>IF(L94=0,0,IF(L$6=0,0,IF(L94&lt;1,SUM((L94&gt;I94),(L94&gt;F94),(L94&gt;O94),(L94&gt;R94),(L94&gt;U94),(L94&gt;X94),(L94&gt;AA94),(L94&gt;AD94),(L94&gt;AG94),(L94&gt;BB94)))-$AJ94))</f>
        <v>5</v>
      </c>
      <c r="N94" s="879">
        <f>IF(L94=0,0,IF(L$6=0,0,IF(M94=0,0,((11-M94)))-$B$6))</f>
        <v>3</v>
      </c>
      <c r="O94" s="988">
        <f>'print 10 lane'!R94</f>
        <v>7.6041666666666662E-4</v>
      </c>
      <c r="P94" s="879">
        <f>IF(O94=0,0,IF(O$6=0,0,IF(O94&lt;1,SUM((O94&gt;I94),(O94&gt;L94),(O94&gt;F94),(O94&gt;R94),(O94&gt;U94),(O94&gt;X94),(O94&gt;AA94),(O94&gt;AD94),(O94&gt;AG94),(O94&gt;BB94)))-$AJ94))</f>
        <v>4</v>
      </c>
      <c r="Q94" s="879">
        <f>IF(O94=0,0,IF(O$6=0,0,IF(P94=0,0,((11-P94)))-$B$6))</f>
        <v>4</v>
      </c>
      <c r="R94" s="988">
        <f>'print 10 lane'!U94</f>
        <v>7.3888888888888886E-4</v>
      </c>
      <c r="S94" s="879">
        <f>IF(R94=0,0,IF(R$6=0,0,IF(R94&lt;1,SUM((R94&gt;I94),(R94&gt;L94),(R94&gt;O94),(R94&gt;F94),(R94&gt;U94),(R94&gt;X94),(R94&gt;AA94),(R94&gt;AD94),(R94&gt;AG94),(R94&gt;BB94)))-$AJ94))</f>
        <v>1</v>
      </c>
      <c r="T94" s="879">
        <f>IF(R94=0,0,IF(R$6=0,0,IF(S94=0,0,((11-S94)))-$B$6))</f>
        <v>7</v>
      </c>
      <c r="U94" s="988">
        <f>'print 10 lane'!X94</f>
        <v>7.5868055555555552E-4</v>
      </c>
      <c r="V94" s="879">
        <f>IF(U94=0,0,IF(U$6=0,0,IF(U94&lt;1,SUM((U94&gt;I94),(U94&gt;L94),(U94&gt;O94),(U94&gt;R94),(U94&gt;F94),(U94&gt;X94),(U94&gt;AA94),(U94&gt;AD94),(U94&gt;AG94),(U94&gt;BB94)))-$AJ94))</f>
        <v>3</v>
      </c>
      <c r="W94" s="879">
        <f>IF(U94=0,0,IF(U$6=0,0,IF(V94=0,0,((11-V94)))-$B$6))</f>
        <v>5</v>
      </c>
      <c r="X94" s="988">
        <f>'print 10 lane'!AA94</f>
        <v>8.0636574074074074E-4</v>
      </c>
      <c r="Y94" s="879">
        <f>IF(X94=0,0,IF(X$6=0,0,IF(X94&lt;1,SUM((X94&gt;I94),(X94&gt;L94),(X94&gt;O94),(X94&gt;R94),(X94&gt;U94),(X94&gt;F94),(X94&gt;AA94),(X94&gt;AD94),(X94&gt;AG94),(X94&gt;BB94))))-$AJ94)</f>
        <v>6</v>
      </c>
      <c r="Z94" s="879">
        <f>IF(X94=0,0,IF(X$6=0,0,IF(Y94=0,0,((11-Y94)))-$B$6))</f>
        <v>2</v>
      </c>
      <c r="AA94" s="988">
        <f>'print 10 lane'!AD94</f>
        <v>0</v>
      </c>
      <c r="AB94" s="879">
        <f>IF(AA94=0,0,IF(AA$6=0,0,IF(AA94&lt;1,SUM((AA94&gt;I94),(AA94&gt;L94),(AA94&gt;O94),(AA94&gt;R94),(AA94&gt;U94),(AA94&gt;X94),(AA94&gt;AD94),(AA94&gt;AG94),(AA94&gt;F94),(AA94&gt;BB94)))-$AJ94))</f>
        <v>0</v>
      </c>
      <c r="AC94" s="989">
        <f>IF(AA94=0,0,IF(AA$6=0,0,IF(AB94=0,0,((11-AB94)))-$B$6))</f>
        <v>0</v>
      </c>
      <c r="AD94" s="990"/>
      <c r="AE94" s="881"/>
      <c r="AF94" s="881"/>
      <c r="AG94" s="880"/>
      <c r="AH94" s="881"/>
      <c r="AI94" s="882"/>
      <c r="AJ94" s="883">
        <f>COUNTBLANK(F622:O622)</f>
        <v>3</v>
      </c>
      <c r="BA94" s="837"/>
    </row>
    <row r="95" spans="2:53" ht="42" customHeight="1" x14ac:dyDescent="0.25">
      <c r="B95" s="1349"/>
      <c r="C95" s="1333"/>
      <c r="D95" s="1424"/>
      <c r="E95" s="1430"/>
      <c r="F95" s="1431" t="str">
        <f>'print 10 lane'!I95</f>
        <v>Emily Hudszky</v>
      </c>
      <c r="G95" s="1431"/>
      <c r="H95" s="1431"/>
      <c r="I95" s="1431" t="str">
        <f>'print 10 lane'!L95</f>
        <v>Sophie Stelmach</v>
      </c>
      <c r="J95" s="1431"/>
      <c r="K95" s="1431"/>
      <c r="L95" s="1431" t="str">
        <f>'print 10 lane'!O95</f>
        <v>Isabel Mullings</v>
      </c>
      <c r="M95" s="1431"/>
      <c r="N95" s="1431"/>
      <c r="O95" s="1431" t="str">
        <f>'print 10 lane'!R95</f>
        <v>Abigail Johnson</v>
      </c>
      <c r="P95" s="1431"/>
      <c r="Q95" s="1431"/>
      <c r="R95" s="1431" t="str">
        <f>'print 10 lane'!U95</f>
        <v>Mia Macklin</v>
      </c>
      <c r="S95" s="1431"/>
      <c r="T95" s="1431"/>
      <c r="U95" s="1431" t="str">
        <f>'print 10 lane'!X95</f>
        <v>Alice  Sharrock</v>
      </c>
      <c r="V95" s="1431"/>
      <c r="W95" s="1431"/>
      <c r="X95" s="1431" t="str">
        <f>'print 10 lane'!AA95</f>
        <v>Jessica Sharp</v>
      </c>
      <c r="Y95" s="1431"/>
      <c r="Z95" s="1431"/>
      <c r="AA95" s="1431" t="str">
        <f>'print 10 lane'!AD95</f>
        <v xml:space="preserve"> </v>
      </c>
      <c r="AB95" s="1431"/>
      <c r="AC95" s="1431"/>
      <c r="AD95" s="1426"/>
      <c r="AE95" s="1426"/>
      <c r="AF95" s="1426"/>
      <c r="AG95" s="1341"/>
      <c r="AH95" s="1341"/>
      <c r="AI95" s="1341"/>
      <c r="AJ95" s="883"/>
      <c r="BA95" s="837"/>
    </row>
    <row r="96" spans="2:53" ht="42" customHeight="1" x14ac:dyDescent="0.25">
      <c r="B96" s="1349"/>
      <c r="C96" s="1333"/>
      <c r="D96" s="1424"/>
      <c r="E96" s="1001" t="s">
        <v>5086</v>
      </c>
      <c r="F96" s="1425">
        <f>'print 10 lane'!I96</f>
        <v>0</v>
      </c>
      <c r="G96" s="1425"/>
      <c r="H96" s="1425"/>
      <c r="I96" s="1425">
        <f>'print 10 lane'!L96</f>
        <v>0</v>
      </c>
      <c r="J96" s="1425"/>
      <c r="K96" s="1425"/>
      <c r="L96" s="1425">
        <f>'print 10 lane'!O96</f>
        <v>0</v>
      </c>
      <c r="M96" s="1425"/>
      <c r="N96" s="1425"/>
      <c r="O96" s="1425">
        <f>'print 10 lane'!R96</f>
        <v>0</v>
      </c>
      <c r="P96" s="1425"/>
      <c r="Q96" s="1425"/>
      <c r="R96" s="1425">
        <f>'print 10 lane'!U96</f>
        <v>0</v>
      </c>
      <c r="S96" s="1425"/>
      <c r="T96" s="1425"/>
      <c r="U96" s="1425">
        <f>'print 10 lane'!X96</f>
        <v>0</v>
      </c>
      <c r="V96" s="1425"/>
      <c r="W96" s="1425"/>
      <c r="X96" s="1425">
        <f>'print 10 lane'!AA96</f>
        <v>0</v>
      </c>
      <c r="Y96" s="1425"/>
      <c r="Z96" s="1425"/>
      <c r="AA96" s="1425">
        <f>'print 10 lane'!AD96</f>
        <v>0</v>
      </c>
      <c r="AB96" s="1425"/>
      <c r="AC96" s="1425"/>
      <c r="AD96" s="1428"/>
      <c r="AE96" s="1428"/>
      <c r="AF96" s="1428"/>
      <c r="AG96" s="1346"/>
      <c r="AH96" s="1346"/>
      <c r="AI96" s="1346"/>
      <c r="AJ96" s="883"/>
      <c r="BA96" s="837"/>
    </row>
    <row r="97" spans="2:53" ht="42" customHeight="1" x14ac:dyDescent="0.25">
      <c r="B97" s="1349">
        <v>32</v>
      </c>
      <c r="C97" s="1343" t="s">
        <v>5087</v>
      </c>
      <c r="D97" s="1424" t="s">
        <v>5092</v>
      </c>
      <c r="E97" s="1430" t="s">
        <v>5103</v>
      </c>
      <c r="F97" s="987">
        <f>'print 10 lane'!I97</f>
        <v>7.817129629629629E-4</v>
      </c>
      <c r="G97" s="879">
        <f>IF(F97=0,0,IF(F$6=0,0,IF(F97&lt;1,SUM((F97&gt;I97),(F97&gt;L97),(F97&gt;O97),(F97&gt;R97),(F97&gt;U97),(F97&gt;X97),(F97&gt;AA97),(F97&gt;AD97),(F97&gt;AG97),(F97&gt;BB97)))-$AJ97))</f>
        <v>6</v>
      </c>
      <c r="H97" s="879">
        <f>IF(F97=0,0,IF(F$6=0,0,IF(G97=0,0,((11-G97)))-$B$6))</f>
        <v>2</v>
      </c>
      <c r="I97" s="988">
        <f>'print 10 lane'!L97</f>
        <v>7.4780092592592595E-4</v>
      </c>
      <c r="J97" s="879">
        <f>IF(I97=0,0,IF(I$6=0,0,IF(I97&lt;1,SUM((I97&gt;L97),(I97&gt;O97),(I97&gt;R97),(I97&gt;U97),(I97&gt;X97),(I97&gt;AA97),(I97&gt;F97),(I97&gt;AD97),(I97&gt;AG97),(I97&gt;BB97)))-$AJ97))</f>
        <v>4</v>
      </c>
      <c r="K97" s="879">
        <f>IF(I97=0,0,IF(I$6=0,0,IF(J97=0,0,((11-J97)))-$B$6))</f>
        <v>4</v>
      </c>
      <c r="L97" s="988">
        <f>'print 10 lane'!O97</f>
        <v>7.6770833333333335E-4</v>
      </c>
      <c r="M97" s="879">
        <f>IF(L97=0,0,IF(L$6=0,0,IF(L97&lt;1,SUM((L97&gt;I97),(L97&gt;F97),(L97&gt;O97),(L97&gt;R97),(L97&gt;U97),(L97&gt;X97),(L97&gt;AA97),(L97&gt;AD97),(L97&gt;AG97),(L97&gt;BB97)))-$AJ97))</f>
        <v>5</v>
      </c>
      <c r="N97" s="879">
        <f>IF(L97=0,0,IF(L$6=0,0,IF(M97=0,0,((11-M97)))-$B$6))</f>
        <v>3</v>
      </c>
      <c r="O97" s="988">
        <f>'print 10 lane'!R97</f>
        <v>6.8576388888888897E-4</v>
      </c>
      <c r="P97" s="879">
        <f>IF(O97=0,0,IF(O$6=0,0,IF(O97&lt;1,SUM((O97&gt;I97),(O97&gt;L97),(O97&gt;F97),(O97&gt;R97),(O97&gt;U97),(O97&gt;X97),(O97&gt;AA97),(O97&gt;AD97),(O97&gt;AG97),(O97&gt;BB97)))-$AJ97))</f>
        <v>2</v>
      </c>
      <c r="Q97" s="879">
        <f>IF(O97=0,0,IF(O$6=0,0,IF(P97=0,0,((11-P97)))-$B$6))</f>
        <v>6</v>
      </c>
      <c r="R97" s="988">
        <f>'print 10 lane'!U97</f>
        <v>6.3321759259259266E-4</v>
      </c>
      <c r="S97" s="879">
        <f>IF(R97=0,0,IF(R$6=0,0,IF(R97&lt;1,SUM((R97&gt;I97),(R97&gt;L97),(R97&gt;O97),(R97&gt;F97),(R97&gt;U97),(R97&gt;X97),(R97&gt;AA97),(R97&gt;AD97),(R97&gt;AG97),(R97&gt;BB97)))-$AJ97))</f>
        <v>1</v>
      </c>
      <c r="T97" s="879">
        <f>IF(R97=0,0,IF(R$6=0,0,IF(S97=0,0,((11-S97)))-$B$6))</f>
        <v>7</v>
      </c>
      <c r="U97" s="988">
        <f>'print 10 lane'!X97</f>
        <v>0</v>
      </c>
      <c r="V97" s="879">
        <f>IF(U97=0,0,IF(U$6=0,0,IF(U97&lt;1,SUM((U97&gt;I97),(U97&gt;L97),(U97&gt;O97),(U97&gt;R97),(U97&gt;F97),(U97&gt;X97),(U97&gt;AA97),(U97&gt;AD97),(U97&gt;AG97),(U97&gt;BB97)))-$AJ97))</f>
        <v>0</v>
      </c>
      <c r="W97" s="879">
        <f>IF(U97=0,0,IF(U$6=0,0,IF(V97=0,0,((11-V97)))-$B$6))</f>
        <v>0</v>
      </c>
      <c r="X97" s="988">
        <f>'print 10 lane'!AA97</f>
        <v>7.2546296296296291E-4</v>
      </c>
      <c r="Y97" s="879">
        <f>IF(X97=0,0,IF(X$6=0,0,IF(X97&lt;1,SUM((X97&gt;I97),(X97&gt;L97),(X97&gt;O97),(X97&gt;R97),(X97&gt;U97),(X97&gt;F97),(X97&gt;AA97),(X97&gt;AD97),(X97&gt;AG97),(X97&gt;BB97))))-$AJ97)</f>
        <v>3</v>
      </c>
      <c r="Z97" s="879">
        <f>IF(X97=0,0,IF(X$6=0,0,IF(Y97=0,0,((11-Y97)))-$B$6))</f>
        <v>5</v>
      </c>
      <c r="AA97" s="988">
        <f>'print 10 lane'!AD97</f>
        <v>0</v>
      </c>
      <c r="AB97" s="879">
        <f>IF(AA97=0,0,IF(AA$6=0,0,IF(AA97&lt;1,SUM((AA97&gt;I97),(AA97&gt;L97),(AA97&gt;O97),(AA97&gt;R97),(AA97&gt;U97),(AA97&gt;X97),(AA97&gt;AD97),(AA97&gt;AG97),(AA97&gt;F97),(AA97&gt;BB97)))-$AJ97))</f>
        <v>0</v>
      </c>
      <c r="AC97" s="989">
        <f>IF(AA97=0,0,IF(AA$6=0,0,IF(AB97=0,0,((11-AB97)))-$B$6))</f>
        <v>0</v>
      </c>
      <c r="AD97" s="990"/>
      <c r="AE97" s="881"/>
      <c r="AF97" s="881"/>
      <c r="AG97" s="880"/>
      <c r="AH97" s="881"/>
      <c r="AI97" s="882"/>
      <c r="AJ97" s="883">
        <f>COUNTBLANK(F623:O623)</f>
        <v>4</v>
      </c>
      <c r="BA97" s="837"/>
    </row>
    <row r="98" spans="2:53" ht="42" customHeight="1" x14ac:dyDescent="0.25">
      <c r="B98" s="1349"/>
      <c r="C98" s="1343"/>
      <c r="D98" s="1424"/>
      <c r="E98" s="1430"/>
      <c r="F98" s="1431" t="str">
        <f>'print 10 lane'!I98</f>
        <v>Zalan Tornay</v>
      </c>
      <c r="G98" s="1431"/>
      <c r="H98" s="1431"/>
      <c r="I98" s="1431" t="str">
        <f>'print 10 lane'!L98</f>
        <v>Daniel Humphreys</v>
      </c>
      <c r="J98" s="1431"/>
      <c r="K98" s="1431"/>
      <c r="L98" s="1431" t="str">
        <f>'print 10 lane'!O98</f>
        <v>Ewan Thompson</v>
      </c>
      <c r="M98" s="1431"/>
      <c r="N98" s="1431"/>
      <c r="O98" s="1431" t="str">
        <f>'print 10 lane'!R98</f>
        <v>Charles Raines</v>
      </c>
      <c r="P98" s="1431"/>
      <c r="Q98" s="1431"/>
      <c r="R98" s="1431" t="str">
        <f>'print 10 lane'!U98</f>
        <v>Joshua Parker</v>
      </c>
      <c r="S98" s="1431"/>
      <c r="T98" s="1431"/>
      <c r="U98" s="1431" t="str">
        <f>'print 10 lane'!X98</f>
        <v xml:space="preserve"> </v>
      </c>
      <c r="V98" s="1431"/>
      <c r="W98" s="1431"/>
      <c r="X98" s="1431" t="str">
        <f>'print 10 lane'!AA98</f>
        <v>Aaran Parmar</v>
      </c>
      <c r="Y98" s="1431"/>
      <c r="Z98" s="1431"/>
      <c r="AA98" s="1431" t="str">
        <f>'print 10 lane'!AD98</f>
        <v xml:space="preserve"> </v>
      </c>
      <c r="AB98" s="1431"/>
      <c r="AC98" s="1431"/>
      <c r="AD98" s="1426"/>
      <c r="AE98" s="1426"/>
      <c r="AF98" s="1426"/>
      <c r="AG98" s="1341"/>
      <c r="AH98" s="1341"/>
      <c r="AI98" s="1341"/>
      <c r="AJ98" s="883"/>
      <c r="BA98" s="837"/>
    </row>
    <row r="99" spans="2:53" ht="42" customHeight="1" x14ac:dyDescent="0.25">
      <c r="B99" s="1349"/>
      <c r="C99" s="1343"/>
      <c r="D99" s="1424"/>
      <c r="E99" s="1001" t="s">
        <v>5086</v>
      </c>
      <c r="F99" s="1425">
        <f>'print 10 lane'!I99</f>
        <v>0</v>
      </c>
      <c r="G99" s="1425"/>
      <c r="H99" s="1425"/>
      <c r="I99" s="1425">
        <f>'print 10 lane'!L99</f>
        <v>0</v>
      </c>
      <c r="J99" s="1425"/>
      <c r="K99" s="1425"/>
      <c r="L99" s="1425">
        <f>'print 10 lane'!O99</f>
        <v>0</v>
      </c>
      <c r="M99" s="1425"/>
      <c r="N99" s="1425"/>
      <c r="O99" s="1425">
        <f>'print 10 lane'!R99</f>
        <v>0</v>
      </c>
      <c r="P99" s="1425"/>
      <c r="Q99" s="1425"/>
      <c r="R99" s="1425">
        <f>'print 10 lane'!U99</f>
        <v>0</v>
      </c>
      <c r="S99" s="1425"/>
      <c r="T99" s="1425"/>
      <c r="U99" s="1425" t="str">
        <f>'print 10 lane'!X99</f>
        <v>ns</v>
      </c>
      <c r="V99" s="1425"/>
      <c r="W99" s="1425"/>
      <c r="X99" s="1425">
        <f>'print 10 lane'!AA99</f>
        <v>0</v>
      </c>
      <c r="Y99" s="1425"/>
      <c r="Z99" s="1425"/>
      <c r="AA99" s="1425">
        <f>'print 10 lane'!AD99</f>
        <v>0</v>
      </c>
      <c r="AB99" s="1425"/>
      <c r="AC99" s="1425"/>
      <c r="AD99" s="1428"/>
      <c r="AE99" s="1428"/>
      <c r="AF99" s="1428"/>
      <c r="AG99" s="1346"/>
      <c r="AH99" s="1346"/>
      <c r="AI99" s="1346"/>
      <c r="AJ99" s="883"/>
      <c r="BA99" s="837"/>
    </row>
    <row r="100" spans="2:53" ht="42" customHeight="1" x14ac:dyDescent="0.25">
      <c r="B100" s="1349">
        <v>33</v>
      </c>
      <c r="C100" s="1333" t="s">
        <v>5083</v>
      </c>
      <c r="D100" s="1424" t="s">
        <v>5093</v>
      </c>
      <c r="E100" s="1430" t="s">
        <v>5097</v>
      </c>
      <c r="F100" s="987">
        <f>'print 10 lane'!I100</f>
        <v>9.0185185185185192E-4</v>
      </c>
      <c r="G100" s="879">
        <f>IF(F100=0,0,IF(F$6=0,0,IF(F100&lt;1,SUM((F100&gt;I100),(F100&gt;L100),(F100&gt;O100),(F100&gt;R100),(F100&gt;U100),(F100&gt;X100),(F100&gt;AA100),(F100&gt;AD100),(F100&gt;AG100),(F100&gt;BB100)))-$AJ100))</f>
        <v>1</v>
      </c>
      <c r="H100" s="879">
        <f>IF(F100=0,0,IF(F$6=0,0,IF(G100=0,0,((11-G100)))-$B$6))</f>
        <v>7</v>
      </c>
      <c r="I100" s="988">
        <f>'print 10 lane'!L100</f>
        <v>1.0266203703703702E-3</v>
      </c>
      <c r="J100" s="879">
        <f>IF(I100=0,0,IF(I$6=0,0,IF(I100&lt;1,SUM((I100&gt;L100),(I100&gt;O100),(I100&gt;R100),(I100&gt;U100),(I100&gt;X100),(I100&gt;AA100),(I100&gt;F100),(I100&gt;AD100),(I100&gt;AG100),(I100&gt;BB100)))-$AJ100))</f>
        <v>6</v>
      </c>
      <c r="K100" s="879">
        <f>IF(I100=0,0,IF(I$6=0,0,IF(J100=0,0,((11-J100)))-$B$6))</f>
        <v>2</v>
      </c>
      <c r="L100" s="988">
        <f>'print 10 lane'!O100</f>
        <v>9.638888888888888E-4</v>
      </c>
      <c r="M100" s="879">
        <f>IF(L100=0,0,IF(L$6=0,0,IF(L100&lt;1,SUM((L100&gt;I100),(L100&gt;F100),(L100&gt;O100),(L100&gt;R100),(L100&gt;U100),(L100&gt;X100),(L100&gt;AA100),(L100&gt;AD100),(L100&gt;AG100),(L100&gt;BB100)))-$AJ100))</f>
        <v>3</v>
      </c>
      <c r="N100" s="879">
        <f>IF(L100=0,0,IF(L$6=0,0,IF(M100=0,0,((11-M100)))-$B$6))</f>
        <v>5</v>
      </c>
      <c r="O100" s="988">
        <f>'print 10 lane'!R100</f>
        <v>9.4085648148148143E-4</v>
      </c>
      <c r="P100" s="879">
        <f>IF(O100=0,0,IF(O$6=0,0,IF(O100&lt;1,SUM((O100&gt;I100),(O100&gt;L100),(O100&gt;F100),(O100&gt;R100),(O100&gt;U100),(O100&gt;X100),(O100&gt;AA100),(O100&gt;AD100),(O100&gt;AG100),(O100&gt;BB100)))-$AJ100))</f>
        <v>2</v>
      </c>
      <c r="Q100" s="879">
        <f>IF(O100=0,0,IF(O$6=0,0,IF(P100=0,0,((11-P100)))-$B$6))</f>
        <v>6</v>
      </c>
      <c r="R100" s="988">
        <f>'print 10 lane'!U100</f>
        <v>9.7719907407407412E-4</v>
      </c>
      <c r="S100" s="879">
        <f>IF(R100=0,0,IF(R$6=0,0,IF(R100&lt;1,SUM((R100&gt;I100),(R100&gt;L100),(R100&gt;O100),(R100&gt;F100),(R100&gt;U100),(R100&gt;X100),(R100&gt;AA100),(R100&gt;AD100),(R100&gt;AG100),(R100&gt;BB100)))-$AJ100))</f>
        <v>4</v>
      </c>
      <c r="T100" s="879">
        <f>IF(R100=0,0,IF(R$6=0,0,IF(S100=0,0,((11-S100)))-$B$6))</f>
        <v>4</v>
      </c>
      <c r="U100" s="988">
        <f>'print 10 lane'!X100</f>
        <v>9.8564814814814804E-4</v>
      </c>
      <c r="V100" s="879">
        <f>IF(U100=0,0,IF(U$6=0,0,IF(U100&lt;1,SUM((U100&gt;I100),(U100&gt;L100),(U100&gt;O100),(U100&gt;R100),(U100&gt;F100),(U100&gt;X100),(U100&gt;AA100),(U100&gt;AD100),(U100&gt;AG100),(U100&gt;BB100)))-$AJ100))</f>
        <v>5</v>
      </c>
      <c r="W100" s="879">
        <f>IF(U100=0,0,IF(U$6=0,0,IF(V100=0,0,((11-V100)))-$B$6))</f>
        <v>3</v>
      </c>
      <c r="X100" s="988">
        <f>'print 10 lane'!AA100</f>
        <v>1.0487268518518519E-3</v>
      </c>
      <c r="Y100" s="879">
        <f>IF(X100=0,0,IF(X$6=0,0,IF(X100&lt;1,SUM((X100&gt;I100),(X100&gt;L100),(X100&gt;O100),(X100&gt;R100),(X100&gt;U100),(X100&gt;F100),(X100&gt;AA100),(X100&gt;AD100),(X100&gt;AG100),(X100&gt;BB100))))-$AJ100)</f>
        <v>7</v>
      </c>
      <c r="Z100" s="879">
        <f>IF(X100=0,0,IF(X$6=0,0,IF(Y100=0,0,((11-Y100)))-$B$6))</f>
        <v>1</v>
      </c>
      <c r="AA100" s="988">
        <f>'print 10 lane'!AD100</f>
        <v>0</v>
      </c>
      <c r="AB100" s="879">
        <f>IF(AA100=0,0,IF(AA$6=0,0,IF(AA100&lt;1,SUM((AA100&gt;I100),(AA100&gt;L100),(AA100&gt;O100),(AA100&gt;R100),(AA100&gt;U100),(AA100&gt;X100),(AA100&gt;AD100),(AA100&gt;AG100),(AA100&gt;F100),(AA100&gt;BB100)))-$AJ100))</f>
        <v>0</v>
      </c>
      <c r="AC100" s="989">
        <f>IF(AA100=0,0,IF(AA$6=0,0,IF(AB100=0,0,((11-AB100)))-$B$6))</f>
        <v>0</v>
      </c>
      <c r="AD100" s="990"/>
      <c r="AE100" s="881"/>
      <c r="AF100" s="881"/>
      <c r="AG100" s="880"/>
      <c r="AH100" s="881"/>
      <c r="AI100" s="882"/>
      <c r="AJ100" s="883">
        <f>COUNTBLANK(F624:O624)</f>
        <v>3</v>
      </c>
      <c r="BA100" s="837"/>
    </row>
    <row r="101" spans="2:53" ht="42" customHeight="1" x14ac:dyDescent="0.25">
      <c r="B101" s="1349"/>
      <c r="C101" s="1333"/>
      <c r="D101" s="1424"/>
      <c r="E101" s="1430"/>
      <c r="F101" s="1431" t="str">
        <f>'print 10 lane'!I101</f>
        <v>Bianca Gomez-Velasco</v>
      </c>
      <c r="G101" s="1431"/>
      <c r="H101" s="1431"/>
      <c r="I101" s="1431" t="str">
        <f>'print 10 lane'!L101</f>
        <v>Sophie Lyon</v>
      </c>
      <c r="J101" s="1431"/>
      <c r="K101" s="1431"/>
      <c r="L101" s="1431" t="str">
        <f>'print 10 lane'!O101</f>
        <v>Mia Nelson</v>
      </c>
      <c r="M101" s="1431"/>
      <c r="N101" s="1431"/>
      <c r="O101" s="1431" t="str">
        <f>'print 10 lane'!R101</f>
        <v>Amber Curtis</v>
      </c>
      <c r="P101" s="1431"/>
      <c r="Q101" s="1431"/>
      <c r="R101" s="1431" t="str">
        <f>'print 10 lane'!U101</f>
        <v>Marcie Aley</v>
      </c>
      <c r="S101" s="1431"/>
      <c r="T101" s="1431"/>
      <c r="U101" s="1431" t="str">
        <f>'print 10 lane'!X101</f>
        <v>Mina  Safahe</v>
      </c>
      <c r="V101" s="1431"/>
      <c r="W101" s="1431"/>
      <c r="X101" s="1431" t="str">
        <f>'print 10 lane'!AA101</f>
        <v>Julia Ozen</v>
      </c>
      <c r="Y101" s="1431"/>
      <c r="Z101" s="1431"/>
      <c r="AA101" s="1431" t="str">
        <f>'print 10 lane'!AD101</f>
        <v xml:space="preserve"> </v>
      </c>
      <c r="AB101" s="1431"/>
      <c r="AC101" s="1431"/>
      <c r="AD101" s="1426"/>
      <c r="AE101" s="1426"/>
      <c r="AF101" s="1426"/>
      <c r="AG101" s="1341"/>
      <c r="AH101" s="1341"/>
      <c r="AI101" s="1341"/>
      <c r="AJ101" s="883"/>
      <c r="BA101" s="837"/>
    </row>
    <row r="102" spans="2:53" ht="42" customHeight="1" x14ac:dyDescent="0.25">
      <c r="B102" s="1349"/>
      <c r="C102" s="1333"/>
      <c r="D102" s="1424"/>
      <c r="E102" s="1001" t="s">
        <v>5086</v>
      </c>
      <c r="F102" s="1425">
        <f>'print 10 lane'!I102</f>
        <v>0</v>
      </c>
      <c r="G102" s="1425"/>
      <c r="H102" s="1425"/>
      <c r="I102" s="1425">
        <f>'print 10 lane'!L102</f>
        <v>0</v>
      </c>
      <c r="J102" s="1425"/>
      <c r="K102" s="1425"/>
      <c r="L102" s="1425">
        <f>'print 10 lane'!O102</f>
        <v>0</v>
      </c>
      <c r="M102" s="1425"/>
      <c r="N102" s="1425"/>
      <c r="O102" s="1425">
        <f>'print 10 lane'!R102</f>
        <v>0</v>
      </c>
      <c r="P102" s="1425"/>
      <c r="Q102" s="1425"/>
      <c r="R102" s="1425">
        <f>'print 10 lane'!U102</f>
        <v>0</v>
      </c>
      <c r="S102" s="1425"/>
      <c r="T102" s="1425"/>
      <c r="U102" s="1425">
        <f>'print 10 lane'!X102</f>
        <v>0</v>
      </c>
      <c r="V102" s="1425"/>
      <c r="W102" s="1425"/>
      <c r="X102" s="1425">
        <f>'print 10 lane'!AA102</f>
        <v>0</v>
      </c>
      <c r="Y102" s="1425"/>
      <c r="Z102" s="1425"/>
      <c r="AA102" s="1425">
        <f>'print 10 lane'!AD102</f>
        <v>0</v>
      </c>
      <c r="AB102" s="1425"/>
      <c r="AC102" s="1425"/>
      <c r="AD102" s="1428"/>
      <c r="AE102" s="1428"/>
      <c r="AF102" s="1428"/>
      <c r="AG102" s="1346"/>
      <c r="AH102" s="1346"/>
      <c r="AI102" s="1346"/>
      <c r="AJ102" s="883"/>
      <c r="BA102" s="837"/>
    </row>
    <row r="103" spans="2:53" ht="42" customHeight="1" x14ac:dyDescent="0.25">
      <c r="B103" s="1349">
        <v>34</v>
      </c>
      <c r="C103" s="1343" t="s">
        <v>5087</v>
      </c>
      <c r="D103" s="1424" t="s">
        <v>5093</v>
      </c>
      <c r="E103" s="1430" t="s">
        <v>5097</v>
      </c>
      <c r="F103" s="987">
        <f>'print 10 lane'!I103</f>
        <v>9.3692129629629627E-4</v>
      </c>
      <c r="G103" s="879">
        <f>IF(F103=0,0,IF(F$6=0,0,IF(F103&lt;1,SUM((F103&gt;I103),(F103&gt;L103),(F103&gt;O103),(F103&gt;R103),(F103&gt;U103),(F103&gt;X103),(F103&gt;AA103),(F103&gt;AD103),(F103&gt;AG103),(F103&gt;BB103)))-$AJ103))</f>
        <v>6</v>
      </c>
      <c r="H103" s="879">
        <f>IF(F103=0,0,IF(F$6=0,0,IF(G103=0,0,((11-G103)))-$B$6))</f>
        <v>2</v>
      </c>
      <c r="I103" s="988">
        <f>'print 10 lane'!L103</f>
        <v>1.0325231481481481E-3</v>
      </c>
      <c r="J103" s="879">
        <f>IF(I103=0,0,IF(I$6=0,0,IF(I103&lt;1,SUM((I103&gt;L103),(I103&gt;O103),(I103&gt;R103),(I103&gt;U103),(I103&gt;X103),(I103&gt;AA103),(I103&gt;F103),(I103&gt;AD103),(I103&gt;AG103),(I103&gt;BB103)))-$AJ103))</f>
        <v>7</v>
      </c>
      <c r="K103" s="879">
        <f>IF(I103=0,0,IF(I$6=0,0,IF(J103=0,0,((11-J103)))-$B$6))</f>
        <v>1</v>
      </c>
      <c r="L103" s="988">
        <f>'print 10 lane'!O103</f>
        <v>8.0763888888888888E-4</v>
      </c>
      <c r="M103" s="879">
        <f>IF(L103=0,0,IF(L$6=0,0,IF(L103&lt;1,SUM((L103&gt;I103),(L103&gt;F103),(L103&gt;O103),(L103&gt;R103),(L103&gt;U103),(L103&gt;X103),(L103&gt;AA103),(L103&gt;AD103),(L103&gt;AG103),(L103&gt;BB103)))-$AJ103))</f>
        <v>1</v>
      </c>
      <c r="N103" s="879">
        <f>IF(L103=0,0,IF(L$6=0,0,IF(M103=0,0,((11-M103)))-$B$6))</f>
        <v>7</v>
      </c>
      <c r="O103" s="988">
        <f>'print 10 lane'!R103</f>
        <v>8.902777777777777E-4</v>
      </c>
      <c r="P103" s="879">
        <f>IF(O103=0,0,IF(O$6=0,0,IF(O103&lt;1,SUM((O103&gt;I103),(O103&gt;L103),(O103&gt;F103),(O103&gt;R103),(O103&gt;U103),(O103&gt;X103),(O103&gt;AA103),(O103&gt;AD103),(O103&gt;AG103),(O103&gt;BB103)))-$AJ103))</f>
        <v>4</v>
      </c>
      <c r="Q103" s="879">
        <f>IF(O103=0,0,IF(O$6=0,0,IF(P103=0,0,((11-P103)))-$B$6))</f>
        <v>4</v>
      </c>
      <c r="R103" s="988">
        <f>'print 10 lane'!U103</f>
        <v>8.2581018518518518E-4</v>
      </c>
      <c r="S103" s="879">
        <f>IF(R103=0,0,IF(R$6=0,0,IF(R103&lt;1,SUM((R103&gt;I103),(R103&gt;L103),(R103&gt;O103),(R103&gt;F103),(R103&gt;U103),(R103&gt;X103),(R103&gt;AA103),(R103&gt;AD103),(R103&gt;AG103),(R103&gt;BB103)))-$AJ103))</f>
        <v>2</v>
      </c>
      <c r="T103" s="879">
        <f>IF(R103=0,0,IF(R$6=0,0,IF(S103=0,0,((11-S103)))-$B$6))</f>
        <v>6</v>
      </c>
      <c r="U103" s="988">
        <f>'print 10 lane'!X103</f>
        <v>8.2638888888888877E-4</v>
      </c>
      <c r="V103" s="879">
        <f>IF(U103=0,0,IF(U$6=0,0,IF(U103&lt;1,SUM((U103&gt;I103),(U103&gt;L103),(U103&gt;O103),(U103&gt;R103),(U103&gt;F103),(U103&gt;X103),(U103&gt;AA103),(U103&gt;AD103),(U103&gt;AG103),(U103&gt;BB103)))-$AJ103))</f>
        <v>3</v>
      </c>
      <c r="W103" s="879">
        <f>IF(U103=0,0,IF(U$6=0,0,IF(V103=0,0,((11-V103)))-$B$6))</f>
        <v>5</v>
      </c>
      <c r="X103" s="988">
        <f>'print 10 lane'!AA103</f>
        <v>9.0115740740740748E-4</v>
      </c>
      <c r="Y103" s="879">
        <f>IF(X103=0,0,IF(X$6=0,0,IF(X103&lt;1,SUM((X103&gt;I103),(X103&gt;L103),(X103&gt;O103),(X103&gt;R103),(X103&gt;U103),(X103&gt;F103),(X103&gt;AA103),(X103&gt;AD103),(X103&gt;AG103),(X103&gt;BB103))))-$AJ103)</f>
        <v>5</v>
      </c>
      <c r="Z103" s="879">
        <f>IF(X103=0,0,IF(X$6=0,0,IF(Y103=0,0,((11-Y103)))-$B$6))</f>
        <v>3</v>
      </c>
      <c r="AA103" s="988">
        <f>'print 10 lane'!AD103</f>
        <v>0</v>
      </c>
      <c r="AB103" s="879">
        <f>IF(AA103=0,0,IF(AA$6=0,0,IF(AA103&lt;1,SUM((AA103&gt;I103),(AA103&gt;L103),(AA103&gt;O103),(AA103&gt;R103),(AA103&gt;U103),(AA103&gt;X103),(AA103&gt;AD103),(AA103&gt;AG103),(AA103&gt;F103),(AA103&gt;BB103)))-$AJ103))</f>
        <v>0</v>
      </c>
      <c r="AC103" s="989">
        <f>IF(AA103=0,0,IF(AA$6=0,0,IF(AB103=0,0,((11-AB103)))-$B$6))</f>
        <v>0</v>
      </c>
      <c r="AD103" s="990"/>
      <c r="AE103" s="881"/>
      <c r="AF103" s="881"/>
      <c r="AG103" s="880"/>
      <c r="AH103" s="881"/>
      <c r="AI103" s="882"/>
      <c r="AJ103" s="883">
        <f>COUNTBLANK(F625:O625)</f>
        <v>3</v>
      </c>
      <c r="BA103" s="837"/>
    </row>
    <row r="104" spans="2:53" s="897" customFormat="1" ht="42" customHeight="1" x14ac:dyDescent="0.25">
      <c r="B104" s="1349"/>
      <c r="C104" s="1343"/>
      <c r="D104" s="1424"/>
      <c r="E104" s="1430"/>
      <c r="F104" s="1431" t="str">
        <f>'print 10 lane'!I104</f>
        <v>Gabriel Bhonsle</v>
      </c>
      <c r="G104" s="1431"/>
      <c r="H104" s="1431"/>
      <c r="I104" s="1431" t="str">
        <f>'print 10 lane'!L104</f>
        <v>Daniel Humphreys</v>
      </c>
      <c r="J104" s="1431"/>
      <c r="K104" s="1431"/>
      <c r="L104" s="1431" t="str">
        <f>'print 10 lane'!O104</f>
        <v>George Lovelock</v>
      </c>
      <c r="M104" s="1431"/>
      <c r="N104" s="1431"/>
      <c r="O104" s="1431" t="str">
        <f>'print 10 lane'!R104</f>
        <v>Max Waller</v>
      </c>
      <c r="P104" s="1431"/>
      <c r="Q104" s="1431"/>
      <c r="R104" s="1431" t="str">
        <f>'print 10 lane'!U104</f>
        <v>Robert Elliston</v>
      </c>
      <c r="S104" s="1431"/>
      <c r="T104" s="1431"/>
      <c r="U104" s="1431" t="str">
        <f>'print 10 lane'!X104</f>
        <v>Wiktor  Brejnak</v>
      </c>
      <c r="V104" s="1431"/>
      <c r="W104" s="1431"/>
      <c r="X104" s="1431" t="str">
        <f>'print 10 lane'!AA104</f>
        <v>Andrew May</v>
      </c>
      <c r="Y104" s="1431"/>
      <c r="Z104" s="1431"/>
      <c r="AA104" s="1431" t="str">
        <f>'print 10 lane'!AD104</f>
        <v xml:space="preserve"> </v>
      </c>
      <c r="AB104" s="1431"/>
      <c r="AC104" s="1431"/>
      <c r="AD104" s="1426"/>
      <c r="AE104" s="1426"/>
      <c r="AF104" s="1426"/>
      <c r="AG104" s="1341"/>
      <c r="AH104" s="1341"/>
      <c r="AI104" s="1341"/>
      <c r="AJ104" s="883"/>
      <c r="BA104" s="898"/>
    </row>
    <row r="105" spans="2:53" s="897" customFormat="1" ht="42" customHeight="1" x14ac:dyDescent="0.25">
      <c r="B105" s="1349"/>
      <c r="C105" s="1343"/>
      <c r="D105" s="1424"/>
      <c r="E105" s="1001" t="s">
        <v>5086</v>
      </c>
      <c r="F105" s="1425">
        <f>'print 10 lane'!I105</f>
        <v>0</v>
      </c>
      <c r="G105" s="1425"/>
      <c r="H105" s="1425"/>
      <c r="I105" s="1425">
        <f>'print 10 lane'!L105</f>
        <v>0</v>
      </c>
      <c r="J105" s="1425"/>
      <c r="K105" s="1425"/>
      <c r="L105" s="1425">
        <f>'print 10 lane'!O105</f>
        <v>0</v>
      </c>
      <c r="M105" s="1425"/>
      <c r="N105" s="1425"/>
      <c r="O105" s="1425">
        <f>'print 10 lane'!R105</f>
        <v>0</v>
      </c>
      <c r="P105" s="1425"/>
      <c r="Q105" s="1425"/>
      <c r="R105" s="1425">
        <f>'print 10 lane'!U105</f>
        <v>0</v>
      </c>
      <c r="S105" s="1425"/>
      <c r="T105" s="1425"/>
      <c r="U105" s="1425">
        <f>'print 10 lane'!X105</f>
        <v>0</v>
      </c>
      <c r="V105" s="1425"/>
      <c r="W105" s="1425"/>
      <c r="X105" s="1425">
        <f>'print 10 lane'!AA105</f>
        <v>0</v>
      </c>
      <c r="Y105" s="1425"/>
      <c r="Z105" s="1425"/>
      <c r="AA105" s="1425">
        <f>'print 10 lane'!AD105</f>
        <v>0</v>
      </c>
      <c r="AB105" s="1425"/>
      <c r="AC105" s="1425"/>
      <c r="AD105" s="1428"/>
      <c r="AE105" s="1428"/>
      <c r="AF105" s="1428"/>
      <c r="AG105" s="1346"/>
      <c r="AH105" s="1346"/>
      <c r="AI105" s="1346"/>
      <c r="AJ105" s="883"/>
      <c r="BA105" s="898"/>
    </row>
    <row r="106" spans="2:53" ht="42" customHeight="1" x14ac:dyDescent="0.25">
      <c r="B106" s="1349">
        <v>35</v>
      </c>
      <c r="C106" s="1333" t="s">
        <v>5083</v>
      </c>
      <c r="D106" s="1429" t="s">
        <v>5094</v>
      </c>
      <c r="E106" s="1430" t="s">
        <v>5104</v>
      </c>
      <c r="F106" s="987">
        <f>'print 10 lane'!I106</f>
        <v>3.996527777777778E-4</v>
      </c>
      <c r="G106" s="879">
        <f>IF(F106=0,0,IF(F$6=0,0,IF(F106&lt;1,SUM((F106&gt;I106),(F106&gt;L106),(F106&gt;O106),(F106&gt;R106),(F106&gt;U106),(F106&gt;X106),(F106&gt;AA106),(F106&gt;AD106),(F106&gt;AG106),(F106&gt;BB106)))-$AJ106))</f>
        <v>1</v>
      </c>
      <c r="H106" s="879">
        <f>IF(F106=0,0,IF(F$6=0,0,IF(G106=0,0,((11-G106)))-$B$6))</f>
        <v>7</v>
      </c>
      <c r="I106" s="988">
        <f>'print 10 lane'!L106</f>
        <v>4.4780092592592587E-4</v>
      </c>
      <c r="J106" s="879">
        <f>IF(I106=0,0,IF(I$6=0,0,IF(I106&lt;1,SUM((I106&gt;L106),(I106&gt;O106),(I106&gt;R106),(I106&gt;U106),(I106&gt;X106),(I106&gt;AA106),(I106&gt;F106),(I106&gt;AD106),(I106&gt;AG106),(I106&gt;BB106)))-$AJ106))</f>
        <v>6</v>
      </c>
      <c r="K106" s="879">
        <f>IF(I106=0,0,IF(I$6=0,0,IF(J106=0,0,((11-J106)))-$B$6))</f>
        <v>2</v>
      </c>
      <c r="L106" s="988">
        <f>'print 10 lane'!O106</f>
        <v>4.3414351851851855E-4</v>
      </c>
      <c r="M106" s="879">
        <f>IF(L106=0,0,IF(L$6=0,0,IF(L106&lt;1,SUM((L106&gt;I106),(L106&gt;F106),(L106&gt;O106),(L106&gt;R106),(L106&gt;U106),(L106&gt;X106),(L106&gt;AA106),(L106&gt;AD106),(L106&gt;AG106),(L106&gt;BB106)))-$AJ106))</f>
        <v>4</v>
      </c>
      <c r="N106" s="879">
        <f>IF(L106=0,0,IF(L$6=0,0,IF(M106=0,0,((11-M106)))-$B$6))</f>
        <v>4</v>
      </c>
      <c r="O106" s="988">
        <f>'print 10 lane'!R106</f>
        <v>4.1967592592592593E-4</v>
      </c>
      <c r="P106" s="879">
        <f>IF(O106=0,0,IF(O$6=0,0,IF(O106&lt;1,SUM((O106&gt;I106),(O106&gt;L106),(O106&gt;F106),(O106&gt;R106),(O106&gt;U106),(O106&gt;X106),(O106&gt;AA106),(O106&gt;AD106),(O106&gt;AG106),(O106&gt;BB106)))-$AJ106))</f>
        <v>2</v>
      </c>
      <c r="Q106" s="879">
        <f>IF(O106=0,0,IF(O$6=0,0,IF(P106=0,0,((11-P106)))-$B$6))</f>
        <v>6</v>
      </c>
      <c r="R106" s="988">
        <f>'print 10 lane'!U106</f>
        <v>4.2754629629629626E-4</v>
      </c>
      <c r="S106" s="879">
        <f>IF(R106=0,0,IF(R$6=0,0,IF(R106&lt;1,SUM((R106&gt;I106),(R106&gt;L106),(R106&gt;O106),(R106&gt;F106),(R106&gt;U106),(R106&gt;X106),(R106&gt;AA106),(R106&gt;AD106),(R106&gt;AG106),(R106&gt;BB106)))-$AJ106))</f>
        <v>3</v>
      </c>
      <c r="T106" s="879">
        <f>IF(R106=0,0,IF(R$6=0,0,IF(S106=0,0,((11-S106)))-$B$6))</f>
        <v>5</v>
      </c>
      <c r="U106" s="988">
        <f>'print 10 lane'!X106</f>
        <v>4.7604166666666666E-4</v>
      </c>
      <c r="V106" s="879">
        <f>IF(U106=0,0,IF(U$6=0,0,IF(U106&lt;1,SUM((U106&gt;I106),(U106&gt;L106),(U106&gt;O106),(U106&gt;R106),(U106&gt;F106),(U106&gt;X106),(U106&gt;AA106),(U106&gt;AD106),(U106&gt;AG106),(U106&gt;BB106)))-$AJ106))</f>
        <v>7</v>
      </c>
      <c r="W106" s="879">
        <f>IF(U106=0,0,IF(U$6=0,0,IF(V106=0,0,((11-V106)))-$B$6))</f>
        <v>1</v>
      </c>
      <c r="X106" s="988">
        <f>'print 10 lane'!AA106</f>
        <v>4.4502314814814817E-4</v>
      </c>
      <c r="Y106" s="879">
        <f>IF(X106=0,0,IF(X$6=0,0,IF(X106&lt;1,SUM((X106&gt;I106),(X106&gt;L106),(X106&gt;O106),(X106&gt;R106),(X106&gt;U106),(X106&gt;F106),(X106&gt;AA106),(X106&gt;AD106),(X106&gt;AG106),(X106&gt;BB106))))-$AJ106)</f>
        <v>5</v>
      </c>
      <c r="Z106" s="879">
        <f>IF(X106=0,0,IF(X$6=0,0,IF(Y106=0,0,((11-Y106)))-$B$6))</f>
        <v>3</v>
      </c>
      <c r="AA106" s="988">
        <f>'print 10 lane'!AD106</f>
        <v>0</v>
      </c>
      <c r="AB106" s="879">
        <f>IF(AA106=0,0,IF(AA$6=0,0,IF(AA106&lt;1,SUM((AA106&gt;I106),(AA106&gt;L106),(AA106&gt;O106),(AA106&gt;R106),(AA106&gt;U106),(AA106&gt;X106),(AA106&gt;AD106),(AA106&gt;AG106),(AA106&gt;F106),(AA106&gt;BB106)))-$AJ106))</f>
        <v>0</v>
      </c>
      <c r="AC106" s="989">
        <f>IF(AA106=0,0,IF(AA$6=0,0,IF(AB106=0,0,((11-AB106)))-$B$6))</f>
        <v>0</v>
      </c>
      <c r="AD106" s="990"/>
      <c r="AE106" s="881"/>
      <c r="AF106" s="881"/>
      <c r="AG106" s="880"/>
      <c r="AH106" s="881"/>
      <c r="AI106" s="882"/>
      <c r="AJ106" s="883">
        <f>COUNTBLANK(F626:O626)</f>
        <v>3</v>
      </c>
      <c r="BA106" s="837"/>
    </row>
    <row r="107" spans="2:53" ht="42" customHeight="1" x14ac:dyDescent="0.25">
      <c r="B107" s="1349"/>
      <c r="C107" s="1333"/>
      <c r="D107" s="1429"/>
      <c r="E107" s="1430"/>
      <c r="F107" s="1431" t="str">
        <f>'print 10 lane'!I107</f>
        <v>Claudia Savov</v>
      </c>
      <c r="G107" s="1431"/>
      <c r="H107" s="1431"/>
      <c r="I107" s="1431" t="str">
        <f>'print 10 lane'!L107</f>
        <v>Annabelle Harris</v>
      </c>
      <c r="J107" s="1431"/>
      <c r="K107" s="1431"/>
      <c r="L107" s="1431" t="str">
        <f>'print 10 lane'!O107</f>
        <v>Scarlett Omand</v>
      </c>
      <c r="M107" s="1431"/>
      <c r="N107" s="1431"/>
      <c r="O107" s="1431" t="str">
        <f>'print 10 lane'!R107</f>
        <v>Chelsea Dare</v>
      </c>
      <c r="P107" s="1431"/>
      <c r="Q107" s="1431"/>
      <c r="R107" s="1431" t="str">
        <f>'print 10 lane'!U107</f>
        <v>Maisie Cooper</v>
      </c>
      <c r="S107" s="1431"/>
      <c r="T107" s="1431"/>
      <c r="U107" s="1431" t="str">
        <f>'print 10 lane'!X107</f>
        <v>Mahika Chandrashekar</v>
      </c>
      <c r="V107" s="1431"/>
      <c r="W107" s="1431"/>
      <c r="X107" s="1431" t="str">
        <f>'print 10 lane'!AA107</f>
        <v>Arabella Connick</v>
      </c>
      <c r="Y107" s="1431"/>
      <c r="Z107" s="1431"/>
      <c r="AA107" s="1431" t="str">
        <f>'print 10 lane'!AD107</f>
        <v xml:space="preserve"> </v>
      </c>
      <c r="AB107" s="1431"/>
      <c r="AC107" s="1431"/>
      <c r="AD107" s="1426"/>
      <c r="AE107" s="1426"/>
      <c r="AF107" s="1426"/>
      <c r="AG107" s="1341"/>
      <c r="AH107" s="1341"/>
      <c r="AI107" s="1341"/>
      <c r="AJ107" s="883"/>
      <c r="BA107" s="837"/>
    </row>
    <row r="108" spans="2:53" ht="42" customHeight="1" x14ac:dyDescent="0.25">
      <c r="B108" s="1349"/>
      <c r="C108" s="1333"/>
      <c r="D108" s="1429"/>
      <c r="E108" s="1001" t="s">
        <v>5086</v>
      </c>
      <c r="F108" s="1425">
        <f>'print 10 lane'!I108</f>
        <v>0</v>
      </c>
      <c r="G108" s="1425"/>
      <c r="H108" s="1425"/>
      <c r="I108" s="1425">
        <f>'print 10 lane'!L108</f>
        <v>0</v>
      </c>
      <c r="J108" s="1425"/>
      <c r="K108" s="1425"/>
      <c r="L108" s="1425">
        <f>'print 10 lane'!O108</f>
        <v>0</v>
      </c>
      <c r="M108" s="1425"/>
      <c r="N108" s="1425"/>
      <c r="O108" s="1425">
        <f>'print 10 lane'!R108</f>
        <v>0</v>
      </c>
      <c r="P108" s="1425"/>
      <c r="Q108" s="1425"/>
      <c r="R108" s="1425">
        <f>'print 10 lane'!U108</f>
        <v>0</v>
      </c>
      <c r="S108" s="1425"/>
      <c r="T108" s="1425"/>
      <c r="U108" s="1425">
        <f>'print 10 lane'!X108</f>
        <v>0</v>
      </c>
      <c r="V108" s="1425"/>
      <c r="W108" s="1425"/>
      <c r="X108" s="1425">
        <f>'print 10 lane'!AA108</f>
        <v>0</v>
      </c>
      <c r="Y108" s="1425"/>
      <c r="Z108" s="1425"/>
      <c r="AA108" s="1425">
        <f>'print 10 lane'!AD108</f>
        <v>0</v>
      </c>
      <c r="AB108" s="1425"/>
      <c r="AC108" s="1425"/>
      <c r="AD108" s="1428"/>
      <c r="AE108" s="1428"/>
      <c r="AF108" s="1428"/>
      <c r="AG108" s="1346"/>
      <c r="AH108" s="1346"/>
      <c r="AI108" s="1346"/>
      <c r="AJ108" s="883"/>
      <c r="BA108" s="837"/>
    </row>
    <row r="109" spans="2:53" ht="42" customHeight="1" x14ac:dyDescent="0.25">
      <c r="B109" s="1349">
        <v>36</v>
      </c>
      <c r="C109" s="1343" t="s">
        <v>5087</v>
      </c>
      <c r="D109" s="1429" t="s">
        <v>5094</v>
      </c>
      <c r="E109" s="1430" t="s">
        <v>5104</v>
      </c>
      <c r="F109" s="987">
        <f>'print 10 lane'!I109</f>
        <v>5.3078703703703697E-4</v>
      </c>
      <c r="G109" s="879">
        <f>IF(F109=0,0,IF(F$6=0,0,IF(F109&lt;1,SUM((F109&gt;I109),(F109&gt;L109),(F109&gt;O109),(F109&gt;R109),(F109&gt;U109),(F109&gt;X109),(F109&gt;AA109),(F109&gt;AD109),(F109&gt;AG109),(F109&gt;BB109)))-$AJ109))</f>
        <v>7</v>
      </c>
      <c r="H109" s="879">
        <f>IF(F109=0,0,IF(F$6=0,0,IF(G109=0,0,((11-G109)))-$B$6))</f>
        <v>1</v>
      </c>
      <c r="I109" s="988">
        <f>'print 10 lane'!L109</f>
        <v>4.4502314814814817E-4</v>
      </c>
      <c r="J109" s="879">
        <f>IF(I109=0,0,IF(I$6=0,0,IF(I109&lt;1,SUM((I109&gt;L109),(I109&gt;O109),(I109&gt;R109),(I109&gt;U109),(I109&gt;X109),(I109&gt;AA109),(I109&gt;F109),(I109&gt;AD109),(I109&gt;AG109),(I109&gt;BB109)))-$AJ109))</f>
        <v>5</v>
      </c>
      <c r="K109" s="879">
        <f>IF(I109=0,0,IF(I$6=0,0,IF(J109=0,0,((11-J109)))-$B$6))</f>
        <v>3</v>
      </c>
      <c r="L109" s="988">
        <f>'print 10 lane'!O109</f>
        <v>4.4016203703703708E-4</v>
      </c>
      <c r="M109" s="879">
        <f>IF(L109=0,0,IF(L$6=0,0,IF(L109&lt;1,SUM((L109&gt;I109),(L109&gt;F109),(L109&gt;O109),(L109&gt;R109),(L109&gt;U109),(L109&gt;X109),(L109&gt;AA109),(L109&gt;AD109),(L109&gt;AG109),(L109&gt;BB109)))-$AJ109))</f>
        <v>4</v>
      </c>
      <c r="N109" s="879">
        <f>IF(L109=0,0,IF(L$6=0,0,IF(M109=0,0,((11-M109)))-$B$6))</f>
        <v>4</v>
      </c>
      <c r="O109" s="988">
        <f>'print 10 lane'!R109</f>
        <v>4.2395833333333332E-4</v>
      </c>
      <c r="P109" s="879">
        <f>IF(O109=0,0,IF(O$6=0,0,IF(O109&lt;1,SUM((O109&gt;I109),(O109&gt;L109),(O109&gt;F109),(O109&gt;R109),(O109&gt;U109),(O109&gt;X109),(O109&gt;AA109),(O109&gt;AD109),(O109&gt;AG109),(O109&gt;BB109)))-$AJ109))</f>
        <v>3</v>
      </c>
      <c r="Q109" s="879">
        <f>IF(O109=0,0,IF(O$6=0,0,IF(P109=0,0,((11-P109)))-$B$6))</f>
        <v>5</v>
      </c>
      <c r="R109" s="988">
        <f>'print 10 lane'!U109</f>
        <v>4.096064814814815E-4</v>
      </c>
      <c r="S109" s="879">
        <f>IF(R109=0,0,IF(R$6=0,0,IF(R109&lt;1,SUM((R109&gt;I109),(R109&gt;L109),(R109&gt;O109),(R109&gt;F109),(R109&gt;U109),(R109&gt;X109),(R109&gt;AA109),(R109&gt;AD109),(R109&gt;AG109),(R109&gt;BB109)))-$AJ109))</f>
        <v>1</v>
      </c>
      <c r="T109" s="879">
        <f>IF(R109=0,0,IF(R$6=0,0,IF(S109=0,0,((11-S109)))-$B$6))</f>
        <v>7</v>
      </c>
      <c r="U109" s="988">
        <f>'print 10 lane'!X109</f>
        <v>4.0983796296296292E-4</v>
      </c>
      <c r="V109" s="879">
        <f>IF(U109=0,0,IF(U$6=0,0,IF(U109&lt;1,SUM((U109&gt;I109),(U109&gt;L109),(U109&gt;O109),(U109&gt;R109),(U109&gt;F109),(U109&gt;X109),(U109&gt;AA109),(U109&gt;AD109),(U109&gt;AG109),(U109&gt;BB109)))-$AJ109))</f>
        <v>2</v>
      </c>
      <c r="W109" s="879">
        <f>IF(U109=0,0,IF(U$6=0,0,IF(V109=0,0,((11-V109)))-$B$6))</f>
        <v>6</v>
      </c>
      <c r="X109" s="988">
        <f>'print 10 lane'!AA109</f>
        <v>5.0486111111111109E-4</v>
      </c>
      <c r="Y109" s="879">
        <f>IF(X109=0,0,IF(X$6=0,0,IF(X109&lt;1,SUM((X109&gt;I109),(X109&gt;L109),(X109&gt;O109),(X109&gt;R109),(X109&gt;U109),(X109&gt;F109),(X109&gt;AA109),(X109&gt;AD109),(X109&gt;AG109),(X109&gt;BB109))))-$AJ109)</f>
        <v>6</v>
      </c>
      <c r="Z109" s="879">
        <f>IF(X109=0,0,IF(X$6=0,0,IF(Y109=0,0,((11-Y109)))-$B$6))</f>
        <v>2</v>
      </c>
      <c r="AA109" s="988">
        <f>'print 10 lane'!AD109</f>
        <v>0</v>
      </c>
      <c r="AB109" s="879">
        <f>IF(AA109=0,0,IF(AA$6=0,0,IF(AA109&lt;1,SUM((AA109&gt;I109),(AA109&gt;L109),(AA109&gt;O109),(AA109&gt;R109),(AA109&gt;U109),(AA109&gt;X109),(AA109&gt;AD109),(AA109&gt;AG109),(AA109&gt;F109),(AA109&gt;BB109)))-$AJ109))</f>
        <v>0</v>
      </c>
      <c r="AC109" s="989">
        <f>IF(AA109=0,0,IF(AA$6=0,0,IF(AB109=0,0,((11-AB109)))-$B$6))</f>
        <v>0</v>
      </c>
      <c r="AD109" s="990"/>
      <c r="AE109" s="881"/>
      <c r="AF109" s="881"/>
      <c r="AG109" s="880"/>
      <c r="AH109" s="881"/>
      <c r="AI109" s="882"/>
      <c r="AJ109" s="883">
        <f>COUNTBLANK(F627:O627)</f>
        <v>3</v>
      </c>
      <c r="BA109" s="837"/>
    </row>
    <row r="110" spans="2:53" ht="42" customHeight="1" x14ac:dyDescent="0.25">
      <c r="B110" s="1349"/>
      <c r="C110" s="1343"/>
      <c r="D110" s="1429"/>
      <c r="E110" s="1430"/>
      <c r="F110" s="1431" t="str">
        <f>'print 10 lane'!I110</f>
        <v>Kornel Kern-Konyar</v>
      </c>
      <c r="G110" s="1431"/>
      <c r="H110" s="1431"/>
      <c r="I110" s="1431" t="str">
        <f>'print 10 lane'!L110</f>
        <v>Alex Cash</v>
      </c>
      <c r="J110" s="1431"/>
      <c r="K110" s="1431"/>
      <c r="L110" s="1431" t="str">
        <f>'print 10 lane'!O110</f>
        <v>Fabio Giambrone</v>
      </c>
      <c r="M110" s="1431"/>
      <c r="N110" s="1431"/>
      <c r="O110" s="1431" t="str">
        <f>'print 10 lane'!R110</f>
        <v>James Mohammed</v>
      </c>
      <c r="P110" s="1431"/>
      <c r="Q110" s="1431"/>
      <c r="R110" s="1431" t="str">
        <f>'print 10 lane'!U110</f>
        <v>Braden Barnacle</v>
      </c>
      <c r="S110" s="1431"/>
      <c r="T110" s="1431"/>
      <c r="U110" s="1431" t="str">
        <f>'print 10 lane'!X110</f>
        <v>Mikhail Fedorov</v>
      </c>
      <c r="V110" s="1431"/>
      <c r="W110" s="1431"/>
      <c r="X110" s="1431" t="str">
        <f>'print 10 lane'!AA110</f>
        <v>Arush Agarwal</v>
      </c>
      <c r="Y110" s="1431"/>
      <c r="Z110" s="1431"/>
      <c r="AA110" s="1431" t="str">
        <f>'print 10 lane'!AD110</f>
        <v xml:space="preserve"> </v>
      </c>
      <c r="AB110" s="1431"/>
      <c r="AC110" s="1431"/>
      <c r="AD110" s="1426"/>
      <c r="AE110" s="1426"/>
      <c r="AF110" s="1426"/>
      <c r="AG110" s="1341"/>
      <c r="AH110" s="1341"/>
      <c r="AI110" s="1341"/>
      <c r="AJ110" s="883"/>
      <c r="BA110" s="837"/>
    </row>
    <row r="111" spans="2:53" ht="42" customHeight="1" x14ac:dyDescent="0.25">
      <c r="B111" s="1349"/>
      <c r="C111" s="1343"/>
      <c r="D111" s="1429"/>
      <c r="E111" s="1001" t="s">
        <v>5086</v>
      </c>
      <c r="F111" s="1425">
        <f>'print 10 lane'!I111</f>
        <v>0</v>
      </c>
      <c r="G111" s="1425"/>
      <c r="H111" s="1425"/>
      <c r="I111" s="1425">
        <f>'print 10 lane'!L111</f>
        <v>0</v>
      </c>
      <c r="J111" s="1425"/>
      <c r="K111" s="1425"/>
      <c r="L111" s="1425">
        <f>'print 10 lane'!O111</f>
        <v>0</v>
      </c>
      <c r="M111" s="1425"/>
      <c r="N111" s="1425"/>
      <c r="O111" s="1425">
        <f>'print 10 lane'!R111</f>
        <v>0</v>
      </c>
      <c r="P111" s="1425"/>
      <c r="Q111" s="1425"/>
      <c r="R111" s="1425">
        <f>'print 10 lane'!U111</f>
        <v>0</v>
      </c>
      <c r="S111" s="1425"/>
      <c r="T111" s="1425"/>
      <c r="U111" s="1425">
        <f>'print 10 lane'!X111</f>
        <v>0</v>
      </c>
      <c r="V111" s="1425"/>
      <c r="W111" s="1425"/>
      <c r="X111" s="1425">
        <f>'print 10 lane'!AA111</f>
        <v>0</v>
      </c>
      <c r="Y111" s="1425"/>
      <c r="Z111" s="1425"/>
      <c r="AA111" s="1425">
        <f>'print 10 lane'!AD111</f>
        <v>0</v>
      </c>
      <c r="AB111" s="1425"/>
      <c r="AC111" s="1425"/>
      <c r="AD111" s="1428"/>
      <c r="AE111" s="1428"/>
      <c r="AF111" s="1428"/>
      <c r="AG111" s="1346"/>
      <c r="AH111" s="1346"/>
      <c r="AI111" s="1346"/>
      <c r="AJ111" s="883"/>
      <c r="BA111" s="837"/>
    </row>
    <row r="112" spans="2:53" ht="42" customHeight="1" x14ac:dyDescent="0.25">
      <c r="B112" s="1349">
        <v>37</v>
      </c>
      <c r="C112" s="1333" t="s">
        <v>5083</v>
      </c>
      <c r="D112" s="1424" t="s">
        <v>5090</v>
      </c>
      <c r="E112" s="1430" t="s">
        <v>5103</v>
      </c>
      <c r="F112" s="987">
        <f>'print 10 lane'!I112</f>
        <v>8.0532407407407408E-4</v>
      </c>
      <c r="G112" s="879">
        <f>IF(F112=0,0,IF(F$6=0,0,IF(F112&lt;1,SUM((F112&gt;I112),(F112&gt;L112),(F112&gt;O112),(F112&gt;R112),(F112&gt;U112),(F112&gt;X112),(F112&gt;AA112),(F112&gt;AD112),(F112&gt;AG112),(F112&gt;BB112)))-$AJ112))</f>
        <v>3</v>
      </c>
      <c r="H112" s="879">
        <f>IF(F112=0,0,IF(F$6=0,0,IF(G112=0,0,((11-G112)))-$B$6))</f>
        <v>5</v>
      </c>
      <c r="I112" s="988">
        <f>'print 10 lane'!L112</f>
        <v>8.2650462962962962E-4</v>
      </c>
      <c r="J112" s="879">
        <f>IF(I112=0,0,IF(I$6=0,0,IF(I112&lt;1,SUM((I112&gt;L112),(I112&gt;O112),(I112&gt;R112),(I112&gt;U112),(I112&gt;X112),(I112&gt;AA112),(I112&gt;F112),(I112&gt;AD112),(I112&gt;AG112),(I112&gt;BB112)))-$AJ112))</f>
        <v>7</v>
      </c>
      <c r="K112" s="879">
        <f>IF(I112=0,0,IF(I$6=0,0,IF(J112=0,0,((11-J112)))-$B$6))</f>
        <v>1</v>
      </c>
      <c r="L112" s="988">
        <f>'print 10 lane'!O112</f>
        <v>7.6724537037037039E-4</v>
      </c>
      <c r="M112" s="879">
        <f>IF(L112=0,0,IF(L$6=0,0,IF(L112&lt;1,SUM((L112&gt;I112),(L112&gt;F112),(L112&gt;O112),(L112&gt;R112),(L112&gt;U112),(L112&gt;X112),(L112&gt;AA112),(L112&gt;AD112),(L112&gt;AG112),(L112&gt;BB112)))-$AJ112))</f>
        <v>2</v>
      </c>
      <c r="N112" s="879">
        <f>IF(L112=0,0,IF(L$6=0,0,IF(M112=0,0,((11-M112)))-$B$6))</f>
        <v>6</v>
      </c>
      <c r="O112" s="988">
        <f>'print 10 lane'!R112</f>
        <v>7.6041666666666662E-4</v>
      </c>
      <c r="P112" s="879">
        <f>IF(O112=0,0,IF(O$6=0,0,IF(O112&lt;1,SUM((O112&gt;I112),(O112&gt;L112),(O112&gt;F112),(O112&gt;R112),(O112&gt;U112),(O112&gt;X112),(O112&gt;AA112),(O112&gt;AD112),(O112&gt;AG112),(O112&gt;BB112)))-$AJ112))</f>
        <v>1</v>
      </c>
      <c r="Q112" s="879">
        <f>IF(O112=0,0,IF(O$6=0,0,IF(P112=0,0,((11-P112)))-$B$6))</f>
        <v>7</v>
      </c>
      <c r="R112" s="988">
        <f>'print 10 lane'!U112</f>
        <v>8.0844907407407395E-4</v>
      </c>
      <c r="S112" s="879">
        <f>IF(R112=0,0,IF(R$6=0,0,IF(R112&lt;1,SUM((R112&gt;I112),(R112&gt;L112),(R112&gt;O112),(R112&gt;F112),(R112&gt;U112),(R112&gt;X112),(R112&gt;AA112),(R112&gt;AD112),(R112&gt;AG112),(R112&gt;BB112)))-$AJ112))</f>
        <v>5</v>
      </c>
      <c r="T112" s="879">
        <f>IF(R112=0,0,IF(R$6=0,0,IF(S112=0,0,((11-S112)))-$B$6))</f>
        <v>3</v>
      </c>
      <c r="U112" s="988">
        <f>'print 10 lane'!X112</f>
        <v>8.0833333333333321E-4</v>
      </c>
      <c r="V112" s="879">
        <f>IF(U112=0,0,IF(U$6=0,0,IF(U112&lt;1,SUM((U112&gt;I112),(U112&gt;L112),(U112&gt;O112),(U112&gt;R112),(U112&gt;F112),(U112&gt;X112),(U112&gt;AA112),(U112&gt;AD112),(U112&gt;AG112),(U112&gt;BB112)))-$AJ112))</f>
        <v>4</v>
      </c>
      <c r="W112" s="879">
        <f>IF(U112=0,0,IF(U$6=0,0,IF(V112=0,0,((11-V112)))-$B$6))</f>
        <v>4</v>
      </c>
      <c r="X112" s="988">
        <f>'print 10 lane'!AA112</f>
        <v>8.1724537037037041E-4</v>
      </c>
      <c r="Y112" s="879">
        <f>IF(X112=0,0,IF(X$6=0,0,IF(X112&lt;1,SUM((X112&gt;I112),(X112&gt;L112),(X112&gt;O112),(X112&gt;R112),(X112&gt;U112),(X112&gt;F112),(X112&gt;AA112),(X112&gt;AD112),(X112&gt;AG112),(X112&gt;BB112))))-$AJ112)</f>
        <v>6</v>
      </c>
      <c r="Z112" s="879">
        <f>IF(X112=0,0,IF(X$6=0,0,IF(Y112=0,0,((11-Y112)))-$B$6))</f>
        <v>2</v>
      </c>
      <c r="AA112" s="988">
        <f>'print 10 lane'!AD112</f>
        <v>0</v>
      </c>
      <c r="AB112" s="879">
        <f>IF(AA112=0,0,IF(AA$6=0,0,IF(AA112&lt;1,SUM((AA112&gt;I112),(AA112&gt;L112),(AA112&gt;O112),(AA112&gt;R112),(AA112&gt;U112),(AA112&gt;X112),(AA112&gt;AD112),(AA112&gt;AG112),(AA112&gt;F112),(AA112&gt;BB112)))-$AJ112))</f>
        <v>0</v>
      </c>
      <c r="AC112" s="989">
        <f>IF(AA112=0,0,IF(AA$6=0,0,IF(AB112=0,0,((11-AB112)))-$B$6))</f>
        <v>0</v>
      </c>
      <c r="AD112" s="990"/>
      <c r="AE112" s="881"/>
      <c r="AF112" s="881"/>
      <c r="AG112" s="880"/>
      <c r="AH112" s="881"/>
      <c r="AI112" s="882"/>
      <c r="AJ112" s="883">
        <f>COUNTBLANK(F628:O628)</f>
        <v>3</v>
      </c>
      <c r="BA112" s="837"/>
    </row>
    <row r="113" spans="2:53" ht="42" customHeight="1" x14ac:dyDescent="0.25">
      <c r="B113" s="1349"/>
      <c r="C113" s="1333"/>
      <c r="D113" s="1424"/>
      <c r="E113" s="1430"/>
      <c r="F113" s="1431" t="str">
        <f>'print 10 lane'!I113</f>
        <v>Amy Hanson</v>
      </c>
      <c r="G113" s="1431"/>
      <c r="H113" s="1431"/>
      <c r="I113" s="1431" t="str">
        <f>'print 10 lane'!L113</f>
        <v>Gracie Fleming-Jacobs</v>
      </c>
      <c r="J113" s="1431"/>
      <c r="K113" s="1431"/>
      <c r="L113" s="1431" t="str">
        <f>'print 10 lane'!O113</f>
        <v>Mia Nelson</v>
      </c>
      <c r="M113" s="1431"/>
      <c r="N113" s="1431"/>
      <c r="O113" s="1431" t="str">
        <f>'print 10 lane'!R113</f>
        <v>Annabella Cojeen</v>
      </c>
      <c r="P113" s="1431"/>
      <c r="Q113" s="1431"/>
      <c r="R113" s="1431" t="str">
        <f>'print 10 lane'!U113</f>
        <v>Aimee Baker</v>
      </c>
      <c r="S113" s="1431"/>
      <c r="T113" s="1431"/>
      <c r="U113" s="1431" t="str">
        <f>'print 10 lane'!X113</f>
        <v>Polina Fedorova</v>
      </c>
      <c r="V113" s="1431"/>
      <c r="W113" s="1431"/>
      <c r="X113" s="1431" t="str">
        <f>'print 10 lane'!AA113</f>
        <v>Vaari Mepani</v>
      </c>
      <c r="Y113" s="1431"/>
      <c r="Z113" s="1431"/>
      <c r="AA113" s="1431" t="str">
        <f>'print 10 lane'!AD113</f>
        <v xml:space="preserve"> </v>
      </c>
      <c r="AB113" s="1431"/>
      <c r="AC113" s="1431"/>
      <c r="AD113" s="1426"/>
      <c r="AE113" s="1426"/>
      <c r="AF113" s="1426"/>
      <c r="AG113" s="1341"/>
      <c r="AH113" s="1341"/>
      <c r="AI113" s="1341"/>
      <c r="AJ113" s="883"/>
      <c r="BA113" s="837"/>
    </row>
    <row r="114" spans="2:53" ht="42" customHeight="1" x14ac:dyDescent="0.25">
      <c r="B114" s="1349"/>
      <c r="C114" s="1333"/>
      <c r="D114" s="1424"/>
      <c r="E114" s="1001" t="s">
        <v>5086</v>
      </c>
      <c r="F114" s="1425">
        <f>'print 10 lane'!I114</f>
        <v>0</v>
      </c>
      <c r="G114" s="1425"/>
      <c r="H114" s="1425"/>
      <c r="I114" s="1425">
        <f>'print 10 lane'!L114</f>
        <v>0</v>
      </c>
      <c r="J114" s="1425"/>
      <c r="K114" s="1425"/>
      <c r="L114" s="1425">
        <f>'print 10 lane'!O114</f>
        <v>0</v>
      </c>
      <c r="M114" s="1425"/>
      <c r="N114" s="1425"/>
      <c r="O114" s="1425">
        <f>'print 10 lane'!R114</f>
        <v>0</v>
      </c>
      <c r="P114" s="1425"/>
      <c r="Q114" s="1425"/>
      <c r="R114" s="1425">
        <f>'print 10 lane'!U114</f>
        <v>0</v>
      </c>
      <c r="S114" s="1425"/>
      <c r="T114" s="1425"/>
      <c r="U114" s="1425">
        <f>'print 10 lane'!X114</f>
        <v>0</v>
      </c>
      <c r="V114" s="1425"/>
      <c r="W114" s="1425"/>
      <c r="X114" s="1425">
        <f>'print 10 lane'!AA114</f>
        <v>0</v>
      </c>
      <c r="Y114" s="1425"/>
      <c r="Z114" s="1425"/>
      <c r="AA114" s="1425">
        <f>'print 10 lane'!AD114</f>
        <v>0</v>
      </c>
      <c r="AB114" s="1425"/>
      <c r="AC114" s="1425"/>
      <c r="AD114" s="1428"/>
      <c r="AE114" s="1428"/>
      <c r="AF114" s="1428"/>
      <c r="AG114" s="1346"/>
      <c r="AH114" s="1346"/>
      <c r="AI114" s="1346"/>
      <c r="AJ114" s="883"/>
      <c r="BA114" s="837"/>
    </row>
    <row r="115" spans="2:53" ht="42" customHeight="1" x14ac:dyDescent="0.25">
      <c r="B115" s="1349">
        <v>38</v>
      </c>
      <c r="C115" s="1343" t="s">
        <v>5087</v>
      </c>
      <c r="D115" s="1424" t="s">
        <v>5090</v>
      </c>
      <c r="E115" s="1430" t="s">
        <v>5103</v>
      </c>
      <c r="F115" s="987">
        <f>'print 10 lane'!I115</f>
        <v>7.5578703703703702E-4</v>
      </c>
      <c r="G115" s="879">
        <f>IF(F115=0,0,IF(F$6=0,0,IF(F115&lt;1,SUM((F115&gt;I115),(F115&gt;L115),(F115&gt;O115),(F115&gt;R115),(F115&gt;U115),(F115&gt;X115),(F115&gt;AA115),(F115&gt;AD115),(F115&gt;AG115),(F115&gt;BB115)))-$AJ115))</f>
        <v>3</v>
      </c>
      <c r="H115" s="879">
        <f>IF(F115=0,0,IF(F$6=0,0,IF(G115=0,0,((11-G115)))-$B$6))</f>
        <v>5</v>
      </c>
      <c r="I115" s="988">
        <f>'print 10 lane'!L115</f>
        <v>7.6261574074074079E-4</v>
      </c>
      <c r="J115" s="879">
        <f>IF(I115=0,0,IF(I$6=0,0,IF(I115&lt;1,SUM((I115&gt;L115),(I115&gt;O115),(I115&gt;R115),(I115&gt;U115),(I115&gt;X115),(I115&gt;AA115),(I115&gt;F115),(I115&gt;AD115),(I115&gt;AG115),(I115&gt;BB115)))-$AJ115))</f>
        <v>4</v>
      </c>
      <c r="K115" s="879">
        <f>IF(I115=0,0,IF(I$6=0,0,IF(J115=0,0,((11-J115)))-$B$6))</f>
        <v>4</v>
      </c>
      <c r="L115" s="988">
        <f>'print 10 lane'!O115</f>
        <v>7.693287037037036E-4</v>
      </c>
      <c r="M115" s="879">
        <f>IF(L115=0,0,IF(L$6=0,0,IF(L115&lt;1,SUM((L115&gt;I115),(L115&gt;F115),(L115&gt;O115),(L115&gt;R115),(L115&gt;U115),(L115&gt;X115),(L115&gt;AA115),(L115&gt;AD115),(L115&gt;AG115),(L115&gt;BB115)))-$AJ115))</f>
        <v>5</v>
      </c>
      <c r="N115" s="879">
        <f>IF(L115=0,0,IF(L$6=0,0,IF(M115=0,0,((11-M115)))-$B$6))</f>
        <v>3</v>
      </c>
      <c r="O115" s="988">
        <f>'print 10 lane'!R115</f>
        <v>8.0902777777777787E-4</v>
      </c>
      <c r="P115" s="879">
        <f>IF(O115=0,0,IF(O$6=0,0,IF(O115&lt;1,SUM((O115&gt;I115),(O115&gt;L115),(O115&gt;F115),(O115&gt;R115),(O115&gt;U115),(O115&gt;X115),(O115&gt;AA115),(O115&gt;AD115),(O115&gt;AG115),(O115&gt;BB115)))-$AJ115))</f>
        <v>6</v>
      </c>
      <c r="Q115" s="879">
        <f>IF(O115=0,0,IF(O$6=0,0,IF(P115=0,0,((11-P115)))-$B$6))</f>
        <v>2</v>
      </c>
      <c r="R115" s="988">
        <f>'print 10 lane'!U115</f>
        <v>9.4976851851851852E-4</v>
      </c>
      <c r="S115" s="879">
        <f>IF(R115=0,0,IF(R$6=0,0,IF(R115&lt;1,SUM((R115&gt;I115),(R115&gt;L115),(R115&gt;O115),(R115&gt;F115),(R115&gt;U115),(R115&gt;X115),(R115&gt;AA115),(R115&gt;AD115),(R115&gt;AG115),(R115&gt;BB115)))-$AJ115))</f>
        <v>7</v>
      </c>
      <c r="T115" s="879">
        <f>IF(R115=0,0,IF(R$6=0,0,IF(S115=0,0,((11-S115)))-$B$6))</f>
        <v>1</v>
      </c>
      <c r="U115" s="988">
        <f>'print 10 lane'!X115</f>
        <v>7.1898148148148158E-4</v>
      </c>
      <c r="V115" s="879">
        <f>IF(U115=0,0,IF(U$6=0,0,IF(U115&lt;1,SUM((U115&gt;I115),(U115&gt;L115),(U115&gt;O115),(U115&gt;R115),(U115&gt;F115),(U115&gt;X115),(U115&gt;AA115),(U115&gt;AD115),(U115&gt;AG115),(U115&gt;BB115)))-$AJ115))</f>
        <v>1</v>
      </c>
      <c r="W115" s="879">
        <f>IF(U115=0,0,IF(U$6=0,0,IF(V115=0,0,((11-V115)))-$B$6))</f>
        <v>7</v>
      </c>
      <c r="X115" s="988">
        <f>'print 10 lane'!AA115</f>
        <v>7.4050925925925933E-4</v>
      </c>
      <c r="Y115" s="879">
        <f>IF(X115=0,0,IF(X$6=0,0,IF(X115&lt;1,SUM((X115&gt;I115),(X115&gt;L115),(X115&gt;O115),(X115&gt;R115),(X115&gt;U115),(X115&gt;F115),(X115&gt;AA115),(X115&gt;AD115),(X115&gt;AG115),(X115&gt;BB115))))-$AJ115)</f>
        <v>2</v>
      </c>
      <c r="Z115" s="879">
        <f>IF(X115=0,0,IF(X$6=0,0,IF(Y115=0,0,((11-Y115)))-$B$6))</f>
        <v>6</v>
      </c>
      <c r="AA115" s="988">
        <f>'print 10 lane'!AD115</f>
        <v>0</v>
      </c>
      <c r="AB115" s="879">
        <f>IF(AA115=0,0,IF(AA$6=0,0,IF(AA115&lt;1,SUM((AA115&gt;I115),(AA115&gt;L115),(AA115&gt;O115),(AA115&gt;R115),(AA115&gt;U115),(AA115&gt;X115),(AA115&gt;AD115),(AA115&gt;AG115),(AA115&gt;F115),(AA115&gt;BB115)))-$AJ115))</f>
        <v>0</v>
      </c>
      <c r="AC115" s="989">
        <f>IF(AA115=0,0,IF(AA$6=0,0,IF(AB115=0,0,((11-AB115)))-$B$6))</f>
        <v>0</v>
      </c>
      <c r="AD115" s="990"/>
      <c r="AE115" s="881"/>
      <c r="AF115" s="881"/>
      <c r="AG115" s="880"/>
      <c r="AH115" s="881"/>
      <c r="AI115" s="882"/>
      <c r="AJ115" s="883">
        <f>COUNTBLANK(F629:O629)</f>
        <v>3</v>
      </c>
      <c r="BA115" s="837"/>
    </row>
    <row r="116" spans="2:53" ht="42" customHeight="1" x14ac:dyDescent="0.25">
      <c r="B116" s="1349"/>
      <c r="C116" s="1343"/>
      <c r="D116" s="1424"/>
      <c r="E116" s="1430"/>
      <c r="F116" s="1431" t="str">
        <f>'print 10 lane'!I116</f>
        <v>Yigit Ilhan</v>
      </c>
      <c r="G116" s="1431"/>
      <c r="H116" s="1431"/>
      <c r="I116" s="1431" t="str">
        <f>'print 10 lane'!L116</f>
        <v>Joseph Bagshaw</v>
      </c>
      <c r="J116" s="1431"/>
      <c r="K116" s="1431"/>
      <c r="L116" s="1431" t="str">
        <f>'print 10 lane'!O116</f>
        <v>Mikhail Zharinov</v>
      </c>
      <c r="M116" s="1431"/>
      <c r="N116" s="1431"/>
      <c r="O116" s="1431" t="str">
        <f>'print 10 lane'!R116</f>
        <v>Riley Bunce</v>
      </c>
      <c r="P116" s="1431"/>
      <c r="Q116" s="1431"/>
      <c r="R116" s="1431" t="str">
        <f>'print 10 lane'!U116</f>
        <v>Mohammed Malek</v>
      </c>
      <c r="S116" s="1431"/>
      <c r="T116" s="1431"/>
      <c r="U116" s="1431" t="str">
        <f>'print 10 lane'!X116</f>
        <v>Gert  Zeqiri</v>
      </c>
      <c r="V116" s="1431"/>
      <c r="W116" s="1431"/>
      <c r="X116" s="1431" t="str">
        <f>'print 10 lane'!AA116</f>
        <v>Daniel Celi</v>
      </c>
      <c r="Y116" s="1431"/>
      <c r="Z116" s="1431"/>
      <c r="AA116" s="1431" t="str">
        <f>'print 10 lane'!AD116</f>
        <v xml:space="preserve"> </v>
      </c>
      <c r="AB116" s="1431"/>
      <c r="AC116" s="1431"/>
      <c r="AD116" s="1426"/>
      <c r="AE116" s="1426"/>
      <c r="AF116" s="1426"/>
      <c r="AG116" s="1341"/>
      <c r="AH116" s="1341"/>
      <c r="AI116" s="1341"/>
      <c r="AJ116" s="883"/>
      <c r="BA116" s="837"/>
    </row>
    <row r="117" spans="2:53" ht="42" customHeight="1" x14ac:dyDescent="0.25">
      <c r="B117" s="1349"/>
      <c r="C117" s="1343"/>
      <c r="D117" s="1424"/>
      <c r="E117" s="1001" t="s">
        <v>5086</v>
      </c>
      <c r="F117" s="1425">
        <f>'print 10 lane'!I117</f>
        <v>0</v>
      </c>
      <c r="G117" s="1425"/>
      <c r="H117" s="1425"/>
      <c r="I117" s="1425">
        <f>'print 10 lane'!L117</f>
        <v>0</v>
      </c>
      <c r="J117" s="1425"/>
      <c r="K117" s="1425"/>
      <c r="L117" s="1425">
        <f>'print 10 lane'!O117</f>
        <v>0</v>
      </c>
      <c r="M117" s="1425"/>
      <c r="N117" s="1425"/>
      <c r="O117" s="1425">
        <f>'print 10 lane'!R117</f>
        <v>0</v>
      </c>
      <c r="P117" s="1425"/>
      <c r="Q117" s="1425"/>
      <c r="R117" s="1425">
        <f>'print 10 lane'!U117</f>
        <v>0</v>
      </c>
      <c r="S117" s="1425"/>
      <c r="T117" s="1425"/>
      <c r="U117" s="1425">
        <f>'print 10 lane'!X117</f>
        <v>0</v>
      </c>
      <c r="V117" s="1425"/>
      <c r="W117" s="1425"/>
      <c r="X117" s="1425">
        <f>'print 10 lane'!AA117</f>
        <v>0</v>
      </c>
      <c r="Y117" s="1425"/>
      <c r="Z117" s="1425"/>
      <c r="AA117" s="1425">
        <f>'print 10 lane'!AD117</f>
        <v>0</v>
      </c>
      <c r="AB117" s="1425"/>
      <c r="AC117" s="1425"/>
      <c r="AD117" s="1428"/>
      <c r="AE117" s="1428"/>
      <c r="AF117" s="1428"/>
      <c r="AG117" s="1346"/>
      <c r="AH117" s="1346"/>
      <c r="AI117" s="1346"/>
      <c r="AJ117" s="883"/>
      <c r="BA117" s="837"/>
    </row>
    <row r="118" spans="2:53" ht="42" customHeight="1" x14ac:dyDescent="0.25">
      <c r="B118" s="1349">
        <v>39</v>
      </c>
      <c r="C118" s="1333" t="s">
        <v>5083</v>
      </c>
      <c r="D118" s="1424" t="s">
        <v>5092</v>
      </c>
      <c r="E118" s="1430" t="s">
        <v>5097</v>
      </c>
      <c r="F118" s="987">
        <f>'print 10 lane'!I118</f>
        <v>1.0129629629629631E-3</v>
      </c>
      <c r="G118" s="879">
        <f>IF(F118=0,0,IF(F$6=0,0,IF(F118&lt;1,SUM((F118&gt;I118),(F118&gt;L118),(F118&gt;O118),(F118&gt;R118),(F118&gt;U118),(F118&gt;X118),(F118&gt;AA118),(F118&gt;AD118),(F118&gt;AG118),(F118&gt;BB118)))-$AJ118))</f>
        <v>5</v>
      </c>
      <c r="H118" s="879">
        <f>IF(F118=0,0,IF(F$6=0,0,IF(G118=0,0,((11-G118)))-$B$6))</f>
        <v>3</v>
      </c>
      <c r="I118" s="988">
        <f>'print 10 lane'!L118</f>
        <v>1.0931712962962963E-3</v>
      </c>
      <c r="J118" s="879">
        <f>IF(I118=0,0,IF(I$6=0,0,IF(I118&lt;1,SUM((I118&gt;L118),(I118&gt;O118),(I118&gt;R118),(I118&gt;U118),(I118&gt;X118),(I118&gt;AA118),(I118&gt;F118),(I118&gt;AD118),(I118&gt;AG118),(I118&gt;BB118)))-$AJ118))</f>
        <v>7</v>
      </c>
      <c r="K118" s="879">
        <f>IF(I118=0,0,IF(I$6=0,0,IF(J118=0,0,((11-J118)))-$B$6))</f>
        <v>1</v>
      </c>
      <c r="L118" s="988">
        <f>'print 10 lane'!O118</f>
        <v>9.5104166666666655E-4</v>
      </c>
      <c r="M118" s="879">
        <f>IF(L118=0,0,IF(L$6=0,0,IF(L118&lt;1,SUM((L118&gt;I118),(L118&gt;F118),(L118&gt;O118),(L118&gt;R118),(L118&gt;U118),(L118&gt;X118),(L118&gt;AA118),(L118&gt;AD118),(L118&gt;AG118),(L118&gt;BB118)))-$AJ118))</f>
        <v>2</v>
      </c>
      <c r="N118" s="879">
        <f>IF(L118=0,0,IF(L$6=0,0,IF(M118=0,0,((11-M118)))-$B$6))</f>
        <v>6</v>
      </c>
      <c r="O118" s="988">
        <f>'print 10 lane'!R118</f>
        <v>1.0902777777777779E-3</v>
      </c>
      <c r="P118" s="879">
        <f>IF(O118=0,0,IF(O$6=0,0,IF(O118&lt;1,SUM((O118&gt;I118),(O118&gt;L118),(O118&gt;F118),(O118&gt;R118),(O118&gt;U118),(O118&gt;X118),(O118&gt;AA118),(O118&gt;AD118),(O118&gt;AG118),(O118&gt;BB118)))-$AJ118))</f>
        <v>6</v>
      </c>
      <c r="Q118" s="879">
        <f>IF(O118=0,0,IF(O$6=0,0,IF(P118=0,0,((11-P118)))-$B$6))</f>
        <v>2</v>
      </c>
      <c r="R118" s="988">
        <f>'print 10 lane'!U118</f>
        <v>9.3217592592592603E-4</v>
      </c>
      <c r="S118" s="879">
        <f>IF(R118=0,0,IF(R$6=0,0,IF(R118&lt;1,SUM((R118&gt;I118),(R118&gt;L118),(R118&gt;O118),(R118&gt;F118),(R118&gt;U118),(R118&gt;X118),(R118&gt;AA118),(R118&gt;AD118),(R118&gt;AG118),(R118&gt;BB118)))-$AJ118))</f>
        <v>1</v>
      </c>
      <c r="T118" s="879">
        <f>IF(R118=0,0,IF(R$6=0,0,IF(S118=0,0,((11-S118)))-$B$6))</f>
        <v>7</v>
      </c>
      <c r="U118" s="988">
        <f>'print 10 lane'!X118</f>
        <v>9.9178240740740759E-4</v>
      </c>
      <c r="V118" s="879">
        <f>IF(U118=0,0,IF(U$6=0,0,IF(U118&lt;1,SUM((U118&gt;I118),(U118&gt;L118),(U118&gt;O118),(U118&gt;R118),(U118&gt;F118),(U118&gt;X118),(U118&gt;AA118),(U118&gt;AD118),(U118&gt;AG118),(U118&gt;BB118)))-$AJ118))</f>
        <v>4</v>
      </c>
      <c r="W118" s="879">
        <f>IF(U118=0,0,IF(U$6=0,0,IF(V118=0,0,((11-V118)))-$B$6))</f>
        <v>4</v>
      </c>
      <c r="X118" s="988">
        <f>'print 10 lane'!AA118</f>
        <v>9.6168981481481485E-4</v>
      </c>
      <c r="Y118" s="879">
        <f>IF(X118=0,0,IF(X$6=0,0,IF(X118&lt;1,SUM((X118&gt;I118),(X118&gt;L118),(X118&gt;O118),(X118&gt;R118),(X118&gt;U118),(X118&gt;F118),(X118&gt;AA118),(X118&gt;AD118),(X118&gt;AG118),(X118&gt;BB118))))-$AJ118)</f>
        <v>3</v>
      </c>
      <c r="Z118" s="879">
        <f>IF(X118=0,0,IF(X$6=0,0,IF(Y118=0,0,((11-Y118)))-$B$6))</f>
        <v>5</v>
      </c>
      <c r="AA118" s="988">
        <f>'print 10 lane'!AD118</f>
        <v>0</v>
      </c>
      <c r="AB118" s="879">
        <f>IF(AA118=0,0,IF(AA$6=0,0,IF(AA118&lt;1,SUM((AA118&gt;I118),(AA118&gt;L118),(AA118&gt;O118),(AA118&gt;R118),(AA118&gt;U118),(AA118&gt;X118),(AA118&gt;AD118),(AA118&gt;AG118),(AA118&gt;F118),(AA118&gt;BB118)))-$AJ118))</f>
        <v>0</v>
      </c>
      <c r="AC118" s="989">
        <f>IF(AA118=0,0,IF(AA$6=0,0,IF(AB118=0,0,((11-AB118)))-$B$6))</f>
        <v>0</v>
      </c>
      <c r="AD118" s="990"/>
      <c r="AE118" s="881"/>
      <c r="AF118" s="881"/>
      <c r="AG118" s="880"/>
      <c r="AH118" s="881"/>
      <c r="AI118" s="882"/>
      <c r="AJ118" s="883">
        <f>COUNTBLANK(F630:O630)</f>
        <v>3</v>
      </c>
      <c r="BA118" s="837"/>
    </row>
    <row r="119" spans="2:53" ht="42" customHeight="1" x14ac:dyDescent="0.25">
      <c r="B119" s="1349"/>
      <c r="C119" s="1333"/>
      <c r="D119" s="1424"/>
      <c r="E119" s="1430"/>
      <c r="F119" s="1431" t="str">
        <f>'print 10 lane'!I119</f>
        <v>Taisia Flury</v>
      </c>
      <c r="G119" s="1431"/>
      <c r="H119" s="1431"/>
      <c r="I119" s="1431" t="str">
        <f>'print 10 lane'!L119</f>
        <v>Daisy Harradine</v>
      </c>
      <c r="J119" s="1431"/>
      <c r="K119" s="1431"/>
      <c r="L119" s="1431" t="str">
        <f>'print 10 lane'!O119</f>
        <v>Molly Bartup</v>
      </c>
      <c r="M119" s="1431"/>
      <c r="N119" s="1431"/>
      <c r="O119" s="1431" t="str">
        <f>'print 10 lane'!R119</f>
        <v>Zahra Waller</v>
      </c>
      <c r="P119" s="1431"/>
      <c r="Q119" s="1431"/>
      <c r="R119" s="1431" t="str">
        <f>'print 10 lane'!U119</f>
        <v>Hollie Heighes</v>
      </c>
      <c r="S119" s="1431"/>
      <c r="T119" s="1431"/>
      <c r="U119" s="1431" t="str">
        <f>'print 10 lane'!X119</f>
        <v>Mina Safahe</v>
      </c>
      <c r="V119" s="1431"/>
      <c r="W119" s="1431"/>
      <c r="X119" s="1431" t="str">
        <f>'print 10 lane'!AA119</f>
        <v>Keira Brannigan</v>
      </c>
      <c r="Y119" s="1431"/>
      <c r="Z119" s="1431"/>
      <c r="AA119" s="1431" t="str">
        <f>'print 10 lane'!AD119</f>
        <v xml:space="preserve"> </v>
      </c>
      <c r="AB119" s="1431"/>
      <c r="AC119" s="1431"/>
      <c r="AD119" s="1426"/>
      <c r="AE119" s="1426"/>
      <c r="AF119" s="1426"/>
      <c r="AG119" s="1341"/>
      <c r="AH119" s="1341"/>
      <c r="AI119" s="1341"/>
      <c r="AJ119" s="883"/>
      <c r="BA119" s="837"/>
    </row>
    <row r="120" spans="2:53" ht="42" customHeight="1" x14ac:dyDescent="0.25">
      <c r="B120" s="1349"/>
      <c r="C120" s="1333"/>
      <c r="D120" s="1424"/>
      <c r="E120" s="1001" t="s">
        <v>5086</v>
      </c>
      <c r="F120" s="1425">
        <f>'print 10 lane'!I120</f>
        <v>0</v>
      </c>
      <c r="G120" s="1425"/>
      <c r="H120" s="1425"/>
      <c r="I120" s="1425">
        <f>'print 10 lane'!L120</f>
        <v>0</v>
      </c>
      <c r="J120" s="1425"/>
      <c r="K120" s="1425"/>
      <c r="L120" s="1425">
        <f>'print 10 lane'!O120</f>
        <v>0</v>
      </c>
      <c r="M120" s="1425"/>
      <c r="N120" s="1425"/>
      <c r="O120" s="1425">
        <f>'print 10 lane'!R120</f>
        <v>0</v>
      </c>
      <c r="P120" s="1425"/>
      <c r="Q120" s="1425"/>
      <c r="R120" s="1425">
        <f>'print 10 lane'!U120</f>
        <v>0</v>
      </c>
      <c r="S120" s="1425"/>
      <c r="T120" s="1425"/>
      <c r="U120" s="1425">
        <f>'print 10 lane'!X120</f>
        <v>0</v>
      </c>
      <c r="V120" s="1425"/>
      <c r="W120" s="1425"/>
      <c r="X120" s="1425">
        <f>'print 10 lane'!AA120</f>
        <v>0</v>
      </c>
      <c r="Y120" s="1425"/>
      <c r="Z120" s="1425"/>
      <c r="AA120" s="1425">
        <f>'print 10 lane'!AD120</f>
        <v>0</v>
      </c>
      <c r="AB120" s="1425"/>
      <c r="AC120" s="1425"/>
      <c r="AD120" s="1428"/>
      <c r="AE120" s="1428"/>
      <c r="AF120" s="1428"/>
      <c r="AG120" s="1346"/>
      <c r="AH120" s="1346"/>
      <c r="AI120" s="1346"/>
      <c r="AJ120" s="883"/>
      <c r="BA120" s="837"/>
    </row>
    <row r="121" spans="2:53" ht="42" customHeight="1" x14ac:dyDescent="0.25">
      <c r="B121" s="1349">
        <v>40</v>
      </c>
      <c r="C121" s="1343" t="s">
        <v>5087</v>
      </c>
      <c r="D121" s="1424" t="s">
        <v>5092</v>
      </c>
      <c r="E121" s="1430" t="s">
        <v>5097</v>
      </c>
      <c r="F121" s="987">
        <f>'print 10 lane'!I121</f>
        <v>1.0069444444444444E-3</v>
      </c>
      <c r="G121" s="879">
        <f>IF(F121=0,0,IF(F$6=0,0,IF(F121&lt;1,SUM((F121&gt;I121),(F121&gt;L121),(F121&gt;O121),(F121&gt;R121),(F121&gt;U121),(F121&gt;X121),(F121&gt;AA121),(F121&gt;AD121),(F121&gt;AG121),(F121&gt;BB121)))-$AJ121))</f>
        <v>7</v>
      </c>
      <c r="H121" s="879">
        <f>IF(F121=0,0,IF(F$6=0,0,IF(G121=0,0,((11-G121)))-$B$6))</f>
        <v>1</v>
      </c>
      <c r="I121" s="988">
        <f>'print 10 lane'!L121</f>
        <v>9.3819444444444451E-4</v>
      </c>
      <c r="J121" s="879">
        <f>IF(I121=0,0,IF(I$6=0,0,IF(I121&lt;1,SUM((I121&gt;L121),(I121&gt;O121),(I121&gt;R121),(I121&gt;U121),(I121&gt;X121),(I121&gt;AA121),(I121&gt;F121),(I121&gt;AD121),(I121&gt;AG121),(I121&gt;BB121)))-$AJ121))</f>
        <v>6</v>
      </c>
      <c r="K121" s="879">
        <f>IF(I121=0,0,IF(I$6=0,0,IF(J121=0,0,((11-J121)))-$B$6))</f>
        <v>2</v>
      </c>
      <c r="L121" s="988">
        <f>'print 10 lane'!O121</f>
        <v>9.0844907407407411E-4</v>
      </c>
      <c r="M121" s="879">
        <f>IF(L121=0,0,IF(L$6=0,0,IF(L121&lt;1,SUM((L121&gt;I121),(L121&gt;F121),(L121&gt;O121),(L121&gt;R121),(L121&gt;U121),(L121&gt;X121),(L121&gt;AA121),(L121&gt;AD121),(L121&gt;AG121),(L121&gt;BB121)))-$AJ121))</f>
        <v>3</v>
      </c>
      <c r="N121" s="879">
        <f>IF(L121=0,0,IF(L$6=0,0,IF(M121=0,0,((11-M121)))-$B$6))</f>
        <v>5</v>
      </c>
      <c r="O121" s="988">
        <f>'print 10 lane'!R121</f>
        <v>9.0567129629629635E-4</v>
      </c>
      <c r="P121" s="879">
        <f>IF(O121=0,0,IF(O$6=0,0,IF(O121&lt;1,SUM((O121&gt;I121),(O121&gt;L121),(O121&gt;F121),(O121&gt;R121),(O121&gt;U121),(O121&gt;X121),(O121&gt;AA121),(O121&gt;AD121),(O121&gt;AG121),(O121&gt;BB121)))-$AJ121))</f>
        <v>1</v>
      </c>
      <c r="Q121" s="879">
        <f>IF(O121=0,0,IF(O$6=0,0,IF(P121=0,0,((11-P121)))-$B$6))</f>
        <v>7</v>
      </c>
      <c r="R121" s="988">
        <f>'print 10 lane'!U121</f>
        <v>9.0636574074074068E-4</v>
      </c>
      <c r="S121" s="879">
        <f>IF(R121=0,0,IF(R$6=0,0,IF(R121&lt;1,SUM((R121&gt;I121),(R121&gt;L121),(R121&gt;O121),(R121&gt;F121),(R121&gt;U121),(R121&gt;X121),(R121&gt;AA121),(R121&gt;AD121),(R121&gt;AG121),(R121&gt;BB121)))-$AJ121))</f>
        <v>2</v>
      </c>
      <c r="T121" s="879">
        <f>IF(R121=0,0,IF(R$6=0,0,IF(S121=0,0,((11-S121)))-$B$6))</f>
        <v>6</v>
      </c>
      <c r="U121" s="988">
        <f>'print 10 lane'!X121</f>
        <v>9.1944444444444452E-4</v>
      </c>
      <c r="V121" s="879">
        <f>IF(U121=0,0,IF(U$6=0,0,IF(U121&lt;1,SUM((U121&gt;I121),(U121&gt;L121),(U121&gt;O121),(U121&gt;R121),(U121&gt;F121),(U121&gt;X121),(U121&gt;AA121),(U121&gt;AD121),(U121&gt;AG121),(U121&gt;BB121)))-$AJ121))</f>
        <v>5</v>
      </c>
      <c r="W121" s="879">
        <f>IF(U121=0,0,IF(U$6=0,0,IF(V121=0,0,((11-V121)))-$B$6))</f>
        <v>3</v>
      </c>
      <c r="X121" s="988">
        <f>'print 10 lane'!AA121</f>
        <v>9.109953703703705E-4</v>
      </c>
      <c r="Y121" s="879">
        <f>IF(X121=0,0,IF(X$6=0,0,IF(X121&lt;1,SUM((X121&gt;I121),(X121&gt;L121),(X121&gt;O121),(X121&gt;R121),(X121&gt;U121),(X121&gt;F121),(X121&gt;AA121),(X121&gt;AD121),(X121&gt;AG121),(X121&gt;BB121))))-$AJ121)</f>
        <v>4</v>
      </c>
      <c r="Z121" s="879">
        <f>IF(X121=0,0,IF(X$6=0,0,IF(Y121=0,0,((11-Y121)))-$B$6))</f>
        <v>4</v>
      </c>
      <c r="AA121" s="988">
        <f>'print 10 lane'!AD121</f>
        <v>0</v>
      </c>
      <c r="AB121" s="879">
        <f>IF(AA121=0,0,IF(AA$6=0,0,IF(AA121&lt;1,SUM((AA121&gt;I121),(AA121&gt;L121),(AA121&gt;O121),(AA121&gt;R121),(AA121&gt;U121),(AA121&gt;X121),(AA121&gt;AD121),(AA121&gt;AG121),(AA121&gt;F121),(AA121&gt;BB121)))-$AJ121))</f>
        <v>0</v>
      </c>
      <c r="AC121" s="989">
        <f>IF(AA121=0,0,IF(AA$6=0,0,IF(AB121=0,0,((11-AB121)))-$B$6))</f>
        <v>0</v>
      </c>
      <c r="AD121" s="990"/>
      <c r="AE121" s="881"/>
      <c r="AF121" s="881"/>
      <c r="AG121" s="880"/>
      <c r="AH121" s="881"/>
      <c r="AI121" s="882"/>
      <c r="AJ121" s="883">
        <f>COUNTBLANK(F631:O631)</f>
        <v>3</v>
      </c>
      <c r="BA121" s="837"/>
    </row>
    <row r="122" spans="2:53" ht="42" customHeight="1" x14ac:dyDescent="0.25">
      <c r="B122" s="1349"/>
      <c r="C122" s="1343"/>
      <c r="D122" s="1424"/>
      <c r="E122" s="1430"/>
      <c r="F122" s="1431" t="str">
        <f>'print 10 lane'!I122</f>
        <v>Michael Manassero</v>
      </c>
      <c r="G122" s="1431"/>
      <c r="H122" s="1431"/>
      <c r="I122" s="1431" t="str">
        <f>'print 10 lane'!L122</f>
        <v>Samuel Heraty</v>
      </c>
      <c r="J122" s="1431"/>
      <c r="K122" s="1431"/>
      <c r="L122" s="1431" t="str">
        <f>'print 10 lane'!O122</f>
        <v>Theo Smith</v>
      </c>
      <c r="M122" s="1431"/>
      <c r="N122" s="1431"/>
      <c r="O122" s="1431" t="str">
        <f>'print 10 lane'!R122</f>
        <v>Rafi Gibson</v>
      </c>
      <c r="P122" s="1431"/>
      <c r="Q122" s="1431"/>
      <c r="R122" s="1431" t="str">
        <f>'print 10 lane'!U122</f>
        <v>Nathaniel Coburn</v>
      </c>
      <c r="S122" s="1431"/>
      <c r="T122" s="1431"/>
      <c r="U122" s="1431" t="str">
        <f>'print 10 lane'!X122</f>
        <v>Gabriel Rebelo</v>
      </c>
      <c r="V122" s="1431"/>
      <c r="W122" s="1431"/>
      <c r="X122" s="1431" t="str">
        <f>'print 10 lane'!AA122</f>
        <v>Advay Bhatia</v>
      </c>
      <c r="Y122" s="1431"/>
      <c r="Z122" s="1431"/>
      <c r="AA122" s="1431" t="str">
        <f>'print 10 lane'!AD122</f>
        <v xml:space="preserve"> </v>
      </c>
      <c r="AB122" s="1431"/>
      <c r="AC122" s="1431"/>
      <c r="AD122" s="1426"/>
      <c r="AE122" s="1426"/>
      <c r="AF122" s="1426"/>
      <c r="AG122" s="1341"/>
      <c r="AH122" s="1341"/>
      <c r="AI122" s="1341"/>
      <c r="AJ122" s="883"/>
      <c r="BA122" s="837"/>
    </row>
    <row r="123" spans="2:53" ht="42" customHeight="1" x14ac:dyDescent="0.25">
      <c r="B123" s="1349"/>
      <c r="C123" s="1343"/>
      <c r="D123" s="1424"/>
      <c r="E123" s="1001" t="s">
        <v>5086</v>
      </c>
      <c r="F123" s="1425">
        <f>'print 10 lane'!I123</f>
        <v>0</v>
      </c>
      <c r="G123" s="1425"/>
      <c r="H123" s="1425"/>
      <c r="I123" s="1425">
        <f>'print 10 lane'!L123</f>
        <v>0</v>
      </c>
      <c r="J123" s="1425"/>
      <c r="K123" s="1425"/>
      <c r="L123" s="1425">
        <f>'print 10 lane'!O123</f>
        <v>0</v>
      </c>
      <c r="M123" s="1425"/>
      <c r="N123" s="1425"/>
      <c r="O123" s="1425">
        <f>'print 10 lane'!R123</f>
        <v>0</v>
      </c>
      <c r="P123" s="1425"/>
      <c r="Q123" s="1425"/>
      <c r="R123" s="1425">
        <f>'print 10 lane'!U123</f>
        <v>0</v>
      </c>
      <c r="S123" s="1425"/>
      <c r="T123" s="1425"/>
      <c r="U123" s="1425">
        <f>'print 10 lane'!X123</f>
        <v>0</v>
      </c>
      <c r="V123" s="1425"/>
      <c r="W123" s="1425"/>
      <c r="X123" s="1425">
        <f>'print 10 lane'!AA123</f>
        <v>0</v>
      </c>
      <c r="Y123" s="1425"/>
      <c r="Z123" s="1425"/>
      <c r="AA123" s="1425">
        <f>'print 10 lane'!AD123</f>
        <v>0</v>
      </c>
      <c r="AB123" s="1425"/>
      <c r="AC123" s="1425"/>
      <c r="AD123" s="1428"/>
      <c r="AE123" s="1428"/>
      <c r="AF123" s="1428"/>
      <c r="AG123" s="1346"/>
      <c r="AH123" s="1346"/>
      <c r="AI123" s="1346"/>
      <c r="AJ123" s="883"/>
      <c r="BA123" s="837"/>
    </row>
    <row r="124" spans="2:53" ht="42" customHeight="1" x14ac:dyDescent="0.25">
      <c r="B124" s="1349">
        <v>41</v>
      </c>
      <c r="C124" s="1333" t="s">
        <v>5083</v>
      </c>
      <c r="D124" s="1424" t="s">
        <v>5093</v>
      </c>
      <c r="E124" s="1430" t="s">
        <v>5103</v>
      </c>
      <c r="F124" s="987">
        <f>'print 10 lane'!I124</f>
        <v>7.4201388888888884E-4</v>
      </c>
      <c r="G124" s="879">
        <f>IF(F124=0,0,IF(F$6=0,0,IF(F124&lt;1,SUM((F124&gt;I124),(F124&gt;L124),(F124&gt;O124),(F124&gt;R124),(F124&gt;U124),(F124&gt;X124),(F124&gt;AA124),(F124&gt;AD124),(F124&gt;AG124),(F124&gt;BB124)))-$AJ124))</f>
        <v>2</v>
      </c>
      <c r="H124" s="879">
        <f>IF(F124=0,0,IF(F$6=0,0,IF(G124=0,0,((11-G124)))-$B$6))</f>
        <v>6</v>
      </c>
      <c r="I124" s="988">
        <f>'print 10 lane'!L124</f>
        <v>7.799768518518519E-4</v>
      </c>
      <c r="J124" s="879">
        <f>IF(I124=0,0,IF(I$6=0,0,IF(I124&lt;1,SUM((I124&gt;L124),(I124&gt;O124),(I124&gt;R124),(I124&gt;U124),(I124&gt;X124),(I124&gt;AA124),(I124&gt;F124),(I124&gt;AD124),(I124&gt;AG124),(I124&gt;BB124)))-$AJ124))</f>
        <v>7</v>
      </c>
      <c r="K124" s="879">
        <f>IF(I124=0,0,IF(I$6=0,0,IF(J124=0,0,((11-J124)))-$B$6))</f>
        <v>1</v>
      </c>
      <c r="L124" s="988">
        <f>'print 10 lane'!O124</f>
        <v>7.7418981481481479E-4</v>
      </c>
      <c r="M124" s="879">
        <f>IF(L124=0,0,IF(L$6=0,0,IF(L124&lt;1,SUM((L124&gt;I124),(L124&gt;F124),(L124&gt;O124),(L124&gt;R124),(L124&gt;U124),(L124&gt;X124),(L124&gt;AA124),(L124&gt;AD124),(L124&gt;AG124),(L124&gt;BB124)))-$AJ124))</f>
        <v>6</v>
      </c>
      <c r="N124" s="879">
        <f>IF(L124=0,0,IF(L$6=0,0,IF(M124=0,0,((11-M124)))-$B$6))</f>
        <v>2</v>
      </c>
      <c r="O124" s="988">
        <f>'print 10 lane'!R124</f>
        <v>7.6076388888888884E-4</v>
      </c>
      <c r="P124" s="879">
        <f>IF(O124=0,0,IF(O$6=0,0,IF(O124&lt;1,SUM((O124&gt;I124),(O124&gt;L124),(O124&gt;F124),(O124&gt;R124),(O124&gt;U124),(O124&gt;X124),(O124&gt;AA124),(O124&gt;AD124),(O124&gt;AG124),(O124&gt;BB124)))-$AJ124))</f>
        <v>3</v>
      </c>
      <c r="Q124" s="879">
        <f>IF(O124=0,0,IF(O$6=0,0,IF(P124=0,0,((11-P124)))-$B$6))</f>
        <v>5</v>
      </c>
      <c r="R124" s="988">
        <f>'print 10 lane'!U124</f>
        <v>7.618055555555555E-4</v>
      </c>
      <c r="S124" s="879">
        <f>IF(R124=0,0,IF(R$6=0,0,IF(R124&lt;1,SUM((R124&gt;I124),(R124&gt;L124),(R124&gt;O124),(R124&gt;F124),(R124&gt;U124),(R124&gt;X124),(R124&gt;AA124),(R124&gt;AD124),(R124&gt;AG124),(R124&gt;BB124)))-$AJ124))</f>
        <v>4</v>
      </c>
      <c r="T124" s="879">
        <f>IF(R124=0,0,IF(R$6=0,0,IF(S124=0,0,((11-S124)))-$B$6))</f>
        <v>4</v>
      </c>
      <c r="U124" s="988">
        <f>'print 10 lane'!X124</f>
        <v>7.6412037037037041E-4</v>
      </c>
      <c r="V124" s="879">
        <f>IF(U124=0,0,IF(U$6=0,0,IF(U124&lt;1,SUM((U124&gt;I124),(U124&gt;L124),(U124&gt;O124),(U124&gt;R124),(U124&gt;F124),(U124&gt;X124),(U124&gt;AA124),(U124&gt;AD124),(U124&gt;AG124),(U124&gt;BB124)))-$AJ124))</f>
        <v>5</v>
      </c>
      <c r="W124" s="879">
        <f>IF(U124=0,0,IF(U$6=0,0,IF(V124=0,0,((11-V124)))-$B$6))</f>
        <v>3</v>
      </c>
      <c r="X124" s="988">
        <f>'print 10 lane'!AA124</f>
        <v>7.361111111111111E-4</v>
      </c>
      <c r="Y124" s="879">
        <f>IF(X124=0,0,IF(X$6=0,0,IF(X124&lt;1,SUM((X124&gt;I124),(X124&gt;L124),(X124&gt;O124),(X124&gt;R124),(X124&gt;U124),(X124&gt;F124),(X124&gt;AA124),(X124&gt;AD124),(X124&gt;AG124),(X124&gt;BB124))))-$AJ124)</f>
        <v>1</v>
      </c>
      <c r="Z124" s="879">
        <f>IF(X124=0,0,IF(X$6=0,0,IF(Y124=0,0,((11-Y124)))-$B$6))</f>
        <v>7</v>
      </c>
      <c r="AA124" s="988">
        <f>'print 10 lane'!AD124</f>
        <v>0</v>
      </c>
      <c r="AB124" s="879">
        <f>IF(AA124=0,0,IF(AA$6=0,0,IF(AA124&lt;1,SUM((AA124&gt;I124),(AA124&gt;L124),(AA124&gt;O124),(AA124&gt;R124),(AA124&gt;U124),(AA124&gt;X124),(AA124&gt;AD124),(AA124&gt;AG124),(AA124&gt;F124),(AA124&gt;BB124)))-$AJ124))</f>
        <v>0</v>
      </c>
      <c r="AC124" s="989">
        <f>IF(AA124=0,0,IF(AA$6=0,0,IF(AB124=0,0,((11-AB124)))-$B$6))</f>
        <v>0</v>
      </c>
      <c r="AD124" s="990"/>
      <c r="AE124" s="881"/>
      <c r="AF124" s="881"/>
      <c r="AG124" s="880"/>
      <c r="AH124" s="881"/>
      <c r="AI124" s="882"/>
      <c r="AJ124" s="883">
        <f>COUNTBLANK(F632:O632)</f>
        <v>3</v>
      </c>
      <c r="BA124" s="837"/>
    </row>
    <row r="125" spans="2:53" ht="42" customHeight="1" x14ac:dyDescent="0.25">
      <c r="B125" s="1349"/>
      <c r="C125" s="1333"/>
      <c r="D125" s="1424"/>
      <c r="E125" s="1430"/>
      <c r="F125" s="1431" t="str">
        <f>'print 10 lane'!I125</f>
        <v>Maja Grzybek</v>
      </c>
      <c r="G125" s="1431"/>
      <c r="H125" s="1431"/>
      <c r="I125" s="1431" t="str">
        <f>'print 10 lane'!L125</f>
        <v>Madeleine Bailiss</v>
      </c>
      <c r="J125" s="1431"/>
      <c r="K125" s="1431"/>
      <c r="L125" s="1431" t="str">
        <f>'print 10 lane'!O125</f>
        <v>Charlotte Brakenbury</v>
      </c>
      <c r="M125" s="1431"/>
      <c r="N125" s="1431"/>
      <c r="O125" s="1431" t="str">
        <f>'print 10 lane'!R125</f>
        <v>Lucy Burnham</v>
      </c>
      <c r="P125" s="1431"/>
      <c r="Q125" s="1431"/>
      <c r="R125" s="1431" t="str">
        <f>'print 10 lane'!U125</f>
        <v>Lily Threadgold</v>
      </c>
      <c r="S125" s="1431"/>
      <c r="T125" s="1431"/>
      <c r="U125" s="1431" t="str">
        <f>'print 10 lane'!X125</f>
        <v>Alice  Sharrock</v>
      </c>
      <c r="V125" s="1431"/>
      <c r="W125" s="1431"/>
      <c r="X125" s="1431" t="str">
        <f>'print 10 lane'!AA125</f>
        <v>Laura Hibberd</v>
      </c>
      <c r="Y125" s="1431"/>
      <c r="Z125" s="1431"/>
      <c r="AA125" s="1431" t="str">
        <f>'print 10 lane'!AD125</f>
        <v xml:space="preserve"> </v>
      </c>
      <c r="AB125" s="1431"/>
      <c r="AC125" s="1431"/>
      <c r="AD125" s="1426"/>
      <c r="AE125" s="1426"/>
      <c r="AF125" s="1426"/>
      <c r="AG125" s="1341"/>
      <c r="AH125" s="1341"/>
      <c r="AI125" s="1341"/>
      <c r="AJ125" s="883"/>
      <c r="BA125" s="837"/>
    </row>
    <row r="126" spans="2:53" ht="42" customHeight="1" x14ac:dyDescent="0.25">
      <c r="B126" s="1349"/>
      <c r="C126" s="1333"/>
      <c r="D126" s="1424"/>
      <c r="E126" s="1001" t="s">
        <v>5086</v>
      </c>
      <c r="F126" s="1425">
        <f>'print 10 lane'!I126</f>
        <v>0</v>
      </c>
      <c r="G126" s="1425"/>
      <c r="H126" s="1425"/>
      <c r="I126" s="1425">
        <f>'print 10 lane'!L126</f>
        <v>0</v>
      </c>
      <c r="J126" s="1425"/>
      <c r="K126" s="1425"/>
      <c r="L126" s="1425">
        <f>'print 10 lane'!O126</f>
        <v>0</v>
      </c>
      <c r="M126" s="1425"/>
      <c r="N126" s="1425"/>
      <c r="O126" s="1425">
        <f>'print 10 lane'!R126</f>
        <v>0</v>
      </c>
      <c r="P126" s="1425"/>
      <c r="Q126" s="1425"/>
      <c r="R126" s="1425">
        <f>'print 10 lane'!U126</f>
        <v>0</v>
      </c>
      <c r="S126" s="1425"/>
      <c r="T126" s="1425"/>
      <c r="U126" s="1425">
        <f>'print 10 lane'!X126</f>
        <v>0</v>
      </c>
      <c r="V126" s="1425"/>
      <c r="W126" s="1425"/>
      <c r="X126" s="1425">
        <f>'print 10 lane'!AA126</f>
        <v>0</v>
      </c>
      <c r="Y126" s="1425"/>
      <c r="Z126" s="1425"/>
      <c r="AA126" s="1425">
        <f>'print 10 lane'!AD126</f>
        <v>0</v>
      </c>
      <c r="AB126" s="1425"/>
      <c r="AC126" s="1425"/>
      <c r="AD126" s="1428"/>
      <c r="AE126" s="1428"/>
      <c r="AF126" s="1428"/>
      <c r="AG126" s="1346"/>
      <c r="AH126" s="1346"/>
      <c r="AI126" s="1346"/>
      <c r="AJ126" s="883"/>
      <c r="BA126" s="837"/>
    </row>
    <row r="127" spans="2:53" ht="42" customHeight="1" x14ac:dyDescent="0.25">
      <c r="B127" s="1349">
        <v>42</v>
      </c>
      <c r="C127" s="1343" t="s">
        <v>5087</v>
      </c>
      <c r="D127" s="1424" t="s">
        <v>5093</v>
      </c>
      <c r="E127" s="1430" t="s">
        <v>5103</v>
      </c>
      <c r="F127" s="987">
        <f>'print 10 lane'!I127</f>
        <v>7.2094907407407405E-4</v>
      </c>
      <c r="G127" s="879">
        <f>IF(F127=0,0,IF(F$6=0,0,IF(F127&lt;1,SUM((F127&gt;I127),(F127&gt;L127),(F127&gt;O127),(F127&gt;R127),(F127&gt;U127),(F127&gt;X127),(F127&gt;AA127),(F127&gt;AD127),(F127&gt;AG127),(F127&gt;BB127)))-$AJ127))</f>
        <v>7</v>
      </c>
      <c r="H127" s="879">
        <f>IF(F127=0,0,IF(F$6=0,0,IF(G127=0,0,((11-G127)))-$B$6))</f>
        <v>1</v>
      </c>
      <c r="I127" s="988">
        <f>'print 10 lane'!L127</f>
        <v>7.1099537037037041E-4</v>
      </c>
      <c r="J127" s="879">
        <f>IF(I127=0,0,IF(I$6=0,0,IF(I127&lt;1,SUM((I127&gt;L127),(I127&gt;O127),(I127&gt;R127),(I127&gt;U127),(I127&gt;X127),(I127&gt;AA127),(I127&gt;F127),(I127&gt;AD127),(I127&gt;AG127),(I127&gt;BB127)))-$AJ127))</f>
        <v>6</v>
      </c>
      <c r="K127" s="879">
        <f>IF(I127=0,0,IF(I$6=0,0,IF(J127=0,0,((11-J127)))-$B$6))</f>
        <v>2</v>
      </c>
      <c r="L127" s="988">
        <f>'print 10 lane'!O127</f>
        <v>7.0335648148148145E-4</v>
      </c>
      <c r="M127" s="879">
        <f>IF(L127=0,0,IF(L$6=0,0,IF(L127&lt;1,SUM((L127&gt;I127),(L127&gt;F127),(L127&gt;O127),(L127&gt;R127),(L127&gt;U127),(L127&gt;X127),(L127&gt;AA127),(L127&gt;AD127),(L127&gt;AG127),(L127&gt;BB127)))-$AJ127))</f>
        <v>5</v>
      </c>
      <c r="N127" s="879">
        <f>IF(L127=0,0,IF(L$6=0,0,IF(M127=0,0,((11-M127)))-$B$6))</f>
        <v>3</v>
      </c>
      <c r="O127" s="988">
        <f>'print 10 lane'!R127</f>
        <v>6.5474537037037031E-4</v>
      </c>
      <c r="P127" s="879">
        <f>IF(O127=0,0,IF(O$6=0,0,IF(O127&lt;1,SUM((O127&gt;I127),(O127&gt;L127),(O127&gt;F127),(O127&gt;R127),(O127&gt;U127),(O127&gt;X127),(O127&gt;AA127),(O127&gt;AD127),(O127&gt;AG127),(O127&gt;BB127)))-$AJ127))</f>
        <v>2</v>
      </c>
      <c r="Q127" s="879">
        <f>IF(O127=0,0,IF(O$6=0,0,IF(P127=0,0,((11-P127)))-$B$6))</f>
        <v>6</v>
      </c>
      <c r="R127" s="988">
        <f>'print 10 lane'!U127</f>
        <v>6.7881944444444446E-4</v>
      </c>
      <c r="S127" s="879">
        <f>IF(R127=0,0,IF(R$6=0,0,IF(R127&lt;1,SUM((R127&gt;I127),(R127&gt;L127),(R127&gt;O127),(R127&gt;F127),(R127&gt;U127),(R127&gt;X127),(R127&gt;AA127),(R127&gt;AD127),(R127&gt;AG127),(R127&gt;BB127)))-$AJ127))</f>
        <v>3</v>
      </c>
      <c r="T127" s="879">
        <f>IF(R127=0,0,IF(R$6=0,0,IF(S127=0,0,((11-S127)))-$B$6))</f>
        <v>5</v>
      </c>
      <c r="U127" s="988">
        <f>'print 10 lane'!X127</f>
        <v>6.4444444444444445E-4</v>
      </c>
      <c r="V127" s="879">
        <f>IF(U127=0,0,IF(U$6=0,0,IF(U127&lt;1,SUM((U127&gt;I127),(U127&gt;L127),(U127&gt;O127),(U127&gt;R127),(U127&gt;F127),(U127&gt;X127),(U127&gt;AA127),(U127&gt;AD127),(U127&gt;AG127),(U127&gt;BB127)))-$AJ127))</f>
        <v>1</v>
      </c>
      <c r="W127" s="879">
        <f>IF(U127=0,0,IF(U$6=0,0,IF(V127=0,0,((11-V127)))-$B$6))</f>
        <v>7</v>
      </c>
      <c r="X127" s="988">
        <f>'print 10 lane'!AA127</f>
        <v>6.8449074074074072E-4</v>
      </c>
      <c r="Y127" s="879">
        <f>IF(X127=0,0,IF(X$6=0,0,IF(X127&lt;1,SUM((X127&gt;I127),(X127&gt;L127),(X127&gt;O127),(X127&gt;R127),(X127&gt;U127),(X127&gt;F127),(X127&gt;AA127),(X127&gt;AD127),(X127&gt;AG127),(X127&gt;BB127))))-$AJ127)</f>
        <v>4</v>
      </c>
      <c r="Z127" s="879">
        <f>IF(X127=0,0,IF(X$6=0,0,IF(Y127=0,0,((11-Y127)))-$B$6))</f>
        <v>4</v>
      </c>
      <c r="AA127" s="988">
        <f>'print 10 lane'!AD127</f>
        <v>0</v>
      </c>
      <c r="AB127" s="879">
        <f>IF(AA127=0,0,IF(AA$6=0,0,IF(AA127&lt;1,SUM((AA127&gt;I127),(AA127&gt;L127),(AA127&gt;O127),(AA127&gt;R127),(AA127&gt;U127),(AA127&gt;X127),(AA127&gt;AD127),(AA127&gt;AG127),(AA127&gt;F127),(AA127&gt;BB127)))-$AJ127))</f>
        <v>0</v>
      </c>
      <c r="AC127" s="989">
        <f>IF(AA127=0,0,IF(AA$6=0,0,IF(AB127=0,0,((11-AB127)))-$B$6))</f>
        <v>0</v>
      </c>
      <c r="AD127" s="990"/>
      <c r="AE127" s="881"/>
      <c r="AF127" s="881"/>
      <c r="AG127" s="880"/>
      <c r="AH127" s="881"/>
      <c r="AI127" s="882"/>
      <c r="AJ127" s="883">
        <f>COUNTBLANK(F633:O633)</f>
        <v>3</v>
      </c>
      <c r="BA127" s="837"/>
    </row>
    <row r="128" spans="2:53" ht="42" customHeight="1" x14ac:dyDescent="0.25">
      <c r="B128" s="1349"/>
      <c r="C128" s="1343"/>
      <c r="D128" s="1424"/>
      <c r="E128" s="1430"/>
      <c r="F128" s="1431" t="str">
        <f>'print 10 lane'!I128</f>
        <v>James Smeaton</v>
      </c>
      <c r="G128" s="1431"/>
      <c r="H128" s="1431"/>
      <c r="I128" s="1431" t="str">
        <f>'print 10 lane'!L128</f>
        <v>Harry Chapman</v>
      </c>
      <c r="J128" s="1431"/>
      <c r="K128" s="1431"/>
      <c r="L128" s="1431" t="str">
        <f>'print 10 lane'!O128</f>
        <v>Luke Morley</v>
      </c>
      <c r="M128" s="1431"/>
      <c r="N128" s="1431"/>
      <c r="O128" s="1431" t="str">
        <f>'print 10 lane'!R128</f>
        <v>Matthew Masters</v>
      </c>
      <c r="P128" s="1431"/>
      <c r="Q128" s="1431"/>
      <c r="R128" s="1431" t="str">
        <f>'print 10 lane'!U128</f>
        <v>Robert Elliston</v>
      </c>
      <c r="S128" s="1431"/>
      <c r="T128" s="1431"/>
      <c r="U128" s="1431" t="str">
        <f>'print 10 lane'!X128</f>
        <v>Razvan Lembac</v>
      </c>
      <c r="V128" s="1431"/>
      <c r="W128" s="1431"/>
      <c r="X128" s="1431" t="str">
        <f>'print 10 lane'!AA128</f>
        <v>Liam Treanor</v>
      </c>
      <c r="Y128" s="1431"/>
      <c r="Z128" s="1431"/>
      <c r="AA128" s="1431" t="str">
        <f>'print 10 lane'!AD128</f>
        <v xml:space="preserve"> </v>
      </c>
      <c r="AB128" s="1431"/>
      <c r="AC128" s="1431"/>
      <c r="AD128" s="1426"/>
      <c r="AE128" s="1426"/>
      <c r="AF128" s="1426"/>
      <c r="AG128" s="1341"/>
      <c r="AH128" s="1341"/>
      <c r="AI128" s="1341"/>
      <c r="AJ128" s="883"/>
      <c r="BA128" s="837"/>
    </row>
    <row r="129" spans="2:53" ht="42" customHeight="1" x14ac:dyDescent="0.25">
      <c r="B129" s="1349"/>
      <c r="C129" s="1343"/>
      <c r="D129" s="1424"/>
      <c r="E129" s="1001" t="s">
        <v>5086</v>
      </c>
      <c r="F129" s="1425">
        <f>'print 10 lane'!I129</f>
        <v>0</v>
      </c>
      <c r="G129" s="1425"/>
      <c r="H129" s="1425"/>
      <c r="I129" s="1425">
        <f>'print 10 lane'!L129</f>
        <v>0</v>
      </c>
      <c r="J129" s="1425"/>
      <c r="K129" s="1425"/>
      <c r="L129" s="1425">
        <f>'print 10 lane'!O129</f>
        <v>0</v>
      </c>
      <c r="M129" s="1425"/>
      <c r="N129" s="1425"/>
      <c r="O129" s="1425">
        <f>'print 10 lane'!R129</f>
        <v>0</v>
      </c>
      <c r="P129" s="1425"/>
      <c r="Q129" s="1425"/>
      <c r="R129" s="1425">
        <f>'print 10 lane'!U129</f>
        <v>0</v>
      </c>
      <c r="S129" s="1425"/>
      <c r="T129" s="1425"/>
      <c r="U129" s="1425">
        <f>'print 10 lane'!X129</f>
        <v>0</v>
      </c>
      <c r="V129" s="1425"/>
      <c r="W129" s="1425"/>
      <c r="X129" s="1425">
        <f>'print 10 lane'!AA129</f>
        <v>0</v>
      </c>
      <c r="Y129" s="1425"/>
      <c r="Z129" s="1425"/>
      <c r="AA129" s="1425">
        <f>'print 10 lane'!AD129</f>
        <v>0</v>
      </c>
      <c r="AB129" s="1425"/>
      <c r="AC129" s="1425"/>
      <c r="AD129" s="901"/>
      <c r="AE129" s="901"/>
      <c r="AF129" s="902"/>
      <c r="AG129" s="900"/>
      <c r="AH129" s="901"/>
      <c r="AI129" s="903"/>
      <c r="AJ129" s="883"/>
      <c r="BA129" s="837"/>
    </row>
    <row r="130" spans="2:53" ht="42" customHeight="1" x14ac:dyDescent="0.25">
      <c r="B130" s="1347">
        <v>43</v>
      </c>
      <c r="C130" s="1333" t="s">
        <v>5083</v>
      </c>
      <c r="D130" s="1429" t="s">
        <v>5105</v>
      </c>
      <c r="E130" s="998" t="s">
        <v>5091</v>
      </c>
      <c r="F130" s="987">
        <f>'print 10 lane'!I130</f>
        <v>2.0284722222222219E-3</v>
      </c>
      <c r="G130" s="879">
        <f>IF(F130=0,0,IF(F$6=0,0,IF(F130&lt;1,SUM((F130&gt;I130),(F130&gt;L130),(F130&gt;O130),(F130&gt;R130),(F130&gt;U130),(F130&gt;X130),(F130&gt;AA130),(F130&gt;AD130),(F130&gt;AG130),(F130&gt;BB130)))-$AJ130))</f>
        <v>1</v>
      </c>
      <c r="H130" s="879">
        <f>IF(F130=0,0,IF(F$6=0,0,IF(G130=0,0,((11-G130)))-$B$6))</f>
        <v>7</v>
      </c>
      <c r="I130" s="988">
        <f>'print 10 lane'!L130</f>
        <v>2.1328703703703705E-3</v>
      </c>
      <c r="J130" s="879">
        <f>IF(I130=0,0,IF(I$6=0,0,IF(I130&lt;1,SUM((I130&gt;L130),(I130&gt;O130),(I130&gt;R130),(I130&gt;U130),(I130&gt;X130),(I130&gt;AA130),(I130&gt;F130),(I130&gt;AD130),(I130&gt;AG130),(I130&gt;BB130)))-$AJ130))</f>
        <v>4</v>
      </c>
      <c r="K130" s="879">
        <f>IF(I130=0,0,IF(I$6=0,0,IF(J130=0,0,((11-J130)))-$B$6))</f>
        <v>4</v>
      </c>
      <c r="L130" s="988">
        <f>'print 10 lane'!O130</f>
        <v>0</v>
      </c>
      <c r="M130" s="879">
        <f>IF(L130=0,0,IF(L$6=0,0,IF(L130&lt;1,SUM((L130&gt;I130),(L130&gt;F130),(L130&gt;O130),(L130&gt;R130),(L130&gt;U130),(L130&gt;X130),(L130&gt;AA130),(L130&gt;AD130),(L130&gt;AG130),(L130&gt;BB130)))-$AJ130))</f>
        <v>0</v>
      </c>
      <c r="N130" s="879">
        <f>IF(L130=0,0,IF(L$6=0,0,IF(M130=0,0,((11-M130)))-$B$6))</f>
        <v>0</v>
      </c>
      <c r="O130" s="988">
        <f>'print 10 lane'!R130</f>
        <v>2.0923611111111112E-3</v>
      </c>
      <c r="P130" s="879">
        <f>IF(O130=0,0,IF(O$6=0,0,IF(O130&lt;1,SUM((O130&gt;I130),(O130&gt;L130),(O130&gt;F130),(O130&gt;R130),(O130&gt;U130),(O130&gt;X130),(O130&gt;AA130),(O130&gt;AD130),(O130&gt;AG130),(O130&gt;BB130)))-$AJ130))</f>
        <v>2</v>
      </c>
      <c r="Q130" s="879">
        <f>IF(O130=0,0,IF(O$6=0,0,IF(P130=0,0,((11-P130)))-$B$6))</f>
        <v>6</v>
      </c>
      <c r="R130" s="988">
        <f>'print 10 lane'!U130</f>
        <v>2.1501157407407406E-3</v>
      </c>
      <c r="S130" s="879">
        <f>IF(R130=0,0,IF(R$6=0,0,IF(R130&lt;1,SUM((R130&gt;I130),(R130&gt;L130),(R130&gt;O130),(R130&gt;F130),(R130&gt;U130),(R130&gt;X130),(R130&gt;AA130),(R130&gt;AD130),(R130&gt;AG130),(R130&gt;BB130)))-$AJ130))</f>
        <v>5</v>
      </c>
      <c r="T130" s="879">
        <f>IF(R130=0,0,IF(R$6=0,0,IF(S130=0,0,((11-S130)))-$B$6))</f>
        <v>3</v>
      </c>
      <c r="U130" s="988">
        <f>'print 10 lane'!X130</f>
        <v>2.2398148148148147E-3</v>
      </c>
      <c r="V130" s="879">
        <f>IF(U130=0,0,IF(U$6=0,0,IF(U130&lt;1,SUM((U130&gt;I130),(U130&gt;L130),(U130&gt;O130),(U130&gt;R130),(U130&gt;F130),(U130&gt;X130),(U130&gt;AA130),(U130&gt;AD130),(U130&gt;AG130),(U130&gt;BB130)))-$AJ130))</f>
        <v>6</v>
      </c>
      <c r="W130" s="879">
        <f>IF(U130=0,0,IF(U$6=0,0,IF(V130=0,0,((11-V130)))-$B$6))</f>
        <v>2</v>
      </c>
      <c r="X130" s="988">
        <f>'print 10 lane'!AA130</f>
        <v>2.1025462962962964E-3</v>
      </c>
      <c r="Y130" s="879">
        <f>IF(X130=0,0,IF(X$6=0,0,IF(X130&lt;1,SUM((X130&gt;I130),(X130&gt;L130),(X130&gt;O130),(X130&gt;R130),(X130&gt;U130),(X130&gt;F130),(X130&gt;AA130),(X130&gt;AD130),(X130&gt;AG130),(X130&gt;BB130))))-$AJ130)</f>
        <v>3</v>
      </c>
      <c r="Z130" s="879">
        <f>IF(X130=0,0,IF(X$6=0,0,IF(Y130=0,0,((11-Y130)))-$B$6))</f>
        <v>5</v>
      </c>
      <c r="AA130" s="988">
        <f>'print 10 lane'!AD130</f>
        <v>0</v>
      </c>
      <c r="AB130" s="879">
        <f>IF(AA130=0,0,IF(AA$6=0,0,IF(AA130&lt;1,SUM((AA130&gt;I130),(AA130&gt;L130),(AA130&gt;O130),(AA130&gt;R130),(AA130&gt;U130),(AA130&gt;X130),(AA130&gt;AD130),(AA130&gt;AG130),(AA130&gt;F130),(AA130&gt;BB130)))-$AJ130))</f>
        <v>0</v>
      </c>
      <c r="AC130" s="989">
        <f>IF(AA130=0,0,IF(AA$6=0,0,IF(AB130=0,0,((11-AB130)))-$B$6))</f>
        <v>0</v>
      </c>
      <c r="AD130" s="990"/>
      <c r="AE130" s="881"/>
      <c r="AF130" s="881"/>
      <c r="AG130" s="880"/>
      <c r="AH130" s="881"/>
      <c r="AI130" s="882"/>
      <c r="AJ130" s="883">
        <f>COUNTBLANK(F634:O634)</f>
        <v>4</v>
      </c>
      <c r="BA130" s="837"/>
    </row>
    <row r="131" spans="2:53" ht="42" customHeight="1" x14ac:dyDescent="0.25">
      <c r="B131" s="1347"/>
      <c r="C131" s="1333"/>
      <c r="D131" s="1429"/>
      <c r="E131" s="1001" t="s">
        <v>5086</v>
      </c>
      <c r="F131" s="1425">
        <f>'print 10 lane'!I131</f>
        <v>0</v>
      </c>
      <c r="G131" s="1425"/>
      <c r="H131" s="1425"/>
      <c r="I131" s="1425">
        <f>'print 10 lane'!L131</f>
        <v>0</v>
      </c>
      <c r="J131" s="1425"/>
      <c r="K131" s="1425"/>
      <c r="L131" s="1425">
        <f>'print 10 lane'!O131</f>
        <v>0</v>
      </c>
      <c r="M131" s="1425"/>
      <c r="N131" s="1425"/>
      <c r="O131" s="1425">
        <f>'print 10 lane'!R131</f>
        <v>0</v>
      </c>
      <c r="P131" s="1425"/>
      <c r="Q131" s="1425"/>
      <c r="R131" s="1425">
        <f>'print 10 lane'!U131</f>
        <v>0</v>
      </c>
      <c r="S131" s="1425"/>
      <c r="T131" s="1425"/>
      <c r="U131" s="1425">
        <f>'print 10 lane'!X131</f>
        <v>0</v>
      </c>
      <c r="V131" s="1425"/>
      <c r="W131" s="1425"/>
      <c r="X131" s="1425">
        <f>'print 10 lane'!AA131</f>
        <v>0</v>
      </c>
      <c r="Y131" s="1425"/>
      <c r="Z131" s="1425"/>
      <c r="AA131" s="1425">
        <f>'print 10 lane'!AD131</f>
        <v>0</v>
      </c>
      <c r="AB131" s="1425"/>
      <c r="AC131" s="1425"/>
      <c r="AD131" s="1426"/>
      <c r="AE131" s="1426"/>
      <c r="AF131" s="1426"/>
      <c r="AG131" s="1341"/>
      <c r="AH131" s="1341"/>
      <c r="AI131" s="1341"/>
      <c r="AJ131" s="883"/>
      <c r="BA131" s="837"/>
    </row>
    <row r="132" spans="2:53" ht="42" customHeight="1" x14ac:dyDescent="0.25">
      <c r="B132" s="1337">
        <v>44</v>
      </c>
      <c r="C132" s="1343" t="s">
        <v>5087</v>
      </c>
      <c r="D132" s="1429" t="s">
        <v>5105</v>
      </c>
      <c r="E132" s="998" t="s">
        <v>5091</v>
      </c>
      <c r="F132" s="987">
        <f>'print 10 lane'!I132</f>
        <v>0</v>
      </c>
      <c r="G132" s="879">
        <f>IF(F132=0,0,IF(F$6=0,0,IF(F132&lt;1,SUM((F132&gt;I132),(F132&gt;L132),(F132&gt;O132),(F132&gt;R132),(F132&gt;U132),(F132&gt;X132),(F132&gt;AA132),(F132&gt;AD132),(F132&gt;AG132),(F132&gt;BB132)))-$AJ132))</f>
        <v>0</v>
      </c>
      <c r="H132" s="879">
        <f>IF(F132=0,0,IF(F$6=0,0,IF(G132=0,0,((11-G132)))-$B$6))</f>
        <v>0</v>
      </c>
      <c r="I132" s="988">
        <f>'print 10 lane'!L132</f>
        <v>1.8879629629629628E-3</v>
      </c>
      <c r="J132" s="879">
        <f>IF(I132=0,0,IF(I$6=0,0,IF(I132&lt;1,SUM((I132&gt;L132),(I132&gt;O132),(I132&gt;R132),(I132&gt;U132),(I132&gt;X132),(I132&gt;AA132),(I132&gt;F132),(I132&gt;AD132),(I132&gt;AG132),(I132&gt;BB132)))-$AJ132))</f>
        <v>1</v>
      </c>
      <c r="K132" s="879">
        <f>IF(I132=0,0,IF(I$6=0,0,IF(J132=0,0,((11-J132)))-$B$6))</f>
        <v>7</v>
      </c>
      <c r="L132" s="988">
        <f>'print 10 lane'!O132</f>
        <v>0</v>
      </c>
      <c r="M132" s="879">
        <f>IF(L132=0,0,IF(L$6=0,0,IF(L132&lt;1,SUM((L132&gt;I132),(L132&gt;F132),(L132&gt;O132),(L132&gt;R132),(L132&gt;U132),(L132&gt;X132),(L132&gt;AA132),(L132&gt;AD132),(L132&gt;AG132),(L132&gt;BB132)))-$AJ132))</f>
        <v>0</v>
      </c>
      <c r="N132" s="879">
        <f>IF(L132=0,0,IF(L$6=0,0,IF(M132=0,0,((11-M132)))-$B$6))</f>
        <v>0</v>
      </c>
      <c r="O132" s="988">
        <f>'print 10 lane'!R132</f>
        <v>2.379050925925926E-3</v>
      </c>
      <c r="P132" s="879">
        <f>IF(O132=0,0,IF(O$6=0,0,IF(O132&lt;1,SUM((O132&gt;I132),(O132&gt;L132),(O132&gt;F132),(O132&gt;R132),(O132&gt;U132),(O132&gt;X132),(O132&gt;AA132),(O132&gt;AD132),(O132&gt;AG132),(O132&gt;BB132)))-$AJ132))</f>
        <v>3</v>
      </c>
      <c r="Q132" s="879">
        <f>IF(O132=0,0,IF(O$6=0,0,IF(P132=0,0,((11-P132)))-$B$6))</f>
        <v>5</v>
      </c>
      <c r="R132" s="988">
        <f>'print 10 lane'!U132</f>
        <v>2.0459490740740742E-3</v>
      </c>
      <c r="S132" s="879">
        <f>IF(R132=0,0,IF(R$6=0,0,IF(R132&lt;1,SUM((R132&gt;I132),(R132&gt;L132),(R132&gt;O132),(R132&gt;F132),(R132&gt;U132),(R132&gt;X132),(R132&gt;AA132),(R132&gt;AD132),(R132&gt;AG132),(R132&gt;BB132)))-$AJ132))</f>
        <v>2</v>
      </c>
      <c r="T132" s="879">
        <f>IF(R132=0,0,IF(R$6=0,0,IF(S132=0,0,((11-S132)))-$B$6))</f>
        <v>6</v>
      </c>
      <c r="U132" s="988">
        <f>'print 10 lane'!X132</f>
        <v>0</v>
      </c>
      <c r="V132" s="879">
        <f>IF(U132=0,0,IF(U$6=0,0,IF(U132&lt;1,SUM((U132&gt;I132),(U132&gt;L132),(U132&gt;O132),(U132&gt;R132),(U132&gt;F132),(U132&gt;X132),(U132&gt;AA132),(U132&gt;AD132),(U132&gt;AG132),(U132&gt;BB132)))-$AJ132))</f>
        <v>0</v>
      </c>
      <c r="W132" s="879">
        <f>IF(U132=0,0,IF(U$6=0,0,IF(V132=0,0,((11-V132)))-$B$6))</f>
        <v>0</v>
      </c>
      <c r="X132" s="988">
        <f>'print 10 lane'!AA132</f>
        <v>0</v>
      </c>
      <c r="Y132" s="879">
        <f>IF(X132=0,0,IF(X$6=0,0,IF(X132&lt;1,SUM((X132&gt;I132),(X132&gt;L132),(X132&gt;O132),(X132&gt;R132),(X132&gt;U132),(X132&gt;F132),(X132&gt;AA132),(X132&gt;AD132),(X132&gt;AG132),(X132&gt;BB132))))-$AJ132)</f>
        <v>0</v>
      </c>
      <c r="Z132" s="879">
        <f>IF(X132=0,0,IF(X$6=0,0,IF(Y132=0,0,((11-Y132)))-$B$6))</f>
        <v>0</v>
      </c>
      <c r="AA132" s="988">
        <f>'print 10 lane'!AD132</f>
        <v>0</v>
      </c>
      <c r="AB132" s="879">
        <f>IF(AA132=0,0,IF(AA$6=0,0,IF(AA132&lt;1,SUM((AA132&gt;I132),(AA132&gt;L132),(AA132&gt;O132),(AA132&gt;R132),(AA132&gt;U132),(AA132&gt;X132),(AA132&gt;AD132),(AA132&gt;AG132),(AA132&gt;F132),(AA132&gt;BB132)))-$AJ132))</f>
        <v>0</v>
      </c>
      <c r="AC132" s="989">
        <f>IF(AA132=0,0,IF(AA$6=0,0,IF(AB132=0,0,((11-AB132)))-$B$6))</f>
        <v>0</v>
      </c>
      <c r="AD132" s="999"/>
      <c r="AE132" s="889"/>
      <c r="AF132" s="889"/>
      <c r="AG132" s="892"/>
      <c r="AH132" s="889"/>
      <c r="AI132" s="890"/>
      <c r="AJ132" s="883">
        <f>COUNTBLANK(F635:O635)</f>
        <v>7</v>
      </c>
      <c r="BA132" s="837"/>
    </row>
    <row r="133" spans="2:53" ht="42" customHeight="1" x14ac:dyDescent="0.25">
      <c r="B133" s="1337"/>
      <c r="C133" s="1343"/>
      <c r="D133" s="1429"/>
      <c r="E133" s="1001" t="s">
        <v>5086</v>
      </c>
      <c r="F133" s="1425" t="str">
        <f>'print 10 lane'!I133</f>
        <v>DNS</v>
      </c>
      <c r="G133" s="1425"/>
      <c r="H133" s="1425"/>
      <c r="I133" s="1425">
        <f>'print 10 lane'!L133</f>
        <v>0</v>
      </c>
      <c r="J133" s="1425"/>
      <c r="K133" s="1425"/>
      <c r="L133" s="1425">
        <f>'print 10 lane'!O133</f>
        <v>0</v>
      </c>
      <c r="M133" s="1425"/>
      <c r="N133" s="1425"/>
      <c r="O133" s="1425">
        <f>'print 10 lane'!R133</f>
        <v>0</v>
      </c>
      <c r="P133" s="1425"/>
      <c r="Q133" s="1425"/>
      <c r="R133" s="1425">
        <f>'print 10 lane'!U133</f>
        <v>0</v>
      </c>
      <c r="S133" s="1425"/>
      <c r="T133" s="1425"/>
      <c r="U133" s="1425" t="str">
        <f>'print 10 lane'!X133</f>
        <v>10.12 feet lost touch with starting platform before incoming swimmer touched the wall</v>
      </c>
      <c r="V133" s="1425"/>
      <c r="W133" s="1425"/>
      <c r="X133" s="1425" t="str">
        <f>'print 10 lane'!AA133</f>
        <v>10.8 swimmer caused an obstruction in lane 6</v>
      </c>
      <c r="Y133" s="1425"/>
      <c r="Z133" s="1425"/>
      <c r="AA133" s="1425">
        <f>'print 10 lane'!AD133</f>
        <v>0</v>
      </c>
      <c r="AB133" s="1425"/>
      <c r="AC133" s="1425"/>
      <c r="AD133" s="1426"/>
      <c r="AE133" s="1426"/>
      <c r="AF133" s="1426"/>
      <c r="AG133" s="1341"/>
      <c r="AH133" s="1341"/>
      <c r="AI133" s="1341"/>
      <c r="AJ133" s="883"/>
      <c r="BA133" s="837"/>
    </row>
    <row r="134" spans="2:53" ht="42" customHeight="1" x14ac:dyDescent="0.25">
      <c r="B134" s="1337">
        <v>45</v>
      </c>
      <c r="C134" s="1333" t="s">
        <v>5083</v>
      </c>
      <c r="D134" s="1424" t="s">
        <v>5090</v>
      </c>
      <c r="E134" s="998" t="s">
        <v>5089</v>
      </c>
      <c r="F134" s="987">
        <f>'print 10 lane'!I134</f>
        <v>1.5287037037037038E-3</v>
      </c>
      <c r="G134" s="879">
        <f>IF(F134=0,0,IF(F$6=0,0,IF(F134&lt;1,SUM((F134&gt;I134),(F134&gt;L134),(F134&gt;O134),(F134&gt;R134),(F134&gt;U134),(F134&gt;X134),(F134&gt;AA134),(F134&gt;AD134),(F134&gt;AG134),(F134&gt;BB134)))-$AJ134))</f>
        <v>3</v>
      </c>
      <c r="H134" s="879">
        <f>IF(F134=0,0,IF(F$6=0,0,IF(G134=0,0,((11-G134)))-$B$6))</f>
        <v>5</v>
      </c>
      <c r="I134" s="988">
        <f>'print 10 lane'!L134</f>
        <v>1.5825231481481482E-3</v>
      </c>
      <c r="J134" s="879">
        <f>IF(I134=0,0,IF(I$6=0,0,IF(I134&lt;1,SUM((I134&gt;L134),(I134&gt;O134),(I134&gt;R134),(I134&gt;U134),(I134&gt;X134),(I134&gt;AA134),(I134&gt;F134),(I134&gt;AD134),(I134&gt;AG134),(I134&gt;BB134)))-$AJ134))</f>
        <v>6</v>
      </c>
      <c r="K134" s="879">
        <f>IF(I134=0,0,IF(I$6=0,0,IF(J134=0,0,((11-J134)))-$B$6))</f>
        <v>2</v>
      </c>
      <c r="L134" s="988">
        <f>'print 10 lane'!O134</f>
        <v>1.4799768518518519E-3</v>
      </c>
      <c r="M134" s="879">
        <f>IF(L134=0,0,IF(L$6=0,0,IF(L134&lt;1,SUM((L134&gt;I134),(L134&gt;F134),(L134&gt;O134),(L134&gt;R134),(L134&gt;U134),(L134&gt;X134),(L134&gt;AA134),(L134&gt;AD134),(L134&gt;AG134),(L134&gt;BB134)))-$AJ134))</f>
        <v>2</v>
      </c>
      <c r="N134" s="879">
        <f>IF(L134=0,0,IF(L$6=0,0,IF(M134=0,0,((11-M134)))-$B$6))</f>
        <v>6</v>
      </c>
      <c r="O134" s="988">
        <f>'print 10 lane'!R134</f>
        <v>1.4490740740740742E-3</v>
      </c>
      <c r="P134" s="879">
        <f>IF(O134=0,0,IF(O$6=0,0,IF(O134&lt;1,SUM((O134&gt;I134),(O134&gt;L134),(O134&gt;F134),(O134&gt;R134),(O134&gt;U134),(O134&gt;X134),(O134&gt;AA134),(O134&gt;AD134),(O134&gt;AG134),(O134&gt;BB134)))-$AJ134))</f>
        <v>1</v>
      </c>
      <c r="Q134" s="879">
        <f>IF(O134=0,0,IF(O$6=0,0,IF(P134=0,0,((11-P134)))-$B$6))</f>
        <v>7</v>
      </c>
      <c r="R134" s="988">
        <f>'print 10 lane'!U134</f>
        <v>1.5416666666666669E-3</v>
      </c>
      <c r="S134" s="879">
        <f>IF(R134=0,0,IF(R$6=0,0,IF(R134&lt;1,SUM((R134&gt;I134),(R134&gt;L134),(R134&gt;O134),(R134&gt;F134),(R134&gt;U134),(R134&gt;X134),(R134&gt;AA134),(R134&gt;AD134),(R134&gt;AG134),(R134&gt;BB134)))-$AJ134))</f>
        <v>4</v>
      </c>
      <c r="T134" s="879">
        <f>IF(R134=0,0,IF(R$6=0,0,IF(S134=0,0,((11-S134)))-$B$6))</f>
        <v>4</v>
      </c>
      <c r="U134" s="988">
        <f>'print 10 lane'!X134</f>
        <v>1.7312499999999999E-3</v>
      </c>
      <c r="V134" s="879">
        <f>IF(U134=0,0,IF(U$6=0,0,IF(U134&lt;1,SUM((U134&gt;I134),(U134&gt;L134),(U134&gt;O134),(U134&gt;R134),(U134&gt;F134),(U134&gt;X134),(U134&gt;AA134),(U134&gt;AD134),(U134&gt;AG134),(U134&gt;BB134)))-$AJ134))</f>
        <v>7</v>
      </c>
      <c r="W134" s="879">
        <f>IF(U134=0,0,IF(U$6=0,0,IF(V134=0,0,((11-V134)))-$B$6))</f>
        <v>1</v>
      </c>
      <c r="X134" s="988">
        <f>'print 10 lane'!AA134</f>
        <v>1.553587962962963E-3</v>
      </c>
      <c r="Y134" s="879">
        <f>IF(X134=0,0,IF(X$6=0,0,IF(X134&lt;1,SUM((X134&gt;I134),(X134&gt;L134),(X134&gt;O134),(X134&gt;R134),(X134&gt;U134),(X134&gt;F134),(X134&gt;AA134),(X134&gt;AD134),(X134&gt;AG134),(X134&gt;BB134))))-$AJ134)</f>
        <v>5</v>
      </c>
      <c r="Z134" s="879">
        <f>IF(X134=0,0,IF(X$6=0,0,IF(Y134=0,0,((11-Y134)))-$B$6))</f>
        <v>3</v>
      </c>
      <c r="AA134" s="988">
        <f>'print 10 lane'!AD134</f>
        <v>0</v>
      </c>
      <c r="AB134" s="879">
        <f>IF(AA134=0,0,IF(AA$6=0,0,IF(AA134&lt;1,SUM((AA134&gt;I134),(AA134&gt;L134),(AA134&gt;O134),(AA134&gt;R134),(AA134&gt;U134),(AA134&gt;X134),(AA134&gt;AD134),(AA134&gt;AG134),(AA134&gt;F134),(AA134&gt;BB134)))-$AJ134))</f>
        <v>0</v>
      </c>
      <c r="AC134" s="989">
        <f>IF(AA134=0,0,IF(AA$6=0,0,IF(AB134=0,0,((11-AB134)))-$B$6))</f>
        <v>0</v>
      </c>
      <c r="AD134" s="999"/>
      <c r="AE134" s="889"/>
      <c r="AF134" s="889"/>
      <c r="AG134" s="892"/>
      <c r="AH134" s="889"/>
      <c r="AI134" s="890"/>
      <c r="AJ134" s="883">
        <f>COUNTBLANK(F636:O636)</f>
        <v>3</v>
      </c>
      <c r="BA134" s="837"/>
    </row>
    <row r="135" spans="2:53" ht="42" customHeight="1" x14ac:dyDescent="0.25">
      <c r="B135" s="1337"/>
      <c r="C135" s="1333"/>
      <c r="D135" s="1424"/>
      <c r="E135" s="1001" t="s">
        <v>5086</v>
      </c>
      <c r="F135" s="1425">
        <f>'print 10 lane'!I135</f>
        <v>0</v>
      </c>
      <c r="G135" s="1425"/>
      <c r="H135" s="1425"/>
      <c r="I135" s="1425">
        <f>'print 10 lane'!L135</f>
        <v>0</v>
      </c>
      <c r="J135" s="1425"/>
      <c r="K135" s="1425"/>
      <c r="L135" s="1425">
        <f>'print 10 lane'!O135</f>
        <v>0</v>
      </c>
      <c r="M135" s="1425"/>
      <c r="N135" s="1425"/>
      <c r="O135" s="1425">
        <f>'print 10 lane'!R135</f>
        <v>0</v>
      </c>
      <c r="P135" s="1425"/>
      <c r="Q135" s="1425"/>
      <c r="R135" s="1425">
        <f>'print 10 lane'!U135</f>
        <v>0</v>
      </c>
      <c r="S135" s="1425"/>
      <c r="T135" s="1425"/>
      <c r="U135" s="1425">
        <f>'print 10 lane'!X135</f>
        <v>0</v>
      </c>
      <c r="V135" s="1425"/>
      <c r="W135" s="1425"/>
      <c r="X135" s="1425">
        <f>'print 10 lane'!AA135</f>
        <v>0</v>
      </c>
      <c r="Y135" s="1425"/>
      <c r="Z135" s="1425"/>
      <c r="AA135" s="1425">
        <f>'print 10 lane'!AD135</f>
        <v>0</v>
      </c>
      <c r="AB135" s="1425"/>
      <c r="AC135" s="1425"/>
      <c r="AD135" s="1426"/>
      <c r="AE135" s="1426"/>
      <c r="AF135" s="1426"/>
      <c r="AG135" s="1341"/>
      <c r="AH135" s="1341"/>
      <c r="AI135" s="1341"/>
      <c r="AJ135" s="883"/>
      <c r="BA135" s="837"/>
    </row>
    <row r="136" spans="2:53" ht="42" customHeight="1" x14ac:dyDescent="0.25">
      <c r="B136" s="1337">
        <v>46</v>
      </c>
      <c r="C136" s="1343" t="s">
        <v>5087</v>
      </c>
      <c r="D136" s="1424" t="s">
        <v>5090</v>
      </c>
      <c r="E136" s="998" t="s">
        <v>5089</v>
      </c>
      <c r="F136" s="987">
        <f>'print 10 lane'!I136</f>
        <v>1.5355324074074073E-3</v>
      </c>
      <c r="G136" s="879">
        <f>IF(F136=0,0,IF(F$6=0,0,IF(F136&lt;1,SUM((F136&gt;I136),(F136&gt;L136),(F136&gt;O136),(F136&gt;R136),(F136&gt;U136),(F136&gt;X136),(F136&gt;AA136),(F136&gt;AD136),(F136&gt;AG136),(F136&gt;BB136)))-$AJ136))</f>
        <v>4</v>
      </c>
      <c r="H136" s="879">
        <f>IF(F136=0,0,IF(F$6=0,0,IF(G136=0,0,((11-G136)))-$B$6))</f>
        <v>4</v>
      </c>
      <c r="I136" s="988">
        <f>'print 10 lane'!L136</f>
        <v>1.5901620370370368E-3</v>
      </c>
      <c r="J136" s="879">
        <f>IF(I136=0,0,IF(I$6=0,0,IF(I136&lt;1,SUM((I136&gt;L136),(I136&gt;O136),(I136&gt;R136),(I136&gt;U136),(I136&gt;X136),(I136&gt;AA136),(I136&gt;F136),(I136&gt;AD136),(I136&gt;AG136),(I136&gt;BB136)))-$AJ136))</f>
        <v>5</v>
      </c>
      <c r="K136" s="879">
        <f>IF(I136=0,0,IF(I$6=0,0,IF(J136=0,0,((11-J136)))-$B$6))</f>
        <v>3</v>
      </c>
      <c r="L136" s="988">
        <f>'print 10 lane'!O136</f>
        <v>1.4519675925925926E-3</v>
      </c>
      <c r="M136" s="879">
        <f>IF(L136=0,0,IF(L$6=0,0,IF(L136&lt;1,SUM((L136&gt;I136),(L136&gt;F136),(L136&gt;O136),(L136&gt;R136),(L136&gt;U136),(L136&gt;X136),(L136&gt;AA136),(L136&gt;AD136),(L136&gt;AG136),(L136&gt;BB136)))-$AJ136))</f>
        <v>3</v>
      </c>
      <c r="N136" s="879">
        <f>IF(L136=0,0,IF(L$6=0,0,IF(M136=0,0,((11-M136)))-$B$6))</f>
        <v>5</v>
      </c>
      <c r="O136" s="988">
        <f>'print 10 lane'!R136</f>
        <v>1.6111111111111109E-3</v>
      </c>
      <c r="P136" s="879">
        <f>IF(O136=0,0,IF(O$6=0,0,IF(O136&lt;1,SUM((O136&gt;I136),(O136&gt;L136),(O136&gt;F136),(O136&gt;R136),(O136&gt;U136),(O136&gt;X136),(O136&gt;AA136),(O136&gt;AD136),(O136&gt;AG136),(O136&gt;BB136)))-$AJ136))</f>
        <v>7</v>
      </c>
      <c r="Q136" s="879">
        <f>IF(O136=0,0,IF(O$6=0,0,IF(P136=0,0,((11-P136)))-$B$6))</f>
        <v>1</v>
      </c>
      <c r="R136" s="988">
        <f>'print 10 lane'!U136</f>
        <v>1.6079861111111112E-3</v>
      </c>
      <c r="S136" s="879">
        <f>IF(R136=0,0,IF(R$6=0,0,IF(R136&lt;1,SUM((R136&gt;I136),(R136&gt;L136),(R136&gt;O136),(R136&gt;F136),(R136&gt;U136),(R136&gt;X136),(R136&gt;AA136),(R136&gt;AD136),(R136&gt;AG136),(R136&gt;BB136)))-$AJ136))</f>
        <v>6</v>
      </c>
      <c r="T136" s="879">
        <f>IF(R136=0,0,IF(R$6=0,0,IF(S136=0,0,((11-S136)))-$B$6))</f>
        <v>2</v>
      </c>
      <c r="U136" s="988">
        <f>'print 10 lane'!X136</f>
        <v>1.3805555555555557E-3</v>
      </c>
      <c r="V136" s="879">
        <f>IF(U136=0,0,IF(U$6=0,0,IF(U136&lt;1,SUM((U136&gt;I136),(U136&gt;L136),(U136&gt;O136),(U136&gt;R136),(U136&gt;F136),(U136&gt;X136),(U136&gt;AA136),(U136&gt;AD136),(U136&gt;AG136),(U136&gt;BB136)))-$AJ136))</f>
        <v>1</v>
      </c>
      <c r="W136" s="879">
        <f>IF(U136=0,0,IF(U$6=0,0,IF(V136=0,0,((11-V136)))-$B$6))</f>
        <v>7</v>
      </c>
      <c r="X136" s="988">
        <f>'print 10 lane'!AA136</f>
        <v>1.4348379629629631E-3</v>
      </c>
      <c r="Y136" s="879">
        <f>IF(X136=0,0,IF(X$6=0,0,IF(X136&lt;1,SUM((X136&gt;I136),(X136&gt;L136),(X136&gt;O136),(X136&gt;R136),(X136&gt;U136),(X136&gt;F136),(X136&gt;AA136),(X136&gt;AD136),(X136&gt;AG136),(X136&gt;BB136))))-$AJ136)</f>
        <v>2</v>
      </c>
      <c r="Z136" s="879">
        <f>IF(X136=0,0,IF(X$6=0,0,IF(Y136=0,0,((11-Y136)))-$B$6))</f>
        <v>6</v>
      </c>
      <c r="AA136" s="988">
        <f>'print 10 lane'!AD136</f>
        <v>0</v>
      </c>
      <c r="AB136" s="879">
        <f>IF(AA136=0,0,IF(AA$6=0,0,IF(AA136&lt;1,SUM((AA136&gt;I136),(AA136&gt;L136),(AA136&gt;O136),(AA136&gt;R136),(AA136&gt;U136),(AA136&gt;X136),(AA136&gt;AD136),(AA136&gt;AG136),(AA136&gt;F136),(AA136&gt;BB136)))-$AJ136))</f>
        <v>0</v>
      </c>
      <c r="AC136" s="989">
        <f>IF(AA136=0,0,IF(AA$6=0,0,IF(AB136=0,0,((11-AB136)))-$B$6))</f>
        <v>0</v>
      </c>
      <c r="AD136" s="999"/>
      <c r="AE136" s="889"/>
      <c r="AF136" s="889"/>
      <c r="AG136" s="892"/>
      <c r="AH136" s="889"/>
      <c r="AI136" s="890"/>
      <c r="AJ136" s="883">
        <f>COUNTBLANK(F637:O637)</f>
        <v>3</v>
      </c>
      <c r="BA136" s="837"/>
    </row>
    <row r="137" spans="2:53" ht="42" customHeight="1" x14ac:dyDescent="0.25">
      <c r="B137" s="1337"/>
      <c r="C137" s="1343"/>
      <c r="D137" s="1424"/>
      <c r="E137" s="1001" t="s">
        <v>5086</v>
      </c>
      <c r="F137" s="1425">
        <f>'print 10 lane'!I137</f>
        <v>0</v>
      </c>
      <c r="G137" s="1425"/>
      <c r="H137" s="1425"/>
      <c r="I137" s="1425">
        <f>'print 10 lane'!L137</f>
        <v>0</v>
      </c>
      <c r="J137" s="1425"/>
      <c r="K137" s="1425"/>
      <c r="L137" s="1425">
        <f>'print 10 lane'!O137</f>
        <v>0</v>
      </c>
      <c r="M137" s="1425"/>
      <c r="N137" s="1425"/>
      <c r="O137" s="1425">
        <f>'print 10 lane'!R137</f>
        <v>0</v>
      </c>
      <c r="P137" s="1425"/>
      <c r="Q137" s="1425"/>
      <c r="R137" s="1425">
        <f>'print 10 lane'!U137</f>
        <v>0</v>
      </c>
      <c r="S137" s="1425"/>
      <c r="T137" s="1425"/>
      <c r="U137" s="1425">
        <f>'print 10 lane'!X137</f>
        <v>0</v>
      </c>
      <c r="V137" s="1425"/>
      <c r="W137" s="1425"/>
      <c r="X137" s="1425">
        <f>'print 10 lane'!AA137</f>
        <v>0</v>
      </c>
      <c r="Y137" s="1425"/>
      <c r="Z137" s="1425"/>
      <c r="AA137" s="1425">
        <f>'print 10 lane'!AD137</f>
        <v>0</v>
      </c>
      <c r="AB137" s="1425"/>
      <c r="AC137" s="1425"/>
      <c r="AD137" s="1426"/>
      <c r="AE137" s="1426"/>
      <c r="AF137" s="1426"/>
      <c r="AG137" s="1341"/>
      <c r="AH137" s="1341"/>
      <c r="AI137" s="1341"/>
      <c r="AJ137" s="883"/>
      <c r="BA137" s="837"/>
    </row>
    <row r="138" spans="2:53" ht="42" customHeight="1" x14ac:dyDescent="0.25">
      <c r="B138" s="1337">
        <v>47</v>
      </c>
      <c r="C138" s="1333" t="s">
        <v>5083</v>
      </c>
      <c r="D138" s="1424" t="s">
        <v>5092</v>
      </c>
      <c r="E138" s="998" t="s">
        <v>5091</v>
      </c>
      <c r="F138" s="987">
        <f>'print 10 lane'!I138</f>
        <v>1.663310185185185E-3</v>
      </c>
      <c r="G138" s="879">
        <f>IF(F138=0,0,IF(F$6=0,0,IF(F138&lt;1,SUM((F138&gt;I138),(F138&gt;L138),(F138&gt;O138),(F138&gt;R138),(F138&gt;U138),(F138&gt;X138),(F138&gt;AA138),(F138&gt;AD138),(F138&gt;AG138),(F138&gt;BB138)))-$AJ138))</f>
        <v>4</v>
      </c>
      <c r="H138" s="879">
        <f>IF(F138=0,0,IF(F$6=0,0,IF(G138=0,0,((11-G138)))-$B$6))</f>
        <v>4</v>
      </c>
      <c r="I138" s="988">
        <f>'print 10 lane'!L138</f>
        <v>1.7428240740740739E-3</v>
      </c>
      <c r="J138" s="879">
        <f>IF(I138=0,0,IF(I$6=0,0,IF(I138&lt;1,SUM((I138&gt;L138),(I138&gt;O138),(I138&gt;R138),(I138&gt;U138),(I138&gt;X138),(I138&gt;AA138),(I138&gt;F138),(I138&gt;AD138),(I138&gt;AG138),(I138&gt;BB138)))-$AJ138))</f>
        <v>7</v>
      </c>
      <c r="K138" s="879">
        <f>IF(I138=0,0,IF(I$6=0,0,IF(J138=0,0,((11-J138)))-$B$6))</f>
        <v>1</v>
      </c>
      <c r="L138" s="988">
        <f>'print 10 lane'!O138</f>
        <v>1.6858796296296294E-3</v>
      </c>
      <c r="M138" s="879">
        <f>IF(L138=0,0,IF(L$6=0,0,IF(L138&lt;1,SUM((L138&gt;I138),(L138&gt;F138),(L138&gt;O138),(L138&gt;R138),(L138&gt;U138),(L138&gt;X138),(L138&gt;AA138),(L138&gt;AD138),(L138&gt;AG138),(L138&gt;BB138)))-$AJ138))</f>
        <v>6</v>
      </c>
      <c r="N138" s="879">
        <f>IF(L138=0,0,IF(L$6=0,0,IF(M138=0,0,((11-M138)))-$B$6))</f>
        <v>2</v>
      </c>
      <c r="O138" s="988">
        <f>'print 10 lane'!R138</f>
        <v>1.6114583333333334E-3</v>
      </c>
      <c r="P138" s="879">
        <f>IF(O138=0,0,IF(O$6=0,0,IF(O138&lt;1,SUM((O138&gt;I138),(O138&gt;L138),(O138&gt;F138),(O138&gt;R138),(O138&gt;U138),(O138&gt;X138),(O138&gt;AA138),(O138&gt;AD138),(O138&gt;AG138),(O138&gt;BB138)))-$AJ138))</f>
        <v>3</v>
      </c>
      <c r="Q138" s="879">
        <f>IF(O138=0,0,IF(O$6=0,0,IF(P138=0,0,((11-P138)))-$B$6))</f>
        <v>5</v>
      </c>
      <c r="R138" s="988">
        <f>'print 10 lane'!U138</f>
        <v>1.5557870370370372E-3</v>
      </c>
      <c r="S138" s="879">
        <f>IF(R138=0,0,IF(R$6=0,0,IF(R138&lt;1,SUM((R138&gt;I138),(R138&gt;L138),(R138&gt;O138),(R138&gt;F138),(R138&gt;U138),(R138&gt;X138),(R138&gt;AA138),(R138&gt;AD138),(R138&gt;AG138),(R138&gt;BB138)))-$AJ138))</f>
        <v>1</v>
      </c>
      <c r="T138" s="879">
        <f>IF(R138=0,0,IF(R$6=0,0,IF(S138=0,0,((11-S138)))-$B$6))</f>
        <v>7</v>
      </c>
      <c r="U138" s="988">
        <f>'print 10 lane'!X138</f>
        <v>1.5972222222222221E-3</v>
      </c>
      <c r="V138" s="879">
        <f>IF(U138=0,0,IF(U$6=0,0,IF(U138&lt;1,SUM((U138&gt;I138),(U138&gt;L138),(U138&gt;O138),(U138&gt;R138),(U138&gt;F138),(U138&gt;X138),(U138&gt;AA138),(U138&gt;AD138),(U138&gt;AG138),(U138&gt;BB138)))-$AJ138))</f>
        <v>2</v>
      </c>
      <c r="W138" s="879">
        <f>IF(U138=0,0,IF(U$6=0,0,IF(V138=0,0,((11-V138)))-$B$6))</f>
        <v>6</v>
      </c>
      <c r="X138" s="988">
        <f>'print 10 lane'!AA138</f>
        <v>1.6804398148148149E-3</v>
      </c>
      <c r="Y138" s="879">
        <f>IF(X138=0,0,IF(X$6=0,0,IF(X138&lt;1,SUM((X138&gt;I138),(X138&gt;L138),(X138&gt;O138),(X138&gt;R138),(X138&gt;U138),(X138&gt;F138),(X138&gt;AA138),(X138&gt;AD138),(X138&gt;AG138),(X138&gt;BB138))))-$AJ138)</f>
        <v>5</v>
      </c>
      <c r="Z138" s="879">
        <f>IF(X138=0,0,IF(X$6=0,0,IF(Y138=0,0,((11-Y138)))-$B$6))</f>
        <v>3</v>
      </c>
      <c r="AA138" s="988">
        <f>'print 10 lane'!AD138</f>
        <v>0</v>
      </c>
      <c r="AB138" s="879">
        <f>IF(AA138=0,0,IF(AA$6=0,0,IF(AA138&lt;1,SUM((AA138&gt;I138),(AA138&gt;L138),(AA138&gt;O138),(AA138&gt;R138),(AA138&gt;U138),(AA138&gt;X138),(AA138&gt;AD138),(AA138&gt;AG138),(AA138&gt;F138),(AA138&gt;BB138)))-$AJ138))</f>
        <v>0</v>
      </c>
      <c r="AC138" s="989">
        <f>IF(AA138=0,0,IF(AA$6=0,0,IF(AB138=0,0,((11-AB138)))-$B$6))</f>
        <v>0</v>
      </c>
      <c r="AD138" s="999"/>
      <c r="AE138" s="889"/>
      <c r="AF138" s="889"/>
      <c r="AG138" s="892"/>
      <c r="AH138" s="889"/>
      <c r="AI138" s="890"/>
      <c r="AJ138" s="883">
        <f>COUNTBLANK(F638:O638)</f>
        <v>3</v>
      </c>
      <c r="BA138" s="837"/>
    </row>
    <row r="139" spans="2:53" ht="42" customHeight="1" x14ac:dyDescent="0.25">
      <c r="B139" s="1337"/>
      <c r="C139" s="1333"/>
      <c r="D139" s="1424"/>
      <c r="E139" s="1001" t="s">
        <v>5086</v>
      </c>
      <c r="F139" s="1425">
        <f>'print 10 lane'!I139</f>
        <v>0</v>
      </c>
      <c r="G139" s="1425"/>
      <c r="H139" s="1425"/>
      <c r="I139" s="1425">
        <f>'print 10 lane'!L139</f>
        <v>0</v>
      </c>
      <c r="J139" s="1425"/>
      <c r="K139" s="1425"/>
      <c r="L139" s="1425">
        <f>'print 10 lane'!O139</f>
        <v>0</v>
      </c>
      <c r="M139" s="1425"/>
      <c r="N139" s="1425"/>
      <c r="O139" s="1425">
        <f>'print 10 lane'!R139</f>
        <v>0</v>
      </c>
      <c r="P139" s="1425"/>
      <c r="Q139" s="1425"/>
      <c r="R139" s="1425">
        <f>'print 10 lane'!U139</f>
        <v>0</v>
      </c>
      <c r="S139" s="1425"/>
      <c r="T139" s="1425"/>
      <c r="U139" s="1425">
        <f>'print 10 lane'!X139</f>
        <v>0</v>
      </c>
      <c r="V139" s="1425"/>
      <c r="W139" s="1425"/>
      <c r="X139" s="1425">
        <f>'print 10 lane'!AA139</f>
        <v>0</v>
      </c>
      <c r="Y139" s="1425"/>
      <c r="Z139" s="1425"/>
      <c r="AA139" s="1425">
        <f>'print 10 lane'!AD139</f>
        <v>0</v>
      </c>
      <c r="AB139" s="1425"/>
      <c r="AC139" s="1425"/>
      <c r="AD139" s="1426"/>
      <c r="AE139" s="1426"/>
      <c r="AF139" s="1426"/>
      <c r="AG139" s="1341"/>
      <c r="AH139" s="1341"/>
      <c r="AI139" s="1341"/>
      <c r="AJ139" s="883"/>
      <c r="BA139" s="837"/>
    </row>
    <row r="140" spans="2:53" ht="42" customHeight="1" x14ac:dyDescent="0.25">
      <c r="B140" s="1337">
        <v>48</v>
      </c>
      <c r="C140" s="1343" t="s">
        <v>5087</v>
      </c>
      <c r="D140" s="1424" t="s">
        <v>5092</v>
      </c>
      <c r="E140" s="998" t="s">
        <v>5091</v>
      </c>
      <c r="F140" s="987">
        <f>'print 10 lane'!I140</f>
        <v>1.7131944444444445E-3</v>
      </c>
      <c r="G140" s="879">
        <f>IF(F140=0,0,IF(F$6=0,0,IF(F140&lt;1,SUM((F140&gt;I140),(F140&gt;L140),(F140&gt;O140),(F140&gt;R140),(F140&gt;U140),(F140&gt;X140),(F140&gt;AA140),(F140&gt;AD140),(F140&gt;AG140),(F140&gt;BB140)))-$AJ140))</f>
        <v>6</v>
      </c>
      <c r="H140" s="879">
        <f>IF(F140=0,0,IF(F$6=0,0,IF(G140=0,0,((11-G140)))-$B$6))</f>
        <v>2</v>
      </c>
      <c r="I140" s="988">
        <f>'print 10 lane'!L140</f>
        <v>1.6046296296296297E-3</v>
      </c>
      <c r="J140" s="879">
        <f>IF(I140=0,0,IF(I$6=0,0,IF(I140&lt;1,SUM((I140&gt;L140),(I140&gt;O140),(I140&gt;R140),(I140&gt;U140),(I140&gt;X140),(I140&gt;AA140),(I140&gt;F140),(I140&gt;AD140),(I140&gt;AG140),(I140&gt;BB140)))-$AJ140))</f>
        <v>4</v>
      </c>
      <c r="K140" s="879">
        <f>IF(I140=0,0,IF(I$6=0,0,IF(J140=0,0,((11-J140)))-$B$6))</f>
        <v>4</v>
      </c>
      <c r="L140" s="988">
        <f>'print 10 lane'!O140</f>
        <v>1.612962962962963E-3</v>
      </c>
      <c r="M140" s="879">
        <f>IF(L140=0,0,IF(L$6=0,0,IF(L140&lt;1,SUM((L140&gt;I140),(L140&gt;F140),(L140&gt;O140),(L140&gt;R140),(L140&gt;U140),(L140&gt;X140),(L140&gt;AA140),(L140&gt;AD140),(L140&gt;AG140),(L140&gt;BB140)))-$AJ140))</f>
        <v>5</v>
      </c>
      <c r="N140" s="879">
        <f>IF(L140=0,0,IF(L$6=0,0,IF(M140=0,0,((11-M140)))-$B$6))</f>
        <v>3</v>
      </c>
      <c r="O140" s="988">
        <f>'print 10 lane'!R140</f>
        <v>0</v>
      </c>
      <c r="P140" s="879">
        <f>IF(O140=0,0,IF(O$6=0,0,IF(O140&lt;1,SUM((O140&gt;I140),(O140&gt;L140),(O140&gt;F140),(O140&gt;R140),(O140&gt;U140),(O140&gt;X140),(O140&gt;AA140),(O140&gt;AD140),(O140&gt;AG140),(O140&gt;BB140)))-$AJ140))</f>
        <v>0</v>
      </c>
      <c r="Q140" s="879">
        <f>IF(O140=0,0,IF(O$6=0,0,IF(P140=0,0,((11-P140)))-$B$6))</f>
        <v>0</v>
      </c>
      <c r="R140" s="988">
        <f>'print 10 lane'!U140</f>
        <v>1.4068287037037038E-3</v>
      </c>
      <c r="S140" s="879">
        <f>IF(R140=0,0,IF(R$6=0,0,IF(R140&lt;1,SUM((R140&gt;I140),(R140&gt;L140),(R140&gt;O140),(R140&gt;F140),(R140&gt;U140),(R140&gt;X140),(R140&gt;AA140),(R140&gt;AD140),(R140&gt;AG140),(R140&gt;BB140)))-$AJ140))</f>
        <v>1</v>
      </c>
      <c r="T140" s="879">
        <f>IF(R140=0,0,IF(R$6=0,0,IF(S140=0,0,((11-S140)))-$B$6))</f>
        <v>7</v>
      </c>
      <c r="U140" s="988">
        <f>'print 10 lane'!X140</f>
        <v>1.4570601851851854E-3</v>
      </c>
      <c r="V140" s="879">
        <f>IF(U140=0,0,IF(U$6=0,0,IF(U140&lt;1,SUM((U140&gt;I140),(U140&gt;L140),(U140&gt;O140),(U140&gt;R140),(U140&gt;F140),(U140&gt;X140),(U140&gt;AA140),(U140&gt;AD140),(U140&gt;AG140),(U140&gt;BB140)))-$AJ140))</f>
        <v>2</v>
      </c>
      <c r="W140" s="879">
        <f>IF(U140=0,0,IF(U$6=0,0,IF(V140=0,0,((11-V140)))-$B$6))</f>
        <v>6</v>
      </c>
      <c r="X140" s="988">
        <f>'print 10 lane'!AA140</f>
        <v>1.4971064814814814E-3</v>
      </c>
      <c r="Y140" s="879">
        <f>IF(X140=0,0,IF(X$6=0,0,IF(X140&lt;1,SUM((X140&gt;I140),(X140&gt;L140),(X140&gt;O140),(X140&gt;R140),(X140&gt;U140),(X140&gt;F140),(X140&gt;AA140),(X140&gt;AD140),(X140&gt;AG140),(X140&gt;BB140))))-$AJ140)</f>
        <v>3</v>
      </c>
      <c r="Z140" s="879">
        <f>IF(X140=0,0,IF(X$6=0,0,IF(Y140=0,0,((11-Y140)))-$B$6))</f>
        <v>5</v>
      </c>
      <c r="AA140" s="988">
        <f>'print 10 lane'!AD140</f>
        <v>0</v>
      </c>
      <c r="AB140" s="879">
        <f>IF(AA140=0,0,IF(AA$6=0,0,IF(AA140&lt;1,SUM((AA140&gt;I140),(AA140&gt;L140),(AA140&gt;O140),(AA140&gt;R140),(AA140&gt;U140),(AA140&gt;X140),(AA140&gt;AD140),(AA140&gt;AG140),(AA140&gt;F140),(AA140&gt;BB140)))-$AJ140))</f>
        <v>0</v>
      </c>
      <c r="AC140" s="989">
        <f>IF(AA140=0,0,IF(AA$6=0,0,IF(AB140=0,0,((11-AB140)))-$B$6))</f>
        <v>0</v>
      </c>
      <c r="AD140" s="999"/>
      <c r="AE140" s="889"/>
      <c r="AF140" s="889"/>
      <c r="AG140" s="892"/>
      <c r="AH140" s="889"/>
      <c r="AI140" s="890"/>
      <c r="AJ140" s="883">
        <f>COUNTBLANK(F639:O639)</f>
        <v>4</v>
      </c>
      <c r="BA140" s="837"/>
    </row>
    <row r="141" spans="2:53" ht="42" customHeight="1" x14ac:dyDescent="0.25">
      <c r="B141" s="1337"/>
      <c r="C141" s="1343"/>
      <c r="D141" s="1424"/>
      <c r="E141" s="1001" t="s">
        <v>5086</v>
      </c>
      <c r="F141" s="1425">
        <f>'print 10 lane'!I141</f>
        <v>0</v>
      </c>
      <c r="G141" s="1425"/>
      <c r="H141" s="1425"/>
      <c r="I141" s="1425">
        <f>'print 10 lane'!L141</f>
        <v>0</v>
      </c>
      <c r="J141" s="1425"/>
      <c r="K141" s="1425"/>
      <c r="L141" s="1425">
        <f>'print 10 lane'!O141</f>
        <v>0</v>
      </c>
      <c r="M141" s="1425"/>
      <c r="N141" s="1425"/>
      <c r="O141" s="1425" t="str">
        <f>'print 10 lane'!R141</f>
        <v>10.8 Obstructed swimmer in lane 3</v>
      </c>
      <c r="P141" s="1425"/>
      <c r="Q141" s="1425"/>
      <c r="R141" s="1425">
        <f>'print 10 lane'!U141</f>
        <v>0</v>
      </c>
      <c r="S141" s="1425"/>
      <c r="T141" s="1425"/>
      <c r="U141" s="1425">
        <f>'print 10 lane'!X141</f>
        <v>0</v>
      </c>
      <c r="V141" s="1425"/>
      <c r="W141" s="1425"/>
      <c r="X141" s="1425">
        <f>'print 10 lane'!AA141</f>
        <v>0</v>
      </c>
      <c r="Y141" s="1425"/>
      <c r="Z141" s="1425"/>
      <c r="AA141" s="1425">
        <f>'print 10 lane'!AD141</f>
        <v>0</v>
      </c>
      <c r="AB141" s="1425"/>
      <c r="AC141" s="1425"/>
      <c r="AD141" s="1426"/>
      <c r="AE141" s="1426"/>
      <c r="AF141" s="1426"/>
      <c r="AG141" s="1341"/>
      <c r="AH141" s="1341"/>
      <c r="AI141" s="1341"/>
      <c r="AJ141" s="883"/>
      <c r="BA141" s="837"/>
    </row>
    <row r="142" spans="2:53" ht="42" customHeight="1" x14ac:dyDescent="0.25">
      <c r="B142" s="1337">
        <v>49</v>
      </c>
      <c r="C142" s="1333" t="s">
        <v>5083</v>
      </c>
      <c r="D142" s="1424" t="s">
        <v>5093</v>
      </c>
      <c r="E142" s="998" t="s">
        <v>5089</v>
      </c>
      <c r="F142" s="987">
        <f>'print 10 lane'!I142</f>
        <v>1.4341435185185186E-3</v>
      </c>
      <c r="G142" s="879">
        <f>IF(F142=0,0,IF(F$6=0,0,IF(F142&lt;1,SUM((F142&gt;I142),(F142&gt;L142),(F142&gt;O142),(F142&gt;R142),(F142&gt;U142),(F142&gt;X142),(F142&gt;AA142),(F142&gt;AD142),(F142&gt;AG142),(F142&gt;BB142)))-$AJ142))</f>
        <v>4</v>
      </c>
      <c r="H142" s="879">
        <f>IF(F142=0,0,IF(F$6=0,0,IF(G142=0,0,((11-G142)))-$B$6))</f>
        <v>4</v>
      </c>
      <c r="I142" s="988">
        <f>'print 10 lane'!L142</f>
        <v>1.5045138888888888E-3</v>
      </c>
      <c r="J142" s="879">
        <f>IF(I142=0,0,IF(I$6=0,0,IF(I142&lt;1,SUM((I142&gt;L142),(I142&gt;O142),(I142&gt;R142),(I142&gt;U142),(I142&gt;X142),(I142&gt;AA142),(I142&gt;F142),(I142&gt;AD142),(I142&gt;AG142),(I142&gt;BB142)))-$AJ142))</f>
        <v>7</v>
      </c>
      <c r="K142" s="879">
        <f>IF(I142=0,0,IF(I$6=0,0,IF(J142=0,0,((11-J142)))-$B$6))</f>
        <v>1</v>
      </c>
      <c r="L142" s="988">
        <f>'print 10 lane'!O142</f>
        <v>1.4663194444444444E-3</v>
      </c>
      <c r="M142" s="879">
        <f>IF(L142=0,0,IF(L$6=0,0,IF(L142&lt;1,SUM((L142&gt;I142),(L142&gt;F142),(L142&gt;O142),(L142&gt;R142),(L142&gt;U142),(L142&gt;X142),(L142&gt;AA142),(L142&gt;AD142),(L142&gt;AG142),(L142&gt;BB142)))-$AJ142))</f>
        <v>6</v>
      </c>
      <c r="N142" s="879">
        <f>IF(L142=0,0,IF(L$6=0,0,IF(M142=0,0,((11-M142)))-$B$6))</f>
        <v>2</v>
      </c>
      <c r="O142" s="988">
        <f>'print 10 lane'!R142</f>
        <v>1.3895833333333332E-3</v>
      </c>
      <c r="P142" s="879">
        <f>IF(O142=0,0,IF(O$6=0,0,IF(O142&lt;1,SUM((O142&gt;I142),(O142&gt;L142),(O142&gt;F142),(O142&gt;R142),(O142&gt;U142),(O142&gt;X142),(O142&gt;AA142),(O142&gt;AD142),(O142&gt;AG142),(O142&gt;BB142)))-$AJ142))</f>
        <v>3</v>
      </c>
      <c r="Q142" s="879">
        <f>IF(O142=0,0,IF(O$6=0,0,IF(P142=0,0,((11-P142)))-$B$6))</f>
        <v>5</v>
      </c>
      <c r="R142" s="988">
        <f>'print 10 lane'!U142</f>
        <v>1.387962962962963E-3</v>
      </c>
      <c r="S142" s="879">
        <f>IF(R142=0,0,IF(R$6=0,0,IF(R142&lt;1,SUM((R142&gt;I142),(R142&gt;L142),(R142&gt;O142),(R142&gt;F142),(R142&gt;U142),(R142&gt;X142),(R142&gt;AA142),(R142&gt;AD142),(R142&gt;AG142),(R142&gt;BB142)))-$AJ142))</f>
        <v>2</v>
      </c>
      <c r="T142" s="879">
        <f>IF(R142=0,0,IF(R$6=0,0,IF(S142=0,0,((11-S142)))-$B$6))</f>
        <v>6</v>
      </c>
      <c r="U142" s="988">
        <f>'print 10 lane'!X142</f>
        <v>1.4398148148148148E-3</v>
      </c>
      <c r="V142" s="879">
        <f>IF(U142=0,0,IF(U$6=0,0,IF(U142&lt;1,SUM((U142&gt;I142),(U142&gt;L142),(U142&gt;O142),(U142&gt;R142),(U142&gt;F142),(U142&gt;X142),(U142&gt;AA142),(U142&gt;AD142),(U142&gt;AG142),(U142&gt;BB142)))-$AJ142))</f>
        <v>5</v>
      </c>
      <c r="W142" s="879">
        <f>IF(U142=0,0,IF(U$6=0,0,IF(V142=0,0,((11-V142)))-$B$6))</f>
        <v>3</v>
      </c>
      <c r="X142" s="988">
        <f>'print 10 lane'!AA142</f>
        <v>1.3795138888888887E-3</v>
      </c>
      <c r="Y142" s="879">
        <f>IF(X142=0,0,IF(X$6=0,0,IF(X142&lt;1,SUM((X142&gt;I142),(X142&gt;L142),(X142&gt;O142),(X142&gt;R142),(X142&gt;U142),(X142&gt;F142),(X142&gt;AA142),(X142&gt;AD142),(X142&gt;AG142),(X142&gt;BB142))))-$AJ142)</f>
        <v>1</v>
      </c>
      <c r="Z142" s="879">
        <f>IF(X142=0,0,IF(X$6=0,0,IF(Y142=0,0,((11-Y142)))-$B$6))</f>
        <v>7</v>
      </c>
      <c r="AA142" s="988">
        <f>'print 10 lane'!AD142</f>
        <v>0</v>
      </c>
      <c r="AB142" s="879">
        <f>IF(AA142=0,0,IF(AA$6=0,0,IF(AA142&lt;1,SUM((AA142&gt;I142),(AA142&gt;L142),(AA142&gt;O142),(AA142&gt;R142),(AA142&gt;U142),(AA142&gt;X142),(AA142&gt;AD142),(AA142&gt;AG142),(AA142&gt;F142),(AA142&gt;BB142)))-$AJ142))</f>
        <v>0</v>
      </c>
      <c r="AC142" s="989">
        <f>IF(AA142=0,0,IF(AA$6=0,0,IF(AB142=0,0,((11-AB142)))-$B$6))</f>
        <v>0</v>
      </c>
      <c r="AD142" s="999"/>
      <c r="AE142" s="889"/>
      <c r="AF142" s="889"/>
      <c r="AG142" s="892"/>
      <c r="AH142" s="889"/>
      <c r="AI142" s="890"/>
      <c r="AJ142" s="883">
        <f>COUNTBLANK(F640:O640)</f>
        <v>3</v>
      </c>
      <c r="BA142" s="837"/>
    </row>
    <row r="143" spans="2:53" ht="42" customHeight="1" x14ac:dyDescent="0.25">
      <c r="B143" s="1337"/>
      <c r="C143" s="1333"/>
      <c r="D143" s="1424"/>
      <c r="E143" s="1001" t="s">
        <v>5086</v>
      </c>
      <c r="F143" s="1425">
        <f>'print 10 lane'!I143</f>
        <v>0</v>
      </c>
      <c r="G143" s="1425"/>
      <c r="H143" s="1425"/>
      <c r="I143" s="1425">
        <f>'print 10 lane'!L143</f>
        <v>0</v>
      </c>
      <c r="J143" s="1425"/>
      <c r="K143" s="1425"/>
      <c r="L143" s="1425">
        <f>'print 10 lane'!O143</f>
        <v>0</v>
      </c>
      <c r="M143" s="1425"/>
      <c r="N143" s="1425"/>
      <c r="O143" s="1425">
        <f>'print 10 lane'!R143</f>
        <v>0</v>
      </c>
      <c r="P143" s="1425"/>
      <c r="Q143" s="1425"/>
      <c r="R143" s="1425">
        <f>'print 10 lane'!U143</f>
        <v>0</v>
      </c>
      <c r="S143" s="1425"/>
      <c r="T143" s="1425"/>
      <c r="U143" s="1425">
        <f>'print 10 lane'!X143</f>
        <v>0</v>
      </c>
      <c r="V143" s="1425"/>
      <c r="W143" s="1425"/>
      <c r="X143" s="1425">
        <f>'print 10 lane'!AA143</f>
        <v>0</v>
      </c>
      <c r="Y143" s="1425"/>
      <c r="Z143" s="1425"/>
      <c r="AA143" s="1425">
        <f>'print 10 lane'!AD143</f>
        <v>0</v>
      </c>
      <c r="AB143" s="1425"/>
      <c r="AC143" s="1425"/>
      <c r="AD143" s="1426"/>
      <c r="AE143" s="1426"/>
      <c r="AF143" s="1426"/>
      <c r="AG143" s="1341"/>
      <c r="AH143" s="1341"/>
      <c r="AI143" s="1341"/>
      <c r="AJ143" s="883"/>
      <c r="BA143" s="837"/>
    </row>
    <row r="144" spans="2:53" ht="42" customHeight="1" x14ac:dyDescent="0.25">
      <c r="B144" s="1342">
        <v>50</v>
      </c>
      <c r="C144" s="1343" t="s">
        <v>5087</v>
      </c>
      <c r="D144" s="1427" t="s">
        <v>5093</v>
      </c>
      <c r="E144" s="998" t="s">
        <v>5089</v>
      </c>
      <c r="F144" s="987">
        <f>'print 10 lane'!I144</f>
        <v>1.3858796296296295E-3</v>
      </c>
      <c r="G144" s="879">
        <f>IF(F144=0,0,IF(F$6=0,0,IF(F144&lt;1,SUM((F144&gt;I144),(F144&gt;L144),(F144&gt;O144),(F144&gt;R144),(F144&gt;U144),(F144&gt;X144),(F144&gt;AA144),(F144&gt;AD144),(F144&gt;AG144),(F144&gt;BB144)))-$AJ144))</f>
        <v>7</v>
      </c>
      <c r="H144" s="879">
        <f>IF(F144=0,0,IF(F$6=0,0,IF(G144=0,0,((11-G144)))-$B$6))</f>
        <v>1</v>
      </c>
      <c r="I144" s="988">
        <f>'print 10 lane'!L144</f>
        <v>1.3265046296296295E-3</v>
      </c>
      <c r="J144" s="879">
        <f>IF(I144=0,0,IF(I$6=0,0,IF(I144&lt;1,SUM((I144&gt;L144),(I144&gt;O144),(I144&gt;R144),(I144&gt;U144),(I144&gt;X144),(I144&gt;AA144),(I144&gt;F144),(I144&gt;AD144),(I144&gt;AG144),(I144&gt;BB144)))-$AJ144))</f>
        <v>6</v>
      </c>
      <c r="K144" s="879">
        <f>IF(I144=0,0,IF(I$6=0,0,IF(J144=0,0,((11-J144)))-$B$6))</f>
        <v>2</v>
      </c>
      <c r="L144" s="988">
        <f>'print 10 lane'!O144</f>
        <v>1.3187499999999998E-3</v>
      </c>
      <c r="M144" s="879">
        <f>IF(L144=0,0,IF(L$6=0,0,IF(L144&lt;1,SUM((L144&gt;I144),(L144&gt;F144),(L144&gt;O144),(L144&gt;R144),(L144&gt;U144),(L144&gt;X144),(L144&gt;AA144),(L144&gt;AD144),(L144&gt;AG144),(L144&gt;BB144)))-$AJ144))</f>
        <v>5</v>
      </c>
      <c r="N144" s="879">
        <f>IF(L144=0,0,IF(L$6=0,0,IF(M144=0,0,((11-M144)))-$B$6))</f>
        <v>3</v>
      </c>
      <c r="O144" s="988">
        <f>'print 10 lane'!R144</f>
        <v>1.2317129629629629E-3</v>
      </c>
      <c r="P144" s="879">
        <f>IF(O144=0,0,IF(O$6=0,0,IF(O144&lt;1,SUM((O144&gt;I144),(O144&gt;L144),(O144&gt;F144),(O144&gt;R144),(O144&gt;U144),(O144&gt;X144),(O144&gt;AA144),(O144&gt;AD144),(O144&gt;AG144),(O144&gt;BB144)))-$AJ144))</f>
        <v>2</v>
      </c>
      <c r="Q144" s="879">
        <f>IF(O144=0,0,IF(O$6=0,0,IF(P144=0,0,((11-P144)))-$B$6))</f>
        <v>6</v>
      </c>
      <c r="R144" s="988">
        <f>'print 10 lane'!U144</f>
        <v>1.2390046296296296E-3</v>
      </c>
      <c r="S144" s="879">
        <f>IF(R144=0,0,IF(R$6=0,0,IF(R144&lt;1,SUM((R144&gt;I144),(R144&gt;L144),(R144&gt;O144),(R144&gt;F144),(R144&gt;U144),(R144&gt;X144),(R144&gt;AA144),(R144&gt;AD144),(R144&gt;AG144),(R144&gt;BB144)))-$AJ144))</f>
        <v>3</v>
      </c>
      <c r="T144" s="879">
        <f>IF(R144=0,0,IF(R$6=0,0,IF(S144=0,0,((11-S144)))-$B$6))</f>
        <v>5</v>
      </c>
      <c r="U144" s="988">
        <f>'print 10 lane'!X144</f>
        <v>1.2075231481481483E-3</v>
      </c>
      <c r="V144" s="879">
        <f>IF(U144=0,0,IF(U$6=0,0,IF(U144&lt;1,SUM((U144&gt;I144),(U144&gt;L144),(U144&gt;O144),(U144&gt;R144),(U144&gt;F144),(U144&gt;X144),(U144&gt;AA144),(U144&gt;AD144),(U144&gt;AG144),(U144&gt;BB144)))-$AJ144))</f>
        <v>1</v>
      </c>
      <c r="W144" s="879">
        <f>IF(U144=0,0,IF(U$6=0,0,IF(V144=0,0,((11-V144)))-$B$6))</f>
        <v>7</v>
      </c>
      <c r="X144" s="988">
        <f>'print 10 lane'!AA144</f>
        <v>1.2875E-3</v>
      </c>
      <c r="Y144" s="879">
        <f>IF(X144=0,0,IF(X$6=0,0,IF(X144&lt;1,SUM((X144&gt;I144),(X144&gt;L144),(X144&gt;O144),(X144&gt;R144),(X144&gt;U144),(X144&gt;F144),(X144&gt;AA144),(X144&gt;AD144),(X144&gt;AG144),(X144&gt;BB144))))-$AJ144)</f>
        <v>4</v>
      </c>
      <c r="Z144" s="879">
        <f>IF(X144=0,0,IF(X$6=0,0,IF(Y144=0,0,((11-Y144)))-$B$6))</f>
        <v>4</v>
      </c>
      <c r="AA144" s="988">
        <f>'print 10 lane'!AD144</f>
        <v>0</v>
      </c>
      <c r="AB144" s="879">
        <f>IF(AA144=0,0,IF(AA$6=0,0,IF(AA144&lt;1,SUM((AA144&gt;I144),(AA144&gt;L144),(AA144&gt;O144),(AA144&gt;R144),(AA144&gt;U144),(AA144&gt;X144),(AA144&gt;AD144),(AA144&gt;AG144),(AA144&gt;F144),(AA144&gt;BB144)))-$AJ144))</f>
        <v>0</v>
      </c>
      <c r="AC144" s="989">
        <f>IF(AA144=0,0,IF(AA$6=0,0,IF(AB144=0,0,((11-AB144)))-$B$6))</f>
        <v>0</v>
      </c>
      <c r="AD144" s="999"/>
      <c r="AE144" s="889"/>
      <c r="AF144" s="889"/>
      <c r="AG144" s="892"/>
      <c r="AH144" s="889"/>
      <c r="AI144" s="890"/>
      <c r="AJ144" s="883">
        <f>COUNTBLANK(F641:O641)</f>
        <v>3</v>
      </c>
      <c r="BA144" s="837"/>
    </row>
    <row r="145" spans="2:53" ht="42" customHeight="1" x14ac:dyDescent="0.25">
      <c r="B145" s="1342"/>
      <c r="C145" s="1343"/>
      <c r="D145" s="1427"/>
      <c r="E145" s="1002" t="s">
        <v>5086</v>
      </c>
      <c r="F145" s="1421">
        <f>'print 10 lane'!I145</f>
        <v>0</v>
      </c>
      <c r="G145" s="1421"/>
      <c r="H145" s="1421"/>
      <c r="I145" s="1421">
        <f>'print 10 lane'!L145</f>
        <v>0</v>
      </c>
      <c r="J145" s="1421"/>
      <c r="K145" s="1421"/>
      <c r="L145" s="1421">
        <f>'print 10 lane'!O145</f>
        <v>0</v>
      </c>
      <c r="M145" s="1421"/>
      <c r="N145" s="1421"/>
      <c r="O145" s="1421">
        <f>'print 10 lane'!R145</f>
        <v>0</v>
      </c>
      <c r="P145" s="1421"/>
      <c r="Q145" s="1421"/>
      <c r="R145" s="1421">
        <f>'print 10 lane'!U145</f>
        <v>0</v>
      </c>
      <c r="S145" s="1421"/>
      <c r="T145" s="1421"/>
      <c r="U145" s="1421">
        <f>'print 10 lane'!X145</f>
        <v>0</v>
      </c>
      <c r="V145" s="1421"/>
      <c r="W145" s="1421"/>
      <c r="X145" s="1421">
        <f>'print 10 lane'!AA145</f>
        <v>0</v>
      </c>
      <c r="Y145" s="1421"/>
      <c r="Z145" s="1421"/>
      <c r="AA145" s="1422">
        <f>'print 10 lane'!AD145</f>
        <v>0</v>
      </c>
      <c r="AB145" s="1422"/>
      <c r="AC145" s="1422"/>
      <c r="AD145" s="1428"/>
      <c r="AE145" s="1428"/>
      <c r="AF145" s="1428"/>
      <c r="AG145" s="1346"/>
      <c r="AH145" s="1346"/>
      <c r="AI145" s="1346"/>
      <c r="AJ145" s="908"/>
      <c r="BA145" s="837"/>
    </row>
    <row r="146" spans="2:53" ht="42" customHeight="1" x14ac:dyDescent="0.25">
      <c r="B146" s="1332">
        <v>51</v>
      </c>
      <c r="C146" s="1333" t="s">
        <v>5106</v>
      </c>
      <c r="D146" s="1333"/>
      <c r="E146" s="891" t="s">
        <v>5107</v>
      </c>
      <c r="F146" s="987">
        <f>'print 10 lane'!I146</f>
        <v>3.0379629629629628E-3</v>
      </c>
      <c r="G146" s="879">
        <f>IF(F146=0,0,IF(F$6=0,0,IF(F146&lt;1,SUM((F146&gt;I146),(F146&gt;L146),(F146&gt;O146),(F146&gt;R146),(F146&gt;U146),(F146&gt;X146),(F146&gt;AA146),(F146&gt;AD146),(F146&gt;AG146),(F146&gt;BB146)))-$AJ146))</f>
        <v>5</v>
      </c>
      <c r="H146" s="879">
        <f>IF(F146=0,0,IF(F$6=0,0,IF(G146=0,0,((11-G146)))-$B$6))</f>
        <v>3</v>
      </c>
      <c r="I146" s="988">
        <f>'print 10 lane'!L146</f>
        <v>2.8525462962962962E-3</v>
      </c>
      <c r="J146" s="879">
        <f>IF(I146=0,0,IF(I$6=0,0,IF(I146&lt;1,SUM((I146&gt;L146),(I146&gt;O146),(I146&gt;R146),(I146&gt;U146),(I146&gt;X146),(I146&gt;AA146),(I146&gt;F146),(I146&gt;AD146),(I146&gt;AG146),(I146&gt;BB146)))-$AJ146))</f>
        <v>2</v>
      </c>
      <c r="K146" s="879">
        <f>IF(I146=0,0,IF(I$6=0,0,IF(J146=0,0,((11-J146)))-$B$6))</f>
        <v>6</v>
      </c>
      <c r="L146" s="988">
        <f>'print 10 lane'!O146</f>
        <v>3.0815972222222221E-3</v>
      </c>
      <c r="M146" s="879">
        <f>IF(L146=0,0,IF(L$6=0,0,IF(L146&lt;1,SUM((L146&gt;I146),(L146&gt;F146),(L146&gt;O146),(L146&gt;R146),(L146&gt;U146),(L146&gt;X146),(L146&gt;AA146),(L146&gt;AD146),(L146&gt;AG146),(L146&gt;BB146)))-$AJ146))</f>
        <v>6</v>
      </c>
      <c r="N146" s="879">
        <f>IF(L146=0,0,IF(L$6=0,0,IF(M146=0,0,((11-M146)))-$B$6))</f>
        <v>2</v>
      </c>
      <c r="O146" s="988">
        <f>'print 10 lane'!R146</f>
        <v>2.8396990740740739E-3</v>
      </c>
      <c r="P146" s="879">
        <f>IF(O146=0,0,IF(O$6=0,0,IF(O146&lt;1,SUM((O146&gt;I146),(O146&gt;L146),(O146&gt;F146),(O146&gt;R146),(O146&gt;U146),(O146&gt;X146),(O146&gt;AA146),(O146&gt;AD146),(O146&gt;AG146),(O146&gt;BB146)))-$AJ146))</f>
        <v>1</v>
      </c>
      <c r="Q146" s="879">
        <f>IF(O146=0,0,IF(O$6=0,0,IF(P146=0,0,((11-P146)))-$B$6))</f>
        <v>7</v>
      </c>
      <c r="R146" s="988">
        <f>'print 10 lane'!U146</f>
        <v>2.9663194444444446E-3</v>
      </c>
      <c r="S146" s="879">
        <f>IF(R146=0,0,IF(R$6=0,0,IF(R146&lt;1,SUM((R146&gt;I146),(R146&gt;L146),(R146&gt;O146),(R146&gt;F146),(R146&gt;U146),(R146&gt;X146),(R146&gt;AA146),(R146&gt;AD146),(R146&gt;AG146),(R146&gt;BB146)))-$AJ146))</f>
        <v>3</v>
      </c>
      <c r="T146" s="879">
        <f>IF(R146=0,0,IF(R$6=0,0,IF(S146=0,0,((11-S146)))-$B$6))</f>
        <v>5</v>
      </c>
      <c r="U146" s="988">
        <f>'print 10 lane'!X146</f>
        <v>0</v>
      </c>
      <c r="V146" s="879">
        <f>IF(U146=0,0,IF(U$6=0,0,IF(U146&lt;1,SUM((U146&gt;I146),(U146&gt;L146),(U146&gt;O146),(U146&gt;R146),(U146&gt;F146),(U146&gt;X146),(U146&gt;AA146),(U146&gt;AD146),(U146&gt;AG146),(U146&gt;BB146)))-$AJ146))</f>
        <v>0</v>
      </c>
      <c r="W146" s="879">
        <f>IF(U146=0,0,IF(U$6=0,0,IF(V146=0,0,((11-V146)))-$B$6))</f>
        <v>0</v>
      </c>
      <c r="X146" s="988">
        <f>'print 10 lane'!AA146</f>
        <v>3.0082175925925923E-3</v>
      </c>
      <c r="Y146" s="879">
        <f>IF(X146=0,0,IF(X$6=0,0,IF(X146&lt;1,SUM((X146&gt;I146),(X146&gt;L146),(X146&gt;O146),(X146&gt;R146),(X146&gt;U146),(X146&gt;F146),(X146&gt;AA146),(X146&gt;AD146),(X146&gt;AG146),(X146&gt;BB146))))-$AJ146)</f>
        <v>4</v>
      </c>
      <c r="Z146" s="879">
        <f>IF(X146=0,0,IF(X$6=0,0,IF(Y146=0,0,((11-Y146)))-$B$6))</f>
        <v>4</v>
      </c>
      <c r="AA146" s="988">
        <f>'print 10 lane'!AD146</f>
        <v>0</v>
      </c>
      <c r="AB146" s="879">
        <f>IF(AA146=0,0,IF(AA$6=0,0,IF(AA146&lt;1,SUM((AA146&gt;I146),(AA146&gt;L146),(AA146&gt;O146),(AA146&gt;R146),(AA146&gt;U146),(AA146&gt;X146),(AA146&gt;AD146),(AA146&gt;AG146),(AA146&gt;F146),(AA146&gt;BB146)))-$AJ146))</f>
        <v>0</v>
      </c>
      <c r="AC146" s="989">
        <f>IF(AA146=0,0,IF(AA$6=0,0,IF(AB146=0,0,((11-AB146)))-$B$6))</f>
        <v>0</v>
      </c>
      <c r="AD146" s="905"/>
      <c r="AE146" s="905"/>
      <c r="AF146" s="905"/>
      <c r="AG146" s="906"/>
      <c r="AH146" s="905"/>
      <c r="AI146" s="907"/>
      <c r="AJ146" s="883">
        <f>COUNTBLANK(F642:O642)</f>
        <v>4</v>
      </c>
      <c r="BA146" s="837"/>
    </row>
    <row r="147" spans="2:53" ht="42" customHeight="1" x14ac:dyDescent="0.25">
      <c r="B147" s="1332"/>
      <c r="C147" s="1333"/>
      <c r="D147" s="1333"/>
      <c r="E147" s="899" t="s">
        <v>5108</v>
      </c>
      <c r="F147" s="1421">
        <f>'print 10 lane'!I147</f>
        <v>0</v>
      </c>
      <c r="G147" s="1421"/>
      <c r="H147" s="1421"/>
      <c r="I147" s="1421">
        <f>'print 10 lane'!L147</f>
        <v>0</v>
      </c>
      <c r="J147" s="1421"/>
      <c r="K147" s="1421"/>
      <c r="L147" s="1421">
        <f>'print 10 lane'!O147</f>
        <v>0</v>
      </c>
      <c r="M147" s="1421"/>
      <c r="N147" s="1421"/>
      <c r="O147" s="1421">
        <f>'print 10 lane'!R147</f>
        <v>0</v>
      </c>
      <c r="P147" s="1421"/>
      <c r="Q147" s="1421"/>
      <c r="R147" s="1421">
        <f>'print 10 lane'!U147</f>
        <v>0</v>
      </c>
      <c r="S147" s="1421"/>
      <c r="T147" s="1421"/>
      <c r="U147" s="1421" t="str">
        <f>'print 10 lane'!X147</f>
        <v>5.2 did not touch the wall at the turn</v>
      </c>
      <c r="V147" s="1421"/>
      <c r="W147" s="1421"/>
      <c r="X147" s="1421">
        <f>'print 10 lane'!AA147</f>
        <v>0</v>
      </c>
      <c r="Y147" s="1421"/>
      <c r="Z147" s="1421"/>
      <c r="AA147" s="1422">
        <f>'print 10 lane'!AD147</f>
        <v>0</v>
      </c>
      <c r="AB147" s="1422"/>
      <c r="AC147" s="1422"/>
      <c r="AD147" s="905"/>
      <c r="AE147" s="905"/>
      <c r="AF147" s="905"/>
      <c r="AG147" s="906"/>
      <c r="AH147" s="905"/>
      <c r="AI147" s="907"/>
      <c r="AJ147" s="908"/>
      <c r="BA147" s="837"/>
    </row>
    <row r="148" spans="2:53" ht="32.25" customHeight="1" x14ac:dyDescent="0.25">
      <c r="B148" s="1423" t="s">
        <v>5130</v>
      </c>
      <c r="C148" s="1423"/>
      <c r="D148" s="1423"/>
      <c r="E148" s="1423"/>
      <c r="F148" s="909" t="s">
        <v>4606</v>
      </c>
      <c r="G148" s="1336">
        <f>COUNTIF(G12:G146,1)</f>
        <v>6</v>
      </c>
      <c r="H148" s="1336"/>
      <c r="I148" s="909" t="s">
        <v>4606</v>
      </c>
      <c r="J148" s="1336">
        <f>COUNTIF(J12:J146,1)</f>
        <v>5</v>
      </c>
      <c r="K148" s="1336"/>
      <c r="L148" s="909" t="s">
        <v>4606</v>
      </c>
      <c r="M148" s="1336">
        <f>COUNTIF(M12:M146,1)</f>
        <v>2</v>
      </c>
      <c r="N148" s="1336"/>
      <c r="O148" s="909" t="s">
        <v>4606</v>
      </c>
      <c r="P148" s="1336">
        <f>COUNTIF(P12:P146,1)</f>
        <v>13</v>
      </c>
      <c r="Q148" s="1336"/>
      <c r="R148" s="909" t="s">
        <v>4606</v>
      </c>
      <c r="S148" s="1336">
        <f>COUNTIF(S12:S146,1)</f>
        <v>11</v>
      </c>
      <c r="T148" s="1336"/>
      <c r="U148" s="909" t="s">
        <v>4606</v>
      </c>
      <c r="V148" s="1336">
        <f>COUNTIF(V12:V146,1)</f>
        <v>9</v>
      </c>
      <c r="W148" s="1336"/>
      <c r="X148" s="909" t="s">
        <v>4606</v>
      </c>
      <c r="Y148" s="1336">
        <f>COUNTIF(Y12:Y146,1)</f>
        <v>5</v>
      </c>
      <c r="Z148" s="1336"/>
      <c r="AA148" s="909" t="s">
        <v>4606</v>
      </c>
      <c r="AB148" s="1336">
        <f>COUNTIF(AB12:AB146,1)</f>
        <v>0</v>
      </c>
      <c r="AC148" s="1336"/>
      <c r="AD148" s="910" t="s">
        <v>5131</v>
      </c>
      <c r="AE148" s="1326">
        <f>COUNTIF(AE12:AE144,1)</f>
        <v>0</v>
      </c>
      <c r="AF148" s="1326"/>
      <c r="AG148" s="911" t="s">
        <v>5131</v>
      </c>
      <c r="AH148" s="1327">
        <f>COUNTIF(AH12:AH144,1)</f>
        <v>0</v>
      </c>
      <c r="AI148" s="1327"/>
      <c r="BA148" s="837"/>
    </row>
    <row r="149" spans="2:53" ht="32.25" customHeight="1" x14ac:dyDescent="0.25">
      <c r="B149" s="1423"/>
      <c r="C149" s="1423"/>
      <c r="D149" s="1423"/>
      <c r="E149" s="1423"/>
      <c r="F149" s="912" t="s">
        <v>4607</v>
      </c>
      <c r="G149" s="1320">
        <f>COUNTIF(G12:G146,2)</f>
        <v>3</v>
      </c>
      <c r="H149" s="1320"/>
      <c r="I149" s="912" t="s">
        <v>4607</v>
      </c>
      <c r="J149" s="1320">
        <f>COUNTIF(J12:J146,2)</f>
        <v>2</v>
      </c>
      <c r="K149" s="1320"/>
      <c r="L149" s="912" t="s">
        <v>4607</v>
      </c>
      <c r="M149" s="1320">
        <f>COUNTIF(M12:M146,2)</f>
        <v>7</v>
      </c>
      <c r="N149" s="1320"/>
      <c r="O149" s="912" t="s">
        <v>4607</v>
      </c>
      <c r="P149" s="1320">
        <f>COUNTIF(P12:P146,2)</f>
        <v>10</v>
      </c>
      <c r="Q149" s="1320"/>
      <c r="R149" s="912" t="s">
        <v>4607</v>
      </c>
      <c r="S149" s="1320">
        <f>COUNTIF(S12:S146,2)</f>
        <v>15</v>
      </c>
      <c r="T149" s="1320"/>
      <c r="U149" s="912" t="s">
        <v>4607</v>
      </c>
      <c r="V149" s="1320">
        <f>COUNTIF(V12:V146,2)</f>
        <v>7</v>
      </c>
      <c r="W149" s="1320"/>
      <c r="X149" s="912" t="s">
        <v>4607</v>
      </c>
      <c r="Y149" s="1320">
        <f>COUNTIF(Y12:Y146,2)</f>
        <v>7</v>
      </c>
      <c r="Z149" s="1320"/>
      <c r="AA149" s="912" t="s">
        <v>4607</v>
      </c>
      <c r="AB149" s="1320">
        <f>COUNTIF(AB12:AB146,2)</f>
        <v>0</v>
      </c>
      <c r="AC149" s="1320"/>
      <c r="AD149" s="914" t="s">
        <v>5132</v>
      </c>
      <c r="AE149" s="1328">
        <f>COUNTIF(AE12:AE144,2)</f>
        <v>0</v>
      </c>
      <c r="AF149" s="1328"/>
      <c r="AG149" s="913" t="s">
        <v>5132</v>
      </c>
      <c r="AH149" s="1329">
        <f>COUNTIF(AH12:AH144,2)</f>
        <v>0</v>
      </c>
      <c r="AI149" s="1329"/>
      <c r="BA149" s="837"/>
    </row>
    <row r="150" spans="2:53" ht="32.25" customHeight="1" x14ac:dyDescent="0.25">
      <c r="B150" s="1423"/>
      <c r="C150" s="1423"/>
      <c r="D150" s="1423"/>
      <c r="E150" s="1423"/>
      <c r="F150" s="915" t="s">
        <v>4608</v>
      </c>
      <c r="G150" s="1320">
        <f>COUNTIF(G$12:G$146,3)</f>
        <v>4</v>
      </c>
      <c r="H150" s="1320"/>
      <c r="I150" s="915" t="s">
        <v>4608</v>
      </c>
      <c r="J150" s="1320">
        <f>COUNTIF(J$12:J$146,3)</f>
        <v>1</v>
      </c>
      <c r="K150" s="1320"/>
      <c r="L150" s="915" t="s">
        <v>4608</v>
      </c>
      <c r="M150" s="1320">
        <f>COUNTIF(M$12:M$146,3)</f>
        <v>8</v>
      </c>
      <c r="N150" s="1320"/>
      <c r="O150" s="915" t="s">
        <v>4608</v>
      </c>
      <c r="P150" s="1320">
        <f>COUNTIF(P$12:P$146,3)</f>
        <v>9</v>
      </c>
      <c r="Q150" s="1320"/>
      <c r="R150" s="915" t="s">
        <v>4608</v>
      </c>
      <c r="S150" s="1320">
        <f>COUNTIF(S$12:S$146,3)</f>
        <v>7</v>
      </c>
      <c r="T150" s="1320"/>
      <c r="U150" s="915" t="s">
        <v>4608</v>
      </c>
      <c r="V150" s="1320">
        <f>COUNTIF(V$12:V$146,3)</f>
        <v>11</v>
      </c>
      <c r="W150" s="1320"/>
      <c r="X150" s="915" t="s">
        <v>4608</v>
      </c>
      <c r="Y150" s="1320">
        <f>COUNTIF(Y$12:Y$146,3)</f>
        <v>11</v>
      </c>
      <c r="Z150" s="1320"/>
      <c r="AA150" s="915" t="s">
        <v>4608</v>
      </c>
      <c r="AB150" s="1320">
        <f>COUNTIF(AB$12:AB$146,3)</f>
        <v>0</v>
      </c>
      <c r="AC150" s="1320"/>
      <c r="AD150" s="1003" t="s">
        <v>5133</v>
      </c>
      <c r="AE150" s="1419">
        <f>COUNTIF(AE12:AE144,3)</f>
        <v>0</v>
      </c>
      <c r="AF150" s="1419"/>
      <c r="AG150" s="1004" t="s">
        <v>5133</v>
      </c>
      <c r="AH150" s="1420">
        <f>COUNTIF(AH12:AH144,3)</f>
        <v>0</v>
      </c>
      <c r="AI150" s="1420"/>
      <c r="BA150" s="837"/>
    </row>
    <row r="151" spans="2:53" ht="32.25" customHeight="1" x14ac:dyDescent="0.25">
      <c r="B151" s="1423"/>
      <c r="C151" s="1423"/>
      <c r="D151" s="1423"/>
      <c r="E151" s="1423"/>
      <c r="F151" s="918" t="s">
        <v>4609</v>
      </c>
      <c r="G151" s="1320">
        <f>COUNTIF(G$12:G$146,4)</f>
        <v>7</v>
      </c>
      <c r="H151" s="1320"/>
      <c r="I151" s="918" t="s">
        <v>4609</v>
      </c>
      <c r="J151" s="1320">
        <f>COUNTIF(J$12:J$146,4)</f>
        <v>10</v>
      </c>
      <c r="K151" s="1320"/>
      <c r="L151" s="918" t="s">
        <v>4609</v>
      </c>
      <c r="M151" s="1320">
        <f>COUNTIF(M$12:M$146,4)</f>
        <v>5</v>
      </c>
      <c r="N151" s="1320"/>
      <c r="O151" s="918" t="s">
        <v>4609</v>
      </c>
      <c r="P151" s="1320">
        <f>COUNTIF(P$12:P$146,4)</f>
        <v>5</v>
      </c>
      <c r="Q151" s="1320"/>
      <c r="R151" s="918" t="s">
        <v>4609</v>
      </c>
      <c r="S151" s="1320">
        <f>COUNTIF(S$12:S$146,4)</f>
        <v>7</v>
      </c>
      <c r="T151" s="1320"/>
      <c r="U151" s="918" t="s">
        <v>4609</v>
      </c>
      <c r="V151" s="1320">
        <f>COUNTIF(V$12:V$146,4)</f>
        <v>5</v>
      </c>
      <c r="W151" s="1320"/>
      <c r="X151" s="918" t="s">
        <v>4609</v>
      </c>
      <c r="Y151" s="1320">
        <f>COUNTIF(Y$12:Y$146,4)</f>
        <v>11</v>
      </c>
      <c r="Z151" s="1320"/>
      <c r="AA151" s="918" t="s">
        <v>4609</v>
      </c>
      <c r="AB151" s="1320">
        <f>COUNTIF(AB$12:AB$146,4)</f>
        <v>0</v>
      </c>
      <c r="AC151" s="1320"/>
      <c r="AD151" s="919"/>
      <c r="AE151" s="919"/>
      <c r="AF151" s="919"/>
      <c r="AG151" s="919"/>
      <c r="AH151" s="919"/>
      <c r="AI151" s="919"/>
      <c r="BA151" s="837"/>
    </row>
    <row r="152" spans="2:53" ht="32.25" customHeight="1" x14ac:dyDescent="0.25">
      <c r="B152" s="1423"/>
      <c r="C152" s="1423"/>
      <c r="D152" s="1423"/>
      <c r="E152" s="1423"/>
      <c r="F152" s="918" t="s">
        <v>4610</v>
      </c>
      <c r="G152" s="1320">
        <f>COUNTIF(G$12:G$146,5)</f>
        <v>7</v>
      </c>
      <c r="H152" s="1320"/>
      <c r="I152" s="918" t="s">
        <v>4610</v>
      </c>
      <c r="J152" s="1320">
        <f>COUNTIF(J$12:J$146,5)</f>
        <v>10</v>
      </c>
      <c r="K152" s="1320"/>
      <c r="L152" s="918" t="s">
        <v>4610</v>
      </c>
      <c r="M152" s="1320">
        <f>COUNTIF(M$12:M$146,5)</f>
        <v>13</v>
      </c>
      <c r="N152" s="1320"/>
      <c r="O152" s="918" t="s">
        <v>4610</v>
      </c>
      <c r="P152" s="1320">
        <f>COUNTIF(P$12:P$146,5)</f>
        <v>4</v>
      </c>
      <c r="Q152" s="1320"/>
      <c r="R152" s="918" t="s">
        <v>4610</v>
      </c>
      <c r="S152" s="1320">
        <f>COUNTIF(S$12:S$146,5)</f>
        <v>4</v>
      </c>
      <c r="T152" s="1320"/>
      <c r="U152" s="918" t="s">
        <v>4610</v>
      </c>
      <c r="V152" s="1320">
        <f>COUNTIF(V$12:V$146,5)</f>
        <v>6</v>
      </c>
      <c r="W152" s="1320"/>
      <c r="X152" s="918" t="s">
        <v>4610</v>
      </c>
      <c r="Y152" s="1320">
        <f>COUNTIF(Y$12:Y$146,5)</f>
        <v>6</v>
      </c>
      <c r="Z152" s="1320"/>
      <c r="AA152" s="918" t="s">
        <v>4610</v>
      </c>
      <c r="AB152" s="1320">
        <f>COUNTIF(AB$12:AB$146,5)</f>
        <v>0</v>
      </c>
      <c r="AC152" s="1320"/>
      <c r="AD152" s="919"/>
      <c r="AE152" s="919"/>
      <c r="AF152" s="919"/>
      <c r="AG152" s="919"/>
      <c r="AH152" s="919"/>
      <c r="AI152" s="919"/>
      <c r="BA152" s="837"/>
    </row>
    <row r="153" spans="2:53" ht="32.25" customHeight="1" x14ac:dyDescent="0.25">
      <c r="B153" s="1423"/>
      <c r="C153" s="1423"/>
      <c r="D153" s="1423"/>
      <c r="E153" s="1423"/>
      <c r="F153" s="918" t="s">
        <v>4611</v>
      </c>
      <c r="G153" s="1320">
        <f>COUNTIF(G$12:G$146,6)</f>
        <v>7</v>
      </c>
      <c r="H153" s="1320"/>
      <c r="I153" s="918" t="s">
        <v>4611</v>
      </c>
      <c r="J153" s="1320">
        <f>COUNTIF(J$12:J$146,6)</f>
        <v>14</v>
      </c>
      <c r="K153" s="1320"/>
      <c r="L153" s="918" t="s">
        <v>4611</v>
      </c>
      <c r="M153" s="1320">
        <f>COUNTIF(M$12:M$146,6)</f>
        <v>8</v>
      </c>
      <c r="N153" s="1320"/>
      <c r="O153" s="918" t="s">
        <v>4611</v>
      </c>
      <c r="P153" s="1320">
        <f>COUNTIF(P$12:P$146,6)</f>
        <v>5</v>
      </c>
      <c r="Q153" s="1320"/>
      <c r="R153" s="918" t="s">
        <v>4611</v>
      </c>
      <c r="S153" s="1320">
        <f>COUNTIF(S$12:S$146,6)</f>
        <v>3</v>
      </c>
      <c r="T153" s="1320"/>
      <c r="U153" s="918" t="s">
        <v>4611</v>
      </c>
      <c r="V153" s="1320">
        <f>COUNTIF(V$12:V$146,6)</f>
        <v>5</v>
      </c>
      <c r="W153" s="1320"/>
      <c r="X153" s="918" t="s">
        <v>4611</v>
      </c>
      <c r="Y153" s="1320">
        <f>COUNTIF(Y$12:Y$146,6)</f>
        <v>6</v>
      </c>
      <c r="Z153" s="1320"/>
      <c r="AA153" s="918" t="s">
        <v>4611</v>
      </c>
      <c r="AB153" s="1320">
        <f>COUNTIF(AB$12:AB$146,6)</f>
        <v>0</v>
      </c>
      <c r="AC153" s="1320"/>
      <c r="AD153" s="919"/>
      <c r="AE153" s="919"/>
      <c r="AF153" s="919"/>
      <c r="AG153" s="919"/>
      <c r="AH153" s="919"/>
      <c r="AI153" s="919"/>
      <c r="BA153" s="837"/>
    </row>
    <row r="154" spans="2:53" ht="32.25" customHeight="1" x14ac:dyDescent="0.25">
      <c r="B154" s="1423"/>
      <c r="C154" s="1423"/>
      <c r="D154" s="1423"/>
      <c r="E154" s="1423"/>
      <c r="F154" s="918" t="s">
        <v>4612</v>
      </c>
      <c r="G154" s="1320">
        <f>COUNTIF(G$12:G$146,7)</f>
        <v>9</v>
      </c>
      <c r="H154" s="1320"/>
      <c r="I154" s="918" t="s">
        <v>4612</v>
      </c>
      <c r="J154" s="1320">
        <f>COUNTIF(J$12:J$146,7)</f>
        <v>8</v>
      </c>
      <c r="K154" s="1320"/>
      <c r="L154" s="918" t="s">
        <v>4612</v>
      </c>
      <c r="M154" s="1320">
        <f>COUNTIF(M$12:M$146,7)</f>
        <v>0</v>
      </c>
      <c r="N154" s="1320"/>
      <c r="O154" s="918" t="s">
        <v>4612</v>
      </c>
      <c r="P154" s="1320">
        <f>COUNTIF(P$12:P$146,7)</f>
        <v>3</v>
      </c>
      <c r="Q154" s="1320"/>
      <c r="R154" s="918" t="s">
        <v>4612</v>
      </c>
      <c r="S154" s="1320">
        <f>COUNTIF(S$12:S$146,7)</f>
        <v>4</v>
      </c>
      <c r="T154" s="1320"/>
      <c r="U154" s="918" t="s">
        <v>4612</v>
      </c>
      <c r="V154" s="1320">
        <f>COUNTIF(V$12:V$146,7)</f>
        <v>4</v>
      </c>
      <c r="W154" s="1320"/>
      <c r="X154" s="918" t="s">
        <v>4612</v>
      </c>
      <c r="Y154" s="1320">
        <f>COUNTIF(Y$12:Y$146,7)</f>
        <v>2</v>
      </c>
      <c r="Z154" s="1320"/>
      <c r="AA154" s="918" t="s">
        <v>4612</v>
      </c>
      <c r="AB154" s="1320">
        <f>COUNTIF(AB$12:AB$146,7)</f>
        <v>0</v>
      </c>
      <c r="AC154" s="1320"/>
      <c r="AD154" s="919"/>
      <c r="AE154" s="919"/>
      <c r="AF154" s="919"/>
      <c r="AG154" s="919"/>
      <c r="AH154" s="919"/>
      <c r="AI154" s="919"/>
      <c r="BA154" s="837"/>
    </row>
    <row r="155" spans="2:53" ht="32.25" customHeight="1" x14ac:dyDescent="0.25">
      <c r="B155" s="1423"/>
      <c r="C155" s="1423"/>
      <c r="D155" s="1423"/>
      <c r="E155" s="1423"/>
      <c r="F155" s="1005" t="s">
        <v>4613</v>
      </c>
      <c r="G155" s="1320">
        <f>COUNTIF(G$12:G$146,8)</f>
        <v>0</v>
      </c>
      <c r="H155" s="1320"/>
      <c r="I155" s="1005" t="s">
        <v>4613</v>
      </c>
      <c r="J155" s="1320">
        <f>COUNTIF(J$12:J$146,8)</f>
        <v>0</v>
      </c>
      <c r="K155" s="1320"/>
      <c r="L155" s="1005" t="s">
        <v>4613</v>
      </c>
      <c r="M155" s="1320">
        <f>COUNTIF(M$12:M$146,8)</f>
        <v>0</v>
      </c>
      <c r="N155" s="1320"/>
      <c r="O155" s="1005" t="s">
        <v>4613</v>
      </c>
      <c r="P155" s="1320">
        <f>COUNTIF(P$12:P$146,8)</f>
        <v>0</v>
      </c>
      <c r="Q155" s="1320"/>
      <c r="R155" s="1005" t="s">
        <v>4613</v>
      </c>
      <c r="S155" s="1320">
        <f>COUNTIF(S$12:S$146,8)</f>
        <v>0</v>
      </c>
      <c r="T155" s="1320"/>
      <c r="U155" s="1005" t="s">
        <v>4613</v>
      </c>
      <c r="V155" s="1320">
        <f>COUNTIF(V$12:V$146,8)</f>
        <v>0</v>
      </c>
      <c r="W155" s="1320"/>
      <c r="X155" s="1005" t="s">
        <v>4613</v>
      </c>
      <c r="Y155" s="1320">
        <f>COUNTIF(Y$12:Y$146,8)</f>
        <v>0</v>
      </c>
      <c r="Z155" s="1320"/>
      <c r="AA155" s="1005" t="s">
        <v>4613</v>
      </c>
      <c r="AB155" s="1320">
        <f>COUNTIF(AB$12:AB$146,8)</f>
        <v>0</v>
      </c>
      <c r="AC155" s="1320"/>
      <c r="AD155" s="919"/>
      <c r="AE155" s="919"/>
      <c r="AF155" s="919"/>
      <c r="AG155" s="919"/>
      <c r="AH155" s="919"/>
      <c r="AI155" s="919"/>
      <c r="BA155" s="837"/>
    </row>
    <row r="156" spans="2:53" ht="3" customHeight="1" x14ac:dyDescent="0.25">
      <c r="B156" s="920"/>
      <c r="C156" s="920"/>
      <c r="D156" s="920"/>
      <c r="E156" s="920"/>
      <c r="F156" s="923"/>
      <c r="G156" s="919"/>
      <c r="H156" s="919"/>
      <c r="I156" s="923"/>
      <c r="J156" s="919"/>
      <c r="K156" s="919"/>
      <c r="L156" s="923"/>
      <c r="M156" s="919"/>
      <c r="N156" s="919"/>
      <c r="O156" s="923"/>
      <c r="P156" s="919"/>
      <c r="Q156" s="919"/>
      <c r="R156" s="923"/>
      <c r="S156" s="919"/>
      <c r="T156" s="919"/>
      <c r="U156" s="923"/>
      <c r="V156" s="919"/>
      <c r="W156" s="919"/>
      <c r="X156" s="923"/>
      <c r="Y156" s="919"/>
      <c r="Z156" s="919"/>
      <c r="AA156" s="923"/>
      <c r="AB156" s="919"/>
      <c r="AC156" s="919"/>
      <c r="AD156" s="919"/>
      <c r="AE156" s="919"/>
      <c r="AF156" s="919"/>
      <c r="AG156" s="919"/>
      <c r="AH156" s="919"/>
      <c r="AI156" s="919"/>
      <c r="BA156" s="837"/>
    </row>
    <row r="157" spans="2:53" ht="42.75" hidden="1" customHeight="1" x14ac:dyDescent="0.25">
      <c r="B157" s="1321"/>
      <c r="C157" s="1321"/>
      <c r="D157" s="1321"/>
      <c r="E157" s="833"/>
      <c r="F157" s="924"/>
      <c r="G157" s="927"/>
      <c r="H157" s="927"/>
      <c r="I157" s="928"/>
      <c r="J157" s="927"/>
      <c r="K157" s="927"/>
      <c r="L157" s="928"/>
      <c r="M157" s="927"/>
      <c r="N157" s="927"/>
      <c r="O157" s="928"/>
      <c r="P157" s="927"/>
      <c r="Q157" s="927"/>
      <c r="R157" s="928"/>
      <c r="S157" s="927"/>
      <c r="T157" s="927"/>
      <c r="U157" s="928"/>
      <c r="V157" s="927"/>
      <c r="W157" s="927"/>
      <c r="X157" s="928"/>
      <c r="Y157" s="927"/>
      <c r="Z157" s="927"/>
      <c r="AA157" s="928"/>
      <c r="AB157" s="927"/>
      <c r="AC157" s="927"/>
      <c r="AD157" s="927"/>
      <c r="AE157" s="927"/>
      <c r="AF157" s="927"/>
      <c r="AG157" s="927"/>
      <c r="AH157" s="927"/>
      <c r="AI157" s="927"/>
      <c r="BA157" s="837"/>
    </row>
    <row r="158" spans="2:53" ht="42.75" hidden="1" customHeight="1" x14ac:dyDescent="0.25">
      <c r="B158" s="1321"/>
      <c r="C158" s="1321"/>
      <c r="D158" s="1321"/>
      <c r="E158" s="833"/>
      <c r="F158" s="928"/>
      <c r="G158" s="927"/>
      <c r="H158" s="927"/>
      <c r="I158" s="928"/>
      <c r="J158" s="927"/>
      <c r="K158" s="927"/>
      <c r="L158" s="928"/>
      <c r="M158" s="927"/>
      <c r="N158" s="927"/>
      <c r="O158" s="928"/>
      <c r="P158" s="927"/>
      <c r="Q158" s="927"/>
      <c r="R158" s="928"/>
      <c r="S158" s="927"/>
      <c r="T158" s="927"/>
      <c r="U158" s="928"/>
      <c r="V158" s="927"/>
      <c r="W158" s="927"/>
      <c r="X158" s="928"/>
      <c r="Y158" s="927"/>
      <c r="Z158" s="927"/>
      <c r="AA158" s="928"/>
      <c r="AB158" s="927"/>
      <c r="AC158" s="927"/>
      <c r="AD158" s="927"/>
      <c r="AE158" s="927"/>
      <c r="AF158" s="927"/>
      <c r="AG158" s="927"/>
      <c r="AH158" s="927"/>
      <c r="AI158" s="927"/>
      <c r="BA158" s="837"/>
    </row>
    <row r="159" spans="2:53" ht="42.75" hidden="1" customHeight="1" x14ac:dyDescent="0.25">
      <c r="BA159" s="837"/>
    </row>
    <row r="160" spans="2:53" ht="42.75" hidden="1" customHeight="1" x14ac:dyDescent="0.25">
      <c r="BA160" s="837"/>
    </row>
    <row r="161" spans="2:53" ht="42.75" hidden="1" customHeight="1" x14ac:dyDescent="0.25">
      <c r="B161" s="1322"/>
      <c r="C161" s="1322"/>
      <c r="D161" s="1322"/>
      <c r="E161" s="1322"/>
      <c r="F161" s="930"/>
      <c r="G161" s="931"/>
      <c r="H161" s="931"/>
      <c r="I161" s="930"/>
      <c r="J161" s="931"/>
      <c r="K161" s="931"/>
      <c r="L161" s="930"/>
      <c r="M161" s="931"/>
      <c r="N161" s="931"/>
      <c r="O161" s="930"/>
      <c r="P161" s="931"/>
      <c r="Q161" s="931"/>
      <c r="R161" s="930"/>
      <c r="S161" s="931"/>
      <c r="T161" s="931"/>
      <c r="U161" s="930"/>
      <c r="V161" s="931"/>
      <c r="W161" s="931"/>
      <c r="X161" s="930"/>
      <c r="Y161" s="931"/>
      <c r="Z161" s="931"/>
      <c r="AA161" s="930"/>
      <c r="AB161" s="931"/>
      <c r="AC161" s="931"/>
      <c r="AD161" s="927"/>
      <c r="AE161" s="927"/>
      <c r="AF161" s="927"/>
      <c r="AG161" s="927"/>
      <c r="AH161" s="927"/>
      <c r="AI161" s="927"/>
      <c r="BA161" s="837"/>
    </row>
    <row r="162" spans="2:53" ht="42.75" hidden="1" customHeight="1" x14ac:dyDescent="0.25">
      <c r="B162" s="932"/>
      <c r="C162" s="932"/>
      <c r="D162" s="932"/>
      <c r="E162" s="932"/>
      <c r="F162" s="1323"/>
      <c r="G162" s="1323"/>
      <c r="H162" s="1323"/>
      <c r="I162" s="1323"/>
      <c r="J162" s="1323"/>
      <c r="K162" s="1323"/>
      <c r="L162" s="1323"/>
      <c r="M162" s="1323"/>
      <c r="N162" s="1323"/>
      <c r="O162" s="1323"/>
      <c r="P162" s="1323"/>
      <c r="Q162" s="1323"/>
      <c r="R162" s="1323"/>
      <c r="S162" s="1323"/>
      <c r="T162" s="1323"/>
      <c r="U162" s="1323"/>
      <c r="V162" s="1323"/>
      <c r="W162" s="1323"/>
      <c r="X162" s="1323"/>
      <c r="Y162" s="1323"/>
      <c r="Z162" s="1323"/>
      <c r="AA162" s="1323"/>
      <c r="AB162" s="1323"/>
      <c r="AC162" s="1323"/>
      <c r="AD162" s="935"/>
      <c r="AE162" s="935"/>
      <c r="AF162" s="935"/>
      <c r="AG162" s="935"/>
      <c r="AH162" s="935"/>
      <c r="AI162" s="935"/>
      <c r="BA162" s="837"/>
    </row>
    <row r="163" spans="2:53" ht="13.5" customHeight="1" x14ac:dyDescent="0.25">
      <c r="B163" s="1324"/>
      <c r="C163" s="1324"/>
      <c r="D163" s="1324"/>
      <c r="E163" s="1324"/>
      <c r="F163" s="1325" t="str">
        <f>F6</f>
        <v>HARINGEY AQUATICS</v>
      </c>
      <c r="G163" s="1325"/>
      <c r="H163" s="1325"/>
      <c r="I163" s="1325" t="str">
        <f>I6</f>
        <v>STEVENAGE</v>
      </c>
      <c r="J163" s="1325"/>
      <c r="K163" s="1325"/>
      <c r="L163" s="1325" t="str">
        <f>L6</f>
        <v>BORO OF BROXBOURNE</v>
      </c>
      <c r="M163" s="1325"/>
      <c r="N163" s="1325"/>
      <c r="O163" s="1325" t="str">
        <f>O6</f>
        <v>AYLESBURY</v>
      </c>
      <c r="P163" s="1325"/>
      <c r="Q163" s="1325"/>
      <c r="R163" s="1325" t="str">
        <f>R6</f>
        <v>BRAINTREE &amp; BOCKING</v>
      </c>
      <c r="S163" s="1325"/>
      <c r="T163" s="1325"/>
      <c r="U163" s="1325" t="str">
        <f>U6</f>
        <v>Bo of Harrow</v>
      </c>
      <c r="V163" s="1325"/>
      <c r="W163" s="1325"/>
      <c r="X163" s="1325" t="str">
        <f>X6</f>
        <v>Hillingdon 'B'</v>
      </c>
      <c r="Y163" s="1325"/>
      <c r="Z163" s="1325"/>
      <c r="AA163" s="1325">
        <f>AA6</f>
        <v>0</v>
      </c>
      <c r="AB163" s="1325"/>
      <c r="AC163" s="1325"/>
      <c r="AD163" s="1319">
        <f>AD6</f>
        <v>0</v>
      </c>
      <c r="AE163" s="1319"/>
      <c r="AF163" s="1319"/>
      <c r="AG163" s="1319">
        <f>AG6</f>
        <v>0</v>
      </c>
      <c r="AH163" s="1319"/>
      <c r="AI163" s="1319"/>
      <c r="BA163" s="837"/>
    </row>
    <row r="164" spans="2:53" ht="9.75" customHeight="1" x14ac:dyDescent="0.25">
      <c r="B164" s="1324"/>
      <c r="C164" s="1324"/>
      <c r="D164" s="1324"/>
      <c r="E164" s="1324"/>
      <c r="F164" s="1325"/>
      <c r="G164" s="1325"/>
      <c r="H164" s="1325"/>
      <c r="I164" s="1325"/>
      <c r="J164" s="1325"/>
      <c r="K164" s="1325"/>
      <c r="L164" s="1325"/>
      <c r="M164" s="1325"/>
      <c r="N164" s="1325"/>
      <c r="O164" s="1325"/>
      <c r="P164" s="1325"/>
      <c r="Q164" s="1325"/>
      <c r="R164" s="1325"/>
      <c r="S164" s="1325"/>
      <c r="T164" s="1325"/>
      <c r="U164" s="1325"/>
      <c r="V164" s="1325"/>
      <c r="W164" s="1325"/>
      <c r="X164" s="1325"/>
      <c r="Y164" s="1325"/>
      <c r="Z164" s="1325"/>
      <c r="AA164" s="1325"/>
      <c r="AB164" s="1325"/>
      <c r="AC164" s="1325"/>
      <c r="AD164" s="1319"/>
      <c r="AE164" s="1319"/>
      <c r="AF164" s="1319"/>
      <c r="AG164" s="1319"/>
      <c r="AH164" s="1319"/>
      <c r="AI164" s="1319"/>
      <c r="BA164" s="837"/>
    </row>
    <row r="165" spans="2:53" ht="13.5" customHeight="1" x14ac:dyDescent="0.25">
      <c r="B165" s="1006"/>
      <c r="C165" s="1412" t="s">
        <v>5110</v>
      </c>
      <c r="D165" s="1412"/>
      <c r="E165" s="1412"/>
      <c r="F165" s="1413">
        <f>SUM(H12:H32)</f>
        <v>26</v>
      </c>
      <c r="G165" s="1413"/>
      <c r="H165" s="1413"/>
      <c r="I165" s="1311">
        <f>SUM(K12:K32)</f>
        <v>30</v>
      </c>
      <c r="J165" s="1311"/>
      <c r="K165" s="1311"/>
      <c r="L165" s="1311">
        <f>SUM(N12:N32)</f>
        <v>29</v>
      </c>
      <c r="M165" s="1311"/>
      <c r="N165" s="1311"/>
      <c r="O165" s="1311">
        <f>SUM(Q12:Q32)</f>
        <v>45</v>
      </c>
      <c r="P165" s="1311"/>
      <c r="Q165" s="1311"/>
      <c r="R165" s="1311">
        <f>SUM(T12:T32)</f>
        <v>45</v>
      </c>
      <c r="S165" s="1311"/>
      <c r="T165" s="1311"/>
      <c r="U165" s="1311">
        <f>SUM(W12:W32)</f>
        <v>51</v>
      </c>
      <c r="V165" s="1311"/>
      <c r="W165" s="1311"/>
      <c r="X165" s="1311">
        <f>SUM(Z12:Z32)</f>
        <v>44</v>
      </c>
      <c r="Y165" s="1311"/>
      <c r="Z165" s="1311"/>
      <c r="AA165" s="1311">
        <f>SUM(AC12:AC32)</f>
        <v>0</v>
      </c>
      <c r="AB165" s="1311"/>
      <c r="AC165" s="1311"/>
      <c r="AD165" s="1312">
        <f>SUM(AF12:AF32)</f>
        <v>0</v>
      </c>
      <c r="AE165" s="1312"/>
      <c r="AF165" s="1312"/>
      <c r="AG165" s="1312">
        <f>SUM(AI12:AI32)</f>
        <v>0</v>
      </c>
      <c r="AH165" s="1312"/>
      <c r="AI165" s="1312"/>
      <c r="BA165" s="837"/>
    </row>
    <row r="166" spans="2:53" ht="12.75" customHeight="1" x14ac:dyDescent="0.25">
      <c r="B166" s="1007"/>
      <c r="C166" s="1412"/>
      <c r="D166" s="1412"/>
      <c r="E166" s="1412"/>
      <c r="F166" s="1413"/>
      <c r="G166" s="1413"/>
      <c r="H166" s="1413"/>
      <c r="I166" s="1311"/>
      <c r="J166" s="1311"/>
      <c r="K166" s="1311"/>
      <c r="L166" s="1311"/>
      <c r="M166" s="1311"/>
      <c r="N166" s="1311"/>
      <c r="O166" s="1311"/>
      <c r="P166" s="1311"/>
      <c r="Q166" s="1311"/>
      <c r="R166" s="1311"/>
      <c r="S166" s="1311"/>
      <c r="T166" s="1311"/>
      <c r="U166" s="1311"/>
      <c r="V166" s="1311"/>
      <c r="W166" s="1311"/>
      <c r="X166" s="1311"/>
      <c r="Y166" s="1311"/>
      <c r="Z166" s="1311"/>
      <c r="AA166" s="1311"/>
      <c r="AB166" s="1311"/>
      <c r="AC166" s="1311"/>
      <c r="AD166" s="1312"/>
      <c r="AE166" s="1312"/>
      <c r="AF166" s="1312"/>
      <c r="AG166" s="1312"/>
      <c r="AH166" s="1312"/>
      <c r="AI166" s="1312"/>
      <c r="BA166" s="837"/>
    </row>
    <row r="167" spans="2:53" ht="0.75" hidden="1" customHeight="1" x14ac:dyDescent="0.25">
      <c r="B167" s="1416" t="s">
        <v>5111</v>
      </c>
      <c r="C167" s="1416"/>
      <c r="D167" s="1416"/>
      <c r="E167" s="1416"/>
      <c r="F167" s="1417" t="str">
        <f>F6</f>
        <v>HARINGEY AQUATICS</v>
      </c>
      <c r="G167" s="1417"/>
      <c r="H167" s="1417"/>
      <c r="I167" s="1317" t="str">
        <f>I6</f>
        <v>STEVENAGE</v>
      </c>
      <c r="J167" s="1317"/>
      <c r="K167" s="1317"/>
      <c r="L167" s="1317" t="str">
        <f>L6</f>
        <v>BORO OF BROXBOURNE</v>
      </c>
      <c r="M167" s="1317"/>
      <c r="N167" s="1317"/>
      <c r="O167" s="1317" t="str">
        <f>O6</f>
        <v>AYLESBURY</v>
      </c>
      <c r="P167" s="1317"/>
      <c r="Q167" s="1317"/>
      <c r="R167" s="1317" t="str">
        <f>R6</f>
        <v>BRAINTREE &amp; BOCKING</v>
      </c>
      <c r="S167" s="1317"/>
      <c r="T167" s="1317"/>
      <c r="U167" s="1317" t="str">
        <f>U6</f>
        <v>Bo of Harrow</v>
      </c>
      <c r="V167" s="1317"/>
      <c r="W167" s="1317"/>
      <c r="X167" s="1317" t="str">
        <f>X6</f>
        <v>Hillingdon 'B'</v>
      </c>
      <c r="Y167" s="1317"/>
      <c r="Z167" s="1317"/>
      <c r="AA167" s="1317">
        <f>AA6</f>
        <v>0</v>
      </c>
      <c r="AB167" s="1317"/>
      <c r="AC167" s="1317"/>
      <c r="AD167" s="1319">
        <f>AD6</f>
        <v>0</v>
      </c>
      <c r="AE167" s="1319"/>
      <c r="AF167" s="1319"/>
      <c r="AG167" s="1319">
        <f>AG6</f>
        <v>0</v>
      </c>
      <c r="AH167" s="1319"/>
      <c r="AI167" s="1319"/>
      <c r="BA167" s="837"/>
    </row>
    <row r="168" spans="2:53" ht="13.5" hidden="1" customHeight="1" x14ac:dyDescent="0.25">
      <c r="B168" s="1416"/>
      <c r="C168" s="1416"/>
      <c r="D168" s="1416"/>
      <c r="E168" s="1416"/>
      <c r="F168" s="1417"/>
      <c r="G168" s="1417"/>
      <c r="H168" s="1417"/>
      <c r="I168" s="1317"/>
      <c r="J168" s="1317"/>
      <c r="K168" s="1317"/>
      <c r="L168" s="1317"/>
      <c r="M168" s="1317"/>
      <c r="N168" s="1317"/>
      <c r="O168" s="1317"/>
      <c r="P168" s="1317"/>
      <c r="Q168" s="1317"/>
      <c r="R168" s="1317"/>
      <c r="S168" s="1317"/>
      <c r="T168" s="1317"/>
      <c r="U168" s="1317"/>
      <c r="V168" s="1317"/>
      <c r="W168" s="1317"/>
      <c r="X168" s="1317"/>
      <c r="Y168" s="1317"/>
      <c r="Z168" s="1317"/>
      <c r="AA168" s="1317"/>
      <c r="AB168" s="1317"/>
      <c r="AC168" s="1317"/>
      <c r="AD168" s="1319"/>
      <c r="AE168" s="1319"/>
      <c r="AF168" s="1319"/>
      <c r="AG168" s="1319"/>
      <c r="AH168" s="1319"/>
      <c r="AI168" s="1319"/>
      <c r="BA168" s="837"/>
    </row>
    <row r="169" spans="2:53" ht="13.5" customHeight="1" x14ac:dyDescent="0.25">
      <c r="B169" s="1006"/>
      <c r="C169" s="1412" t="s">
        <v>5112</v>
      </c>
      <c r="D169" s="1412"/>
      <c r="E169" s="1412"/>
      <c r="F169" s="1413">
        <f>IF(F55="","",IF(F55&lt;0,"",SUM(H12:H55)))</f>
        <v>49</v>
      </c>
      <c r="G169" s="1413"/>
      <c r="H169" s="1413"/>
      <c r="I169" s="1311">
        <f>IF(I55="","",IF(I55&lt;0,"",SUM(K12:K55)))</f>
        <v>55</v>
      </c>
      <c r="J169" s="1311"/>
      <c r="K169" s="1311"/>
      <c r="L169" s="1311">
        <f>IF(L55="","",IF(L55&lt;0,"",SUM(N12:N55)))</f>
        <v>53</v>
      </c>
      <c r="M169" s="1311"/>
      <c r="N169" s="1311"/>
      <c r="O169" s="1311">
        <f>IF(O55="","",IF(O55&lt;0,"",SUM(Q12:Q55)))</f>
        <v>87</v>
      </c>
      <c r="P169" s="1311"/>
      <c r="Q169" s="1311"/>
      <c r="R169" s="1311">
        <f>IF(R55="","",IF(R55&lt;0,"",SUM(T12:T55)))</f>
        <v>89</v>
      </c>
      <c r="S169" s="1311"/>
      <c r="T169" s="1311"/>
      <c r="U169" s="1311">
        <f>IF(U55="","",IF(U55&lt;0,"",SUM(W12:W55)))</f>
        <v>78</v>
      </c>
      <c r="V169" s="1311"/>
      <c r="W169" s="1311"/>
      <c r="X169" s="1311">
        <f>IF(X55="","",IF(X55&lt;0,"",SUM(Z12:Z55)))</f>
        <v>79</v>
      </c>
      <c r="Y169" s="1311"/>
      <c r="Z169" s="1311"/>
      <c r="AA169" s="1311">
        <f>IF(AA55="","",IF(AA55&lt;0,"",SUM(AC12:AC55)))</f>
        <v>0</v>
      </c>
      <c r="AB169" s="1311"/>
      <c r="AC169" s="1311"/>
      <c r="AD169" s="1312" t="str">
        <f>IF(AD55="","",IF(AD55&lt;0,"",SUM(AF12:AF55)))</f>
        <v/>
      </c>
      <c r="AE169" s="1312"/>
      <c r="AF169" s="1312"/>
      <c r="AG169" s="1312" t="str">
        <f>IF(AG55="","",IF(AG55&lt;0,"",SUM(AI12:AI55)))</f>
        <v/>
      </c>
      <c r="AH169" s="1312"/>
      <c r="AI169" s="1312"/>
      <c r="BA169" s="837"/>
    </row>
    <row r="170" spans="2:53" ht="13.5" customHeight="1" x14ac:dyDescent="0.25">
      <c r="B170" s="1007"/>
      <c r="C170" s="1412"/>
      <c r="D170" s="1412"/>
      <c r="E170" s="1412"/>
      <c r="F170" s="1413"/>
      <c r="G170" s="1413"/>
      <c r="H170" s="1413"/>
      <c r="I170" s="1311"/>
      <c r="J170" s="1311"/>
      <c r="K170" s="1311"/>
      <c r="L170" s="1311"/>
      <c r="M170" s="1311"/>
      <c r="N170" s="1311"/>
      <c r="O170" s="1311"/>
      <c r="P170" s="1311"/>
      <c r="Q170" s="1311"/>
      <c r="R170" s="1311"/>
      <c r="S170" s="1311"/>
      <c r="T170" s="1311"/>
      <c r="U170" s="1311"/>
      <c r="V170" s="1311"/>
      <c r="W170" s="1311"/>
      <c r="X170" s="1311"/>
      <c r="Y170" s="1311"/>
      <c r="Z170" s="1311"/>
      <c r="AA170" s="1311"/>
      <c r="AB170" s="1311"/>
      <c r="AC170" s="1311"/>
      <c r="AD170" s="1312"/>
      <c r="AE170" s="1312"/>
      <c r="AF170" s="1312"/>
      <c r="AG170" s="1312"/>
      <c r="AH170" s="1312"/>
      <c r="AI170" s="1312"/>
      <c r="BA170" s="837"/>
    </row>
    <row r="171" spans="2:53" ht="13.5" hidden="1" customHeight="1" x14ac:dyDescent="0.25">
      <c r="B171" s="1418" t="s">
        <v>5113</v>
      </c>
      <c r="C171" s="1418"/>
      <c r="D171" s="1418"/>
      <c r="E171" s="1418"/>
      <c r="F171" s="1417" t="str">
        <f>F6</f>
        <v>HARINGEY AQUATICS</v>
      </c>
      <c r="G171" s="1417"/>
      <c r="H171" s="1417"/>
      <c r="I171" s="1317" t="str">
        <f>I6</f>
        <v>STEVENAGE</v>
      </c>
      <c r="J171" s="1317"/>
      <c r="K171" s="1317"/>
      <c r="L171" s="1317" t="str">
        <f>L6</f>
        <v>BORO OF BROXBOURNE</v>
      </c>
      <c r="M171" s="1317"/>
      <c r="N171" s="1317"/>
      <c r="O171" s="1317" t="str">
        <f>O6</f>
        <v>AYLESBURY</v>
      </c>
      <c r="P171" s="1317"/>
      <c r="Q171" s="1317"/>
      <c r="R171" s="1317" t="str">
        <f>R6</f>
        <v>BRAINTREE &amp; BOCKING</v>
      </c>
      <c r="S171" s="1317"/>
      <c r="T171" s="1317"/>
      <c r="U171" s="1317" t="str">
        <f>U6</f>
        <v>Bo of Harrow</v>
      </c>
      <c r="V171" s="1317"/>
      <c r="W171" s="1317"/>
      <c r="X171" s="1317" t="str">
        <f>X6</f>
        <v>Hillingdon 'B'</v>
      </c>
      <c r="Y171" s="1317"/>
      <c r="Z171" s="1317"/>
      <c r="AA171" s="1317">
        <f>AA6</f>
        <v>0</v>
      </c>
      <c r="AB171" s="1317"/>
      <c r="AC171" s="1317"/>
      <c r="AD171" s="1319">
        <f>AD6</f>
        <v>0</v>
      </c>
      <c r="AE171" s="1319"/>
      <c r="AF171" s="1319"/>
      <c r="AG171" s="1319">
        <f>AG6</f>
        <v>0</v>
      </c>
      <c r="AH171" s="1319"/>
      <c r="AI171" s="1319"/>
      <c r="BA171" s="837"/>
    </row>
    <row r="172" spans="2:53" ht="13.5" hidden="1" customHeight="1" x14ac:dyDescent="0.25">
      <c r="B172" s="1418"/>
      <c r="C172" s="1418"/>
      <c r="D172" s="1418"/>
      <c r="E172" s="1418"/>
      <c r="F172" s="1417"/>
      <c r="G172" s="1417"/>
      <c r="H172" s="1417"/>
      <c r="I172" s="1317"/>
      <c r="J172" s="1317"/>
      <c r="K172" s="1317"/>
      <c r="L172" s="1317"/>
      <c r="M172" s="1317"/>
      <c r="N172" s="1317"/>
      <c r="O172" s="1317"/>
      <c r="P172" s="1317"/>
      <c r="Q172" s="1317"/>
      <c r="R172" s="1317"/>
      <c r="S172" s="1317"/>
      <c r="T172" s="1317"/>
      <c r="U172" s="1317"/>
      <c r="V172" s="1317"/>
      <c r="W172" s="1317"/>
      <c r="X172" s="1317"/>
      <c r="Y172" s="1317"/>
      <c r="Z172" s="1317"/>
      <c r="AA172" s="1317"/>
      <c r="AB172" s="1317"/>
      <c r="AC172" s="1317"/>
      <c r="AD172" s="1319"/>
      <c r="AE172" s="1319"/>
      <c r="AF172" s="1319"/>
      <c r="AG172" s="1319"/>
      <c r="AH172" s="1319"/>
      <c r="AI172" s="1319"/>
      <c r="BA172" s="837"/>
    </row>
    <row r="173" spans="2:53" ht="13.5" customHeight="1" x14ac:dyDescent="0.25">
      <c r="B173" s="1006"/>
      <c r="C173" s="1412" t="s">
        <v>5114</v>
      </c>
      <c r="D173" s="1412"/>
      <c r="E173" s="1412"/>
      <c r="F173" s="1413">
        <f>IF(F79="","",IF(F79&lt;0,"",SUM(H12:H79)))</f>
        <v>70</v>
      </c>
      <c r="G173" s="1413"/>
      <c r="H173" s="1413"/>
      <c r="I173" s="1311">
        <f>IF(I79="","",IF(I79&lt;0,"",SUM(K12:K79)))</f>
        <v>86</v>
      </c>
      <c r="J173" s="1311"/>
      <c r="K173" s="1311"/>
      <c r="L173" s="1311">
        <f>IF(L79="","",IF(L79&lt;0,"",SUM(N12:N79)))</f>
        <v>85</v>
      </c>
      <c r="M173" s="1311"/>
      <c r="N173" s="1311"/>
      <c r="O173" s="1311">
        <f>IF(O79="","",IF(O79&lt;0,"",SUM(Q12:Q79)))</f>
        <v>119</v>
      </c>
      <c r="P173" s="1311"/>
      <c r="Q173" s="1311"/>
      <c r="R173" s="1311">
        <f>IF(R79="","",IF(R79&lt;0,"",SUM(T12:T79)))</f>
        <v>128</v>
      </c>
      <c r="S173" s="1311"/>
      <c r="T173" s="1311"/>
      <c r="U173" s="1311">
        <f>IF(U79="","",IF(U79&lt;0,"",SUM(W12:W79)))</f>
        <v>112</v>
      </c>
      <c r="V173" s="1311"/>
      <c r="W173" s="1311"/>
      <c r="X173" s="1311">
        <f>IF(X79="","",IF(X79&lt;0,"",SUM(Z12:Z79)))</f>
        <v>110</v>
      </c>
      <c r="Y173" s="1311"/>
      <c r="Z173" s="1311"/>
      <c r="AA173" s="1311">
        <f>IF(AA79="","",IF(AA79&lt;0,"",SUM(AC12:AC79)))</f>
        <v>0</v>
      </c>
      <c r="AB173" s="1311"/>
      <c r="AC173" s="1311"/>
      <c r="AD173" s="1312" t="str">
        <f>IF(AD79="","",IF(AD79&lt;0,"",SUM(AF12:AF79)))</f>
        <v/>
      </c>
      <c r="AE173" s="1312"/>
      <c r="AF173" s="1312"/>
      <c r="AG173" s="1312" t="str">
        <f>IF(AG79="","",IF(AG79&lt;0,"",SUM(AI12:AI79)))</f>
        <v/>
      </c>
      <c r="AH173" s="1312"/>
      <c r="AI173" s="1312"/>
      <c r="BA173" s="837"/>
    </row>
    <row r="174" spans="2:53" ht="13.5" customHeight="1" x14ac:dyDescent="0.25">
      <c r="B174" s="1007"/>
      <c r="C174" s="1412"/>
      <c r="D174" s="1412"/>
      <c r="E174" s="1412"/>
      <c r="F174" s="1413"/>
      <c r="G174" s="1413"/>
      <c r="H174" s="1413"/>
      <c r="I174" s="1311"/>
      <c r="J174" s="1311"/>
      <c r="K174" s="1311"/>
      <c r="L174" s="1311"/>
      <c r="M174" s="1311"/>
      <c r="N174" s="1311"/>
      <c r="O174" s="1311"/>
      <c r="P174" s="1311"/>
      <c r="Q174" s="1311"/>
      <c r="R174" s="1311"/>
      <c r="S174" s="1311"/>
      <c r="T174" s="1311"/>
      <c r="U174" s="1311"/>
      <c r="V174" s="1311"/>
      <c r="W174" s="1311"/>
      <c r="X174" s="1311"/>
      <c r="Y174" s="1311"/>
      <c r="Z174" s="1311"/>
      <c r="AA174" s="1311"/>
      <c r="AB174" s="1311"/>
      <c r="AC174" s="1311"/>
      <c r="AD174" s="1312"/>
      <c r="AE174" s="1312"/>
      <c r="AF174" s="1312"/>
      <c r="AG174" s="1312"/>
      <c r="AH174" s="1312"/>
      <c r="AI174" s="1312"/>
      <c r="BA174" s="837"/>
    </row>
    <row r="175" spans="2:53" ht="13.5" hidden="1" customHeight="1" x14ac:dyDescent="0.25">
      <c r="B175" s="1416" t="s">
        <v>5115</v>
      </c>
      <c r="C175" s="1416"/>
      <c r="D175" s="1416"/>
      <c r="E175" s="1416"/>
      <c r="F175" s="1417" t="str">
        <f>F6</f>
        <v>HARINGEY AQUATICS</v>
      </c>
      <c r="G175" s="1417"/>
      <c r="H175" s="1417"/>
      <c r="I175" s="1317" t="str">
        <f>I6</f>
        <v>STEVENAGE</v>
      </c>
      <c r="J175" s="1317"/>
      <c r="K175" s="1317"/>
      <c r="L175" s="1317" t="str">
        <f>L6</f>
        <v>BORO OF BROXBOURNE</v>
      </c>
      <c r="M175" s="1317"/>
      <c r="N175" s="1317"/>
      <c r="O175" s="1317" t="str">
        <f>O6</f>
        <v>AYLESBURY</v>
      </c>
      <c r="P175" s="1317"/>
      <c r="Q175" s="1317"/>
      <c r="R175" s="1317" t="str">
        <f>R6</f>
        <v>BRAINTREE &amp; BOCKING</v>
      </c>
      <c r="S175" s="1317"/>
      <c r="T175" s="1317"/>
      <c r="U175" s="1317" t="str">
        <f>U6</f>
        <v>Bo of Harrow</v>
      </c>
      <c r="V175" s="1317"/>
      <c r="W175" s="1317"/>
      <c r="X175" s="1317" t="str">
        <f>X6</f>
        <v>Hillingdon 'B'</v>
      </c>
      <c r="Y175" s="1317"/>
      <c r="Z175" s="1317"/>
      <c r="AA175" s="1317">
        <f>AA6</f>
        <v>0</v>
      </c>
      <c r="AB175" s="1317"/>
      <c r="AC175" s="1317"/>
      <c r="AD175" s="1319">
        <f>AD6</f>
        <v>0</v>
      </c>
      <c r="AE175" s="1319"/>
      <c r="AF175" s="1319"/>
      <c r="AG175" s="1319">
        <f>AG6</f>
        <v>0</v>
      </c>
      <c r="AH175" s="1319"/>
      <c r="AI175" s="1319"/>
      <c r="BA175" s="837"/>
    </row>
    <row r="176" spans="2:53" ht="13.5" hidden="1" customHeight="1" x14ac:dyDescent="0.25">
      <c r="B176" s="1416"/>
      <c r="C176" s="1416"/>
      <c r="D176" s="1416"/>
      <c r="E176" s="1416"/>
      <c r="F176" s="1417"/>
      <c r="G176" s="1417"/>
      <c r="H176" s="1417"/>
      <c r="I176" s="1317"/>
      <c r="J176" s="1317"/>
      <c r="K176" s="1317"/>
      <c r="L176" s="1317"/>
      <c r="M176" s="1317"/>
      <c r="N176" s="1317"/>
      <c r="O176" s="1317"/>
      <c r="P176" s="1317"/>
      <c r="Q176" s="1317"/>
      <c r="R176" s="1317"/>
      <c r="S176" s="1317"/>
      <c r="T176" s="1317"/>
      <c r="U176" s="1317"/>
      <c r="V176" s="1317"/>
      <c r="W176" s="1317"/>
      <c r="X176" s="1317"/>
      <c r="Y176" s="1317"/>
      <c r="Z176" s="1317"/>
      <c r="AA176" s="1317"/>
      <c r="AB176" s="1317"/>
      <c r="AC176" s="1317"/>
      <c r="AD176" s="1319"/>
      <c r="AE176" s="1319"/>
      <c r="AF176" s="1319"/>
      <c r="AG176" s="1319"/>
      <c r="AH176" s="1319"/>
      <c r="AI176" s="1319"/>
      <c r="BA176" s="837"/>
    </row>
    <row r="177" spans="2:60" ht="13.5" customHeight="1" x14ac:dyDescent="0.25">
      <c r="B177" s="1006"/>
      <c r="C177" s="1412" t="s">
        <v>5116</v>
      </c>
      <c r="D177" s="1412"/>
      <c r="E177" s="1412"/>
      <c r="F177" s="1413">
        <f>IF(F103="","",IF(F103&lt;0,"",SUM(H12:H103)))</f>
        <v>93</v>
      </c>
      <c r="G177" s="1413"/>
      <c r="H177" s="1413"/>
      <c r="I177" s="1311">
        <f>IF(I103="","",IF(I103&lt;0,"",SUM(K12:K103)))</f>
        <v>112</v>
      </c>
      <c r="J177" s="1311"/>
      <c r="K177" s="1311"/>
      <c r="L177" s="1311">
        <f>IF(L103="","",IF(L103&lt;0,"",SUM(N12:N103)))</f>
        <v>115</v>
      </c>
      <c r="M177" s="1311"/>
      <c r="N177" s="1311"/>
      <c r="O177" s="1311">
        <f>IF(O103="","",IF(O103&lt;0,"",SUM(Q12:Q103)))</f>
        <v>159</v>
      </c>
      <c r="P177" s="1311"/>
      <c r="Q177" s="1311"/>
      <c r="R177" s="1311">
        <f>IF(R103="","",IF(R103&lt;0,"",SUM(T12:T103)))</f>
        <v>169</v>
      </c>
      <c r="S177" s="1311"/>
      <c r="T177" s="1311"/>
      <c r="U177" s="1311">
        <f>IF(U103="","",IF(U103&lt;0,"",SUM(W12:W103)))</f>
        <v>145</v>
      </c>
      <c r="V177" s="1311"/>
      <c r="W177" s="1311"/>
      <c r="X177" s="1311">
        <f>IF(X103="","",IF(X103&lt;0,"",SUM(Z12:Z103)))</f>
        <v>138</v>
      </c>
      <c r="Y177" s="1311"/>
      <c r="Z177" s="1311"/>
      <c r="AA177" s="1311">
        <f>IF(AA103="","",IF(AA103&lt;0,"",SUM(AC12:AC103)))</f>
        <v>0</v>
      </c>
      <c r="AB177" s="1311"/>
      <c r="AC177" s="1311"/>
      <c r="AD177" s="1312" t="str">
        <f>IF(AD103="","",IF(AD103&lt;0,"",SUM(AF12:AF103)))</f>
        <v/>
      </c>
      <c r="AE177" s="1312"/>
      <c r="AF177" s="1312"/>
      <c r="AG177" s="1312" t="str">
        <f>IF(AG103="","",IF(AG103&lt;0,"",SUM(AI12:AI103)))</f>
        <v/>
      </c>
      <c r="AH177" s="1312"/>
      <c r="AI177" s="1312"/>
      <c r="BA177" s="837"/>
    </row>
    <row r="178" spans="2:60" ht="13.5" customHeight="1" x14ac:dyDescent="0.25">
      <c r="B178" s="1007"/>
      <c r="C178" s="1412"/>
      <c r="D178" s="1412"/>
      <c r="E178" s="1412"/>
      <c r="F178" s="1413"/>
      <c r="G178" s="1413"/>
      <c r="H178" s="1413"/>
      <c r="I178" s="1311"/>
      <c r="J178" s="1311"/>
      <c r="K178" s="1311"/>
      <c r="L178" s="1311"/>
      <c r="M178" s="1311"/>
      <c r="N178" s="1311"/>
      <c r="O178" s="1311"/>
      <c r="P178" s="1311"/>
      <c r="Q178" s="1311"/>
      <c r="R178" s="1311"/>
      <c r="S178" s="1311"/>
      <c r="T178" s="1311"/>
      <c r="U178" s="1311"/>
      <c r="V178" s="1311"/>
      <c r="W178" s="1311"/>
      <c r="X178" s="1311"/>
      <c r="Y178" s="1311"/>
      <c r="Z178" s="1311"/>
      <c r="AA178" s="1311"/>
      <c r="AB178" s="1311"/>
      <c r="AC178" s="1311"/>
      <c r="AD178" s="1312"/>
      <c r="AE178" s="1312"/>
      <c r="AF178" s="1312"/>
      <c r="AG178" s="1312"/>
      <c r="AH178" s="1312"/>
      <c r="AI178" s="1312"/>
      <c r="BA178" s="837"/>
    </row>
    <row r="179" spans="2:60" ht="27" hidden="1" customHeight="1" x14ac:dyDescent="0.25">
      <c r="B179" s="1416" t="s">
        <v>5117</v>
      </c>
      <c r="C179" s="1416"/>
      <c r="D179" s="1416"/>
      <c r="E179" s="1416"/>
      <c r="F179" s="1417" t="str">
        <f>F6</f>
        <v>HARINGEY AQUATICS</v>
      </c>
      <c r="G179" s="1417"/>
      <c r="H179" s="1417"/>
      <c r="I179" s="1317" t="str">
        <f>I6</f>
        <v>STEVENAGE</v>
      </c>
      <c r="J179" s="1317"/>
      <c r="K179" s="1317"/>
      <c r="L179" s="1317" t="str">
        <f>L6</f>
        <v>BORO OF BROXBOURNE</v>
      </c>
      <c r="M179" s="1317"/>
      <c r="N179" s="1317"/>
      <c r="O179" s="1317" t="str">
        <f>O6</f>
        <v>AYLESBURY</v>
      </c>
      <c r="P179" s="1317"/>
      <c r="Q179" s="1317"/>
      <c r="R179" s="1317" t="str">
        <f>R6</f>
        <v>BRAINTREE &amp; BOCKING</v>
      </c>
      <c r="S179" s="1317"/>
      <c r="T179" s="1317"/>
      <c r="U179" s="1317" t="str">
        <f>U6</f>
        <v>Bo of Harrow</v>
      </c>
      <c r="V179" s="1317"/>
      <c r="W179" s="1317"/>
      <c r="X179" s="1317" t="str">
        <f>X6</f>
        <v>Hillingdon 'B'</v>
      </c>
      <c r="Y179" s="1317"/>
      <c r="Z179" s="1317"/>
      <c r="AA179" s="1317">
        <f>AA6</f>
        <v>0</v>
      </c>
      <c r="AB179" s="1317"/>
      <c r="AC179" s="1317"/>
      <c r="AD179" s="1318">
        <f>AD6</f>
        <v>0</v>
      </c>
      <c r="AE179" s="1318"/>
      <c r="AF179" s="1318"/>
      <c r="AG179" s="1318">
        <f>AG6</f>
        <v>0</v>
      </c>
      <c r="AH179" s="1318"/>
      <c r="AI179" s="1318"/>
      <c r="BA179" s="837"/>
    </row>
    <row r="180" spans="2:60" ht="27" customHeight="1" x14ac:dyDescent="0.6">
      <c r="B180" s="1007"/>
      <c r="C180" s="1412" t="s">
        <v>5118</v>
      </c>
      <c r="D180" s="1412"/>
      <c r="E180" s="1412"/>
      <c r="F180" s="1413">
        <f>IF(F127="","",IF(F127&lt;0,"",SUM(H12:H127)))</f>
        <v>122</v>
      </c>
      <c r="G180" s="1413"/>
      <c r="H180" s="1413"/>
      <c r="I180" s="1311">
        <f>IF(I127="","",IF(I127&lt;0,"",SUM(K12:K127)))</f>
        <v>128</v>
      </c>
      <c r="J180" s="1311"/>
      <c r="K180" s="1311"/>
      <c r="L180" s="1311">
        <f>IF(L127="","",IF(L127&lt;0,"",SUM(N12:N127)))</f>
        <v>148</v>
      </c>
      <c r="M180" s="1311"/>
      <c r="N180" s="1311"/>
      <c r="O180" s="1311">
        <f>IF(O127="","",IF(O127&lt;0,"",SUM(Q12:Q127)))</f>
        <v>199</v>
      </c>
      <c r="P180" s="1311"/>
      <c r="Q180" s="1311"/>
      <c r="R180" s="1311">
        <f>IF(R127="","",IF(R127&lt;0,"",SUM(T12:T127)))</f>
        <v>207</v>
      </c>
      <c r="S180" s="1311"/>
      <c r="T180" s="1311"/>
      <c r="U180" s="1311">
        <f>IF(U127="","",IF(U127&lt;0,"",SUM(W12:W127)))</f>
        <v>180</v>
      </c>
      <c r="V180" s="1311"/>
      <c r="W180" s="1311"/>
      <c r="X180" s="1311">
        <f>IF(X127="","",IF(X127&lt;0,"",SUM(Z12:Z127)))</f>
        <v>171</v>
      </c>
      <c r="Y180" s="1311"/>
      <c r="Z180" s="1311"/>
      <c r="AA180" s="1311">
        <f>IF(AA127="","",IF(AA127&lt;0,"",SUM(AC12:AC127)))</f>
        <v>0</v>
      </c>
      <c r="AB180" s="1311"/>
      <c r="AC180" s="1311"/>
      <c r="AD180" s="1312" t="str">
        <f>IF(AD127="","",IF(AD127&lt;0,"",SUM(AF12:AF127)))</f>
        <v/>
      </c>
      <c r="AE180" s="1312"/>
      <c r="AF180" s="1312"/>
      <c r="AG180" s="1312" t="str">
        <f>IF(AG127="","",IF(AG127&lt;0,"",SUM(AI12:AI127)))</f>
        <v/>
      </c>
      <c r="AH180" s="1312"/>
      <c r="AI180" s="1312"/>
      <c r="BA180" s="837"/>
    </row>
    <row r="181" spans="2:60" ht="27" hidden="1" customHeight="1" x14ac:dyDescent="0.25">
      <c r="B181" s="1313" t="s">
        <v>5119</v>
      </c>
      <c r="C181" s="1313"/>
      <c r="D181" s="1313"/>
      <c r="E181" s="1313"/>
      <c r="F181" s="1314"/>
      <c r="G181" s="1314"/>
      <c r="H181" s="1314"/>
      <c r="I181" s="1314"/>
      <c r="J181" s="1314"/>
      <c r="K181" s="1314"/>
      <c r="L181" s="1314"/>
      <c r="M181" s="1314"/>
      <c r="N181" s="1314"/>
      <c r="O181" s="1314"/>
      <c r="P181" s="1314"/>
      <c r="Q181" s="1314"/>
      <c r="R181" s="1314"/>
      <c r="S181" s="1314"/>
      <c r="T181" s="1314"/>
      <c r="U181" s="1314"/>
      <c r="V181" s="1314"/>
      <c r="W181" s="1314"/>
      <c r="X181" s="1314"/>
      <c r="Y181" s="1314"/>
      <c r="Z181" s="1314"/>
      <c r="AA181" s="1314"/>
      <c r="AB181" s="1314"/>
      <c r="AC181" s="1314"/>
      <c r="AD181" s="939"/>
      <c r="AE181" s="939"/>
      <c r="AF181" s="939"/>
      <c r="AG181" s="939"/>
      <c r="AH181" s="939"/>
      <c r="AI181" s="939"/>
    </row>
    <row r="182" spans="2:60" ht="42.75" customHeight="1" x14ac:dyDescent="0.25">
      <c r="B182" s="837"/>
      <c r="C182" s="1008"/>
      <c r="D182" s="837"/>
      <c r="E182" s="837"/>
      <c r="F182" s="954"/>
      <c r="G182" s="837"/>
      <c r="H182" s="837"/>
      <c r="I182" s="954"/>
      <c r="J182" s="837"/>
      <c r="K182" s="837"/>
      <c r="L182" s="954"/>
      <c r="M182" s="837"/>
      <c r="N182" s="837"/>
      <c r="O182" s="954"/>
      <c r="P182" s="837"/>
      <c r="Q182" s="837"/>
      <c r="R182" s="954"/>
      <c r="S182" s="837"/>
      <c r="T182" s="837"/>
      <c r="U182" s="954"/>
      <c r="V182" s="837"/>
      <c r="W182" s="837"/>
      <c r="X182" s="954"/>
      <c r="Y182" s="837"/>
      <c r="Z182" s="837"/>
      <c r="AA182" s="954"/>
      <c r="AB182" s="837"/>
      <c r="AC182" s="837"/>
      <c r="AD182" s="837"/>
      <c r="AE182" s="837"/>
      <c r="AF182" s="837"/>
      <c r="AG182" s="837"/>
      <c r="AH182" s="837"/>
      <c r="AI182" s="837"/>
      <c r="AJ182" s="837"/>
      <c r="AK182" s="837"/>
      <c r="AL182" s="837"/>
      <c r="AM182" s="837"/>
      <c r="AN182" s="837"/>
      <c r="AO182" s="837"/>
      <c r="AP182" s="837"/>
      <c r="AQ182" s="837"/>
      <c r="AR182" s="837"/>
      <c r="AS182" s="837"/>
      <c r="AT182" s="837"/>
      <c r="AU182" s="837"/>
      <c r="AV182" s="837"/>
      <c r="AW182" s="837"/>
      <c r="AX182" s="837"/>
      <c r="AY182" s="837"/>
      <c r="AZ182" s="837"/>
      <c r="BA182" s="837"/>
      <c r="BB182" s="837"/>
      <c r="BC182" s="837"/>
      <c r="BD182" s="837"/>
      <c r="BE182" s="837"/>
      <c r="BF182" s="837"/>
      <c r="BG182" s="837"/>
      <c r="BH182" s="837"/>
    </row>
    <row r="183" spans="2:60" ht="42.75" customHeight="1" x14ac:dyDescent="0.25">
      <c r="B183" s="837"/>
      <c r="C183" s="1008"/>
      <c r="D183" s="837"/>
      <c r="E183" s="837"/>
      <c r="F183" s="954"/>
      <c r="G183" s="837"/>
      <c r="H183" s="837"/>
      <c r="I183" s="954"/>
      <c r="J183" s="837"/>
      <c r="K183" s="837"/>
      <c r="L183" s="954"/>
      <c r="M183" s="837"/>
      <c r="N183" s="837"/>
      <c r="O183" s="954"/>
      <c r="P183" s="837"/>
      <c r="Q183" s="837"/>
      <c r="R183" s="954"/>
      <c r="S183" s="837"/>
      <c r="T183" s="837"/>
      <c r="U183" s="954"/>
      <c r="V183" s="837"/>
      <c r="W183" s="837"/>
      <c r="X183" s="954"/>
      <c r="Y183" s="837"/>
      <c r="Z183" s="837"/>
      <c r="AA183" s="954"/>
      <c r="AB183" s="837"/>
      <c r="AC183" s="837"/>
      <c r="AD183" s="837"/>
      <c r="AE183" s="837"/>
      <c r="AF183" s="837"/>
      <c r="AG183" s="837"/>
      <c r="AH183" s="837"/>
      <c r="AI183" s="837"/>
      <c r="AJ183" s="837"/>
      <c r="AK183" s="837"/>
      <c r="AL183" s="837"/>
      <c r="AM183" s="837"/>
      <c r="AN183" s="837"/>
      <c r="AO183" s="837"/>
      <c r="AP183" s="837"/>
      <c r="AQ183" s="837"/>
      <c r="AR183" s="837"/>
      <c r="AS183" s="837"/>
      <c r="AT183" s="837"/>
      <c r="AU183" s="837"/>
      <c r="AV183" s="837"/>
      <c r="AW183" s="837"/>
      <c r="AX183" s="837"/>
      <c r="AY183" s="837"/>
      <c r="AZ183" s="837"/>
      <c r="BA183" s="837"/>
      <c r="BB183" s="837"/>
      <c r="BC183" s="837"/>
      <c r="BD183" s="837"/>
      <c r="BE183" s="837"/>
      <c r="BF183" s="837"/>
      <c r="BG183" s="837"/>
      <c r="BH183" s="837"/>
    </row>
    <row r="184" spans="2:60" ht="42.75" customHeight="1" x14ac:dyDescent="0.25">
      <c r="B184" s="1414"/>
      <c r="C184" s="1414"/>
      <c r="D184" s="1414"/>
      <c r="E184" s="1414"/>
      <c r="F184" s="1415"/>
      <c r="G184" s="1415"/>
      <c r="H184" s="1415"/>
      <c r="I184" s="1415"/>
      <c r="J184" s="1415"/>
      <c r="K184" s="1415"/>
      <c r="L184" s="1415"/>
      <c r="M184" s="1415"/>
      <c r="N184" s="1415"/>
      <c r="O184" s="1415"/>
      <c r="P184" s="1415"/>
      <c r="Q184" s="1415"/>
      <c r="R184" s="1415"/>
      <c r="S184" s="1415"/>
      <c r="T184" s="1415"/>
      <c r="U184" s="1415"/>
      <c r="V184" s="1415"/>
      <c r="W184" s="1415"/>
      <c r="X184" s="1415"/>
      <c r="Y184" s="1415"/>
      <c r="Z184" s="1415"/>
      <c r="AA184" s="1415"/>
      <c r="AB184" s="1415"/>
      <c r="AC184" s="1415"/>
      <c r="AD184" s="1415"/>
      <c r="AE184" s="1415"/>
      <c r="AF184" s="1415"/>
      <c r="AG184" s="1415"/>
      <c r="AH184" s="1415"/>
      <c r="AI184" s="1415"/>
      <c r="AJ184" s="1415"/>
      <c r="AK184" s="1415"/>
      <c r="AL184" s="1415"/>
      <c r="AM184" s="1415"/>
      <c r="AN184" s="1415"/>
      <c r="AO184" s="1415"/>
      <c r="AP184" s="1415"/>
      <c r="AQ184" s="1415"/>
      <c r="AR184" s="1415"/>
      <c r="AS184" s="1415"/>
      <c r="AT184" s="1415"/>
      <c r="AU184" s="1415"/>
      <c r="AV184" s="1415"/>
      <c r="AW184" s="1415"/>
      <c r="AX184" s="1415"/>
      <c r="AY184" s="1415"/>
      <c r="AZ184" s="1415"/>
      <c r="BA184" s="1415"/>
      <c r="BB184" s="1415"/>
      <c r="BC184" s="1415"/>
      <c r="BD184" s="1415"/>
      <c r="BE184" s="1415"/>
      <c r="BF184" s="1415"/>
      <c r="BG184" s="1415"/>
      <c r="BH184" s="1415"/>
    </row>
    <row r="185" spans="2:60" ht="42.75" customHeight="1" x14ac:dyDescent="0.25">
      <c r="B185" s="1414"/>
      <c r="C185" s="1414"/>
      <c r="D185" s="1414"/>
      <c r="E185" s="1414"/>
      <c r="F185" s="1415"/>
      <c r="G185" s="1415"/>
      <c r="H185" s="1415"/>
      <c r="I185" s="1415"/>
      <c r="J185" s="1415"/>
      <c r="K185" s="1415"/>
      <c r="L185" s="1415"/>
      <c r="M185" s="1415"/>
      <c r="N185" s="1415"/>
      <c r="O185" s="1415"/>
      <c r="P185" s="1415"/>
      <c r="Q185" s="1415"/>
      <c r="R185" s="1415"/>
      <c r="S185" s="1415"/>
      <c r="T185" s="1415"/>
      <c r="U185" s="1415"/>
      <c r="V185" s="1415"/>
      <c r="W185" s="1415"/>
      <c r="X185" s="1415"/>
      <c r="Y185" s="1415"/>
      <c r="Z185" s="1415"/>
      <c r="AA185" s="1415"/>
      <c r="AB185" s="1415"/>
      <c r="AC185" s="1415"/>
      <c r="AD185" s="1415"/>
      <c r="AE185" s="1415"/>
      <c r="AF185" s="1415"/>
      <c r="AG185" s="1415"/>
      <c r="AH185" s="1415"/>
      <c r="AI185" s="1415"/>
      <c r="AJ185" s="1415"/>
      <c r="AK185" s="1415"/>
      <c r="AL185" s="1415"/>
      <c r="AM185" s="1415"/>
      <c r="AN185" s="1415"/>
      <c r="AO185" s="1415"/>
      <c r="AP185" s="1415"/>
      <c r="AQ185" s="1415"/>
      <c r="AR185" s="1415"/>
      <c r="AS185" s="1415"/>
      <c r="AT185" s="1415"/>
      <c r="AU185" s="1415"/>
      <c r="AV185" s="1415"/>
      <c r="AW185" s="1415"/>
      <c r="AX185" s="1415"/>
      <c r="AY185" s="1415"/>
      <c r="AZ185" s="1415"/>
      <c r="BA185" s="1415"/>
      <c r="BB185" s="1415"/>
      <c r="BC185" s="1415"/>
      <c r="BD185" s="1415"/>
      <c r="BE185" s="1415"/>
      <c r="BF185" s="1415"/>
      <c r="BG185" s="1415"/>
      <c r="BH185" s="1415"/>
    </row>
    <row r="186" spans="2:60" ht="42.75" customHeight="1" x14ac:dyDescent="0.25">
      <c r="B186" s="833"/>
      <c r="C186" s="1009"/>
      <c r="D186" s="833"/>
      <c r="E186" s="833"/>
      <c r="F186" s="924"/>
      <c r="G186" s="833"/>
      <c r="H186" s="833"/>
      <c r="I186" s="924"/>
      <c r="J186" s="833"/>
      <c r="K186" s="833"/>
      <c r="L186" s="924"/>
      <c r="M186" s="833"/>
      <c r="N186" s="833"/>
      <c r="O186" s="924"/>
      <c r="P186" s="833"/>
      <c r="Q186" s="833"/>
      <c r="R186" s="924"/>
      <c r="S186" s="833"/>
      <c r="T186" s="833"/>
      <c r="U186" s="924"/>
      <c r="V186" s="833"/>
      <c r="W186" s="833"/>
      <c r="X186" s="924"/>
      <c r="Y186" s="833"/>
      <c r="Z186" s="833"/>
      <c r="AA186" s="924"/>
      <c r="AB186" s="833"/>
      <c r="AC186" s="833"/>
      <c r="AD186" s="833"/>
      <c r="AE186" s="833"/>
      <c r="AF186" s="833"/>
      <c r="AG186" s="833"/>
      <c r="AH186" s="833"/>
      <c r="AI186" s="833"/>
    </row>
    <row r="187" spans="2:60" ht="42.75" customHeight="1" x14ac:dyDescent="0.25">
      <c r="B187" s="833"/>
      <c r="C187" s="1009"/>
      <c r="D187" s="833"/>
      <c r="E187" s="833"/>
      <c r="F187" s="924"/>
      <c r="G187" s="833"/>
      <c r="H187" s="833"/>
      <c r="I187" s="924"/>
      <c r="J187" s="833"/>
      <c r="K187" s="833"/>
      <c r="L187" s="924"/>
      <c r="M187" s="833"/>
      <c r="N187" s="833"/>
      <c r="O187" s="924"/>
      <c r="P187" s="833"/>
      <c r="Q187" s="833"/>
      <c r="R187" s="924"/>
      <c r="S187" s="833"/>
      <c r="T187" s="833"/>
      <c r="U187" s="924"/>
      <c r="V187" s="833"/>
      <c r="W187" s="833"/>
      <c r="X187" s="924"/>
      <c r="Y187" s="833"/>
      <c r="Z187" s="833"/>
      <c r="AA187" s="924"/>
      <c r="AB187" s="833"/>
      <c r="AC187" s="833"/>
      <c r="AD187" s="833"/>
      <c r="AE187" s="833"/>
      <c r="AF187" s="833"/>
      <c r="AG187" s="833"/>
      <c r="AH187" s="833"/>
      <c r="AI187" s="833"/>
    </row>
    <row r="188" spans="2:60" ht="42.75" customHeight="1" x14ac:dyDescent="0.25">
      <c r="B188" s="833"/>
      <c r="C188" s="1009"/>
      <c r="D188" s="833"/>
      <c r="E188" s="833"/>
      <c r="F188" s="924"/>
      <c r="G188" s="833"/>
      <c r="H188" s="833"/>
      <c r="I188" s="924"/>
      <c r="J188" s="833"/>
      <c r="K188" s="833"/>
      <c r="L188" s="924"/>
      <c r="M188" s="833"/>
      <c r="N188" s="833"/>
      <c r="O188" s="924"/>
      <c r="P188" s="833"/>
      <c r="Q188" s="833"/>
      <c r="R188" s="924"/>
      <c r="S188" s="833"/>
      <c r="T188" s="833"/>
      <c r="U188" s="924"/>
      <c r="V188" s="833"/>
      <c r="W188" s="833"/>
      <c r="X188" s="924"/>
      <c r="Y188" s="833"/>
      <c r="Z188" s="833"/>
      <c r="AA188" s="924"/>
      <c r="AB188" s="833"/>
      <c r="AC188" s="833"/>
      <c r="AD188" s="833"/>
      <c r="AE188" s="833"/>
      <c r="AF188" s="833"/>
      <c r="AG188" s="833"/>
      <c r="AH188" s="833"/>
      <c r="AI188" s="833"/>
    </row>
    <row r="189" spans="2:60" ht="42.75" customHeight="1" x14ac:dyDescent="0.25">
      <c r="B189" s="833"/>
      <c r="C189" s="1009"/>
      <c r="D189" s="833"/>
      <c r="E189" s="833"/>
      <c r="F189" s="924"/>
      <c r="G189" s="833"/>
      <c r="H189" s="833"/>
      <c r="I189" s="924"/>
      <c r="J189" s="833"/>
      <c r="K189" s="833"/>
      <c r="L189" s="924"/>
      <c r="M189" s="833"/>
      <c r="N189" s="833"/>
      <c r="O189" s="924"/>
      <c r="P189" s="833"/>
      <c r="Q189" s="833"/>
      <c r="R189" s="924"/>
      <c r="S189" s="833"/>
      <c r="T189" s="833"/>
      <c r="U189" s="924"/>
      <c r="V189" s="833"/>
      <c r="W189" s="833"/>
      <c r="X189" s="924"/>
      <c r="Y189" s="833"/>
      <c r="Z189" s="833"/>
      <c r="AA189" s="924"/>
      <c r="AB189" s="833"/>
      <c r="AC189" s="833"/>
      <c r="AD189" s="833"/>
      <c r="AE189" s="833"/>
      <c r="AF189" s="833"/>
      <c r="AG189" s="833"/>
      <c r="AH189" s="833"/>
      <c r="AI189" s="833"/>
    </row>
    <row r="190" spans="2:60" ht="42.75" customHeight="1" x14ac:dyDescent="0.25">
      <c r="B190" s="833"/>
      <c r="C190" s="1009"/>
      <c r="D190" s="833"/>
      <c r="E190" s="833"/>
      <c r="F190" s="924"/>
      <c r="G190" s="833"/>
      <c r="H190" s="833"/>
      <c r="I190" s="924"/>
      <c r="J190" s="833"/>
      <c r="K190" s="833"/>
      <c r="L190" s="924"/>
      <c r="M190" s="833"/>
      <c r="N190" s="833"/>
      <c r="O190" s="924"/>
      <c r="P190" s="833"/>
      <c r="Q190" s="833"/>
      <c r="R190" s="924"/>
      <c r="S190" s="833"/>
      <c r="T190" s="833"/>
      <c r="U190" s="924"/>
      <c r="V190" s="833"/>
      <c r="W190" s="833"/>
      <c r="X190" s="924"/>
      <c r="Y190" s="833"/>
      <c r="Z190" s="833"/>
      <c r="AA190" s="924"/>
      <c r="AB190" s="833"/>
      <c r="AC190" s="833"/>
      <c r="AD190" s="833"/>
      <c r="AE190" s="833"/>
      <c r="AF190" s="833"/>
      <c r="AG190" s="833"/>
      <c r="AH190" s="833"/>
      <c r="AI190" s="833"/>
    </row>
    <row r="191" spans="2:60" ht="42.75" customHeight="1" x14ac:dyDescent="0.25">
      <c r="B191" s="833"/>
      <c r="C191" s="1009"/>
      <c r="D191" s="833"/>
      <c r="E191" s="833"/>
      <c r="F191" s="924"/>
      <c r="G191" s="833"/>
      <c r="H191" s="833"/>
      <c r="I191" s="924"/>
      <c r="J191" s="833"/>
      <c r="K191" s="833"/>
      <c r="L191" s="924"/>
      <c r="M191" s="833"/>
      <c r="N191" s="833"/>
      <c r="O191" s="924"/>
      <c r="P191" s="833"/>
      <c r="Q191" s="833"/>
      <c r="R191" s="924"/>
      <c r="S191" s="833"/>
      <c r="T191" s="833"/>
      <c r="U191" s="924"/>
      <c r="V191" s="833"/>
      <c r="W191" s="833"/>
      <c r="X191" s="924"/>
      <c r="Y191" s="833"/>
      <c r="Z191" s="833"/>
      <c r="AA191" s="924"/>
      <c r="AB191" s="833"/>
      <c r="AC191" s="833"/>
      <c r="AD191" s="833"/>
      <c r="AE191" s="833"/>
      <c r="AF191" s="833"/>
      <c r="AG191" s="833"/>
      <c r="AH191" s="833"/>
      <c r="AI191" s="833"/>
    </row>
    <row r="192" spans="2:60" ht="42.75" customHeight="1" x14ac:dyDescent="0.25">
      <c r="B192" s="833"/>
      <c r="C192" s="1009"/>
      <c r="D192" s="833"/>
      <c r="E192" s="833"/>
      <c r="F192" s="924"/>
      <c r="G192" s="833"/>
      <c r="H192" s="833"/>
      <c r="I192" s="924"/>
      <c r="J192" s="833"/>
      <c r="K192" s="833"/>
      <c r="L192" s="924"/>
      <c r="M192" s="833"/>
      <c r="N192" s="833"/>
      <c r="O192" s="924"/>
      <c r="P192" s="833"/>
      <c r="Q192" s="833"/>
      <c r="R192" s="924"/>
      <c r="S192" s="833"/>
      <c r="T192" s="833"/>
      <c r="U192" s="924"/>
      <c r="V192" s="833"/>
      <c r="W192" s="833"/>
      <c r="X192" s="924"/>
      <c r="Y192" s="833"/>
      <c r="Z192" s="833"/>
      <c r="AA192" s="924"/>
      <c r="AB192" s="833"/>
      <c r="AC192" s="833"/>
      <c r="AD192" s="833"/>
      <c r="AE192" s="833"/>
      <c r="AF192" s="833"/>
      <c r="AG192" s="833"/>
      <c r="AH192" s="833"/>
      <c r="AI192" s="833"/>
    </row>
    <row r="193" spans="3:27" s="833" customFormat="1" ht="42.75" customHeight="1" x14ac:dyDescent="0.25">
      <c r="C193" s="1009"/>
      <c r="F193" s="924"/>
      <c r="I193" s="924"/>
      <c r="L193" s="924"/>
      <c r="O193" s="924"/>
      <c r="R193" s="924"/>
      <c r="U193" s="924"/>
      <c r="X193" s="924"/>
      <c r="AA193" s="924"/>
    </row>
    <row r="194" spans="3:27" s="833" customFormat="1" ht="42.75" customHeight="1" x14ac:dyDescent="0.25">
      <c r="C194" s="1009"/>
      <c r="F194" s="924"/>
      <c r="I194" s="924"/>
      <c r="L194" s="924"/>
      <c r="O194" s="924"/>
      <c r="R194" s="924"/>
      <c r="U194" s="924"/>
      <c r="X194" s="924"/>
      <c r="AA194" s="924"/>
    </row>
    <row r="195" spans="3:27" s="833" customFormat="1" ht="42.75" customHeight="1" x14ac:dyDescent="0.25">
      <c r="C195" s="1009"/>
      <c r="F195" s="924"/>
      <c r="I195" s="924"/>
      <c r="L195" s="924"/>
      <c r="O195" s="924"/>
      <c r="R195" s="924"/>
      <c r="U195" s="924"/>
      <c r="X195" s="924"/>
      <c r="AA195" s="924"/>
    </row>
    <row r="196" spans="3:27" s="833" customFormat="1" ht="42.75" customHeight="1" x14ac:dyDescent="0.25">
      <c r="C196" s="1009"/>
      <c r="F196" s="924"/>
      <c r="I196" s="924"/>
      <c r="L196" s="924"/>
      <c r="O196" s="924"/>
      <c r="R196" s="924"/>
      <c r="U196" s="924"/>
      <c r="X196" s="924"/>
      <c r="AA196" s="924"/>
    </row>
    <row r="197" spans="3:27" s="833" customFormat="1" ht="42.75" customHeight="1" x14ac:dyDescent="0.25">
      <c r="C197" s="1009"/>
      <c r="F197" s="924"/>
      <c r="I197" s="924"/>
      <c r="L197" s="924"/>
      <c r="O197" s="924"/>
      <c r="R197" s="924"/>
      <c r="U197" s="924"/>
      <c r="X197" s="924"/>
      <c r="AA197" s="924"/>
    </row>
    <row r="198" spans="3:27" s="833" customFormat="1" ht="42.75" customHeight="1" x14ac:dyDescent="0.25">
      <c r="C198" s="1009"/>
      <c r="F198" s="924"/>
      <c r="I198" s="924"/>
      <c r="L198" s="924"/>
      <c r="O198" s="924"/>
      <c r="R198" s="924"/>
      <c r="U198" s="924"/>
      <c r="X198" s="924"/>
      <c r="AA198" s="924"/>
    </row>
    <row r="199" spans="3:27" s="833" customFormat="1" ht="42.75" customHeight="1" x14ac:dyDescent="0.25">
      <c r="C199" s="1009"/>
      <c r="F199" s="924"/>
      <c r="I199" s="924"/>
      <c r="L199" s="924"/>
      <c r="O199" s="924"/>
      <c r="R199" s="924"/>
      <c r="U199" s="924"/>
      <c r="X199" s="924"/>
      <c r="AA199" s="924"/>
    </row>
    <row r="200" spans="3:27" s="833" customFormat="1" ht="42.75" customHeight="1" x14ac:dyDescent="0.25">
      <c r="C200" s="1009"/>
      <c r="F200" s="924"/>
      <c r="I200" s="924"/>
      <c r="L200" s="924"/>
      <c r="O200" s="924"/>
      <c r="R200" s="924"/>
      <c r="U200" s="924"/>
      <c r="X200" s="924"/>
      <c r="AA200" s="924"/>
    </row>
    <row r="201" spans="3:27" s="833" customFormat="1" ht="42.75" customHeight="1" x14ac:dyDescent="0.25">
      <c r="C201" s="1009"/>
      <c r="F201" s="924"/>
      <c r="I201" s="924"/>
      <c r="L201" s="924"/>
      <c r="O201" s="924"/>
      <c r="R201" s="924"/>
      <c r="U201" s="924"/>
      <c r="X201" s="924"/>
      <c r="AA201" s="924"/>
    </row>
    <row r="202" spans="3:27" s="833" customFormat="1" ht="42.75" customHeight="1" x14ac:dyDescent="0.25">
      <c r="C202" s="1009"/>
      <c r="F202" s="924"/>
      <c r="I202" s="924"/>
      <c r="L202" s="924"/>
      <c r="O202" s="924"/>
      <c r="R202" s="924"/>
      <c r="U202" s="924"/>
      <c r="X202" s="924"/>
      <c r="AA202" s="924"/>
    </row>
    <row r="203" spans="3:27" s="833" customFormat="1" ht="42.75" customHeight="1" x14ac:dyDescent="0.25">
      <c r="C203" s="1009"/>
      <c r="F203" s="924"/>
      <c r="I203" s="924"/>
      <c r="L203" s="924"/>
      <c r="O203" s="924"/>
      <c r="R203" s="924"/>
      <c r="U203" s="924"/>
      <c r="X203" s="924"/>
      <c r="AA203" s="924"/>
    </row>
    <row r="204" spans="3:27" s="833" customFormat="1" ht="42.75" customHeight="1" x14ac:dyDescent="0.25">
      <c r="C204" s="1009"/>
      <c r="F204" s="924"/>
      <c r="I204" s="924"/>
      <c r="L204" s="924"/>
      <c r="O204" s="924"/>
      <c r="R204" s="924"/>
      <c r="U204" s="924"/>
      <c r="X204" s="924"/>
      <c r="AA204" s="924"/>
    </row>
    <row r="205" spans="3:27" s="833" customFormat="1" ht="42.75" customHeight="1" x14ac:dyDescent="0.25">
      <c r="C205" s="1009"/>
      <c r="F205" s="924"/>
      <c r="I205" s="924"/>
      <c r="L205" s="924"/>
      <c r="O205" s="924"/>
      <c r="R205" s="924"/>
      <c r="U205" s="924"/>
      <c r="X205" s="924"/>
      <c r="AA205" s="924"/>
    </row>
    <row r="206" spans="3:27" s="833" customFormat="1" ht="42.75" customHeight="1" x14ac:dyDescent="0.25">
      <c r="C206" s="1009"/>
      <c r="F206" s="924"/>
      <c r="I206" s="924"/>
      <c r="L206" s="924"/>
      <c r="O206" s="924"/>
      <c r="R206" s="924"/>
      <c r="U206" s="924"/>
      <c r="X206" s="924"/>
      <c r="AA206" s="924"/>
    </row>
    <row r="207" spans="3:27" s="833" customFormat="1" ht="42.75" customHeight="1" x14ac:dyDescent="0.25">
      <c r="C207" s="1009"/>
      <c r="F207" s="924"/>
      <c r="I207" s="924"/>
      <c r="L207" s="924"/>
      <c r="O207" s="924"/>
      <c r="R207" s="924"/>
      <c r="U207" s="924"/>
      <c r="X207" s="924"/>
      <c r="AA207" s="924"/>
    </row>
    <row r="208" spans="3:27" s="833" customFormat="1" ht="42.75" customHeight="1" x14ac:dyDescent="0.25">
      <c r="C208" s="1009"/>
      <c r="F208" s="924"/>
      <c r="I208" s="924"/>
      <c r="L208" s="924"/>
      <c r="O208" s="924"/>
      <c r="R208" s="924"/>
      <c r="U208" s="924"/>
      <c r="X208" s="924"/>
      <c r="AA208" s="924"/>
    </row>
    <row r="209" spans="3:27" s="833" customFormat="1" ht="42.75" customHeight="1" x14ac:dyDescent="0.25">
      <c r="C209" s="1009"/>
      <c r="F209" s="924"/>
      <c r="I209" s="924"/>
      <c r="L209" s="924"/>
      <c r="O209" s="924"/>
      <c r="R209" s="924"/>
      <c r="U209" s="924"/>
      <c r="X209" s="924"/>
      <c r="AA209" s="924"/>
    </row>
    <row r="210" spans="3:27" s="833" customFormat="1" ht="42.75" customHeight="1" x14ac:dyDescent="0.25">
      <c r="C210" s="1009"/>
      <c r="F210" s="924"/>
      <c r="I210" s="924"/>
      <c r="L210" s="924"/>
      <c r="O210" s="924"/>
      <c r="R210" s="924"/>
      <c r="U210" s="924"/>
      <c r="X210" s="924"/>
      <c r="AA210" s="924"/>
    </row>
    <row r="211" spans="3:27" s="833" customFormat="1" ht="42.75" customHeight="1" x14ac:dyDescent="0.25">
      <c r="C211" s="1009"/>
      <c r="F211" s="924"/>
      <c r="I211" s="924"/>
      <c r="L211" s="924"/>
      <c r="O211" s="924"/>
      <c r="R211" s="924"/>
      <c r="U211" s="924"/>
      <c r="X211" s="924"/>
      <c r="AA211" s="924"/>
    </row>
    <row r="212" spans="3:27" s="833" customFormat="1" ht="42.75" customHeight="1" x14ac:dyDescent="0.25">
      <c r="C212" s="1009"/>
      <c r="F212" s="924"/>
      <c r="I212" s="924"/>
      <c r="L212" s="924"/>
      <c r="O212" s="924"/>
      <c r="R212" s="924"/>
      <c r="U212" s="924"/>
      <c r="X212" s="924"/>
      <c r="AA212" s="924"/>
    </row>
    <row r="213" spans="3:27" s="833" customFormat="1" ht="42.75" customHeight="1" x14ac:dyDescent="0.25">
      <c r="C213" s="1009"/>
      <c r="F213" s="924"/>
      <c r="I213" s="924"/>
      <c r="L213" s="924"/>
      <c r="O213" s="924"/>
      <c r="R213" s="924"/>
      <c r="U213" s="924"/>
      <c r="X213" s="924"/>
      <c r="AA213" s="924"/>
    </row>
    <row r="214" spans="3:27" s="833" customFormat="1" ht="42.75" customHeight="1" x14ac:dyDescent="0.25">
      <c r="C214" s="1009"/>
      <c r="F214" s="924"/>
      <c r="I214" s="924"/>
      <c r="L214" s="924"/>
      <c r="O214" s="924"/>
      <c r="R214" s="924"/>
      <c r="U214" s="924"/>
      <c r="X214" s="924"/>
      <c r="AA214" s="924"/>
    </row>
    <row r="215" spans="3:27" s="833" customFormat="1" ht="42.75" customHeight="1" x14ac:dyDescent="0.25">
      <c r="C215" s="1009"/>
      <c r="F215" s="924"/>
      <c r="I215" s="924"/>
      <c r="L215" s="924"/>
      <c r="O215" s="924"/>
      <c r="R215" s="924"/>
      <c r="U215" s="924"/>
      <c r="X215" s="924"/>
      <c r="AA215" s="924"/>
    </row>
    <row r="216" spans="3:27" s="833" customFormat="1" ht="42.75" customHeight="1" x14ac:dyDescent="0.25">
      <c r="C216" s="1009"/>
      <c r="F216" s="924"/>
      <c r="I216" s="924"/>
      <c r="L216" s="924"/>
      <c r="O216" s="924"/>
      <c r="R216" s="924"/>
      <c r="U216" s="924"/>
      <c r="X216" s="924"/>
      <c r="AA216" s="924"/>
    </row>
    <row r="217" spans="3:27" s="833" customFormat="1" ht="42.75" customHeight="1" x14ac:dyDescent="0.25">
      <c r="C217" s="1009"/>
      <c r="F217" s="924"/>
      <c r="I217" s="924"/>
      <c r="L217" s="924"/>
      <c r="O217" s="924"/>
      <c r="R217" s="924"/>
      <c r="U217" s="924"/>
      <c r="X217" s="924"/>
      <c r="AA217" s="924"/>
    </row>
    <row r="218" spans="3:27" s="833" customFormat="1" ht="42.75" customHeight="1" x14ac:dyDescent="0.25">
      <c r="C218" s="1009"/>
      <c r="F218" s="924"/>
      <c r="I218" s="924"/>
      <c r="L218" s="924"/>
      <c r="O218" s="924"/>
      <c r="R218" s="924"/>
      <c r="U218" s="924"/>
      <c r="X218" s="924"/>
      <c r="AA218" s="924"/>
    </row>
    <row r="219" spans="3:27" s="833" customFormat="1" ht="42.75" customHeight="1" x14ac:dyDescent="0.25">
      <c r="C219" s="1009"/>
      <c r="F219" s="924"/>
      <c r="I219" s="924"/>
      <c r="L219" s="924"/>
      <c r="O219" s="924"/>
      <c r="R219" s="924"/>
      <c r="U219" s="924"/>
      <c r="X219" s="924"/>
      <c r="AA219" s="924"/>
    </row>
    <row r="220" spans="3:27" s="833" customFormat="1" ht="42.75" customHeight="1" x14ac:dyDescent="0.25">
      <c r="C220" s="1009"/>
      <c r="F220" s="924"/>
      <c r="I220" s="924"/>
      <c r="L220" s="924"/>
      <c r="O220" s="924"/>
      <c r="R220" s="924"/>
      <c r="U220" s="924"/>
      <c r="X220" s="924"/>
      <c r="AA220" s="924"/>
    </row>
    <row r="221" spans="3:27" s="833" customFormat="1" ht="42.75" customHeight="1" x14ac:dyDescent="0.25">
      <c r="C221" s="1009"/>
      <c r="F221" s="924"/>
      <c r="I221" s="924"/>
      <c r="L221" s="924"/>
      <c r="O221" s="924"/>
      <c r="R221" s="924"/>
      <c r="U221" s="924"/>
      <c r="X221" s="924"/>
      <c r="AA221" s="924"/>
    </row>
    <row r="222" spans="3:27" s="833" customFormat="1" ht="42.75" customHeight="1" x14ac:dyDescent="0.25">
      <c r="C222" s="1009"/>
      <c r="F222" s="924"/>
      <c r="I222" s="924"/>
      <c r="L222" s="924"/>
      <c r="O222" s="924"/>
      <c r="R222" s="924"/>
      <c r="U222" s="924"/>
      <c r="X222" s="924"/>
      <c r="AA222" s="924"/>
    </row>
    <row r="223" spans="3:27" s="833" customFormat="1" ht="42.75" customHeight="1" x14ac:dyDescent="0.25">
      <c r="C223" s="1009"/>
      <c r="F223" s="924"/>
      <c r="I223" s="924"/>
      <c r="L223" s="924"/>
      <c r="O223" s="924"/>
      <c r="R223" s="924"/>
      <c r="U223" s="924"/>
      <c r="X223" s="924"/>
      <c r="AA223" s="924"/>
    </row>
    <row r="224" spans="3:27" s="833" customFormat="1" ht="42.75" customHeight="1" x14ac:dyDescent="0.25">
      <c r="C224" s="1009"/>
      <c r="F224" s="924"/>
      <c r="I224" s="924"/>
      <c r="L224" s="924"/>
      <c r="O224" s="924"/>
      <c r="R224" s="924"/>
      <c r="U224" s="924"/>
      <c r="X224" s="924"/>
      <c r="AA224" s="924"/>
    </row>
    <row r="225" spans="3:27" s="833" customFormat="1" ht="42.75" customHeight="1" x14ac:dyDescent="0.25">
      <c r="C225" s="1009"/>
      <c r="F225" s="924"/>
      <c r="I225" s="924"/>
      <c r="L225" s="924"/>
      <c r="O225" s="924"/>
      <c r="R225" s="924"/>
      <c r="U225" s="924"/>
      <c r="X225" s="924"/>
      <c r="AA225" s="924"/>
    </row>
    <row r="226" spans="3:27" s="833" customFormat="1" ht="42.75" customHeight="1" x14ac:dyDescent="0.25">
      <c r="C226" s="1009"/>
      <c r="F226" s="924"/>
      <c r="I226" s="924"/>
      <c r="L226" s="924"/>
      <c r="O226" s="924"/>
      <c r="R226" s="924"/>
      <c r="U226" s="924"/>
      <c r="X226" s="924"/>
      <c r="AA226" s="924"/>
    </row>
    <row r="227" spans="3:27" s="833" customFormat="1" ht="42.75" customHeight="1" x14ac:dyDescent="0.25">
      <c r="C227" s="1009"/>
      <c r="F227" s="924"/>
      <c r="I227" s="924"/>
      <c r="L227" s="924"/>
      <c r="O227" s="924"/>
      <c r="R227" s="924"/>
      <c r="U227" s="924"/>
      <c r="X227" s="924"/>
      <c r="AA227" s="924"/>
    </row>
    <row r="228" spans="3:27" s="833" customFormat="1" ht="42.75" customHeight="1" x14ac:dyDescent="0.25">
      <c r="C228" s="1009"/>
      <c r="F228" s="924"/>
      <c r="I228" s="924"/>
      <c r="L228" s="924"/>
      <c r="O228" s="924"/>
      <c r="R228" s="924"/>
      <c r="U228" s="924"/>
      <c r="X228" s="924"/>
      <c r="AA228" s="924"/>
    </row>
    <row r="229" spans="3:27" s="833" customFormat="1" ht="42.75" customHeight="1" x14ac:dyDescent="0.25">
      <c r="C229" s="1009"/>
      <c r="F229" s="924"/>
      <c r="I229" s="924"/>
      <c r="L229" s="924"/>
      <c r="O229" s="924"/>
      <c r="R229" s="924"/>
      <c r="U229" s="924"/>
      <c r="X229" s="924"/>
      <c r="AA229" s="924"/>
    </row>
    <row r="230" spans="3:27" s="833" customFormat="1" ht="42.75" customHeight="1" x14ac:dyDescent="0.25">
      <c r="C230" s="1009"/>
      <c r="F230" s="924"/>
      <c r="I230" s="924"/>
      <c r="L230" s="924"/>
      <c r="O230" s="924"/>
      <c r="R230" s="924"/>
      <c r="U230" s="924"/>
      <c r="X230" s="924"/>
      <c r="AA230" s="924"/>
    </row>
    <row r="231" spans="3:27" s="833" customFormat="1" ht="42.75" customHeight="1" x14ac:dyDescent="0.25">
      <c r="C231" s="1009"/>
      <c r="F231" s="924"/>
      <c r="I231" s="924"/>
      <c r="L231" s="924"/>
      <c r="O231" s="924"/>
      <c r="R231" s="924"/>
      <c r="U231" s="924"/>
      <c r="X231" s="924"/>
      <c r="AA231" s="924"/>
    </row>
    <row r="232" spans="3:27" s="833" customFormat="1" ht="42.75" customHeight="1" x14ac:dyDescent="0.25">
      <c r="C232" s="1009"/>
      <c r="F232" s="924"/>
      <c r="I232" s="924"/>
      <c r="L232" s="924"/>
      <c r="O232" s="924"/>
      <c r="R232" s="924"/>
      <c r="U232" s="924"/>
      <c r="X232" s="924"/>
      <c r="AA232" s="924"/>
    </row>
    <row r="233" spans="3:27" s="833" customFormat="1" ht="42.75" customHeight="1" x14ac:dyDescent="0.25">
      <c r="C233" s="1009"/>
      <c r="F233" s="924"/>
      <c r="I233" s="924"/>
      <c r="L233" s="924"/>
      <c r="O233" s="924"/>
      <c r="R233" s="924"/>
      <c r="U233" s="924"/>
      <c r="X233" s="924"/>
      <c r="AA233" s="924"/>
    </row>
    <row r="234" spans="3:27" s="833" customFormat="1" ht="42.75" customHeight="1" x14ac:dyDescent="0.25">
      <c r="C234" s="1009"/>
      <c r="F234" s="924"/>
      <c r="I234" s="924"/>
      <c r="L234" s="924"/>
      <c r="O234" s="924"/>
      <c r="R234" s="924"/>
      <c r="U234" s="924"/>
      <c r="X234" s="924"/>
      <c r="AA234" s="924"/>
    </row>
    <row r="235" spans="3:27" s="833" customFormat="1" ht="42.75" customHeight="1" x14ac:dyDescent="0.25">
      <c r="C235" s="1009"/>
      <c r="F235" s="924"/>
      <c r="I235" s="924"/>
      <c r="L235" s="924"/>
      <c r="O235" s="924"/>
      <c r="R235" s="924"/>
      <c r="U235" s="924"/>
      <c r="X235" s="924"/>
      <c r="AA235" s="924"/>
    </row>
    <row r="236" spans="3:27" s="833" customFormat="1" ht="42.75" customHeight="1" x14ac:dyDescent="0.25">
      <c r="C236" s="1009"/>
      <c r="F236" s="924"/>
      <c r="I236" s="924"/>
      <c r="L236" s="924"/>
      <c r="O236" s="924"/>
      <c r="R236" s="924"/>
      <c r="U236" s="924"/>
      <c r="X236" s="924"/>
      <c r="AA236" s="924"/>
    </row>
    <row r="237" spans="3:27" s="833" customFormat="1" ht="42.75" customHeight="1" x14ac:dyDescent="0.25">
      <c r="C237" s="1009"/>
      <c r="F237" s="924"/>
      <c r="I237" s="924"/>
      <c r="L237" s="924"/>
      <c r="O237" s="924"/>
      <c r="R237" s="924"/>
      <c r="U237" s="924"/>
      <c r="X237" s="924"/>
      <c r="AA237" s="924"/>
    </row>
    <row r="238" spans="3:27" s="833" customFormat="1" ht="42.75" customHeight="1" x14ac:dyDescent="0.25">
      <c r="C238" s="1009"/>
      <c r="F238" s="924"/>
      <c r="I238" s="924"/>
      <c r="L238" s="924"/>
      <c r="O238" s="924"/>
      <c r="R238" s="924"/>
      <c r="U238" s="924"/>
      <c r="X238" s="924"/>
      <c r="AA238" s="924"/>
    </row>
    <row r="239" spans="3:27" s="833" customFormat="1" ht="42.75" customHeight="1" x14ac:dyDescent="0.25">
      <c r="C239" s="1009"/>
      <c r="F239" s="924"/>
      <c r="I239" s="924"/>
      <c r="L239" s="924"/>
      <c r="O239" s="924"/>
      <c r="R239" s="924"/>
      <c r="U239" s="924"/>
      <c r="X239" s="924"/>
      <c r="AA239" s="924"/>
    </row>
    <row r="240" spans="3:27" s="833" customFormat="1" ht="42.75" customHeight="1" x14ac:dyDescent="0.25">
      <c r="C240" s="1009"/>
      <c r="F240" s="924"/>
      <c r="I240" s="924"/>
      <c r="L240" s="924"/>
      <c r="O240" s="924"/>
      <c r="R240" s="924"/>
      <c r="U240" s="924"/>
      <c r="X240" s="924"/>
      <c r="AA240" s="924"/>
    </row>
    <row r="241" spans="3:27" s="833" customFormat="1" ht="42.75" customHeight="1" x14ac:dyDescent="0.25">
      <c r="C241" s="1009"/>
      <c r="F241" s="924"/>
      <c r="I241" s="924"/>
      <c r="L241" s="924"/>
      <c r="O241" s="924"/>
      <c r="R241" s="924"/>
      <c r="U241" s="924"/>
      <c r="X241" s="924"/>
      <c r="AA241" s="924"/>
    </row>
    <row r="242" spans="3:27" s="833" customFormat="1" ht="42.75" customHeight="1" x14ac:dyDescent="0.25">
      <c r="C242" s="1009"/>
      <c r="F242" s="924"/>
      <c r="I242" s="924"/>
      <c r="L242" s="924"/>
      <c r="O242" s="924"/>
      <c r="R242" s="924"/>
      <c r="U242" s="924"/>
      <c r="X242" s="924"/>
      <c r="AA242" s="924"/>
    </row>
    <row r="243" spans="3:27" s="833" customFormat="1" ht="42.75" hidden="1" customHeight="1" x14ac:dyDescent="0.25">
      <c r="C243" s="1009"/>
      <c r="F243" s="924"/>
      <c r="I243" s="924"/>
      <c r="L243" s="924"/>
      <c r="O243" s="924"/>
      <c r="R243" s="924"/>
      <c r="U243" s="924"/>
      <c r="X243" s="924"/>
      <c r="AA243" s="924"/>
    </row>
    <row r="244" spans="3:27" s="833" customFormat="1" ht="42.75" hidden="1" customHeight="1" x14ac:dyDescent="0.25">
      <c r="C244" s="1009"/>
      <c r="F244" s="924"/>
      <c r="I244" s="924"/>
      <c r="L244" s="924"/>
      <c r="O244" s="924"/>
      <c r="R244" s="924"/>
      <c r="U244" s="924"/>
      <c r="X244" s="924"/>
      <c r="AA244" s="924"/>
    </row>
    <row r="245" spans="3:27" s="833" customFormat="1" ht="42.75" hidden="1" customHeight="1" x14ac:dyDescent="0.25">
      <c r="C245" s="1009"/>
      <c r="F245" s="924"/>
      <c r="I245" s="924"/>
      <c r="L245" s="924"/>
      <c r="O245" s="924"/>
      <c r="R245" s="924"/>
      <c r="U245" s="924"/>
      <c r="X245" s="924"/>
      <c r="AA245" s="924"/>
    </row>
    <row r="246" spans="3:27" s="833" customFormat="1" ht="42.75" hidden="1" customHeight="1" x14ac:dyDescent="0.25">
      <c r="C246" s="1009"/>
      <c r="F246" s="924"/>
      <c r="I246" s="924"/>
      <c r="L246" s="924"/>
      <c r="O246" s="924"/>
      <c r="R246" s="924"/>
      <c r="U246" s="924"/>
      <c r="X246" s="924"/>
      <c r="AA246" s="924"/>
    </row>
    <row r="247" spans="3:27" s="833" customFormat="1" ht="42.75" hidden="1" customHeight="1" x14ac:dyDescent="0.25">
      <c r="C247" s="1009"/>
      <c r="F247" s="924"/>
      <c r="I247" s="924"/>
      <c r="L247" s="924"/>
      <c r="O247" s="924"/>
      <c r="R247" s="924"/>
      <c r="U247" s="924"/>
      <c r="X247" s="924"/>
      <c r="AA247" s="924"/>
    </row>
    <row r="248" spans="3:27" s="833" customFormat="1" ht="42.75" hidden="1" customHeight="1" x14ac:dyDescent="0.25">
      <c r="C248" s="1009"/>
      <c r="F248" s="924"/>
      <c r="I248" s="924"/>
      <c r="L248" s="924"/>
      <c r="O248" s="924"/>
      <c r="R248" s="924"/>
      <c r="U248" s="924"/>
      <c r="X248" s="924"/>
      <c r="AA248" s="924"/>
    </row>
    <row r="249" spans="3:27" s="833" customFormat="1" ht="42.75" hidden="1" customHeight="1" x14ac:dyDescent="0.25">
      <c r="C249" s="1009"/>
      <c r="F249" s="924"/>
      <c r="I249" s="924"/>
      <c r="L249" s="924"/>
      <c r="O249" s="924"/>
      <c r="R249" s="924"/>
      <c r="U249" s="924"/>
      <c r="X249" s="924"/>
      <c r="AA249" s="924"/>
    </row>
    <row r="250" spans="3:27" s="833" customFormat="1" ht="42.75" hidden="1" customHeight="1" x14ac:dyDescent="0.25">
      <c r="C250" s="1009"/>
      <c r="F250" s="924"/>
      <c r="I250" s="924"/>
      <c r="L250" s="924"/>
      <c r="O250" s="924"/>
      <c r="R250" s="924"/>
      <c r="U250" s="924"/>
      <c r="X250" s="924"/>
      <c r="AA250" s="924"/>
    </row>
    <row r="251" spans="3:27" s="833" customFormat="1" ht="42.75" hidden="1" customHeight="1" x14ac:dyDescent="0.25">
      <c r="C251" s="1009"/>
      <c r="F251" s="924"/>
      <c r="I251" s="924"/>
      <c r="L251" s="924"/>
      <c r="O251" s="924"/>
      <c r="R251" s="924"/>
      <c r="U251" s="924"/>
      <c r="X251" s="924"/>
      <c r="AA251" s="924"/>
    </row>
    <row r="252" spans="3:27" s="833" customFormat="1" ht="42.75" hidden="1" customHeight="1" x14ac:dyDescent="0.25">
      <c r="C252" s="1009"/>
      <c r="F252" s="924"/>
      <c r="I252" s="924"/>
      <c r="L252" s="924"/>
      <c r="O252" s="924"/>
      <c r="R252" s="924"/>
      <c r="U252" s="924"/>
      <c r="X252" s="924"/>
      <c r="AA252" s="924"/>
    </row>
    <row r="253" spans="3:27" s="833" customFormat="1" ht="42.75" hidden="1" customHeight="1" x14ac:dyDescent="0.25">
      <c r="C253" s="1009"/>
      <c r="F253" s="924"/>
      <c r="I253" s="924"/>
      <c r="L253" s="924"/>
      <c r="O253" s="924"/>
      <c r="R253" s="924"/>
      <c r="U253" s="924"/>
      <c r="X253" s="924"/>
      <c r="AA253" s="924"/>
    </row>
    <row r="254" spans="3:27" s="833" customFormat="1" ht="42.75" hidden="1" customHeight="1" x14ac:dyDescent="0.25">
      <c r="C254" s="1009"/>
      <c r="F254" s="924"/>
      <c r="I254" s="924"/>
      <c r="L254" s="924"/>
      <c r="O254" s="924"/>
      <c r="R254" s="924"/>
      <c r="U254" s="924"/>
      <c r="X254" s="924"/>
      <c r="AA254" s="924"/>
    </row>
    <row r="255" spans="3:27" s="833" customFormat="1" ht="42.75" hidden="1" customHeight="1" x14ac:dyDescent="0.25">
      <c r="C255" s="1009"/>
      <c r="F255" s="924"/>
      <c r="I255" s="924"/>
      <c r="L255" s="924"/>
      <c r="O255" s="924"/>
      <c r="R255" s="924"/>
      <c r="U255" s="924"/>
      <c r="X255" s="924"/>
      <c r="AA255" s="924"/>
    </row>
    <row r="256" spans="3:27" s="833" customFormat="1" ht="42.75" hidden="1" customHeight="1" x14ac:dyDescent="0.25">
      <c r="C256" s="1009"/>
      <c r="F256" s="924"/>
      <c r="I256" s="924"/>
      <c r="L256" s="924"/>
      <c r="O256" s="924"/>
      <c r="R256" s="924"/>
      <c r="U256" s="924"/>
      <c r="X256" s="924"/>
      <c r="AA256" s="924"/>
    </row>
    <row r="257" spans="3:27" s="833" customFormat="1" ht="42.75" hidden="1" customHeight="1" x14ac:dyDescent="0.25">
      <c r="C257" s="1009"/>
      <c r="F257" s="924"/>
      <c r="I257" s="924"/>
      <c r="L257" s="924"/>
      <c r="O257" s="924"/>
      <c r="R257" s="924"/>
      <c r="U257" s="924"/>
      <c r="X257" s="924"/>
      <c r="AA257" s="924"/>
    </row>
    <row r="258" spans="3:27" s="833" customFormat="1" ht="42.75" hidden="1" customHeight="1" x14ac:dyDescent="0.25">
      <c r="C258" s="1009"/>
      <c r="F258" s="924"/>
      <c r="I258" s="924"/>
      <c r="L258" s="924"/>
      <c r="O258" s="924"/>
      <c r="R258" s="924"/>
      <c r="U258" s="924"/>
      <c r="X258" s="924"/>
      <c r="AA258" s="924"/>
    </row>
    <row r="259" spans="3:27" s="833" customFormat="1" ht="42.75" hidden="1" customHeight="1" x14ac:dyDescent="0.25">
      <c r="C259" s="1009"/>
      <c r="F259" s="924"/>
      <c r="I259" s="924"/>
      <c r="L259" s="924"/>
      <c r="O259" s="924"/>
      <c r="R259" s="924"/>
      <c r="U259" s="924"/>
      <c r="X259" s="924"/>
      <c r="AA259" s="924"/>
    </row>
    <row r="260" spans="3:27" s="833" customFormat="1" ht="42.75" hidden="1" customHeight="1" x14ac:dyDescent="0.25">
      <c r="C260" s="1009"/>
      <c r="F260" s="924"/>
      <c r="I260" s="924"/>
      <c r="L260" s="924"/>
      <c r="O260" s="924"/>
      <c r="R260" s="924"/>
      <c r="U260" s="924"/>
      <c r="X260" s="924"/>
      <c r="AA260" s="924"/>
    </row>
    <row r="261" spans="3:27" s="833" customFormat="1" ht="42.75" hidden="1" customHeight="1" x14ac:dyDescent="0.25">
      <c r="C261" s="1009"/>
      <c r="F261" s="924"/>
      <c r="I261" s="924"/>
      <c r="L261" s="924"/>
      <c r="O261" s="924"/>
      <c r="R261" s="924"/>
      <c r="U261" s="924"/>
      <c r="X261" s="924"/>
      <c r="AA261" s="924"/>
    </row>
    <row r="262" spans="3:27" s="833" customFormat="1" ht="42.75" hidden="1" customHeight="1" x14ac:dyDescent="0.25">
      <c r="C262" s="1009"/>
      <c r="F262" s="924"/>
      <c r="I262" s="924"/>
      <c r="L262" s="924"/>
      <c r="O262" s="924"/>
      <c r="R262" s="924"/>
      <c r="U262" s="924"/>
      <c r="X262" s="924"/>
      <c r="AA262" s="924"/>
    </row>
    <row r="263" spans="3:27" s="833" customFormat="1" ht="42.75" hidden="1" customHeight="1" x14ac:dyDescent="0.25">
      <c r="C263" s="1009"/>
      <c r="F263" s="924"/>
      <c r="I263" s="924"/>
      <c r="L263" s="924"/>
      <c r="O263" s="924"/>
      <c r="R263" s="924"/>
      <c r="U263" s="924"/>
      <c r="X263" s="924"/>
      <c r="AA263" s="924"/>
    </row>
    <row r="264" spans="3:27" s="833" customFormat="1" ht="42.75" hidden="1" customHeight="1" x14ac:dyDescent="0.25">
      <c r="C264" s="1009"/>
      <c r="F264" s="924"/>
      <c r="I264" s="924"/>
      <c r="L264" s="924"/>
      <c r="O264" s="924"/>
      <c r="R264" s="924"/>
      <c r="U264" s="924"/>
      <c r="X264" s="924"/>
      <c r="AA264" s="924"/>
    </row>
    <row r="265" spans="3:27" s="833" customFormat="1" ht="42.75" hidden="1" customHeight="1" x14ac:dyDescent="0.25">
      <c r="C265" s="1009"/>
      <c r="F265" s="924"/>
      <c r="I265" s="924"/>
      <c r="L265" s="924"/>
      <c r="O265" s="924"/>
      <c r="R265" s="924"/>
      <c r="U265" s="924"/>
      <c r="X265" s="924"/>
      <c r="AA265" s="924"/>
    </row>
    <row r="266" spans="3:27" ht="42.75" hidden="1" customHeight="1" x14ac:dyDescent="0.25"/>
    <row r="267" spans="3:27" ht="42.75" hidden="1" customHeight="1" x14ac:dyDescent="0.25"/>
    <row r="268" spans="3:27" ht="42.75" hidden="1" customHeight="1" x14ac:dyDescent="0.25"/>
    <row r="269" spans="3:27" ht="42.75" hidden="1" customHeight="1" x14ac:dyDescent="0.25"/>
    <row r="270" spans="3:27" ht="42.75" hidden="1" customHeight="1" x14ac:dyDescent="0.25"/>
    <row r="271" spans="3:27" ht="42.75" hidden="1" customHeight="1" x14ac:dyDescent="0.25"/>
    <row r="272" spans="3:27" ht="42.75" hidden="1" customHeight="1" x14ac:dyDescent="0.25"/>
    <row r="273" ht="42.75" hidden="1" customHeight="1" x14ac:dyDescent="0.25"/>
    <row r="274" ht="42.75" hidden="1" customHeight="1" x14ac:dyDescent="0.25"/>
    <row r="275" ht="42.75" hidden="1" customHeight="1" x14ac:dyDescent="0.25"/>
    <row r="276" ht="42.75" hidden="1" customHeight="1" x14ac:dyDescent="0.25"/>
    <row r="277" ht="42.75" hidden="1" customHeight="1" x14ac:dyDescent="0.25"/>
    <row r="278" ht="42.75" hidden="1" customHeight="1" x14ac:dyDescent="0.25"/>
    <row r="279" ht="42.75" hidden="1" customHeight="1" x14ac:dyDescent="0.25"/>
    <row r="280" ht="42.75" hidden="1" customHeight="1" x14ac:dyDescent="0.25"/>
    <row r="281" ht="42.75" hidden="1" customHeight="1" x14ac:dyDescent="0.25"/>
    <row r="282" ht="42.75" hidden="1" customHeight="1" x14ac:dyDescent="0.25"/>
    <row r="283" ht="42.75" hidden="1" customHeight="1" x14ac:dyDescent="0.25"/>
    <row r="284" ht="42.75" hidden="1" customHeight="1" x14ac:dyDescent="0.25"/>
    <row r="285" ht="42.75" hidden="1" customHeight="1" x14ac:dyDescent="0.25"/>
    <row r="286" ht="42.75" hidden="1" customHeight="1" x14ac:dyDescent="0.25"/>
    <row r="287" ht="42.75" hidden="1" customHeight="1" x14ac:dyDescent="0.25"/>
    <row r="288" ht="42.75" hidden="1" customHeight="1" x14ac:dyDescent="0.25"/>
    <row r="289" ht="42.75" hidden="1" customHeight="1" x14ac:dyDescent="0.25"/>
    <row r="290" ht="42.75" hidden="1" customHeight="1" x14ac:dyDescent="0.25"/>
    <row r="291" ht="42.75" hidden="1" customHeight="1" x14ac:dyDescent="0.25"/>
    <row r="292" ht="42.75" hidden="1" customHeight="1" x14ac:dyDescent="0.25"/>
    <row r="293" ht="42.75" hidden="1" customHeight="1" x14ac:dyDescent="0.25"/>
    <row r="294" ht="42.75" hidden="1" customHeight="1" x14ac:dyDescent="0.25"/>
    <row r="295" ht="42.75" hidden="1" customHeight="1" x14ac:dyDescent="0.25"/>
    <row r="296" ht="42.75" hidden="1" customHeight="1" x14ac:dyDescent="0.25"/>
    <row r="297" ht="42.75" hidden="1" customHeight="1" x14ac:dyDescent="0.25"/>
    <row r="298" ht="42.75" hidden="1" customHeight="1" x14ac:dyDescent="0.25"/>
    <row r="299" ht="42.75" hidden="1" customHeight="1" x14ac:dyDescent="0.25"/>
    <row r="300" ht="42.75" hidden="1" customHeight="1" x14ac:dyDescent="0.25"/>
    <row r="301" ht="42.75" hidden="1" customHeight="1" x14ac:dyDescent="0.25"/>
    <row r="302" ht="42.75" hidden="1" customHeight="1" x14ac:dyDescent="0.25"/>
    <row r="303" ht="42.75" hidden="1" customHeight="1" x14ac:dyDescent="0.25"/>
    <row r="304" ht="42.75" hidden="1" customHeight="1" x14ac:dyDescent="0.25"/>
    <row r="305" ht="42.75" hidden="1" customHeight="1" x14ac:dyDescent="0.25"/>
    <row r="306" ht="42.75" hidden="1" customHeight="1" x14ac:dyDescent="0.25"/>
    <row r="307" ht="42.75" hidden="1" customHeight="1" x14ac:dyDescent="0.25"/>
    <row r="308" ht="42.75" hidden="1" customHeight="1" x14ac:dyDescent="0.25"/>
    <row r="309" ht="42.75" hidden="1" customHeight="1" x14ac:dyDescent="0.25"/>
    <row r="310" ht="42.75" hidden="1" customHeight="1" x14ac:dyDescent="0.25"/>
    <row r="311" ht="42.75" hidden="1" customHeight="1" x14ac:dyDescent="0.25"/>
    <row r="312" ht="42.75" hidden="1" customHeight="1" x14ac:dyDescent="0.25"/>
    <row r="313" ht="42.75" hidden="1" customHeight="1" x14ac:dyDescent="0.25"/>
    <row r="314" ht="42.75" hidden="1" customHeight="1" x14ac:dyDescent="0.25"/>
    <row r="315" ht="42.75" hidden="1" customHeight="1" x14ac:dyDescent="0.25"/>
    <row r="316" ht="42.75" hidden="1" customHeight="1" x14ac:dyDescent="0.25"/>
    <row r="317" ht="42.75" hidden="1" customHeight="1" x14ac:dyDescent="0.25"/>
    <row r="318" ht="42.75" hidden="1" customHeight="1" x14ac:dyDescent="0.25"/>
    <row r="319" ht="42.75" hidden="1" customHeight="1" x14ac:dyDescent="0.25"/>
    <row r="320" ht="42.75" hidden="1" customHeight="1" x14ac:dyDescent="0.25"/>
    <row r="321" ht="42.75" hidden="1" customHeight="1" x14ac:dyDescent="0.25"/>
    <row r="322" ht="42.75" hidden="1" customHeight="1" x14ac:dyDescent="0.25"/>
    <row r="323" ht="42.75" hidden="1" customHeight="1" x14ac:dyDescent="0.25"/>
    <row r="324" ht="42.75" hidden="1" customHeight="1" x14ac:dyDescent="0.25"/>
    <row r="325" ht="42.75" hidden="1" customHeight="1" x14ac:dyDescent="0.25"/>
    <row r="326" ht="42.75" hidden="1" customHeight="1" x14ac:dyDescent="0.25"/>
    <row r="327" ht="42.75" hidden="1" customHeight="1" x14ac:dyDescent="0.25"/>
    <row r="328" ht="42.75" hidden="1" customHeight="1" x14ac:dyDescent="0.25"/>
    <row r="329" ht="42.75" hidden="1" customHeight="1" x14ac:dyDescent="0.25"/>
    <row r="330" ht="42.75" hidden="1" customHeight="1" x14ac:dyDescent="0.25"/>
    <row r="331" ht="42.75" hidden="1" customHeight="1" x14ac:dyDescent="0.25"/>
    <row r="332" ht="42.75" hidden="1" customHeight="1" x14ac:dyDescent="0.25"/>
    <row r="333" ht="42.75" hidden="1" customHeight="1" x14ac:dyDescent="0.25"/>
    <row r="334" ht="42.75" hidden="1" customHeight="1" x14ac:dyDescent="0.25"/>
    <row r="335" ht="42.75" hidden="1" customHeight="1" x14ac:dyDescent="0.25"/>
    <row r="336" ht="42.75" hidden="1" customHeight="1" x14ac:dyDescent="0.25"/>
    <row r="337" ht="42.75" hidden="1" customHeight="1" x14ac:dyDescent="0.25"/>
    <row r="338" ht="42.75" hidden="1" customHeight="1" x14ac:dyDescent="0.25"/>
    <row r="339" ht="42.75" hidden="1" customHeight="1" x14ac:dyDescent="0.25"/>
    <row r="340" ht="42.75" hidden="1" customHeight="1" x14ac:dyDescent="0.25"/>
    <row r="341" ht="42.75" hidden="1" customHeight="1" x14ac:dyDescent="0.25"/>
    <row r="342" ht="42.75" hidden="1" customHeight="1" x14ac:dyDescent="0.25"/>
    <row r="343" ht="42.75" hidden="1" customHeight="1" x14ac:dyDescent="0.25"/>
    <row r="344" ht="42.75" hidden="1" customHeight="1" x14ac:dyDescent="0.25"/>
    <row r="345" ht="42.75" hidden="1" customHeight="1" x14ac:dyDescent="0.25"/>
    <row r="346" ht="42.75" hidden="1" customHeight="1" x14ac:dyDescent="0.25"/>
    <row r="347" ht="42.75" hidden="1" customHeight="1" x14ac:dyDescent="0.25"/>
    <row r="348" ht="42.75" hidden="1" customHeight="1" x14ac:dyDescent="0.25"/>
    <row r="349" ht="42.75" hidden="1" customHeight="1" x14ac:dyDescent="0.25"/>
    <row r="350" ht="42.75" hidden="1" customHeight="1" x14ac:dyDescent="0.25"/>
    <row r="351" ht="42.75" hidden="1" customHeight="1" x14ac:dyDescent="0.25"/>
    <row r="352" ht="42.75" hidden="1" customHeight="1" x14ac:dyDescent="0.25"/>
    <row r="353" ht="42.75" hidden="1" customHeight="1" x14ac:dyDescent="0.25"/>
    <row r="354" ht="42.75" hidden="1" customHeight="1" x14ac:dyDescent="0.25"/>
    <row r="355" ht="42.75" hidden="1" customHeight="1" x14ac:dyDescent="0.25"/>
    <row r="356" ht="42.75" hidden="1" customHeight="1" x14ac:dyDescent="0.25"/>
    <row r="357" ht="42.75" hidden="1" customHeight="1" x14ac:dyDescent="0.25"/>
    <row r="358" ht="42.75" hidden="1" customHeight="1" x14ac:dyDescent="0.25"/>
    <row r="359" ht="42.75" hidden="1" customHeight="1" x14ac:dyDescent="0.25"/>
    <row r="360" ht="42.75" hidden="1" customHeight="1" x14ac:dyDescent="0.25"/>
    <row r="361" ht="42.75" hidden="1" customHeight="1" x14ac:dyDescent="0.25"/>
    <row r="362" ht="42.75" hidden="1" customHeight="1" x14ac:dyDescent="0.25"/>
    <row r="363" ht="42.75" hidden="1" customHeight="1" x14ac:dyDescent="0.25"/>
    <row r="364" ht="42.75" hidden="1" customHeight="1" x14ac:dyDescent="0.25"/>
    <row r="365" ht="42.75" hidden="1" customHeight="1" x14ac:dyDescent="0.25"/>
    <row r="366" ht="42.75" hidden="1" customHeight="1" x14ac:dyDescent="0.25"/>
    <row r="367" ht="42.75" hidden="1" customHeight="1" x14ac:dyDescent="0.25"/>
    <row r="368" ht="42.75" hidden="1" customHeight="1" x14ac:dyDescent="0.25"/>
    <row r="369" ht="42.75" hidden="1" customHeight="1" x14ac:dyDescent="0.25"/>
    <row r="370" ht="42.75" hidden="1" customHeight="1" x14ac:dyDescent="0.25"/>
    <row r="371" ht="42.75" hidden="1" customHeight="1" x14ac:dyDescent="0.25"/>
    <row r="372" ht="42.75" hidden="1" customHeight="1" x14ac:dyDescent="0.25"/>
    <row r="373" ht="42.75" hidden="1" customHeight="1" x14ac:dyDescent="0.25"/>
    <row r="374" ht="42.75" hidden="1" customHeight="1" x14ac:dyDescent="0.25"/>
    <row r="375" ht="42.75" hidden="1" customHeight="1" x14ac:dyDescent="0.25"/>
    <row r="376" ht="42.75" hidden="1" customHeight="1" x14ac:dyDescent="0.25"/>
    <row r="377" ht="42.75" hidden="1" customHeight="1" x14ac:dyDescent="0.25"/>
    <row r="378" ht="42.75" hidden="1" customHeight="1" x14ac:dyDescent="0.25"/>
    <row r="379" ht="42.75" hidden="1" customHeight="1" x14ac:dyDescent="0.25"/>
    <row r="380" ht="42.75" hidden="1" customHeight="1" x14ac:dyDescent="0.25"/>
    <row r="381" ht="42.75" hidden="1" customHeight="1" x14ac:dyDescent="0.25"/>
    <row r="382" ht="42.75" hidden="1" customHeight="1" x14ac:dyDescent="0.25"/>
    <row r="383" ht="42.75" hidden="1" customHeight="1" x14ac:dyDescent="0.25"/>
    <row r="384" ht="42.75" hidden="1" customHeight="1" x14ac:dyDescent="0.25"/>
    <row r="385" ht="42.75" hidden="1" customHeight="1" x14ac:dyDescent="0.25"/>
    <row r="386" ht="42.75" hidden="1" customHeight="1" x14ac:dyDescent="0.25"/>
    <row r="387" ht="42.75" hidden="1" customHeight="1" x14ac:dyDescent="0.25"/>
    <row r="388" ht="42.75" hidden="1" customHeight="1" x14ac:dyDescent="0.25"/>
    <row r="389" ht="42.75" hidden="1" customHeight="1" x14ac:dyDescent="0.25"/>
    <row r="390" ht="42.75" hidden="1" customHeight="1" x14ac:dyDescent="0.25"/>
    <row r="391" ht="42.75" hidden="1" customHeight="1" x14ac:dyDescent="0.25"/>
    <row r="392" ht="42.75" hidden="1" customHeight="1" x14ac:dyDescent="0.25"/>
    <row r="393" ht="42.75" hidden="1" customHeight="1" x14ac:dyDescent="0.25"/>
    <row r="394" ht="42.75" hidden="1" customHeight="1" x14ac:dyDescent="0.25"/>
    <row r="395" ht="42.75" hidden="1" customHeight="1" x14ac:dyDescent="0.25"/>
    <row r="396" ht="42.75" hidden="1" customHeight="1" x14ac:dyDescent="0.25"/>
    <row r="397" ht="42.75" hidden="1" customHeight="1" x14ac:dyDescent="0.25"/>
    <row r="398" ht="42.75" hidden="1" customHeight="1" x14ac:dyDescent="0.25"/>
    <row r="399" ht="42.75" hidden="1" customHeight="1" x14ac:dyDescent="0.25"/>
    <row r="400" ht="42.75" hidden="1" customHeight="1" x14ac:dyDescent="0.25"/>
    <row r="401" ht="42.75" hidden="1" customHeight="1" x14ac:dyDescent="0.25"/>
    <row r="402" ht="42.75" hidden="1" customHeight="1" x14ac:dyDescent="0.25"/>
    <row r="403" ht="42.75" hidden="1" customHeight="1" x14ac:dyDescent="0.25"/>
    <row r="404" ht="42.75" hidden="1" customHeight="1" x14ac:dyDescent="0.25"/>
    <row r="405" ht="42.75" hidden="1" customHeight="1" x14ac:dyDescent="0.25"/>
    <row r="406" ht="42.75" hidden="1" customHeight="1" x14ac:dyDescent="0.25"/>
    <row r="407" ht="42.75" hidden="1" customHeight="1" x14ac:dyDescent="0.25"/>
    <row r="408" ht="42.75" hidden="1" customHeight="1" x14ac:dyDescent="0.25"/>
    <row r="409" ht="42.75" hidden="1" customHeight="1" x14ac:dyDescent="0.25"/>
    <row r="410" ht="42.75" hidden="1" customHeight="1" x14ac:dyDescent="0.25"/>
    <row r="411" ht="42.75" hidden="1" customHeight="1" x14ac:dyDescent="0.25"/>
    <row r="412" ht="42.75" hidden="1" customHeight="1" x14ac:dyDescent="0.25"/>
    <row r="413" ht="42.75" hidden="1" customHeight="1" x14ac:dyDescent="0.25"/>
    <row r="414" ht="42.75" hidden="1" customHeight="1" x14ac:dyDescent="0.25"/>
    <row r="415" ht="42.75" hidden="1" customHeight="1" x14ac:dyDescent="0.25"/>
    <row r="416" ht="42.75" hidden="1" customHeight="1" x14ac:dyDescent="0.25"/>
    <row r="417" ht="42.75" hidden="1" customHeight="1" x14ac:dyDescent="0.25"/>
    <row r="418" ht="42.75" hidden="1" customHeight="1" x14ac:dyDescent="0.25"/>
    <row r="419" ht="42.75" hidden="1" customHeight="1" x14ac:dyDescent="0.25"/>
    <row r="420" ht="42.75" hidden="1" customHeight="1" x14ac:dyDescent="0.25"/>
    <row r="421" ht="42.75" hidden="1" customHeight="1" x14ac:dyDescent="0.25"/>
    <row r="422" ht="42.75" hidden="1" customHeight="1" x14ac:dyDescent="0.25"/>
    <row r="423" ht="42.75" hidden="1" customHeight="1" x14ac:dyDescent="0.25"/>
    <row r="424" ht="42.75" hidden="1" customHeight="1" x14ac:dyDescent="0.25"/>
    <row r="425" ht="42.75" hidden="1" customHeight="1" x14ac:dyDescent="0.25"/>
    <row r="426" ht="42.75" hidden="1" customHeight="1" x14ac:dyDescent="0.25"/>
    <row r="427" ht="42.75" hidden="1" customHeight="1" x14ac:dyDescent="0.25"/>
    <row r="428" ht="42.75" hidden="1" customHeight="1" x14ac:dyDescent="0.25"/>
    <row r="429" ht="42.75" hidden="1" customHeight="1" x14ac:dyDescent="0.25"/>
    <row r="430" ht="42.75" hidden="1" customHeight="1" x14ac:dyDescent="0.25"/>
    <row r="431" ht="42.75" hidden="1" customHeight="1" x14ac:dyDescent="0.25"/>
    <row r="432" ht="42.75" hidden="1" customHeight="1" x14ac:dyDescent="0.25"/>
    <row r="433" ht="42.75" hidden="1" customHeight="1" x14ac:dyDescent="0.25"/>
    <row r="434" ht="42.75" hidden="1" customHeight="1" x14ac:dyDescent="0.25"/>
    <row r="435" ht="42.75" hidden="1" customHeight="1" x14ac:dyDescent="0.25"/>
    <row r="436" ht="42.75" hidden="1" customHeight="1" x14ac:dyDescent="0.25"/>
    <row r="437" ht="42.75" hidden="1" customHeight="1" x14ac:dyDescent="0.25"/>
    <row r="438" ht="42.75" hidden="1" customHeight="1" x14ac:dyDescent="0.25"/>
    <row r="439" ht="42.75" hidden="1" customHeight="1" x14ac:dyDescent="0.25"/>
    <row r="440" ht="42.75" hidden="1" customHeight="1" x14ac:dyDescent="0.25"/>
    <row r="441" ht="42.75" hidden="1" customHeight="1" x14ac:dyDescent="0.25"/>
    <row r="442" ht="42.75" hidden="1" customHeight="1" x14ac:dyDescent="0.25"/>
    <row r="443" ht="42.75" hidden="1" customHeight="1" x14ac:dyDescent="0.25"/>
    <row r="444" ht="42.75" hidden="1" customHeight="1" x14ac:dyDescent="0.25"/>
    <row r="445" ht="42.75" hidden="1" customHeight="1" x14ac:dyDescent="0.25"/>
    <row r="446" ht="42.75" hidden="1" customHeight="1" x14ac:dyDescent="0.25"/>
    <row r="447" ht="42.75" hidden="1" customHeight="1" x14ac:dyDescent="0.25"/>
    <row r="448" ht="42.75" hidden="1" customHeight="1" x14ac:dyDescent="0.25"/>
    <row r="449" ht="42.75" hidden="1" customHeight="1" x14ac:dyDescent="0.25"/>
    <row r="450" ht="42.75" hidden="1" customHeight="1" x14ac:dyDescent="0.25"/>
    <row r="451" ht="42.75" hidden="1" customHeight="1" x14ac:dyDescent="0.25"/>
    <row r="452" ht="42.75" hidden="1" customHeight="1" x14ac:dyDescent="0.25"/>
    <row r="453" ht="42.75" hidden="1" customHeight="1" x14ac:dyDescent="0.25"/>
    <row r="454" ht="42.75" hidden="1" customHeight="1" x14ac:dyDescent="0.25"/>
    <row r="455" ht="42.75" hidden="1" customHeight="1" x14ac:dyDescent="0.25"/>
    <row r="456" ht="42.75" hidden="1" customHeight="1" x14ac:dyDescent="0.25"/>
    <row r="457" ht="42.75" hidden="1" customHeight="1" x14ac:dyDescent="0.25"/>
    <row r="458" ht="42.75" hidden="1" customHeight="1" x14ac:dyDescent="0.25"/>
    <row r="459" ht="42.75" hidden="1" customHeight="1" x14ac:dyDescent="0.25"/>
    <row r="460" ht="42.75" hidden="1" customHeight="1" x14ac:dyDescent="0.25"/>
    <row r="461" ht="42.75" hidden="1" customHeight="1" x14ac:dyDescent="0.25"/>
    <row r="462" ht="42.75" hidden="1" customHeight="1" x14ac:dyDescent="0.25"/>
    <row r="463" ht="42.75" hidden="1" customHeight="1" x14ac:dyDescent="0.25"/>
    <row r="464" ht="42.75" hidden="1" customHeight="1" x14ac:dyDescent="0.25"/>
    <row r="465" ht="42.75" hidden="1" customHeight="1" x14ac:dyDescent="0.25"/>
    <row r="466" ht="42.75" hidden="1" customHeight="1" x14ac:dyDescent="0.25"/>
    <row r="467" ht="42.75" hidden="1" customHeight="1" x14ac:dyDescent="0.25"/>
    <row r="468" ht="42.75" hidden="1" customHeight="1" x14ac:dyDescent="0.25"/>
    <row r="469" ht="42.75" hidden="1" customHeight="1" x14ac:dyDescent="0.25"/>
    <row r="470" ht="42.75" hidden="1" customHeight="1" x14ac:dyDescent="0.25"/>
    <row r="471" ht="42.75" hidden="1" customHeight="1" x14ac:dyDescent="0.25"/>
    <row r="472" ht="42.75" hidden="1" customHeight="1" x14ac:dyDescent="0.25"/>
    <row r="473" ht="42.75" hidden="1" customHeight="1" x14ac:dyDescent="0.25"/>
    <row r="474" ht="42.75" hidden="1" customHeight="1" x14ac:dyDescent="0.25"/>
    <row r="475" ht="42.75" hidden="1" customHeight="1" x14ac:dyDescent="0.25"/>
    <row r="476" ht="42.75" hidden="1" customHeight="1" x14ac:dyDescent="0.25"/>
    <row r="477" ht="42.75" hidden="1" customHeight="1" x14ac:dyDescent="0.25"/>
    <row r="478" ht="42.75" hidden="1" customHeight="1" x14ac:dyDescent="0.25"/>
    <row r="479" ht="42.75" hidden="1" customHeight="1" x14ac:dyDescent="0.25"/>
    <row r="480" ht="42.75" hidden="1" customHeight="1" x14ac:dyDescent="0.25"/>
    <row r="481" ht="42.75" hidden="1" customHeight="1" x14ac:dyDescent="0.25"/>
    <row r="482" ht="42.75" hidden="1" customHeight="1" x14ac:dyDescent="0.25"/>
    <row r="483" ht="42.75" hidden="1" customHeight="1" x14ac:dyDescent="0.25"/>
    <row r="484" ht="42.75" hidden="1" customHeight="1" x14ac:dyDescent="0.25"/>
    <row r="485" ht="42.75" hidden="1" customHeight="1" x14ac:dyDescent="0.25"/>
    <row r="486" ht="42.75" hidden="1" customHeight="1" x14ac:dyDescent="0.25"/>
    <row r="487" ht="42.75" hidden="1" customHeight="1" x14ac:dyDescent="0.25"/>
    <row r="488" ht="42.75" hidden="1" customHeight="1" x14ac:dyDescent="0.25"/>
    <row r="489" ht="42.75" hidden="1" customHeight="1" x14ac:dyDescent="0.25"/>
    <row r="490" ht="42.75" hidden="1" customHeight="1" x14ac:dyDescent="0.25"/>
    <row r="491" ht="42.75" hidden="1" customHeight="1" x14ac:dyDescent="0.25"/>
    <row r="492" ht="42.75" hidden="1" customHeight="1" x14ac:dyDescent="0.25"/>
    <row r="493" ht="42.75" hidden="1" customHeight="1" x14ac:dyDescent="0.25"/>
    <row r="494" ht="42.75" hidden="1" customHeight="1" x14ac:dyDescent="0.25"/>
    <row r="495" ht="42.75" hidden="1" customHeight="1" x14ac:dyDescent="0.25"/>
    <row r="496" ht="42.75" hidden="1" customHeight="1" x14ac:dyDescent="0.25"/>
    <row r="497" ht="42.75" hidden="1" customHeight="1" x14ac:dyDescent="0.25"/>
    <row r="498" ht="42.75" hidden="1" customHeight="1" x14ac:dyDescent="0.25"/>
    <row r="499" ht="42.75" hidden="1" customHeight="1" x14ac:dyDescent="0.25"/>
    <row r="500" ht="42.75" hidden="1" customHeight="1" x14ac:dyDescent="0.25"/>
    <row r="501" ht="42.75" hidden="1" customHeight="1" x14ac:dyDescent="0.25"/>
    <row r="502" ht="42.75" hidden="1" customHeight="1" x14ac:dyDescent="0.25"/>
    <row r="503" ht="42.75" hidden="1" customHeight="1" x14ac:dyDescent="0.25"/>
    <row r="504" ht="42.75" hidden="1" customHeight="1" x14ac:dyDescent="0.25"/>
    <row r="505" ht="42.75" hidden="1" customHeight="1" x14ac:dyDescent="0.25"/>
    <row r="506" ht="42.75" hidden="1" customHeight="1" x14ac:dyDescent="0.25"/>
    <row r="507" ht="42.75" hidden="1" customHeight="1" x14ac:dyDescent="0.25"/>
    <row r="508" ht="42.75" hidden="1" customHeight="1" x14ac:dyDescent="0.25"/>
    <row r="509" ht="42.75" hidden="1" customHeight="1" x14ac:dyDescent="0.25"/>
    <row r="510" ht="42.75" hidden="1" customHeight="1" x14ac:dyDescent="0.25"/>
    <row r="511" ht="42.75" hidden="1" customHeight="1" x14ac:dyDescent="0.25"/>
    <row r="512" ht="42.75" hidden="1" customHeight="1" x14ac:dyDescent="0.25"/>
    <row r="513" ht="42.75" hidden="1" customHeight="1" x14ac:dyDescent="0.25"/>
    <row r="514" ht="42.7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spans="5:15" ht="15" hidden="1" customHeight="1" x14ac:dyDescent="0.25"/>
    <row r="578" spans="5:15" ht="15" hidden="1" customHeight="1" x14ac:dyDescent="0.25"/>
    <row r="579" spans="5:15" ht="15" hidden="1" customHeight="1" x14ac:dyDescent="0.25"/>
    <row r="580" spans="5:15" ht="15" hidden="1" customHeight="1" x14ac:dyDescent="0.25"/>
    <row r="581" spans="5:15" ht="15" hidden="1" customHeight="1" x14ac:dyDescent="0.25"/>
    <row r="582" spans="5:15" ht="15" hidden="1" customHeight="1" x14ac:dyDescent="0.25"/>
    <row r="583" spans="5:15" ht="15" hidden="1" customHeight="1" x14ac:dyDescent="0.25"/>
    <row r="584" spans="5:15" ht="15" hidden="1" customHeight="1" x14ac:dyDescent="0.25"/>
    <row r="585" spans="5:15" ht="15" hidden="1" customHeight="1" x14ac:dyDescent="0.25"/>
    <row r="586" spans="5:15" ht="15" hidden="1" customHeight="1" x14ac:dyDescent="0.25"/>
    <row r="587" spans="5:15" ht="15" hidden="1" customHeight="1" x14ac:dyDescent="0.25"/>
    <row r="588" spans="5:15" ht="15" hidden="1" customHeight="1" x14ac:dyDescent="0.25"/>
    <row r="589" spans="5:15" ht="15" hidden="1" customHeight="1" x14ac:dyDescent="0.25"/>
    <row r="590" spans="5:15" ht="15" hidden="1" customHeight="1" x14ac:dyDescent="0.25"/>
    <row r="591" spans="5:15" ht="15" hidden="1" customHeight="1" x14ac:dyDescent="0.25">
      <c r="E591" s="1010"/>
      <c r="F591" s="893">
        <v>1</v>
      </c>
      <c r="G591" s="1010">
        <v>2</v>
      </c>
      <c r="H591" s="1010">
        <v>3</v>
      </c>
      <c r="I591" s="893">
        <v>4</v>
      </c>
      <c r="J591" s="1010">
        <v>5</v>
      </c>
      <c r="K591" s="1010">
        <v>6</v>
      </c>
      <c r="L591" s="893">
        <v>7</v>
      </c>
      <c r="M591" s="1010">
        <v>8</v>
      </c>
      <c r="N591" s="1010">
        <v>9</v>
      </c>
      <c r="O591" s="893">
        <v>10</v>
      </c>
    </row>
    <row r="592" spans="5:15" ht="15" hidden="1" customHeight="1" x14ac:dyDescent="0.25">
      <c r="E592" s="1010">
        <v>1</v>
      </c>
      <c r="F592" s="1011">
        <f>IF(F12=0,"",F12)</f>
        <v>1.7831018518518519E-3</v>
      </c>
      <c r="G592" s="1012">
        <f>IF(I12=0,"",I12)</f>
        <v>1.8467592592592596E-3</v>
      </c>
      <c r="H592" s="1012">
        <f>IF(L12=0,"",L12)</f>
        <v>1.7894675925925925E-3</v>
      </c>
      <c r="I592" s="1011">
        <f>IF(O12=0,"",O12)</f>
        <v>1.75E-3</v>
      </c>
      <c r="J592" s="1012">
        <f>IF(R12=0,"",R12)</f>
        <v>1.8901620370370372E-3</v>
      </c>
      <c r="K592" s="1012">
        <f>IF(U12=0,"",U12)</f>
        <v>1.8304398148148149E-3</v>
      </c>
      <c r="L592" s="1011">
        <f>IF(X12=0,"",X12)</f>
        <v>1.8548611111111109E-3</v>
      </c>
      <c r="M592" s="1012" t="str">
        <f>IF(AA12=0,"",AA12)</f>
        <v/>
      </c>
      <c r="N592" s="1012" t="str">
        <f>IF(AD12=0,"",AD12)</f>
        <v/>
      </c>
      <c r="O592" s="1011" t="str">
        <f>IF(AG12=0,"",AG12)</f>
        <v/>
      </c>
    </row>
    <row r="593" spans="5:15" ht="15" hidden="1" customHeight="1" x14ac:dyDescent="0.25">
      <c r="E593" s="1010">
        <v>2</v>
      </c>
      <c r="F593" s="1011" t="str">
        <f>IF(F15=0,"",F15)</f>
        <v/>
      </c>
      <c r="G593" s="1012">
        <f>IF(I15=0,"",I15)</f>
        <v>1.8596064814814814E-3</v>
      </c>
      <c r="H593" s="1012">
        <f>IF(L15=0,"",L15)</f>
        <v>1.7115740740740739E-3</v>
      </c>
      <c r="I593" s="1011">
        <f>IF(O15=0,"",O15)</f>
        <v>1.6637731481481484E-3</v>
      </c>
      <c r="J593" s="1012">
        <f>IF(R15=0,"",R15)</f>
        <v>1.6520833333333333E-3</v>
      </c>
      <c r="K593" s="1012">
        <f>IF(U15=0,"",U15)</f>
        <v>1.6135416666666668E-3</v>
      </c>
      <c r="L593" s="1011">
        <f>IF(X15=0,"",X15)</f>
        <v>1.6844907407407405E-3</v>
      </c>
      <c r="M593" s="1012" t="str">
        <f>IF(AA15=0,"",AA15)</f>
        <v/>
      </c>
      <c r="N593" s="1012" t="str">
        <f>IF(AD15=0,"",AD15)</f>
        <v/>
      </c>
      <c r="O593" s="1011" t="str">
        <f>IF(AG15=0,"",AG15)</f>
        <v/>
      </c>
    </row>
    <row r="594" spans="5:15" ht="15" hidden="1" customHeight="1" x14ac:dyDescent="0.25">
      <c r="E594" s="1010">
        <v>3</v>
      </c>
      <c r="F594" s="1011">
        <f>IF(F18=0,"",F18)</f>
        <v>1.7363425925925925E-3</v>
      </c>
      <c r="G594" s="1012" t="str">
        <f>IF(I18=0,"",I18)</f>
        <v/>
      </c>
      <c r="H594" s="1012" t="str">
        <f>IF(L18=0,"",L18)</f>
        <v/>
      </c>
      <c r="I594" s="1011">
        <f>IF(O18=0,"",O18)</f>
        <v>1.8369212962962963E-3</v>
      </c>
      <c r="J594" s="1012">
        <f>IF(R18=0,"",R18)</f>
        <v>1.8157407407407408E-3</v>
      </c>
      <c r="K594" s="1012">
        <f>IF(U18=0,"",U18)</f>
        <v>1.9184027777777778E-3</v>
      </c>
      <c r="L594" s="1011">
        <f>IF(X18=0,"",X18)</f>
        <v>1.8145833333333332E-3</v>
      </c>
      <c r="M594" s="1012" t="str">
        <f>IF(AA18=0,"",AA18)</f>
        <v/>
      </c>
      <c r="N594" s="1012" t="str">
        <f>IF(AD18=0,"",AD18)</f>
        <v/>
      </c>
      <c r="O594" s="1011" t="str">
        <f>IF(AG18=0,"",AG18)</f>
        <v/>
      </c>
    </row>
    <row r="595" spans="5:15" ht="15" hidden="1" customHeight="1" x14ac:dyDescent="0.25">
      <c r="E595" s="1010">
        <v>4</v>
      </c>
      <c r="F595" s="1011" t="str">
        <f>IF(F20=0,"",F20)</f>
        <v/>
      </c>
      <c r="G595" s="1012">
        <f>IF(I20=0,"",I20)</f>
        <v>1.6399305555555557E-3</v>
      </c>
      <c r="H595" s="1012" t="str">
        <f>IF(L20=0,"",L20)</f>
        <v/>
      </c>
      <c r="I595" s="1011">
        <f>IF(O20=0,"",O20)</f>
        <v>2.0035879629629631E-3</v>
      </c>
      <c r="J595" s="1012">
        <f>IF(R20=0,"",R20)</f>
        <v>1.7332175925925926E-3</v>
      </c>
      <c r="K595" s="1012">
        <f>IF(U20=0,"",U20)</f>
        <v>1.7974537037037037E-3</v>
      </c>
      <c r="L595" s="1011">
        <f>IF(X20=0,"",X20)</f>
        <v>1.9951388888888892E-3</v>
      </c>
      <c r="M595" s="1012" t="str">
        <f>IF(AA20=0,"",AA20)</f>
        <v/>
      </c>
      <c r="N595" s="1012" t="str">
        <f>IF(AD20=0,"",AD20)</f>
        <v/>
      </c>
      <c r="O595" s="1011" t="str">
        <f>IF(AG20=0,"",AG20)</f>
        <v/>
      </c>
    </row>
    <row r="596" spans="5:15" ht="15" hidden="1" customHeight="1" x14ac:dyDescent="0.25">
      <c r="E596" s="1010">
        <v>5</v>
      </c>
      <c r="F596" s="1011">
        <f>IF(F22=0,"",F22)</f>
        <v>1.645949074074074E-3</v>
      </c>
      <c r="G596" s="1012">
        <f>IF(I22=0,"",I22)</f>
        <v>1.742361111111111E-3</v>
      </c>
      <c r="H596" s="1012">
        <f>IF(L22=0,"",L22)</f>
        <v>1.6287037037037036E-3</v>
      </c>
      <c r="I596" s="1011">
        <f>IF(O22=0,"",O22)</f>
        <v>1.6534722222222222E-3</v>
      </c>
      <c r="J596" s="1012">
        <f>IF(R22=0,"",R22)</f>
        <v>1.7437500000000003E-3</v>
      </c>
      <c r="K596" s="1012">
        <f>IF(U22=0,"",U22)</f>
        <v>1.9731481481481479E-3</v>
      </c>
      <c r="L596" s="1011" t="str">
        <f>IF(X22=0,"",X22)</f>
        <v/>
      </c>
      <c r="M596" s="1012" t="str">
        <f>IF(AA22=0,"",AA22)</f>
        <v/>
      </c>
      <c r="N596" s="1012" t="str">
        <f>IF(AD22=0,"",AD22)</f>
        <v/>
      </c>
      <c r="O596" s="1011" t="str">
        <f>IF(AG22=0,"",AG22)</f>
        <v/>
      </c>
    </row>
    <row r="597" spans="5:15" ht="15" hidden="1" customHeight="1" x14ac:dyDescent="0.25">
      <c r="E597" s="1010">
        <v>6</v>
      </c>
      <c r="F597" s="1011">
        <f>IF(F24=0,"",F24)</f>
        <v>1.7806712962962965E-3</v>
      </c>
      <c r="G597" s="1012">
        <f>IF(I24=0,"",I24)</f>
        <v>1.7177083333333332E-3</v>
      </c>
      <c r="H597" s="1012">
        <f>IF(L24=0,"",L24)</f>
        <v>1.6693287037037039E-3</v>
      </c>
      <c r="I597" s="1011">
        <f>IF(O24=0,"",O24)</f>
        <v>1.8538194444444446E-3</v>
      </c>
      <c r="J597" s="1012">
        <f>IF(R24=0,"",R24)</f>
        <v>1.8093750000000002E-3</v>
      </c>
      <c r="K597" s="1012">
        <f>IF(U24=0,"",U24)</f>
        <v>1.5825231481481482E-3</v>
      </c>
      <c r="L597" s="1011">
        <f>IF(X24=0,"",X24)</f>
        <v>1.5534722222222224E-3</v>
      </c>
      <c r="M597" s="1012" t="str">
        <f>IF(AA24=0,"",AA24)</f>
        <v/>
      </c>
      <c r="N597" s="1012" t="str">
        <f>IF(AD24=0,"",AD24)</f>
        <v/>
      </c>
      <c r="O597" s="1011" t="str">
        <f>IF(AG24=0,"",AG24)</f>
        <v/>
      </c>
    </row>
    <row r="598" spans="5:15" ht="15" hidden="1" customHeight="1" x14ac:dyDescent="0.25">
      <c r="E598" s="1010">
        <v>7</v>
      </c>
      <c r="F598" s="1011">
        <f>IF(F26=0,"",F26)</f>
        <v>1.4748842592592591E-3</v>
      </c>
      <c r="G598" s="1012">
        <f>IF(I26=0,"",I26)</f>
        <v>1.4600694444444444E-3</v>
      </c>
      <c r="H598" s="1012">
        <f>IF(L26=0,"",L26)</f>
        <v>1.4290509259259258E-3</v>
      </c>
      <c r="I598" s="1011">
        <f>IF(O26=0,"",O26)</f>
        <v>1.4349537037037037E-3</v>
      </c>
      <c r="J598" s="1012">
        <f>IF(R26=0,"",R26)</f>
        <v>1.3890046296296298E-3</v>
      </c>
      <c r="K598" s="1012">
        <f>IF(U26=0,"",U26)</f>
        <v>1.391435185185185E-3</v>
      </c>
      <c r="L598" s="1011">
        <f>IF(X26=0,"",X26)</f>
        <v>1.4256944444444445E-3</v>
      </c>
      <c r="M598" s="1012" t="str">
        <f>IF(AA26=0,"",AA26)</f>
        <v/>
      </c>
      <c r="N598" s="1012" t="str">
        <f>IF(AD26=0,"",AD26)</f>
        <v/>
      </c>
      <c r="O598" s="1011" t="str">
        <f>IF(AG26=0,"",AG26)</f>
        <v/>
      </c>
    </row>
    <row r="599" spans="5:15" ht="15" hidden="1" customHeight="1" x14ac:dyDescent="0.25">
      <c r="E599" s="1010">
        <v>8</v>
      </c>
      <c r="F599" s="1011">
        <f>IF(F28=0,"",F28)</f>
        <v>1.4600694444444444E-3</v>
      </c>
      <c r="G599" s="1012">
        <f>IF(I28=0,"",I28)</f>
        <v>1.3547453703703701E-3</v>
      </c>
      <c r="H599" s="1012">
        <f>IF(L28=0,"",L28)</f>
        <v>1.4348379629629631E-3</v>
      </c>
      <c r="I599" s="1011">
        <f>IF(O28=0,"",O28)</f>
        <v>1.3260416666666666E-3</v>
      </c>
      <c r="J599" s="1012">
        <f>IF(R28=0,"",R28)</f>
        <v>1.2678240740740742E-3</v>
      </c>
      <c r="K599" s="1012">
        <f>IF(U28=0,"",U28)</f>
        <v>1.262037037037037E-3</v>
      </c>
      <c r="L599" s="1011">
        <f>IF(X28=0,"",X28)</f>
        <v>1.3180555555555556E-3</v>
      </c>
      <c r="M599" s="1012" t="str">
        <f>IF(AA28=0,"",AA28)</f>
        <v/>
      </c>
      <c r="N599" s="1012" t="str">
        <f>IF(AD28=0,"",AD28)</f>
        <v/>
      </c>
      <c r="O599" s="1011" t="str">
        <f>IF(AG28=0,"",AG28)</f>
        <v/>
      </c>
    </row>
    <row r="600" spans="5:15" ht="15" hidden="1" customHeight="1" x14ac:dyDescent="0.25">
      <c r="E600" s="1010">
        <v>9</v>
      </c>
      <c r="F600" s="1011" t="str">
        <f>IF(F30=0,"",F30)</f>
        <v/>
      </c>
      <c r="G600" s="1012">
        <f>IF(I30=0,"",I30)</f>
        <v>1.6187500000000002E-3</v>
      </c>
      <c r="H600" s="1012">
        <f>IF(L30=0,"",L30)</f>
        <v>1.6140046296296295E-3</v>
      </c>
      <c r="I600" s="1011">
        <f>IF(O30=0,"",O30)</f>
        <v>1.5174768518518517E-3</v>
      </c>
      <c r="J600" s="1012">
        <f>IF(R30=0,"",R30)</f>
        <v>1.5806712962962962E-3</v>
      </c>
      <c r="K600" s="1012">
        <f>IF(U30=0,"",U30)</f>
        <v>1.6027777777777776E-3</v>
      </c>
      <c r="L600" s="1011">
        <f>IF(X30=0,"",X30)</f>
        <v>1.5299768518518518E-3</v>
      </c>
      <c r="M600" s="1012" t="str">
        <f>IF(AA30=0,"",AA30)</f>
        <v/>
      </c>
      <c r="N600" s="1012" t="str">
        <f>IF(AD30=0,"",AD30)</f>
        <v/>
      </c>
      <c r="O600" s="1011" t="str">
        <f>IF(AG30=0,"",AG30)</f>
        <v/>
      </c>
    </row>
    <row r="601" spans="5:15" ht="12.75" hidden="1" customHeight="1" x14ac:dyDescent="0.25">
      <c r="E601" s="1010">
        <v>10</v>
      </c>
      <c r="F601" s="1011">
        <f>IF(F32=0,"",F32)</f>
        <v>1.5916666666666666E-3</v>
      </c>
      <c r="G601" s="1012">
        <f>IF(I32=0,"",I32)</f>
        <v>1.5048611111111111E-3</v>
      </c>
      <c r="H601" s="1012" t="str">
        <f>IF(L32=0,"",L32)</f>
        <v/>
      </c>
      <c r="I601" s="1011">
        <f>IF(O32=0,"",O32)</f>
        <v>1.3813657407407409E-3</v>
      </c>
      <c r="J601" s="1012">
        <f>IF(R32=0,"",R32)</f>
        <v>1.4202546296296298E-3</v>
      </c>
      <c r="K601" s="1012">
        <f>IF(U32=0,"",U32)</f>
        <v>1.3542824074074073E-3</v>
      </c>
      <c r="L601" s="1011">
        <f>IF(X32=0,"",X32)</f>
        <v>1.420138888888889E-3</v>
      </c>
      <c r="M601" s="1012" t="str">
        <f>IF(AA32=0,"",AA32)</f>
        <v/>
      </c>
      <c r="N601" s="1012" t="str">
        <f>IF(AD32=0,"",AD32)</f>
        <v/>
      </c>
      <c r="O601" s="1011" t="str">
        <f>IF(AG32=0,"",AG32)</f>
        <v/>
      </c>
    </row>
    <row r="602" spans="5:15" ht="15" hidden="1" customHeight="1" x14ac:dyDescent="0.25">
      <c r="E602" s="1010">
        <v>11</v>
      </c>
      <c r="F602" s="1011">
        <f>IF(F34=0,"",F34)</f>
        <v>5.1493055555555558E-4</v>
      </c>
      <c r="G602" s="1012">
        <f>IF(I34=0,"",I34)</f>
        <v>5.1990740740740741E-4</v>
      </c>
      <c r="H602" s="1012" t="str">
        <f>IF(L34=0,"",L34)</f>
        <v/>
      </c>
      <c r="I602" s="1011">
        <f>IF(O34=0,"",O34)</f>
        <v>4.6643518518518518E-4</v>
      </c>
      <c r="J602" s="1012">
        <f>IF(R34=0,"",R34)</f>
        <v>4.6516203703703699E-4</v>
      </c>
      <c r="K602" s="1012">
        <f>IF(U34=0,"",U34)</f>
        <v>5.346064814814815E-4</v>
      </c>
      <c r="L602" s="1011">
        <f>IF(X34=0,"",X34)</f>
        <v>4.9548611111111115E-4</v>
      </c>
      <c r="M602" s="1012" t="str">
        <f>IF(AA34=0,"",AA34)</f>
        <v/>
      </c>
      <c r="N602" s="1012" t="str">
        <f>IF(AD34=0,"",AD34)</f>
        <v/>
      </c>
      <c r="O602" s="1011" t="str">
        <f>IF(AG34=0,"",AG34)</f>
        <v/>
      </c>
    </row>
    <row r="603" spans="5:15" ht="15" hidden="1" customHeight="1" x14ac:dyDescent="0.25">
      <c r="E603" s="1010">
        <v>12</v>
      </c>
      <c r="F603" s="1011" t="str">
        <f>IF(F37=0,"",F37)</f>
        <v/>
      </c>
      <c r="G603" s="1012">
        <f>IF(I37=0,"",I37)</f>
        <v>4.6608796296296302E-4</v>
      </c>
      <c r="H603" s="1012">
        <f>IF(L37=0,"",L37)</f>
        <v>5.4340277777777785E-4</v>
      </c>
      <c r="I603" s="1011">
        <f>IF(O37=0,"",O37)</f>
        <v>5.3668981481481482E-4</v>
      </c>
      <c r="J603" s="1012">
        <f>IF(R37=0,"",R37)</f>
        <v>4.7870370370370368E-4</v>
      </c>
      <c r="K603" s="1012">
        <f>IF(U37=0,"",U37)</f>
        <v>5.2071759259259259E-4</v>
      </c>
      <c r="L603" s="1011">
        <f>IF(X37=0,"",X37)</f>
        <v>5.3321759259259262E-4</v>
      </c>
      <c r="M603" s="1012" t="str">
        <f>IF(AA37=0,"",AA37)</f>
        <v/>
      </c>
      <c r="N603" s="1012" t="str">
        <f>IF(AD37=0,"",AD37)</f>
        <v/>
      </c>
      <c r="O603" s="1011" t="str">
        <f>IF(AG37=0,"",AG37)</f>
        <v/>
      </c>
    </row>
    <row r="604" spans="5:15" ht="15" hidden="1" customHeight="1" x14ac:dyDescent="0.25">
      <c r="E604" s="1010">
        <v>13</v>
      </c>
      <c r="F604" s="1011">
        <f>IF(F40=0,"",F40)</f>
        <v>9.4062500000000005E-4</v>
      </c>
      <c r="G604" s="1012">
        <f>IF(I40=0,"",I40)</f>
        <v>1.1271990740740741E-3</v>
      </c>
      <c r="H604" s="1012">
        <f>IF(L40=0,"",L40)</f>
        <v>9.5138888888888888E-4</v>
      </c>
      <c r="I604" s="1011">
        <f>IF(O40=0,"",O40)</f>
        <v>1.0512731481481482E-3</v>
      </c>
      <c r="J604" s="1012">
        <f>IF(R40=0,"",R40)</f>
        <v>1.135185185185185E-3</v>
      </c>
      <c r="K604" s="1012">
        <f>IF(U40=0,"",U40)</f>
        <v>1.2004629629629631E-3</v>
      </c>
      <c r="L604" s="1011">
        <f>IF(X40=0,"",X40)</f>
        <v>1.0837962962962962E-3</v>
      </c>
      <c r="M604" s="1012" t="str">
        <f>IF(AA40=0,"",AA40)</f>
        <v/>
      </c>
      <c r="N604" s="1012" t="str">
        <f>IF(AD40=0,"",AD40)</f>
        <v/>
      </c>
      <c r="O604" s="1011" t="str">
        <f>IF(AG40=0,"",AG40)</f>
        <v/>
      </c>
    </row>
    <row r="605" spans="5:15" ht="15" hidden="1" customHeight="1" x14ac:dyDescent="0.25">
      <c r="E605" s="1010">
        <v>14</v>
      </c>
      <c r="F605" s="1011">
        <f>IF(F43=0,"",F43)</f>
        <v>1.1857638888888888E-3</v>
      </c>
      <c r="G605" s="1012">
        <f>IF(I43=0,"",I43)</f>
        <v>1.0996527777777777E-3</v>
      </c>
      <c r="H605" s="1012">
        <f>IF(L43=0,"",L43)</f>
        <v>1.0501157407407408E-3</v>
      </c>
      <c r="I605" s="1011">
        <f>IF(O43=0,"",O43)</f>
        <v>1.1608796296296295E-3</v>
      </c>
      <c r="J605" s="1012">
        <f>IF(R43=0,"",R43)</f>
        <v>1.0450231481481482E-3</v>
      </c>
      <c r="K605" s="1012">
        <f>IF(U43=0,"",U43)</f>
        <v>1.0557870370370372E-3</v>
      </c>
      <c r="L605" s="1011">
        <f>IF(X43=0,"",X43)</f>
        <v>8.9733796296296295E-4</v>
      </c>
      <c r="M605" s="1012" t="str">
        <f>IF(AA43=0,"",AA43)</f>
        <v/>
      </c>
      <c r="N605" s="1012" t="str">
        <f>IF(AD43=0,"",AD43)</f>
        <v/>
      </c>
      <c r="O605" s="1011" t="str">
        <f>IF(AG43=0,"",AG43)</f>
        <v/>
      </c>
    </row>
    <row r="606" spans="5:15" ht="15" hidden="1" customHeight="1" x14ac:dyDescent="0.25">
      <c r="E606" s="1010">
        <v>15</v>
      </c>
      <c r="F606" s="1011">
        <f>IF(F46=0,"",F46)</f>
        <v>8.9375000000000001E-4</v>
      </c>
      <c r="G606" s="1012">
        <f>IF(I46=0,"",I46)</f>
        <v>9.2106481481481477E-4</v>
      </c>
      <c r="H606" s="1012">
        <f>IF(L46=0,"",L46)</f>
        <v>8.6793981481481488E-4</v>
      </c>
      <c r="I606" s="1011">
        <f>IF(O46=0,"",O46)</f>
        <v>7.7500000000000008E-4</v>
      </c>
      <c r="J606" s="1012">
        <f>IF(R46=0,"",R46)</f>
        <v>8.3391203703703709E-4</v>
      </c>
      <c r="K606" s="1012">
        <f>IF(U46=0,"",U46)</f>
        <v>8.4525462962962972E-4</v>
      </c>
      <c r="L606" s="1011">
        <f>IF(X46=0,"",X46)</f>
        <v>9.3564814814814812E-4</v>
      </c>
      <c r="M606" s="1012" t="str">
        <f>IF(AA46=0,"",AA46)</f>
        <v/>
      </c>
      <c r="N606" s="1012" t="str">
        <f>IF(AD46=0,"",AD46)</f>
        <v/>
      </c>
      <c r="O606" s="1011" t="str">
        <f>IF(AG46=0,"",AG46)</f>
        <v/>
      </c>
    </row>
    <row r="607" spans="5:15" ht="15" hidden="1" customHeight="1" x14ac:dyDescent="0.25">
      <c r="E607" s="1010">
        <v>16</v>
      </c>
      <c r="F607" s="1011">
        <f>IF(F49=0,"",F49)</f>
        <v>9.2187499999999995E-4</v>
      </c>
      <c r="G607" s="1012">
        <f>IF(I49=0,"",I49)</f>
        <v>8.1967592592592595E-4</v>
      </c>
      <c r="H607" s="1012">
        <f>IF(L49=0,"",L49)</f>
        <v>9.8182870370370373E-4</v>
      </c>
      <c r="I607" s="1011">
        <f>IF(O49=0,"",O49)</f>
        <v>7.7662037037037033E-4</v>
      </c>
      <c r="J607" s="1012">
        <f>IF(R49=0,"",R49)</f>
        <v>7.4768518518518511E-4</v>
      </c>
      <c r="K607" s="1012" t="str">
        <f>IF(U49=0,"",U49)</f>
        <v/>
      </c>
      <c r="L607" s="1011">
        <f>IF(X49=0,"",X49)</f>
        <v>8.1678240740740745E-4</v>
      </c>
      <c r="M607" s="1012" t="str">
        <f>IF(AA49=0,"",AA49)</f>
        <v/>
      </c>
      <c r="N607" s="1012" t="str">
        <f>IF(AD49=0,"",AD49)</f>
        <v/>
      </c>
      <c r="O607" s="1011" t="str">
        <f>IF(AG49=0,"",AG49)</f>
        <v/>
      </c>
    </row>
    <row r="608" spans="5:15" ht="15" hidden="1" customHeight="1" x14ac:dyDescent="0.25">
      <c r="E608" s="1010">
        <v>17</v>
      </c>
      <c r="F608" s="1011">
        <f>IF(F52=0,"",F52)</f>
        <v>8.8090277777777776E-4</v>
      </c>
      <c r="G608" s="1012">
        <f>IF(I52=0,"",I52)</f>
        <v>9.2118055555555562E-4</v>
      </c>
      <c r="H608" s="1012">
        <f>IF(L52=0,"",L52)</f>
        <v>9.0671296296296301E-4</v>
      </c>
      <c r="I608" s="1011">
        <f>IF(O52=0,"",O52)</f>
        <v>7.9513888888888896E-4</v>
      </c>
      <c r="J608" s="1012">
        <f>IF(R52=0,"",R52)</f>
        <v>8.6215277777777777E-4</v>
      </c>
      <c r="K608" s="1012">
        <f>IF(U52=0,"",U52)</f>
        <v>9.0601851851851857E-4</v>
      </c>
      <c r="L608" s="1011">
        <f>IF(X52=0,"",X52)</f>
        <v>8.9131944444444447E-4</v>
      </c>
      <c r="M608" s="1012" t="str">
        <f>IF(AA52=0,"",AA52)</f>
        <v/>
      </c>
      <c r="N608" s="1012" t="str">
        <f>IF(AD52=0,"",AD52)</f>
        <v/>
      </c>
      <c r="O608" s="1011" t="str">
        <f>IF(AG52=0,"",AG52)</f>
        <v/>
      </c>
    </row>
    <row r="609" spans="5:15" ht="15" hidden="1" customHeight="1" x14ac:dyDescent="0.25">
      <c r="E609" s="1010">
        <v>18</v>
      </c>
      <c r="F609" s="1011" t="str">
        <f>IF(F55=0,"",F55)</f>
        <v/>
      </c>
      <c r="G609" s="1012">
        <f>IF(I55=0,"",I55)</f>
        <v>1.0456018518518518E-3</v>
      </c>
      <c r="H609" s="1012">
        <f>IF(L55=0,"",L55)</f>
        <v>8.0162037037037018E-4</v>
      </c>
      <c r="I609" s="1011">
        <f>IF(O55=0,"",O55)</f>
        <v>7.4166666666666662E-4</v>
      </c>
      <c r="J609" s="1012">
        <f>IF(R55=0,"",R55)</f>
        <v>7.594907407407407E-4</v>
      </c>
      <c r="K609" s="1012">
        <f>IF(U55=0,"",U55)</f>
        <v>7.1388888888888891E-4</v>
      </c>
      <c r="L609" s="1011">
        <f>IF(X55=0,"",X55)</f>
        <v>7.53125E-4</v>
      </c>
      <c r="M609" s="1012" t="str">
        <f>IF(AA55=0,"",AA55)</f>
        <v/>
      </c>
      <c r="N609" s="1012" t="str">
        <f>IF(AD55=0,"",AD55)</f>
        <v/>
      </c>
      <c r="O609" s="1011" t="str">
        <f>IF(AG55=0,"",AG55)</f>
        <v/>
      </c>
    </row>
    <row r="610" spans="5:15" ht="15" hidden="1" customHeight="1" x14ac:dyDescent="0.25">
      <c r="E610" s="1010">
        <v>19</v>
      </c>
      <c r="F610" s="1011">
        <f>IF(F58=0,"",F58)</f>
        <v>4.4745370370370365E-4</v>
      </c>
      <c r="G610" s="1012">
        <f>IF(I58=0,"",I58)</f>
        <v>5.0428240740740739E-4</v>
      </c>
      <c r="H610" s="1012">
        <f>IF(L58=0,"",L58)</f>
        <v>4.9270833333333339E-4</v>
      </c>
      <c r="I610" s="1011">
        <f>IF(O58=0,"",O58)</f>
        <v>5.276620370370371E-4</v>
      </c>
      <c r="J610" s="1012">
        <f>IF(R58=0,"",R58)</f>
        <v>5.4780092592592586E-4</v>
      </c>
      <c r="K610" s="1012">
        <f>IF(U58=0,"",U58)</f>
        <v>5.398148148148148E-4</v>
      </c>
      <c r="L610" s="1011">
        <f>IF(X58=0,"",X58)</f>
        <v>5.0543981481481479E-4</v>
      </c>
      <c r="M610" s="1012" t="str">
        <f>IF(AA58=0,"",AA58)</f>
        <v/>
      </c>
      <c r="N610" s="1012" t="str">
        <f>IF(AD58=0,"",AD58)</f>
        <v/>
      </c>
      <c r="O610" s="1011" t="str">
        <f>IF(AG58=0,"",AG58)</f>
        <v/>
      </c>
    </row>
    <row r="611" spans="5:15" ht="15" hidden="1" customHeight="1" x14ac:dyDescent="0.25">
      <c r="E611" s="1010">
        <v>20</v>
      </c>
      <c r="F611" s="1011">
        <f>IF(F61=0,"",F61)</f>
        <v>6.6365740740740751E-4</v>
      </c>
      <c r="G611" s="1012">
        <f>IF(I61=0,"",I61)</f>
        <v>4.5636574074074074E-4</v>
      </c>
      <c r="H611" s="1012">
        <f>IF(L61=0,"",L61)</f>
        <v>5.5312500000000001E-4</v>
      </c>
      <c r="I611" s="1011" t="str">
        <f>IF(O61=0,"",O61)</f>
        <v/>
      </c>
      <c r="J611" s="1012">
        <f>IF(R61=0,"",R61)</f>
        <v>5.807870370370371E-4</v>
      </c>
      <c r="K611" s="1012">
        <f>IF(U61=0,"",U61)</f>
        <v>4.7685185185185195E-4</v>
      </c>
      <c r="L611" s="1011">
        <f>IF(X61=0,"",X61)</f>
        <v>5.8124999999999995E-4</v>
      </c>
      <c r="M611" s="1012" t="str">
        <f>IF(AA61=0,"",AA61)</f>
        <v/>
      </c>
      <c r="N611" s="1012" t="str">
        <f>IF(AD61=0,"",AD61)</f>
        <v/>
      </c>
      <c r="O611" s="1011" t="str">
        <f>IF(AG61=0,"",AG61)</f>
        <v/>
      </c>
    </row>
    <row r="612" spans="5:15" ht="15" hidden="1" customHeight="1" x14ac:dyDescent="0.25">
      <c r="E612" s="1010">
        <v>21</v>
      </c>
      <c r="F612" s="1011">
        <f>IF(F64=0,"",F64)</f>
        <v>1.0196759259259258E-3</v>
      </c>
      <c r="G612" s="1012">
        <f>IF(I64=0,"",I64)</f>
        <v>9.2986111111111101E-4</v>
      </c>
      <c r="H612" s="1012">
        <f>IF(L64=0,"",L64)</f>
        <v>9.0185185185185192E-4</v>
      </c>
      <c r="I612" s="1011">
        <f>IF(O64=0,"",O64)</f>
        <v>8.8587962962962969E-4</v>
      </c>
      <c r="J612" s="1012">
        <f>IF(R64=0,"",R64)</f>
        <v>9.4004629629629614E-4</v>
      </c>
      <c r="K612" s="1012">
        <f>IF(U64=0,"",U64)</f>
        <v>9.2581018518518522E-4</v>
      </c>
      <c r="L612" s="1011" t="str">
        <f>IF(X64=0,"",X64)</f>
        <v/>
      </c>
      <c r="M612" s="1012" t="str">
        <f>IF(AA64=0,"",AA64)</f>
        <v/>
      </c>
      <c r="N612" s="1012" t="str">
        <f>IF(AD64=0,"",AD64)</f>
        <v/>
      </c>
      <c r="O612" s="1011" t="str">
        <f>IF(AG64=0,"",AG64)</f>
        <v/>
      </c>
    </row>
    <row r="613" spans="5:15" ht="15" hidden="1" customHeight="1" x14ac:dyDescent="0.25">
      <c r="E613" s="1010">
        <v>22</v>
      </c>
      <c r="F613" s="1011">
        <f>IF(F67=0,"",F67)</f>
        <v>9.3923611111111117E-4</v>
      </c>
      <c r="G613" s="1012">
        <f>IF(I67=0,"",I67)</f>
        <v>1.0121527777777778E-3</v>
      </c>
      <c r="H613" s="1012">
        <f>IF(L67=0,"",L67)</f>
        <v>9.3715277777777775E-4</v>
      </c>
      <c r="I613" s="1011">
        <f>IF(O67=0,"",O67)</f>
        <v>1.0128472222222221E-3</v>
      </c>
      <c r="J613" s="1012">
        <f>IF(R67=0,"",R67)</f>
        <v>9.032407407407408E-4</v>
      </c>
      <c r="K613" s="1012">
        <f>IF(U67=0,"",U67)</f>
        <v>7.9201388888888898E-4</v>
      </c>
      <c r="L613" s="1011">
        <f>IF(X67=0,"",X67)</f>
        <v>7.9988425925925919E-4</v>
      </c>
      <c r="M613" s="1012" t="str">
        <f>IF(AA67=0,"",AA67)</f>
        <v/>
      </c>
      <c r="N613" s="1012" t="str">
        <f>IF(AD67=0,"",AD67)</f>
        <v/>
      </c>
      <c r="O613" s="1011" t="str">
        <f>IF(AG67=0,"",AG67)</f>
        <v/>
      </c>
    </row>
    <row r="614" spans="5:15" ht="15" hidden="1" customHeight="1" x14ac:dyDescent="0.25">
      <c r="E614" s="1010">
        <v>23</v>
      </c>
      <c r="F614" s="1011">
        <f>IF(F70=0,"",F70)</f>
        <v>8.8113425925925913E-4</v>
      </c>
      <c r="G614" s="1012">
        <f>IF(I70=0,"",I70)</f>
        <v>9.0543981481481476E-4</v>
      </c>
      <c r="H614" s="1012">
        <f>IF(L70=0,"",L70)</f>
        <v>8.7824074074074063E-4</v>
      </c>
      <c r="I614" s="1011">
        <f>IF(O70=0,"",O70)</f>
        <v>9.1539351851851851E-4</v>
      </c>
      <c r="J614" s="1012">
        <f>IF(R70=0,"",R70)</f>
        <v>8.155092592592592E-4</v>
      </c>
      <c r="K614" s="1012">
        <f>IF(U70=0,"",U70)</f>
        <v>9.3287037037037036E-4</v>
      </c>
      <c r="L614" s="1011">
        <f>IF(X70=0,"",X70)</f>
        <v>8.5023148148148143E-4</v>
      </c>
      <c r="M614" s="1012" t="str">
        <f>IF(AA70=0,"",AA70)</f>
        <v/>
      </c>
      <c r="N614" s="1012" t="str">
        <f>IF(AD70=0,"",AD70)</f>
        <v/>
      </c>
      <c r="O614" s="1011" t="str">
        <f>IF(AG70=0,"",AG70)</f>
        <v/>
      </c>
    </row>
    <row r="615" spans="5:15" ht="13.5" hidden="1" customHeight="1" x14ac:dyDescent="0.25">
      <c r="E615" s="1010">
        <v>24</v>
      </c>
      <c r="F615" s="1011" t="str">
        <f>IF(F73=0,"",F73)</f>
        <v/>
      </c>
      <c r="G615" s="1012">
        <f>IF(I73=0,"",I73)</f>
        <v>9.9282407407407414E-4</v>
      </c>
      <c r="H615" s="1012">
        <f>IF(L73=0,"",L73)</f>
        <v>8.9733796296296295E-4</v>
      </c>
      <c r="I615" s="1011">
        <f>IF(O73=0,"",O73)</f>
        <v>7.7939814814814809E-4</v>
      </c>
      <c r="J615" s="1012">
        <f>IF(R73=0,"",R73)</f>
        <v>7.0729166666666672E-4</v>
      </c>
      <c r="K615" s="1012">
        <f>IF(U73=0,"",U73)</f>
        <v>7.3865740740740749E-4</v>
      </c>
      <c r="L615" s="1011">
        <f>IF(X73=0,"",X73)</f>
        <v>7.9444444444444452E-4</v>
      </c>
      <c r="M615" s="1012" t="str">
        <f>IF(AA73=0,"",AA73)</f>
        <v/>
      </c>
      <c r="N615" s="1012" t="str">
        <f>IF(AD73=0,"",AD73)</f>
        <v/>
      </c>
      <c r="O615" s="1011" t="str">
        <f>IF(AG73=0,"",AG73)</f>
        <v/>
      </c>
    </row>
    <row r="616" spans="5:15" ht="15" hidden="1" customHeight="1" x14ac:dyDescent="0.25">
      <c r="E616" s="1010">
        <v>25</v>
      </c>
      <c r="F616" s="1011">
        <f>IF(F76=0,"",F76)</f>
        <v>9.5601851851851848E-4</v>
      </c>
      <c r="G616" s="1012">
        <f>IF(I76=0,"",I76)</f>
        <v>8.688657407407408E-4</v>
      </c>
      <c r="H616" s="1012">
        <f>IF(L76=0,"",L76)</f>
        <v>8.9016203703703707E-4</v>
      </c>
      <c r="I616" s="1011">
        <f>IF(O76=0,"",O76)</f>
        <v>7.8784722222222233E-4</v>
      </c>
      <c r="J616" s="1012">
        <f>IF(R76=0,"",R76)</f>
        <v>8.3194444444444451E-4</v>
      </c>
      <c r="K616" s="1012">
        <f>IF(U76=0,"",U76)</f>
        <v>9.0694444444444449E-4</v>
      </c>
      <c r="L616" s="1011">
        <f>IF(X76=0,"",X76)</f>
        <v>8.4166666666666667E-4</v>
      </c>
      <c r="M616" s="1012" t="str">
        <f>IF(AA76=0,"",AA76)</f>
        <v/>
      </c>
      <c r="N616" s="1012" t="str">
        <f>IF(AD76=0,"",AD76)</f>
        <v/>
      </c>
      <c r="O616" s="1011" t="str">
        <f>IF(AG76=0,"",AG76)</f>
        <v/>
      </c>
    </row>
    <row r="617" spans="5:15" ht="15" hidden="1" customHeight="1" x14ac:dyDescent="0.25">
      <c r="E617" s="1010">
        <v>26</v>
      </c>
      <c r="F617" s="1011">
        <f>IF(F79=0,"",F79)</f>
        <v>8.2303240740740741E-4</v>
      </c>
      <c r="G617" s="1012">
        <f>IF(I79=0,"",I79)</f>
        <v>7.9606481481481466E-4</v>
      </c>
      <c r="H617" s="1012" t="str">
        <f>IF(L79=0,"",L79)</f>
        <v/>
      </c>
      <c r="I617" s="1011">
        <f>IF(O79=0,"",O79)</f>
        <v>7.1481481481481483E-4</v>
      </c>
      <c r="J617" s="1012">
        <f>IF(R79=0,"",R79)</f>
        <v>7.6111111111111117E-4</v>
      </c>
      <c r="K617" s="1012">
        <f>IF(U79=0,"",U79)</f>
        <v>7.7326388888888887E-4</v>
      </c>
      <c r="L617" s="1011">
        <f>IF(X79=0,"",X79)</f>
        <v>8.189814814814814E-4</v>
      </c>
      <c r="M617" s="1012" t="str">
        <f>IF(AA79=0,"",AA79)</f>
        <v/>
      </c>
      <c r="N617" s="1012" t="str">
        <f>IF(AD79=0,"",AD79)</f>
        <v/>
      </c>
      <c r="O617" s="1011" t="str">
        <f>IF(AG79=0,"",AG79)</f>
        <v/>
      </c>
    </row>
    <row r="618" spans="5:15" ht="15" hidden="1" customHeight="1" x14ac:dyDescent="0.25">
      <c r="E618" s="1010">
        <v>27</v>
      </c>
      <c r="F618" s="1011">
        <f>IF(F82=0,"",F82)</f>
        <v>5.8287037037037042E-4</v>
      </c>
      <c r="G618" s="1012">
        <f>IF(I82=0,"",I82)</f>
        <v>6.0682870370370372E-4</v>
      </c>
      <c r="H618" s="1012" t="str">
        <f>IF(L82=0,"",L82)</f>
        <v/>
      </c>
      <c r="I618" s="1011">
        <f>IF(O82=0,"",O82)</f>
        <v>5.7696759259259257E-4</v>
      </c>
      <c r="J618" s="1012">
        <f>IF(R82=0,"",R82)</f>
        <v>5.8101851851851858E-4</v>
      </c>
      <c r="K618" s="1012">
        <f>IF(U82=0,"",U82)</f>
        <v>5.8090277777777773E-4</v>
      </c>
      <c r="L618" s="1011">
        <f>IF(X82=0,"",X82)</f>
        <v>5.8032407407407414E-4</v>
      </c>
      <c r="M618" s="1012" t="str">
        <f>IF(AA82=0,"",AA82)</f>
        <v/>
      </c>
      <c r="N618" s="1012" t="str">
        <f>IF(AD82=0,"",AD82)</f>
        <v/>
      </c>
      <c r="O618" s="1011" t="str">
        <f>IF(AG82=0,"",AG82)</f>
        <v/>
      </c>
    </row>
    <row r="619" spans="5:15" ht="15" hidden="1" customHeight="1" x14ac:dyDescent="0.25">
      <c r="E619" s="1010">
        <v>28</v>
      </c>
      <c r="F619" s="1011" t="str">
        <f>IF(F85=0,"",F85)</f>
        <v/>
      </c>
      <c r="G619" s="1012">
        <f>IF(I85=0,"",I85)</f>
        <v>4.9606481481481485E-4</v>
      </c>
      <c r="H619" s="1012">
        <f>IF(L85=0,"",L85)</f>
        <v>6.1481481481481478E-4</v>
      </c>
      <c r="I619" s="1011">
        <f>IF(O85=0,"",O85)</f>
        <v>5.7210648148148149E-4</v>
      </c>
      <c r="J619" s="1012">
        <f>IF(R85=0,"",R85)</f>
        <v>5.1655092592592594E-4</v>
      </c>
      <c r="K619" s="1012">
        <f>IF(U85=0,"",U85)</f>
        <v>5.7083333333333324E-4</v>
      </c>
      <c r="L619" s="1011">
        <f>IF(X85=0,"",X85)</f>
        <v>6.1990740740740745E-4</v>
      </c>
      <c r="M619" s="1012" t="str">
        <f>IF(AA85=0,"",AA85)</f>
        <v/>
      </c>
      <c r="N619" s="1012" t="str">
        <f>IF(AD85=0,"",AD85)</f>
        <v/>
      </c>
      <c r="O619" s="1011" t="str">
        <f>IF(AG85=0,"",AG85)</f>
        <v/>
      </c>
    </row>
    <row r="620" spans="5:15" ht="15" hidden="1" customHeight="1" x14ac:dyDescent="0.25">
      <c r="E620" s="1010">
        <v>29</v>
      </c>
      <c r="F620" s="1011">
        <f>IF(F88=0,"",F88)</f>
        <v>9.662037037037036E-4</v>
      </c>
      <c r="G620" s="1012">
        <f>IF(I88=0,"",I88)</f>
        <v>1.0836805555555556E-3</v>
      </c>
      <c r="H620" s="1012">
        <f>IF(L88=0,"",L88)</f>
        <v>9.8414351851851853E-4</v>
      </c>
      <c r="I620" s="1011">
        <f>IF(O88=0,"",O88)</f>
        <v>9.0659722222222216E-4</v>
      </c>
      <c r="J620" s="1012">
        <f>IF(R88=0,"",R88)</f>
        <v>9.0937499999999992E-4</v>
      </c>
      <c r="K620" s="1012">
        <f>IF(U88=0,"",U88)</f>
        <v>9.300925925925926E-4</v>
      </c>
      <c r="L620" s="1011">
        <f>IF(X88=0,"",X88)</f>
        <v>1.016087962962963E-3</v>
      </c>
      <c r="M620" s="1012" t="str">
        <f>IF(AA88=0,"",AA88)</f>
        <v/>
      </c>
      <c r="N620" s="1012" t="str">
        <f>IF(AD88=0,"",AD88)</f>
        <v/>
      </c>
      <c r="O620" s="1011" t="str">
        <f>IF(AG88=0,"",AG88)</f>
        <v/>
      </c>
    </row>
    <row r="621" spans="5:15" ht="15" hidden="1" customHeight="1" x14ac:dyDescent="0.25">
      <c r="E621" s="1010">
        <v>30</v>
      </c>
      <c r="F621" s="1011">
        <f>IF(F91=0,"",F91)</f>
        <v>9.8692129629629629E-4</v>
      </c>
      <c r="G621" s="1012">
        <f>IF(I91=0,"",I91)</f>
        <v>1.004976851851852E-3</v>
      </c>
      <c r="H621" s="1012">
        <f>IF(L91=0,"",L91)</f>
        <v>9.1284722222222212E-4</v>
      </c>
      <c r="I621" s="1011">
        <f>IF(O91=0,"",O91)</f>
        <v>1.0731481481481479E-3</v>
      </c>
      <c r="J621" s="1012">
        <f>IF(R91=0,"",R91)</f>
        <v>1.2238425925925926E-3</v>
      </c>
      <c r="K621" s="1012">
        <f>IF(U91=0,"",U91)</f>
        <v>9.4016203703703699E-4</v>
      </c>
      <c r="L621" s="1011">
        <f>IF(X91=0,"",X91)</f>
        <v>8.3668981481481474E-4</v>
      </c>
      <c r="M621" s="1012" t="str">
        <f>IF(AA91=0,"",AA91)</f>
        <v/>
      </c>
      <c r="N621" s="1012" t="str">
        <f>IF(AD91=0,"",AD91)</f>
        <v/>
      </c>
      <c r="O621" s="1011" t="str">
        <f>IF(AG91=0,"",AG91)</f>
        <v/>
      </c>
    </row>
    <row r="622" spans="5:15" ht="15" hidden="1" customHeight="1" x14ac:dyDescent="0.25">
      <c r="E622" s="1010">
        <v>31</v>
      </c>
      <c r="F622" s="1011">
        <f>IF(F94=0,"",F94)</f>
        <v>8.273148148148149E-4</v>
      </c>
      <c r="G622" s="1012">
        <f>IF(I94=0,"",I94)</f>
        <v>7.3935185185185182E-4</v>
      </c>
      <c r="H622" s="1012">
        <f>IF(L94=0,"",L94)</f>
        <v>7.7731481481481477E-4</v>
      </c>
      <c r="I622" s="1011">
        <f>IF(O94=0,"",O94)</f>
        <v>7.6041666666666662E-4</v>
      </c>
      <c r="J622" s="1012">
        <f>IF(R94=0,"",R94)</f>
        <v>7.3888888888888886E-4</v>
      </c>
      <c r="K622" s="1012">
        <f>IF(U94=0,"",U94)</f>
        <v>7.5868055555555552E-4</v>
      </c>
      <c r="L622" s="1011">
        <f>IF(X94=0,"",X94)</f>
        <v>8.0636574074074074E-4</v>
      </c>
      <c r="M622" s="1012" t="str">
        <f>IF(AA94=0,"",AA94)</f>
        <v/>
      </c>
      <c r="N622" s="1012" t="str">
        <f>IF(AD94=0,"",AD94)</f>
        <v/>
      </c>
      <c r="O622" s="1011" t="str">
        <f>IF(AG94=0,"",AG94)</f>
        <v/>
      </c>
    </row>
    <row r="623" spans="5:15" ht="15" hidden="1" customHeight="1" x14ac:dyDescent="0.25">
      <c r="E623" s="1010">
        <v>32</v>
      </c>
      <c r="F623" s="1011">
        <f>IF(F97=0,"",F97)</f>
        <v>7.817129629629629E-4</v>
      </c>
      <c r="G623" s="1012">
        <f>IF(I97=0,"",I97)</f>
        <v>7.4780092592592595E-4</v>
      </c>
      <c r="H623" s="1012">
        <f>IF(L97=0,"",L97)</f>
        <v>7.6770833333333335E-4</v>
      </c>
      <c r="I623" s="1011">
        <f>IF(O97=0,"",O97)</f>
        <v>6.8576388888888897E-4</v>
      </c>
      <c r="J623" s="1012">
        <f>IF(R97=0,"",R97)</f>
        <v>6.3321759259259266E-4</v>
      </c>
      <c r="K623" s="1012" t="str">
        <f>IF(U97=0,"",U97)</f>
        <v/>
      </c>
      <c r="L623" s="1011">
        <f>IF(X97=0,"",X97)</f>
        <v>7.2546296296296291E-4</v>
      </c>
      <c r="M623" s="1012" t="str">
        <f>IF(AA97=0,"",AA97)</f>
        <v/>
      </c>
      <c r="N623" s="1012" t="str">
        <f>IF(AD97=0,"",AD97)</f>
        <v/>
      </c>
      <c r="O623" s="1011" t="str">
        <f>IF(AG97=0,"",AG97)</f>
        <v/>
      </c>
    </row>
    <row r="624" spans="5:15" ht="15" hidden="1" customHeight="1" x14ac:dyDescent="0.25">
      <c r="E624" s="1010">
        <v>33</v>
      </c>
      <c r="F624" s="1011">
        <f>IF(F100=0,"",F100)</f>
        <v>9.0185185185185192E-4</v>
      </c>
      <c r="G624" s="1012">
        <f>IF(I100=0,"",I100)</f>
        <v>1.0266203703703702E-3</v>
      </c>
      <c r="H624" s="1012">
        <f>IF(L100=0,"",L100)</f>
        <v>9.638888888888888E-4</v>
      </c>
      <c r="I624" s="1011">
        <f>IF(O100=0,"",O100)</f>
        <v>9.4085648148148143E-4</v>
      </c>
      <c r="J624" s="1012">
        <f>IF(R100=0,"",R100)</f>
        <v>9.7719907407407412E-4</v>
      </c>
      <c r="K624" s="1012">
        <f>IF(U100=0,"",U100)</f>
        <v>9.8564814814814804E-4</v>
      </c>
      <c r="L624" s="1011">
        <f>IF(X100=0,"",X100)</f>
        <v>1.0487268518518519E-3</v>
      </c>
      <c r="M624" s="1012" t="str">
        <f>IF(AA100=0,"",AA100)</f>
        <v/>
      </c>
      <c r="N624" s="1012" t="str">
        <f>IF(AD100=0,"",AD100)</f>
        <v/>
      </c>
      <c r="O624" s="1011" t="str">
        <f>IF(AG100=0,"",AG100)</f>
        <v/>
      </c>
    </row>
    <row r="625" spans="5:15" ht="15" hidden="1" customHeight="1" x14ac:dyDescent="0.25">
      <c r="E625" s="1010">
        <v>34</v>
      </c>
      <c r="F625" s="1011">
        <f>IF(F103=0,"",F103)</f>
        <v>9.3692129629629627E-4</v>
      </c>
      <c r="G625" s="1012">
        <f>IF(I103=0,"",I103)</f>
        <v>1.0325231481481481E-3</v>
      </c>
      <c r="H625" s="1012">
        <f>IF(L103=0,"",L103)</f>
        <v>8.0763888888888888E-4</v>
      </c>
      <c r="I625" s="1011">
        <f>IF(O103=0,"",O103)</f>
        <v>8.902777777777777E-4</v>
      </c>
      <c r="J625" s="1012">
        <f>IF(R103=0,"",R103)</f>
        <v>8.2581018518518518E-4</v>
      </c>
      <c r="K625" s="1012">
        <f>IF(U103=0,"",U103)</f>
        <v>8.2638888888888877E-4</v>
      </c>
      <c r="L625" s="1011">
        <f>IF(X103=0,"",X103)</f>
        <v>9.0115740740740748E-4</v>
      </c>
      <c r="M625" s="1012" t="str">
        <f>IF(AA103=0,"",AA103)</f>
        <v/>
      </c>
      <c r="N625" s="1012" t="str">
        <f>IF(AD103=0,"",AD103)</f>
        <v/>
      </c>
      <c r="O625" s="1011" t="str">
        <f>IF(AG103=0,"",AG103)</f>
        <v/>
      </c>
    </row>
    <row r="626" spans="5:15" ht="15" hidden="1" customHeight="1" x14ac:dyDescent="0.25">
      <c r="E626" s="1010">
        <v>35</v>
      </c>
      <c r="F626" s="1011">
        <f>IF(F106=0,"",F106)</f>
        <v>3.996527777777778E-4</v>
      </c>
      <c r="G626" s="1012">
        <f>IF(I106=0,"",I106)</f>
        <v>4.4780092592592587E-4</v>
      </c>
      <c r="H626" s="1012">
        <f>IF(L106=0,"",L106)</f>
        <v>4.3414351851851855E-4</v>
      </c>
      <c r="I626" s="1011">
        <f>IF(O106=0,"",O106)</f>
        <v>4.1967592592592593E-4</v>
      </c>
      <c r="J626" s="1012">
        <f>IF(R106=0,"",R106)</f>
        <v>4.2754629629629626E-4</v>
      </c>
      <c r="K626" s="1012">
        <f>IF(U106=0,"",U106)</f>
        <v>4.7604166666666666E-4</v>
      </c>
      <c r="L626" s="1011">
        <f>IF(X106=0,"",X106)</f>
        <v>4.4502314814814817E-4</v>
      </c>
      <c r="M626" s="1012" t="str">
        <f>IF(AA106=0,"",AA106)</f>
        <v/>
      </c>
      <c r="N626" s="1012" t="str">
        <f>IF(AD106=0,"",AD106)</f>
        <v/>
      </c>
      <c r="O626" s="1011" t="str">
        <f>IF(AG106=0,"",AG106)</f>
        <v/>
      </c>
    </row>
    <row r="627" spans="5:15" ht="2.25" hidden="1" customHeight="1" x14ac:dyDescent="0.25">
      <c r="E627" s="1010">
        <v>36</v>
      </c>
      <c r="F627" s="1011">
        <f>IF(F109=0,"",F109)</f>
        <v>5.3078703703703697E-4</v>
      </c>
      <c r="G627" s="1012">
        <f>IF(I109=0,"",I109)</f>
        <v>4.4502314814814817E-4</v>
      </c>
      <c r="H627" s="1012">
        <f>IF(L109=0,"",L109)</f>
        <v>4.4016203703703708E-4</v>
      </c>
      <c r="I627" s="1011">
        <f>IF(O109=0,"",O109)</f>
        <v>4.2395833333333332E-4</v>
      </c>
      <c r="J627" s="1012">
        <f>IF(R109=0,"",R109)</f>
        <v>4.096064814814815E-4</v>
      </c>
      <c r="K627" s="1012">
        <f>IF(U109=0,"",U109)</f>
        <v>4.0983796296296292E-4</v>
      </c>
      <c r="L627" s="1011">
        <f>IF(X109=0,"",X109)</f>
        <v>5.0486111111111109E-4</v>
      </c>
      <c r="M627" s="1012" t="str">
        <f>IF(AA109=0,"",AA109)</f>
        <v/>
      </c>
      <c r="N627" s="1012" t="str">
        <f>IF(AD109=0,"",AD109)</f>
        <v/>
      </c>
      <c r="O627" s="1011" t="str">
        <f>IF(AG109=0,"",AG109)</f>
        <v/>
      </c>
    </row>
    <row r="628" spans="5:15" ht="15" hidden="1" customHeight="1" x14ac:dyDescent="0.25">
      <c r="E628" s="1010">
        <v>37</v>
      </c>
      <c r="F628" s="1011">
        <f>IF(F112=0,"",F112)</f>
        <v>8.0532407407407408E-4</v>
      </c>
      <c r="G628" s="1012">
        <f>IF(I112=0,"",I112)</f>
        <v>8.2650462962962962E-4</v>
      </c>
      <c r="H628" s="1012">
        <f>IF(L112=0,"",L112)</f>
        <v>7.6724537037037039E-4</v>
      </c>
      <c r="I628" s="1011">
        <f>IF(O112=0,"",O112)</f>
        <v>7.6041666666666662E-4</v>
      </c>
      <c r="J628" s="1012">
        <f>IF(R112=0,"",R112)</f>
        <v>8.0844907407407395E-4</v>
      </c>
      <c r="K628" s="1012">
        <f>IF(U112=0,"",U112)</f>
        <v>8.0833333333333321E-4</v>
      </c>
      <c r="L628" s="1011">
        <f>IF(X112=0,"",X112)</f>
        <v>8.1724537037037041E-4</v>
      </c>
      <c r="M628" s="1012" t="str">
        <f>IF(AA112=0,"",AA112)</f>
        <v/>
      </c>
      <c r="N628" s="1012" t="str">
        <f>IF(AD112=0,"",AD112)</f>
        <v/>
      </c>
      <c r="O628" s="1011" t="str">
        <f>IF(AG112=0,"",AG112)</f>
        <v/>
      </c>
    </row>
    <row r="629" spans="5:15" ht="15" hidden="1" customHeight="1" x14ac:dyDescent="0.25">
      <c r="E629" s="1010">
        <v>38</v>
      </c>
      <c r="F629" s="1011">
        <f>IF(F115=0,"",F115)</f>
        <v>7.5578703703703702E-4</v>
      </c>
      <c r="G629" s="1012">
        <f>IF(I115=0,"",I115)</f>
        <v>7.6261574074074079E-4</v>
      </c>
      <c r="H629" s="1012">
        <f>IF(L115=0,"",L115)</f>
        <v>7.693287037037036E-4</v>
      </c>
      <c r="I629" s="1011">
        <f>IF(O115=0,"",O115)</f>
        <v>8.0902777777777787E-4</v>
      </c>
      <c r="J629" s="1012">
        <f>IF(R115=0,"",R115)</f>
        <v>9.4976851851851852E-4</v>
      </c>
      <c r="K629" s="1012">
        <f>IF(U115=0,"",U115)</f>
        <v>7.1898148148148158E-4</v>
      </c>
      <c r="L629" s="1011">
        <f>IF(X115=0,"",X115)</f>
        <v>7.4050925925925933E-4</v>
      </c>
      <c r="M629" s="1012" t="str">
        <f>IF(AA115=0,"",AA115)</f>
        <v/>
      </c>
      <c r="N629" s="1012" t="str">
        <f>IF(AD115=0,"",AD115)</f>
        <v/>
      </c>
      <c r="O629" s="1011" t="str">
        <f>IF(AG115=0,"",AG115)</f>
        <v/>
      </c>
    </row>
    <row r="630" spans="5:15" ht="15" hidden="1" customHeight="1" x14ac:dyDescent="0.25">
      <c r="E630" s="1010">
        <v>39</v>
      </c>
      <c r="F630" s="1011">
        <f>IF(F118=0,"",F118)</f>
        <v>1.0129629629629631E-3</v>
      </c>
      <c r="G630" s="1012">
        <f>IF(I118=0,"",I118)</f>
        <v>1.0931712962962963E-3</v>
      </c>
      <c r="H630" s="1012">
        <f>IF(L118=0,"",L118)</f>
        <v>9.5104166666666655E-4</v>
      </c>
      <c r="I630" s="1011">
        <f>IF(O118=0,"",O118)</f>
        <v>1.0902777777777779E-3</v>
      </c>
      <c r="J630" s="1012">
        <f>IF(R118=0,"",R118)</f>
        <v>9.3217592592592603E-4</v>
      </c>
      <c r="K630" s="1012">
        <f>IF(U118=0,"",U118)</f>
        <v>9.9178240740740759E-4</v>
      </c>
      <c r="L630" s="1011">
        <f>IF(X118=0,"",X118)</f>
        <v>9.6168981481481485E-4</v>
      </c>
      <c r="M630" s="1012" t="str">
        <f>IF(AA118=0,"",AA118)</f>
        <v/>
      </c>
      <c r="N630" s="1012" t="str">
        <f>IF(AD118=0,"",AD118)</f>
        <v/>
      </c>
      <c r="O630" s="1011" t="str">
        <f>IF(AG118=0,"",AG118)</f>
        <v/>
      </c>
    </row>
    <row r="631" spans="5:15" ht="15" hidden="1" customHeight="1" x14ac:dyDescent="0.25">
      <c r="E631" s="1010">
        <v>40</v>
      </c>
      <c r="F631" s="1011">
        <f>IF(F121=0,"",F121)</f>
        <v>1.0069444444444444E-3</v>
      </c>
      <c r="G631" s="1012">
        <f>IF(I121=0,"",I121)</f>
        <v>9.3819444444444451E-4</v>
      </c>
      <c r="H631" s="1012">
        <f>IF(L121=0,"",L121)</f>
        <v>9.0844907407407411E-4</v>
      </c>
      <c r="I631" s="1011">
        <f>IF(O121=0,"",O121)</f>
        <v>9.0567129629629635E-4</v>
      </c>
      <c r="J631" s="1012">
        <f>IF(R121=0,"",R121)</f>
        <v>9.0636574074074068E-4</v>
      </c>
      <c r="K631" s="1012">
        <f>IF(U121=0,"",U121)</f>
        <v>9.1944444444444452E-4</v>
      </c>
      <c r="L631" s="1011">
        <f>IF(X121=0,"",X121)</f>
        <v>9.109953703703705E-4</v>
      </c>
      <c r="M631" s="1012" t="str">
        <f>IF(AA121=0,"",AA121)</f>
        <v/>
      </c>
      <c r="N631" s="1012" t="str">
        <f>IF(AD121=0,"",AD121)</f>
        <v/>
      </c>
      <c r="O631" s="1011" t="str">
        <f>IF(AG121=0,"",AG121)</f>
        <v/>
      </c>
    </row>
    <row r="632" spans="5:15" ht="15" hidden="1" customHeight="1" x14ac:dyDescent="0.25">
      <c r="E632" s="1010">
        <v>41</v>
      </c>
      <c r="F632" s="1011">
        <f>IF(F124=0,"",F124)</f>
        <v>7.4201388888888884E-4</v>
      </c>
      <c r="G632" s="1012">
        <f>IF(I124=0,"",I124)</f>
        <v>7.799768518518519E-4</v>
      </c>
      <c r="H632" s="1012">
        <f>IF(L124=0,"",L124)</f>
        <v>7.7418981481481479E-4</v>
      </c>
      <c r="I632" s="1011">
        <f>IF(O124=0,"",O124)</f>
        <v>7.6076388888888884E-4</v>
      </c>
      <c r="J632" s="1012">
        <f>IF(R124=0,"",R124)</f>
        <v>7.618055555555555E-4</v>
      </c>
      <c r="K632" s="1012">
        <f>IF(U124=0,"",U124)</f>
        <v>7.6412037037037041E-4</v>
      </c>
      <c r="L632" s="1011">
        <f>IF(X124=0,"",X124)</f>
        <v>7.361111111111111E-4</v>
      </c>
      <c r="M632" s="1012" t="str">
        <f>IF(AA124=0,"",AA124)</f>
        <v/>
      </c>
      <c r="N632" s="1012" t="str">
        <f>IF(AD124=0,"",AD124)</f>
        <v/>
      </c>
      <c r="O632" s="1011" t="str">
        <f>IF(AG124=0,"",AG124)</f>
        <v/>
      </c>
    </row>
    <row r="633" spans="5:15" ht="15" hidden="1" customHeight="1" x14ac:dyDescent="0.25">
      <c r="E633" s="1010">
        <v>42</v>
      </c>
      <c r="F633" s="1011">
        <f>IF(F127=0,"",F127)</f>
        <v>7.2094907407407405E-4</v>
      </c>
      <c r="G633" s="1012">
        <f>IF(I127=0,"",I127)</f>
        <v>7.1099537037037041E-4</v>
      </c>
      <c r="H633" s="1012">
        <f>IF(L127=0,"",L127)</f>
        <v>7.0335648148148145E-4</v>
      </c>
      <c r="I633" s="1011">
        <f>IF(O127=0,"",O127)</f>
        <v>6.5474537037037031E-4</v>
      </c>
      <c r="J633" s="1012">
        <f>IF(R127=0,"",R127)</f>
        <v>6.7881944444444446E-4</v>
      </c>
      <c r="K633" s="1012">
        <f>IF(U127=0,"",U127)</f>
        <v>6.4444444444444445E-4</v>
      </c>
      <c r="L633" s="1011">
        <f>IF(X127=0,"",X127)</f>
        <v>6.8449074074074072E-4</v>
      </c>
      <c r="M633" s="1012" t="str">
        <f>IF(AA127=0,"",AA127)</f>
        <v/>
      </c>
      <c r="N633" s="1012" t="str">
        <f>IF(AD127=0,"",AD127)</f>
        <v/>
      </c>
      <c r="O633" s="1011" t="str">
        <f>IF(AG127=0,"",AG127)</f>
        <v/>
      </c>
    </row>
    <row r="634" spans="5:15" ht="15" hidden="1" customHeight="1" x14ac:dyDescent="0.25">
      <c r="E634" s="1010">
        <v>43</v>
      </c>
      <c r="F634" s="1011">
        <f>IF(F130=0,"",F130)</f>
        <v>2.0284722222222219E-3</v>
      </c>
      <c r="G634" s="1012">
        <f>IF(I130=0,"",I130)</f>
        <v>2.1328703703703705E-3</v>
      </c>
      <c r="H634" s="1012" t="str">
        <f>IF(L130=0,"",L130)</f>
        <v/>
      </c>
      <c r="I634" s="1011">
        <f>IF(O130=0,"",O130)</f>
        <v>2.0923611111111112E-3</v>
      </c>
      <c r="J634" s="1012">
        <f>IF(R130=0,"",R130)</f>
        <v>2.1501157407407406E-3</v>
      </c>
      <c r="K634" s="1012">
        <f>IF(U130=0,"",U130)</f>
        <v>2.2398148148148147E-3</v>
      </c>
      <c r="L634" s="1011">
        <f>IF(X130=0,"",X130)</f>
        <v>2.1025462962962964E-3</v>
      </c>
      <c r="M634" s="1012" t="str">
        <f>IF(AA130=0,"",AA130)</f>
        <v/>
      </c>
      <c r="N634" s="1012" t="str">
        <f>IF(AD130=0,"",AD130)</f>
        <v/>
      </c>
      <c r="O634" s="1011" t="str">
        <f>IF(AG130=0,"",AG130)</f>
        <v/>
      </c>
    </row>
    <row r="635" spans="5:15" ht="15" hidden="1" customHeight="1" x14ac:dyDescent="0.25">
      <c r="E635" s="1010">
        <v>44</v>
      </c>
      <c r="F635" s="1011" t="str">
        <f>IF(F132=0,"",F132)</f>
        <v/>
      </c>
      <c r="G635" s="1012">
        <f>IF(I132=0,"",I132)</f>
        <v>1.8879629629629628E-3</v>
      </c>
      <c r="H635" s="1012" t="str">
        <f>IF(L132=0,"",L132)</f>
        <v/>
      </c>
      <c r="I635" s="1011">
        <f>IF(O132=0,"",O132)</f>
        <v>2.379050925925926E-3</v>
      </c>
      <c r="J635" s="1012">
        <f>IF(R132=0,"",R132)</f>
        <v>2.0459490740740742E-3</v>
      </c>
      <c r="K635" s="1012" t="str">
        <f>IF(U132=0,"",U132)</f>
        <v/>
      </c>
      <c r="L635" s="1011" t="str">
        <f>IF(X132=0,"",X132)</f>
        <v/>
      </c>
      <c r="M635" s="1012" t="str">
        <f>IF(AA132=0,"",AA132)</f>
        <v/>
      </c>
      <c r="N635" s="1012" t="str">
        <f>IF(AD132=0,"",AD132)</f>
        <v/>
      </c>
      <c r="O635" s="1011" t="str">
        <f>IF(AG132=0,"",AG132)</f>
        <v/>
      </c>
    </row>
    <row r="636" spans="5:15" ht="15" hidden="1" customHeight="1" x14ac:dyDescent="0.25">
      <c r="E636" s="1010">
        <v>45</v>
      </c>
      <c r="F636" s="1011">
        <f>IF(F134=0,"",F134)</f>
        <v>1.5287037037037038E-3</v>
      </c>
      <c r="G636" s="1012">
        <f>IF(I134=0,"",I134)</f>
        <v>1.5825231481481482E-3</v>
      </c>
      <c r="H636" s="1012">
        <f>IF(L134=0,"",L134)</f>
        <v>1.4799768518518519E-3</v>
      </c>
      <c r="I636" s="1011">
        <f>IF(O134=0,"",O134)</f>
        <v>1.4490740740740742E-3</v>
      </c>
      <c r="J636" s="1012">
        <f>IF(R134=0,"",R134)</f>
        <v>1.5416666666666669E-3</v>
      </c>
      <c r="K636" s="1012">
        <f>IF(U134=0,"",U134)</f>
        <v>1.7312499999999999E-3</v>
      </c>
      <c r="L636" s="1011">
        <f>IF(X134=0,"",X134)</f>
        <v>1.553587962962963E-3</v>
      </c>
      <c r="M636" s="1012" t="str">
        <f>IF(AA134=0,"",AA134)</f>
        <v/>
      </c>
      <c r="N636" s="1012" t="str">
        <f>IF(AD134=0,"",AD134)</f>
        <v/>
      </c>
      <c r="O636" s="1011" t="str">
        <f>IF(AG134=0,"",AG134)</f>
        <v/>
      </c>
    </row>
    <row r="637" spans="5:15" ht="15" hidden="1" customHeight="1" x14ac:dyDescent="0.25">
      <c r="E637" s="1010">
        <v>46</v>
      </c>
      <c r="F637" s="1011">
        <f>IF(F136=0,"",F136)</f>
        <v>1.5355324074074073E-3</v>
      </c>
      <c r="G637" s="1012">
        <f>IF(I136=0,"",I136)</f>
        <v>1.5901620370370368E-3</v>
      </c>
      <c r="H637" s="1012">
        <f>IF(L136=0,"",L136)</f>
        <v>1.4519675925925926E-3</v>
      </c>
      <c r="I637" s="1011">
        <f>IF(O136=0,"",O136)</f>
        <v>1.6111111111111109E-3</v>
      </c>
      <c r="J637" s="1012">
        <f>IF(R136=0,"",R136)</f>
        <v>1.6079861111111112E-3</v>
      </c>
      <c r="K637" s="1012">
        <f>IF(U136=0,"",U136)</f>
        <v>1.3805555555555557E-3</v>
      </c>
      <c r="L637" s="1011">
        <f>IF(X136=0,"",X136)</f>
        <v>1.4348379629629631E-3</v>
      </c>
      <c r="M637" s="1012" t="str">
        <f>IF(AA136=0,"",AA136)</f>
        <v/>
      </c>
      <c r="N637" s="1012" t="str">
        <f>IF(AD136=0,"",AD136)</f>
        <v/>
      </c>
      <c r="O637" s="1011" t="str">
        <f>IF(AG136=0,"",AG136)</f>
        <v/>
      </c>
    </row>
    <row r="638" spans="5:15" ht="15" hidden="1" customHeight="1" x14ac:dyDescent="0.25">
      <c r="E638" s="1010">
        <v>47</v>
      </c>
      <c r="F638" s="1011">
        <f>IF(F138=0,"",F138)</f>
        <v>1.663310185185185E-3</v>
      </c>
      <c r="G638" s="1012">
        <f>IF(I138=0,"",I138)</f>
        <v>1.7428240740740739E-3</v>
      </c>
      <c r="H638" s="1012">
        <f>IF(L138=0,"",L138)</f>
        <v>1.6858796296296294E-3</v>
      </c>
      <c r="I638" s="1011">
        <f>IF(O138=0,"",O138)</f>
        <v>1.6114583333333334E-3</v>
      </c>
      <c r="J638" s="1012">
        <f>IF(R138=0,"",R138)</f>
        <v>1.5557870370370372E-3</v>
      </c>
      <c r="K638" s="1012">
        <f>IF(U138=0,"",U138)</f>
        <v>1.5972222222222221E-3</v>
      </c>
      <c r="L638" s="1011">
        <f>IF(X138=0,"",X138)</f>
        <v>1.6804398148148149E-3</v>
      </c>
      <c r="M638" s="1012" t="str">
        <f>IF(AA138=0,"",AA138)</f>
        <v/>
      </c>
      <c r="N638" s="1012" t="str">
        <f>IF(AD138=0,"",AD138)</f>
        <v/>
      </c>
      <c r="O638" s="1011" t="str">
        <f>IF(AG138=0,"",AG138)</f>
        <v/>
      </c>
    </row>
    <row r="639" spans="5:15" ht="15" hidden="1" customHeight="1" x14ac:dyDescent="0.25">
      <c r="E639" s="1010">
        <v>48</v>
      </c>
      <c r="F639" s="1011">
        <f>IF(F140=0,"",F140)</f>
        <v>1.7131944444444445E-3</v>
      </c>
      <c r="G639" s="1012">
        <f>IF(I140=0,"",I140)</f>
        <v>1.6046296296296297E-3</v>
      </c>
      <c r="H639" s="1012">
        <f>IF(L140=0,"",L140)</f>
        <v>1.612962962962963E-3</v>
      </c>
      <c r="I639" s="1011" t="str">
        <f>IF(O140=0,"",O140)</f>
        <v/>
      </c>
      <c r="J639" s="1012">
        <f>IF(R140=0,"",R140)</f>
        <v>1.4068287037037038E-3</v>
      </c>
      <c r="K639" s="1012">
        <f>IF(U140=0,"",U140)</f>
        <v>1.4570601851851854E-3</v>
      </c>
      <c r="L639" s="1011">
        <f>IF(X140=0,"",X140)</f>
        <v>1.4971064814814814E-3</v>
      </c>
      <c r="M639" s="1012" t="str">
        <f>IF(AA140=0,"",AA140)</f>
        <v/>
      </c>
      <c r="N639" s="1012" t="str">
        <f>IF(AD140=0,"",AD140)</f>
        <v/>
      </c>
      <c r="O639" s="1011" t="str">
        <f>IF(AG140=0,"",AG140)</f>
        <v/>
      </c>
    </row>
    <row r="640" spans="5:15" ht="15" hidden="1" customHeight="1" x14ac:dyDescent="0.25">
      <c r="E640" s="1010">
        <v>49</v>
      </c>
      <c r="F640" s="1011">
        <f>IF(F142=0,"",F142)</f>
        <v>1.4341435185185186E-3</v>
      </c>
      <c r="G640" s="1012">
        <f>IF(I142=0,"",I142)</f>
        <v>1.5045138888888888E-3</v>
      </c>
      <c r="H640" s="1012">
        <f>IF(L142=0,"",L142)</f>
        <v>1.4663194444444444E-3</v>
      </c>
      <c r="I640" s="1011">
        <f>IF(O142=0,"",O142)</f>
        <v>1.3895833333333332E-3</v>
      </c>
      <c r="J640" s="1012">
        <f>IF(R142=0,"",R142)</f>
        <v>1.387962962962963E-3</v>
      </c>
      <c r="K640" s="1012">
        <f>IF(U142=0,"",U142)</f>
        <v>1.4398148148148148E-3</v>
      </c>
      <c r="L640" s="1011">
        <f>IF(X142=0,"",X142)</f>
        <v>1.3795138888888887E-3</v>
      </c>
      <c r="M640" s="1012" t="str">
        <f>IF(AA142=0,"",AA142)</f>
        <v/>
      </c>
      <c r="N640" s="1012" t="str">
        <f>IF(AD142=0,"",AD142)</f>
        <v/>
      </c>
      <c r="O640" s="1011" t="str">
        <f>IF(AG142=0,"",AG142)</f>
        <v/>
      </c>
    </row>
    <row r="641" spans="5:15" ht="15" hidden="1" customHeight="1" x14ac:dyDescent="0.25">
      <c r="E641" s="1010">
        <v>50</v>
      </c>
      <c r="F641" s="1011">
        <f>IF(F144=0,"",F144)</f>
        <v>1.3858796296296295E-3</v>
      </c>
      <c r="G641" s="1012">
        <f>IF(I144=0,"",I144)</f>
        <v>1.3265046296296295E-3</v>
      </c>
      <c r="H641" s="1012">
        <f>IF(L144=0,"",L144)</f>
        <v>1.3187499999999998E-3</v>
      </c>
      <c r="I641" s="1011">
        <f>IF(O144=0,"",O144)</f>
        <v>1.2317129629629629E-3</v>
      </c>
      <c r="J641" s="1012">
        <f>IF(R144=0,"",R144)</f>
        <v>1.2390046296296296E-3</v>
      </c>
      <c r="K641" s="1012">
        <f>IF(U144=0,"",U144)</f>
        <v>1.2075231481481483E-3</v>
      </c>
      <c r="L641" s="1011">
        <f>IF(X144=0,"",X144)</f>
        <v>1.2875E-3</v>
      </c>
      <c r="M641" s="1012" t="str">
        <f>IF(AA144=0,"",AA144)</f>
        <v/>
      </c>
      <c r="N641" s="1012" t="str">
        <f>IF(AD144=0,"",AD144)</f>
        <v/>
      </c>
      <c r="O641" s="1011" t="str">
        <f>IF(AG144=0,"",AG144)</f>
        <v/>
      </c>
    </row>
    <row r="642" spans="5:15" ht="15" hidden="1" customHeight="1" x14ac:dyDescent="0.25">
      <c r="E642" s="1010">
        <v>51</v>
      </c>
      <c r="F642" s="1011">
        <f>IF(F146=0,"",F146)</f>
        <v>3.0379629629629628E-3</v>
      </c>
      <c r="G642" s="1012">
        <f>IF(I146=0,"",I146)</f>
        <v>2.8525462962962962E-3</v>
      </c>
      <c r="H642" s="1012">
        <f>IF(L146=0,"",L146)</f>
        <v>3.0815972222222221E-3</v>
      </c>
      <c r="I642" s="1011">
        <f>IF(O146=0,"",O146)</f>
        <v>2.8396990740740739E-3</v>
      </c>
      <c r="J642" s="1012">
        <f>IF(R146=0,"",R146)</f>
        <v>2.9663194444444446E-3</v>
      </c>
      <c r="K642" s="1012" t="str">
        <f>IF(U146=0,"",U146)</f>
        <v/>
      </c>
      <c r="L642" s="1011">
        <f>IF(X146=0,"",X146)</f>
        <v>3.0082175925925923E-3</v>
      </c>
      <c r="M642" s="1012" t="str">
        <f>IF(AA146=0,"",AA146)</f>
        <v/>
      </c>
      <c r="N642" s="1012" t="str">
        <f>IF(AD146=0,"",AD146)</f>
        <v/>
      </c>
      <c r="O642" s="1011" t="str">
        <f>IF(AG146=0,"",AG146)</f>
        <v/>
      </c>
    </row>
    <row r="643" spans="5:15" ht="15" hidden="1" customHeight="1" x14ac:dyDescent="0.25"/>
    <row r="644" spans="5:15" hidden="1" x14ac:dyDescent="0.25"/>
  </sheetData>
  <sheetProtection algorithmName="SHA-512" hashValue="2kItfElb4KofEDJoKstPg+aI3xRURyVOaMWEN3bFgkvmJo2faTySxDzRLHFv7Q72TEoFm+HNAh3x65eSQw8WBg==" saltValue="mSj/JVpEZVXkZ3h8q8Iqng==" spinCount="100000" sheet="1" objects="1" scenarios="1"/>
  <mergeCells count="1302">
    <mergeCell ref="B1:E1"/>
    <mergeCell ref="G1:H1"/>
    <mergeCell ref="J1:K1"/>
    <mergeCell ref="M1:N1"/>
    <mergeCell ref="P1:Q1"/>
    <mergeCell ref="S1:T1"/>
    <mergeCell ref="BA1:BA11"/>
    <mergeCell ref="B2:E2"/>
    <mergeCell ref="O2:AC2"/>
    <mergeCell ref="G3:J3"/>
    <mergeCell ref="K3:L3"/>
    <mergeCell ref="M3:Q3"/>
    <mergeCell ref="S3:U3"/>
    <mergeCell ref="V3:X3"/>
    <mergeCell ref="Y3:AC3"/>
    <mergeCell ref="BD3:BF11"/>
    <mergeCell ref="G4:Q4"/>
    <mergeCell ref="S4:U4"/>
    <mergeCell ref="V4:X4"/>
    <mergeCell ref="Y4:AC4"/>
    <mergeCell ref="G5:H5"/>
    <mergeCell ref="J5:K5"/>
    <mergeCell ref="M5:N5"/>
    <mergeCell ref="P5:Q5"/>
    <mergeCell ref="S5:T5"/>
    <mergeCell ref="V5:W5"/>
    <mergeCell ref="Y5:Z5"/>
    <mergeCell ref="AB5:AC5"/>
    <mergeCell ref="AE5:AF5"/>
    <mergeCell ref="AH5:AI5"/>
    <mergeCell ref="AJ5:AJ11"/>
    <mergeCell ref="F6:H6"/>
    <mergeCell ref="I6:K6"/>
    <mergeCell ref="L6:N6"/>
    <mergeCell ref="O6:Q6"/>
    <mergeCell ref="R6:T6"/>
    <mergeCell ref="U6:W6"/>
    <mergeCell ref="X6:Z6"/>
    <mergeCell ref="AA6:AC6"/>
    <mergeCell ref="AD6:AF6"/>
    <mergeCell ref="AG6:AI6"/>
    <mergeCell ref="F7:F8"/>
    <mergeCell ref="G7:H8"/>
    <mergeCell ref="I7:I8"/>
    <mergeCell ref="J7:K8"/>
    <mergeCell ref="L7:L8"/>
    <mergeCell ref="M7:N8"/>
    <mergeCell ref="O7:O8"/>
    <mergeCell ref="P7:Q8"/>
    <mergeCell ref="R7:R8"/>
    <mergeCell ref="S7:T8"/>
    <mergeCell ref="U7:U8"/>
    <mergeCell ref="V7:W8"/>
    <mergeCell ref="X7:X8"/>
    <mergeCell ref="Y7:Z8"/>
    <mergeCell ref="AA7:AA8"/>
    <mergeCell ref="AB7:AC8"/>
    <mergeCell ref="AD7:AD8"/>
    <mergeCell ref="AE7:AF8"/>
    <mergeCell ref="AG7:AG8"/>
    <mergeCell ref="AH7:AI8"/>
    <mergeCell ref="F9:F10"/>
    <mergeCell ref="G9:H10"/>
    <mergeCell ref="I9:I10"/>
    <mergeCell ref="J9:K10"/>
    <mergeCell ref="L9:L10"/>
    <mergeCell ref="M9:N10"/>
    <mergeCell ref="O9:O10"/>
    <mergeCell ref="P9:Q10"/>
    <mergeCell ref="R9:R10"/>
    <mergeCell ref="S9:T10"/>
    <mergeCell ref="U9:U10"/>
    <mergeCell ref="V9:W10"/>
    <mergeCell ref="X9:X10"/>
    <mergeCell ref="Y9:Z10"/>
    <mergeCell ref="AA9:AA10"/>
    <mergeCell ref="AB9:AC10"/>
    <mergeCell ref="AD9:AD10"/>
    <mergeCell ref="AE9:AF10"/>
    <mergeCell ref="AG9:AG10"/>
    <mergeCell ref="AH9:AI10"/>
    <mergeCell ref="B11:E11"/>
    <mergeCell ref="B12:B14"/>
    <mergeCell ref="C12:C14"/>
    <mergeCell ref="D12:D14"/>
    <mergeCell ref="BA12:BA22"/>
    <mergeCell ref="F13:H13"/>
    <mergeCell ref="I13:K13"/>
    <mergeCell ref="L13:N13"/>
    <mergeCell ref="O13:Q13"/>
    <mergeCell ref="R13:T13"/>
    <mergeCell ref="U13:W13"/>
    <mergeCell ref="X13:Z13"/>
    <mergeCell ref="AA13:AC13"/>
    <mergeCell ref="AD13:AF13"/>
    <mergeCell ref="AG13:AI13"/>
    <mergeCell ref="F14:H14"/>
    <mergeCell ref="I14:K14"/>
    <mergeCell ref="L14:N14"/>
    <mergeCell ref="O14:Q14"/>
    <mergeCell ref="R14:T14"/>
    <mergeCell ref="U14:W14"/>
    <mergeCell ref="X14:Z14"/>
    <mergeCell ref="AA14:AC14"/>
    <mergeCell ref="AD14:AF14"/>
    <mergeCell ref="AG14:AI14"/>
    <mergeCell ref="B15:B17"/>
    <mergeCell ref="C15:C17"/>
    <mergeCell ref="D15:D17"/>
    <mergeCell ref="F16:H16"/>
    <mergeCell ref="I16:K16"/>
    <mergeCell ref="L16:N16"/>
    <mergeCell ref="O16:Q16"/>
    <mergeCell ref="R16:T16"/>
    <mergeCell ref="U16:W16"/>
    <mergeCell ref="X16:Z16"/>
    <mergeCell ref="AA16:AC16"/>
    <mergeCell ref="AD16:AF16"/>
    <mergeCell ref="AG16:AI16"/>
    <mergeCell ref="F17:H17"/>
    <mergeCell ref="I17:K17"/>
    <mergeCell ref="L17:N17"/>
    <mergeCell ref="O17:Q17"/>
    <mergeCell ref="R17:T17"/>
    <mergeCell ref="U17:W17"/>
    <mergeCell ref="X17:Z17"/>
    <mergeCell ref="AA17:AC17"/>
    <mergeCell ref="AD17:AF17"/>
    <mergeCell ref="AG17:AI17"/>
    <mergeCell ref="B18:B19"/>
    <mergeCell ref="C18:C19"/>
    <mergeCell ref="D18:D19"/>
    <mergeCell ref="F19:H19"/>
    <mergeCell ref="I19:K19"/>
    <mergeCell ref="L19:N19"/>
    <mergeCell ref="O19:Q19"/>
    <mergeCell ref="R19:T19"/>
    <mergeCell ref="U19:W19"/>
    <mergeCell ref="X19:Z19"/>
    <mergeCell ref="AA19:AC19"/>
    <mergeCell ref="AD19:AF19"/>
    <mergeCell ref="AG19:AI19"/>
    <mergeCell ref="B20:B21"/>
    <mergeCell ref="C20:C21"/>
    <mergeCell ref="D20:D21"/>
    <mergeCell ref="F21:H21"/>
    <mergeCell ref="I21:K21"/>
    <mergeCell ref="L21:N21"/>
    <mergeCell ref="O21:Q21"/>
    <mergeCell ref="R21:T21"/>
    <mergeCell ref="U21:W21"/>
    <mergeCell ref="X21:Z21"/>
    <mergeCell ref="AA21:AC21"/>
    <mergeCell ref="AD21:AF21"/>
    <mergeCell ref="AG21:AI21"/>
    <mergeCell ref="B22:B23"/>
    <mergeCell ref="C22:C23"/>
    <mergeCell ref="D22:D23"/>
    <mergeCell ref="F23:H23"/>
    <mergeCell ref="I23:K23"/>
    <mergeCell ref="L23:N23"/>
    <mergeCell ref="O23:Q23"/>
    <mergeCell ref="R23:T23"/>
    <mergeCell ref="U23:W23"/>
    <mergeCell ref="X23:Z23"/>
    <mergeCell ref="AA23:AC23"/>
    <mergeCell ref="AD23:AF23"/>
    <mergeCell ref="AG23:AI23"/>
    <mergeCell ref="B24:B25"/>
    <mergeCell ref="C24:C25"/>
    <mergeCell ref="D24:D25"/>
    <mergeCell ref="F25:H25"/>
    <mergeCell ref="I25:K25"/>
    <mergeCell ref="L25:N25"/>
    <mergeCell ref="O25:Q25"/>
    <mergeCell ref="R25:T25"/>
    <mergeCell ref="U25:W25"/>
    <mergeCell ref="X25:Z25"/>
    <mergeCell ref="AA25:AC25"/>
    <mergeCell ref="AD25:AF25"/>
    <mergeCell ref="AG25:AI25"/>
    <mergeCell ref="B26:B27"/>
    <mergeCell ref="C26:C27"/>
    <mergeCell ref="D26:D27"/>
    <mergeCell ref="F27:H27"/>
    <mergeCell ref="I27:K27"/>
    <mergeCell ref="L27:N27"/>
    <mergeCell ref="O27:Q27"/>
    <mergeCell ref="R27:T27"/>
    <mergeCell ref="U27:W27"/>
    <mergeCell ref="X27:Z27"/>
    <mergeCell ref="AA27:AC27"/>
    <mergeCell ref="AD27:AF27"/>
    <mergeCell ref="AG27:AI27"/>
    <mergeCell ref="B28:B29"/>
    <mergeCell ref="C28:C29"/>
    <mergeCell ref="D28:D29"/>
    <mergeCell ref="F29:H29"/>
    <mergeCell ref="I29:K29"/>
    <mergeCell ref="L29:N29"/>
    <mergeCell ref="O29:Q29"/>
    <mergeCell ref="R29:T29"/>
    <mergeCell ref="U29:W29"/>
    <mergeCell ref="X29:Z29"/>
    <mergeCell ref="AA29:AC29"/>
    <mergeCell ref="AD29:AF29"/>
    <mergeCell ref="AG29:AI29"/>
    <mergeCell ref="B30:B31"/>
    <mergeCell ref="C30:C31"/>
    <mergeCell ref="D30:D31"/>
    <mergeCell ref="F31:H31"/>
    <mergeCell ref="I31:K31"/>
    <mergeCell ref="L31:N31"/>
    <mergeCell ref="O31:Q31"/>
    <mergeCell ref="R31:T31"/>
    <mergeCell ref="U31:W31"/>
    <mergeCell ref="X31:Z31"/>
    <mergeCell ref="AA31:AC31"/>
    <mergeCell ref="AD31:AF31"/>
    <mergeCell ref="AG31:AI31"/>
    <mergeCell ref="B32:B33"/>
    <mergeCell ref="C32:C33"/>
    <mergeCell ref="D32:D33"/>
    <mergeCell ref="F33:H33"/>
    <mergeCell ref="I33:K33"/>
    <mergeCell ref="L33:N33"/>
    <mergeCell ref="O33:Q33"/>
    <mergeCell ref="R33:T33"/>
    <mergeCell ref="U33:W33"/>
    <mergeCell ref="X33:Z33"/>
    <mergeCell ref="AA33:AC33"/>
    <mergeCell ref="AD33:AF33"/>
    <mergeCell ref="AG33:AI33"/>
    <mergeCell ref="B34:B36"/>
    <mergeCell ref="C34:C36"/>
    <mergeCell ref="D34:D36"/>
    <mergeCell ref="E34:E35"/>
    <mergeCell ref="F35:H35"/>
    <mergeCell ref="I35:K35"/>
    <mergeCell ref="L35:N35"/>
    <mergeCell ref="O35:Q35"/>
    <mergeCell ref="R35:T35"/>
    <mergeCell ref="U35:W35"/>
    <mergeCell ref="X35:Z35"/>
    <mergeCell ref="AA35:AC35"/>
    <mergeCell ref="AD35:AF35"/>
    <mergeCell ref="AG35:AI35"/>
    <mergeCell ref="F36:H36"/>
    <mergeCell ref="I36:K36"/>
    <mergeCell ref="L36:N36"/>
    <mergeCell ref="O36:Q36"/>
    <mergeCell ref="R36:T36"/>
    <mergeCell ref="U36:W36"/>
    <mergeCell ref="X36:Z36"/>
    <mergeCell ref="AA36:AC36"/>
    <mergeCell ref="AD36:AF36"/>
    <mergeCell ref="AG36:AI36"/>
    <mergeCell ref="B37:B39"/>
    <mergeCell ref="C37:C39"/>
    <mergeCell ref="D37:D39"/>
    <mergeCell ref="E37:E38"/>
    <mergeCell ref="F38:H38"/>
    <mergeCell ref="I38:K38"/>
    <mergeCell ref="L38:N38"/>
    <mergeCell ref="O38:Q38"/>
    <mergeCell ref="R38:T38"/>
    <mergeCell ref="U38:W38"/>
    <mergeCell ref="X38:Z38"/>
    <mergeCell ref="AA38:AC38"/>
    <mergeCell ref="AD38:AF38"/>
    <mergeCell ref="AG38:AI38"/>
    <mergeCell ref="F39:H39"/>
    <mergeCell ref="I39:K39"/>
    <mergeCell ref="L39:N39"/>
    <mergeCell ref="O39:Q39"/>
    <mergeCell ref="R39:T39"/>
    <mergeCell ref="U39:W39"/>
    <mergeCell ref="X39:Z39"/>
    <mergeCell ref="AA39:AC39"/>
    <mergeCell ref="AD39:AF39"/>
    <mergeCell ref="AG39:AI39"/>
    <mergeCell ref="B40:B42"/>
    <mergeCell ref="C40:C42"/>
    <mergeCell ref="D40:D42"/>
    <mergeCell ref="E40:E41"/>
    <mergeCell ref="F41:H41"/>
    <mergeCell ref="I41:K41"/>
    <mergeCell ref="L41:N41"/>
    <mergeCell ref="O41:Q41"/>
    <mergeCell ref="R41:T41"/>
    <mergeCell ref="U41:W41"/>
    <mergeCell ref="X41:Z41"/>
    <mergeCell ref="AA41:AC41"/>
    <mergeCell ref="AD41:AF41"/>
    <mergeCell ref="AG41:AI41"/>
    <mergeCell ref="F42:H42"/>
    <mergeCell ref="I42:K42"/>
    <mergeCell ref="L42:N42"/>
    <mergeCell ref="O42:Q42"/>
    <mergeCell ref="R42:T42"/>
    <mergeCell ref="U42:W42"/>
    <mergeCell ref="X42:Z42"/>
    <mergeCell ref="AA42:AC42"/>
    <mergeCell ref="AD42:AF42"/>
    <mergeCell ref="AG42:AI42"/>
    <mergeCell ref="B43:B45"/>
    <mergeCell ref="C43:C45"/>
    <mergeCell ref="D43:D45"/>
    <mergeCell ref="E43:E44"/>
    <mergeCell ref="F44:H44"/>
    <mergeCell ref="I44:K44"/>
    <mergeCell ref="L44:N44"/>
    <mergeCell ref="O44:Q44"/>
    <mergeCell ref="R44:T44"/>
    <mergeCell ref="U44:W44"/>
    <mergeCell ref="X44:Z44"/>
    <mergeCell ref="AA44:AC44"/>
    <mergeCell ref="AD44:AF44"/>
    <mergeCell ref="AG44:AI44"/>
    <mergeCell ref="F45:H45"/>
    <mergeCell ref="I45:K45"/>
    <mergeCell ref="L45:N45"/>
    <mergeCell ref="O45:Q45"/>
    <mergeCell ref="R45:T45"/>
    <mergeCell ref="U45:W45"/>
    <mergeCell ref="X45:Z45"/>
    <mergeCell ref="AA45:AC45"/>
    <mergeCell ref="AD45:AF45"/>
    <mergeCell ref="AG45:AI45"/>
    <mergeCell ref="B46:B48"/>
    <mergeCell ref="C46:C48"/>
    <mergeCell ref="D46:D48"/>
    <mergeCell ref="E46:E47"/>
    <mergeCell ref="F47:H47"/>
    <mergeCell ref="I47:K47"/>
    <mergeCell ref="L47:N47"/>
    <mergeCell ref="O47:Q47"/>
    <mergeCell ref="R47:T47"/>
    <mergeCell ref="U47:W47"/>
    <mergeCell ref="X47:Z47"/>
    <mergeCell ref="AA47:AC47"/>
    <mergeCell ref="AD47:AF47"/>
    <mergeCell ref="AG47:AI47"/>
    <mergeCell ref="F48:H48"/>
    <mergeCell ref="I48:K48"/>
    <mergeCell ref="L48:N48"/>
    <mergeCell ref="O48:Q48"/>
    <mergeCell ref="R48:T48"/>
    <mergeCell ref="U48:W48"/>
    <mergeCell ref="X48:Z48"/>
    <mergeCell ref="AA48:AC48"/>
    <mergeCell ref="AD48:AF48"/>
    <mergeCell ref="AG48:AI48"/>
    <mergeCell ref="B49:B51"/>
    <mergeCell ref="C49:C51"/>
    <mergeCell ref="D49:D51"/>
    <mergeCell ref="E49:E50"/>
    <mergeCell ref="F50:H50"/>
    <mergeCell ref="I50:K50"/>
    <mergeCell ref="L50:N50"/>
    <mergeCell ref="O50:Q50"/>
    <mergeCell ref="R50:T50"/>
    <mergeCell ref="U50:W50"/>
    <mergeCell ref="X50:Z50"/>
    <mergeCell ref="AA50:AC50"/>
    <mergeCell ref="AD50:AF50"/>
    <mergeCell ref="AG50:AI50"/>
    <mergeCell ref="F51:H51"/>
    <mergeCell ref="I51:K51"/>
    <mergeCell ref="L51:N51"/>
    <mergeCell ref="O51:Q51"/>
    <mergeCell ref="R51:T51"/>
    <mergeCell ref="U51:W51"/>
    <mergeCell ref="X51:Z51"/>
    <mergeCell ref="AA51:AC51"/>
    <mergeCell ref="AD51:AF51"/>
    <mergeCell ref="AG51:AI51"/>
    <mergeCell ref="B52:B54"/>
    <mergeCell ref="C52:C54"/>
    <mergeCell ref="D52:D54"/>
    <mergeCell ref="E52:E53"/>
    <mergeCell ref="F53:H53"/>
    <mergeCell ref="I53:K53"/>
    <mergeCell ref="L53:N53"/>
    <mergeCell ref="O53:Q53"/>
    <mergeCell ref="R53:T53"/>
    <mergeCell ref="U53:W53"/>
    <mergeCell ref="X53:Z53"/>
    <mergeCell ref="AA53:AC53"/>
    <mergeCell ref="AD53:AF53"/>
    <mergeCell ref="AG53:AI53"/>
    <mergeCell ref="F54:H54"/>
    <mergeCell ref="I54:K54"/>
    <mergeCell ref="L54:N54"/>
    <mergeCell ref="O54:Q54"/>
    <mergeCell ref="R54:T54"/>
    <mergeCell ref="U54:W54"/>
    <mergeCell ref="X54:Z54"/>
    <mergeCell ref="AA54:AC54"/>
    <mergeCell ref="AD54:AF54"/>
    <mergeCell ref="AG54:AI54"/>
    <mergeCell ref="B55:B57"/>
    <mergeCell ref="C55:C57"/>
    <mergeCell ref="D55:D57"/>
    <mergeCell ref="E55:E56"/>
    <mergeCell ref="F56:H56"/>
    <mergeCell ref="I56:K56"/>
    <mergeCell ref="L56:N56"/>
    <mergeCell ref="O56:Q56"/>
    <mergeCell ref="R56:T56"/>
    <mergeCell ref="U56:W56"/>
    <mergeCell ref="X56:Z56"/>
    <mergeCell ref="AA56:AC56"/>
    <mergeCell ref="AD56:AF56"/>
    <mergeCell ref="AG56:AI56"/>
    <mergeCell ref="F57:H57"/>
    <mergeCell ref="I57:K57"/>
    <mergeCell ref="L57:N57"/>
    <mergeCell ref="O57:Q57"/>
    <mergeCell ref="R57:T57"/>
    <mergeCell ref="U57:W57"/>
    <mergeCell ref="X57:Z57"/>
    <mergeCell ref="AA57:AC57"/>
    <mergeCell ref="AD57:AF57"/>
    <mergeCell ref="AG57:AI57"/>
    <mergeCell ref="B58:B60"/>
    <mergeCell ref="C58:C60"/>
    <mergeCell ref="D58:D60"/>
    <mergeCell ref="E58:E59"/>
    <mergeCell ref="F59:H59"/>
    <mergeCell ref="I59:K59"/>
    <mergeCell ref="L59:N59"/>
    <mergeCell ref="O59:Q59"/>
    <mergeCell ref="R59:T59"/>
    <mergeCell ref="U59:W59"/>
    <mergeCell ref="X59:Z59"/>
    <mergeCell ref="AA59:AC59"/>
    <mergeCell ref="AD59:AF59"/>
    <mergeCell ref="AG59:AI59"/>
    <mergeCell ref="F60:H60"/>
    <mergeCell ref="I60:K60"/>
    <mergeCell ref="L60:N60"/>
    <mergeCell ref="O60:Q60"/>
    <mergeCell ref="R60:T60"/>
    <mergeCell ref="U60:W60"/>
    <mergeCell ref="X60:Z60"/>
    <mergeCell ref="AA60:AC60"/>
    <mergeCell ref="AD60:AF60"/>
    <mergeCell ref="AG60:AI60"/>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F63:H63"/>
    <mergeCell ref="I63:K63"/>
    <mergeCell ref="L63:N63"/>
    <mergeCell ref="O63:Q63"/>
    <mergeCell ref="R63:T63"/>
    <mergeCell ref="U63:W63"/>
    <mergeCell ref="X63:Z63"/>
    <mergeCell ref="AA63:AC63"/>
    <mergeCell ref="AD63:AF63"/>
    <mergeCell ref="AG63:AI63"/>
    <mergeCell ref="B64:B66"/>
    <mergeCell ref="C64:C66"/>
    <mergeCell ref="D64:D66"/>
    <mergeCell ref="E64:E65"/>
    <mergeCell ref="F65:H65"/>
    <mergeCell ref="I65:K65"/>
    <mergeCell ref="L65:N65"/>
    <mergeCell ref="O65:Q65"/>
    <mergeCell ref="R65:T65"/>
    <mergeCell ref="U65:W65"/>
    <mergeCell ref="X65:Z65"/>
    <mergeCell ref="AA65:AC65"/>
    <mergeCell ref="AD65:AF65"/>
    <mergeCell ref="AG65:AI65"/>
    <mergeCell ref="F66:H66"/>
    <mergeCell ref="I66:K66"/>
    <mergeCell ref="L66:N66"/>
    <mergeCell ref="O66:Q66"/>
    <mergeCell ref="R66:T66"/>
    <mergeCell ref="U66:W66"/>
    <mergeCell ref="X66:Z66"/>
    <mergeCell ref="AA66:AC66"/>
    <mergeCell ref="AD66:AF66"/>
    <mergeCell ref="AG66:AI66"/>
    <mergeCell ref="B67:B69"/>
    <mergeCell ref="C67:C69"/>
    <mergeCell ref="D67:D69"/>
    <mergeCell ref="E67:E68"/>
    <mergeCell ref="F68:H68"/>
    <mergeCell ref="I68:K68"/>
    <mergeCell ref="L68:N68"/>
    <mergeCell ref="O68:Q68"/>
    <mergeCell ref="R68:T68"/>
    <mergeCell ref="U68:W68"/>
    <mergeCell ref="X68:Z68"/>
    <mergeCell ref="AA68:AC68"/>
    <mergeCell ref="AD68:AF68"/>
    <mergeCell ref="AG68:AI68"/>
    <mergeCell ref="F69:H69"/>
    <mergeCell ref="I69:K69"/>
    <mergeCell ref="L69:N69"/>
    <mergeCell ref="O69:Q69"/>
    <mergeCell ref="R69:T69"/>
    <mergeCell ref="U69:W69"/>
    <mergeCell ref="X69:Z69"/>
    <mergeCell ref="AA69:AC69"/>
    <mergeCell ref="AD69:AF69"/>
    <mergeCell ref="AG69:AI69"/>
    <mergeCell ref="B70:B72"/>
    <mergeCell ref="C70:C72"/>
    <mergeCell ref="D70:D72"/>
    <mergeCell ref="E70:E71"/>
    <mergeCell ref="F71:H71"/>
    <mergeCell ref="I71:K71"/>
    <mergeCell ref="L71:N71"/>
    <mergeCell ref="O71:Q71"/>
    <mergeCell ref="R71:T71"/>
    <mergeCell ref="U71:W71"/>
    <mergeCell ref="X71:Z71"/>
    <mergeCell ref="AA71:AC71"/>
    <mergeCell ref="AD71:AF71"/>
    <mergeCell ref="AG71:AI71"/>
    <mergeCell ref="F72:H72"/>
    <mergeCell ref="I72:K72"/>
    <mergeCell ref="L72:N72"/>
    <mergeCell ref="O72:Q72"/>
    <mergeCell ref="R72:T72"/>
    <mergeCell ref="U72:W72"/>
    <mergeCell ref="X72:Z72"/>
    <mergeCell ref="AA72:AC72"/>
    <mergeCell ref="AD72:AF72"/>
    <mergeCell ref="AG72:AI72"/>
    <mergeCell ref="B73:B75"/>
    <mergeCell ref="C73:C75"/>
    <mergeCell ref="D73:D75"/>
    <mergeCell ref="E73:E74"/>
    <mergeCell ref="F74:H74"/>
    <mergeCell ref="I74:K74"/>
    <mergeCell ref="L74:N74"/>
    <mergeCell ref="O74:Q74"/>
    <mergeCell ref="R74:T74"/>
    <mergeCell ref="U74:W74"/>
    <mergeCell ref="X74:Z74"/>
    <mergeCell ref="AA74:AC74"/>
    <mergeCell ref="AD74:AF74"/>
    <mergeCell ref="AG74:AI74"/>
    <mergeCell ref="F75:H75"/>
    <mergeCell ref="I75:K75"/>
    <mergeCell ref="L75:N75"/>
    <mergeCell ref="O75:Q75"/>
    <mergeCell ref="R75:T75"/>
    <mergeCell ref="U75:W75"/>
    <mergeCell ref="X75:Z75"/>
    <mergeCell ref="AA75:AC75"/>
    <mergeCell ref="AD75:AF75"/>
    <mergeCell ref="AG75:AI75"/>
    <mergeCell ref="B76:B78"/>
    <mergeCell ref="C76:C78"/>
    <mergeCell ref="D76:D78"/>
    <mergeCell ref="E76:E77"/>
    <mergeCell ref="F77:H77"/>
    <mergeCell ref="I77:K77"/>
    <mergeCell ref="L77:N77"/>
    <mergeCell ref="O77:Q77"/>
    <mergeCell ref="R77:T77"/>
    <mergeCell ref="U77:W77"/>
    <mergeCell ref="X77:Z77"/>
    <mergeCell ref="AA77:AC77"/>
    <mergeCell ref="AD77:AF77"/>
    <mergeCell ref="AG77:AI77"/>
    <mergeCell ref="F78:H78"/>
    <mergeCell ref="I78:K78"/>
    <mergeCell ref="L78:N78"/>
    <mergeCell ref="O78:Q78"/>
    <mergeCell ref="R78:T78"/>
    <mergeCell ref="U78:W78"/>
    <mergeCell ref="X78:Z78"/>
    <mergeCell ref="AA78:AC78"/>
    <mergeCell ref="AD78:AF78"/>
    <mergeCell ref="AG78:AI78"/>
    <mergeCell ref="B79:B81"/>
    <mergeCell ref="C79:C81"/>
    <mergeCell ref="D79:D81"/>
    <mergeCell ref="E79:E80"/>
    <mergeCell ref="F80:H80"/>
    <mergeCell ref="I80:K80"/>
    <mergeCell ref="L80:N80"/>
    <mergeCell ref="O80:Q80"/>
    <mergeCell ref="R80:T80"/>
    <mergeCell ref="U80:W80"/>
    <mergeCell ref="X80:Z80"/>
    <mergeCell ref="AA80:AC80"/>
    <mergeCell ref="AD80:AF80"/>
    <mergeCell ref="AG80:AI80"/>
    <mergeCell ref="F81:H81"/>
    <mergeCell ref="I81:K81"/>
    <mergeCell ref="L81:N81"/>
    <mergeCell ref="O81:Q81"/>
    <mergeCell ref="R81:T81"/>
    <mergeCell ref="U81:W81"/>
    <mergeCell ref="X81:Z81"/>
    <mergeCell ref="AA81:AC81"/>
    <mergeCell ref="AD81:AF81"/>
    <mergeCell ref="AG81:AI81"/>
    <mergeCell ref="B82:B84"/>
    <mergeCell ref="C82:C84"/>
    <mergeCell ref="D82:D84"/>
    <mergeCell ref="E82:E83"/>
    <mergeCell ref="F83:H83"/>
    <mergeCell ref="I83:K83"/>
    <mergeCell ref="L83:N83"/>
    <mergeCell ref="O83:Q83"/>
    <mergeCell ref="R83:T83"/>
    <mergeCell ref="U83:W83"/>
    <mergeCell ref="X83:Z83"/>
    <mergeCell ref="AA83:AC83"/>
    <mergeCell ref="AD83:AF83"/>
    <mergeCell ref="AG83:AI83"/>
    <mergeCell ref="F84:H84"/>
    <mergeCell ref="I84:K84"/>
    <mergeCell ref="L84:N84"/>
    <mergeCell ref="O84:Q84"/>
    <mergeCell ref="R84:T84"/>
    <mergeCell ref="U84:W84"/>
    <mergeCell ref="X84:Z84"/>
    <mergeCell ref="AA84:AC84"/>
    <mergeCell ref="AD84:AF84"/>
    <mergeCell ref="AG84:AI84"/>
    <mergeCell ref="B85:B87"/>
    <mergeCell ref="C85:C87"/>
    <mergeCell ref="D85:D87"/>
    <mergeCell ref="E85:E86"/>
    <mergeCell ref="F86:H86"/>
    <mergeCell ref="I86:K86"/>
    <mergeCell ref="L86:N86"/>
    <mergeCell ref="O86:Q86"/>
    <mergeCell ref="R86:T86"/>
    <mergeCell ref="U86:W86"/>
    <mergeCell ref="X86:Z86"/>
    <mergeCell ref="AA86:AC86"/>
    <mergeCell ref="AD86:AF86"/>
    <mergeCell ref="AG86:AI86"/>
    <mergeCell ref="F87:H87"/>
    <mergeCell ref="I87:K87"/>
    <mergeCell ref="L87:N87"/>
    <mergeCell ref="O87:Q87"/>
    <mergeCell ref="R87:T87"/>
    <mergeCell ref="U87:W87"/>
    <mergeCell ref="X87:Z87"/>
    <mergeCell ref="AA87:AC87"/>
    <mergeCell ref="AD87:AF87"/>
    <mergeCell ref="AG87:AI87"/>
    <mergeCell ref="B88:B90"/>
    <mergeCell ref="C88:C90"/>
    <mergeCell ref="D88:D90"/>
    <mergeCell ref="E88:E89"/>
    <mergeCell ref="F89:H89"/>
    <mergeCell ref="I89:K89"/>
    <mergeCell ref="L89:N89"/>
    <mergeCell ref="O89:Q89"/>
    <mergeCell ref="R89:T89"/>
    <mergeCell ref="U89:W89"/>
    <mergeCell ref="X89:Z89"/>
    <mergeCell ref="AA89:AC89"/>
    <mergeCell ref="AD89:AF89"/>
    <mergeCell ref="AG89:AI89"/>
    <mergeCell ref="F90:H90"/>
    <mergeCell ref="I90:K90"/>
    <mergeCell ref="L90:N90"/>
    <mergeCell ref="O90:Q90"/>
    <mergeCell ref="R90:T90"/>
    <mergeCell ref="U90:W90"/>
    <mergeCell ref="X90:Z90"/>
    <mergeCell ref="AA90:AC90"/>
    <mergeCell ref="AD90:AF90"/>
    <mergeCell ref="AG90:AI90"/>
    <mergeCell ref="B91:B93"/>
    <mergeCell ref="C91:C93"/>
    <mergeCell ref="D91:D93"/>
    <mergeCell ref="E91:E92"/>
    <mergeCell ref="F92:H92"/>
    <mergeCell ref="I92:K92"/>
    <mergeCell ref="L92:N92"/>
    <mergeCell ref="O92:Q92"/>
    <mergeCell ref="R92:T92"/>
    <mergeCell ref="U92:W92"/>
    <mergeCell ref="X92:Z92"/>
    <mergeCell ref="AA92:AC92"/>
    <mergeCell ref="AD92:AF92"/>
    <mergeCell ref="AG92:AI92"/>
    <mergeCell ref="F93:H93"/>
    <mergeCell ref="I93:K93"/>
    <mergeCell ref="L93:N93"/>
    <mergeCell ref="O93:Q93"/>
    <mergeCell ref="R93:T93"/>
    <mergeCell ref="U93:W93"/>
    <mergeCell ref="X93:Z93"/>
    <mergeCell ref="AA93:AC93"/>
    <mergeCell ref="AD93:AF93"/>
    <mergeCell ref="AG93:AI93"/>
    <mergeCell ref="B94:B96"/>
    <mergeCell ref="C94:C96"/>
    <mergeCell ref="D94:D96"/>
    <mergeCell ref="E94:E95"/>
    <mergeCell ref="F95:H95"/>
    <mergeCell ref="I95:K95"/>
    <mergeCell ref="L95:N95"/>
    <mergeCell ref="O95:Q95"/>
    <mergeCell ref="R95:T95"/>
    <mergeCell ref="U95:W95"/>
    <mergeCell ref="X95:Z95"/>
    <mergeCell ref="AA95:AC95"/>
    <mergeCell ref="AD95:AF95"/>
    <mergeCell ref="AG95:AI95"/>
    <mergeCell ref="F96:H96"/>
    <mergeCell ref="I96:K96"/>
    <mergeCell ref="L96:N96"/>
    <mergeCell ref="O96:Q96"/>
    <mergeCell ref="R96:T96"/>
    <mergeCell ref="U96:W96"/>
    <mergeCell ref="X96:Z96"/>
    <mergeCell ref="AA96:AC96"/>
    <mergeCell ref="AD96:AF96"/>
    <mergeCell ref="AG96:AI96"/>
    <mergeCell ref="B97:B99"/>
    <mergeCell ref="C97:C99"/>
    <mergeCell ref="D97:D99"/>
    <mergeCell ref="E97:E98"/>
    <mergeCell ref="F98:H98"/>
    <mergeCell ref="I98:K98"/>
    <mergeCell ref="L98:N98"/>
    <mergeCell ref="O98:Q98"/>
    <mergeCell ref="R98:T98"/>
    <mergeCell ref="U98:W98"/>
    <mergeCell ref="X98:Z98"/>
    <mergeCell ref="AA98:AC98"/>
    <mergeCell ref="AD98:AF98"/>
    <mergeCell ref="AG98:AI98"/>
    <mergeCell ref="F99:H99"/>
    <mergeCell ref="I99:K99"/>
    <mergeCell ref="L99:N99"/>
    <mergeCell ref="O99:Q99"/>
    <mergeCell ref="R99:T99"/>
    <mergeCell ref="U99:W99"/>
    <mergeCell ref="X99:Z99"/>
    <mergeCell ref="AA99:AC99"/>
    <mergeCell ref="AD99:AF99"/>
    <mergeCell ref="AG99:AI99"/>
    <mergeCell ref="B100:B102"/>
    <mergeCell ref="C100:C102"/>
    <mergeCell ref="D100:D102"/>
    <mergeCell ref="E100:E101"/>
    <mergeCell ref="F101:H101"/>
    <mergeCell ref="I101:K101"/>
    <mergeCell ref="L101:N101"/>
    <mergeCell ref="O101:Q101"/>
    <mergeCell ref="R101:T101"/>
    <mergeCell ref="U101:W101"/>
    <mergeCell ref="X101:Z101"/>
    <mergeCell ref="AA101:AC101"/>
    <mergeCell ref="AD101:AF101"/>
    <mergeCell ref="AG101:AI101"/>
    <mergeCell ref="F102:H102"/>
    <mergeCell ref="I102:K102"/>
    <mergeCell ref="L102:N102"/>
    <mergeCell ref="O102:Q102"/>
    <mergeCell ref="R102:T102"/>
    <mergeCell ref="U102:W102"/>
    <mergeCell ref="X102:Z102"/>
    <mergeCell ref="AA102:AC102"/>
    <mergeCell ref="AD102:AF102"/>
    <mergeCell ref="AG102:AI102"/>
    <mergeCell ref="B103:B105"/>
    <mergeCell ref="C103:C105"/>
    <mergeCell ref="D103:D105"/>
    <mergeCell ref="E103:E104"/>
    <mergeCell ref="F104:H104"/>
    <mergeCell ref="I104:K104"/>
    <mergeCell ref="L104:N104"/>
    <mergeCell ref="O104:Q104"/>
    <mergeCell ref="R104:T104"/>
    <mergeCell ref="U104:W104"/>
    <mergeCell ref="X104:Z104"/>
    <mergeCell ref="AA104:AC104"/>
    <mergeCell ref="AD104:AF104"/>
    <mergeCell ref="AG104:AI104"/>
    <mergeCell ref="F105:H105"/>
    <mergeCell ref="I105:K105"/>
    <mergeCell ref="L105:N105"/>
    <mergeCell ref="O105:Q105"/>
    <mergeCell ref="R105:T105"/>
    <mergeCell ref="U105:W105"/>
    <mergeCell ref="X105:Z105"/>
    <mergeCell ref="AA105:AC105"/>
    <mergeCell ref="AD105:AF105"/>
    <mergeCell ref="AG105:AI105"/>
    <mergeCell ref="B106:B108"/>
    <mergeCell ref="C106:C108"/>
    <mergeCell ref="D106:D108"/>
    <mergeCell ref="E106:E107"/>
    <mergeCell ref="F107:H107"/>
    <mergeCell ref="I107:K107"/>
    <mergeCell ref="L107:N107"/>
    <mergeCell ref="O107:Q107"/>
    <mergeCell ref="R107:T107"/>
    <mergeCell ref="U107:W107"/>
    <mergeCell ref="X107:Z107"/>
    <mergeCell ref="AA107:AC107"/>
    <mergeCell ref="AD107:AF107"/>
    <mergeCell ref="AG107:AI107"/>
    <mergeCell ref="F108:H108"/>
    <mergeCell ref="I108:K108"/>
    <mergeCell ref="L108:N108"/>
    <mergeCell ref="O108:Q108"/>
    <mergeCell ref="R108:T108"/>
    <mergeCell ref="U108:W108"/>
    <mergeCell ref="X108:Z108"/>
    <mergeCell ref="AA108:AC108"/>
    <mergeCell ref="AD108:AF108"/>
    <mergeCell ref="AG108:AI108"/>
    <mergeCell ref="B109:B111"/>
    <mergeCell ref="C109:C111"/>
    <mergeCell ref="D109:D111"/>
    <mergeCell ref="E109:E110"/>
    <mergeCell ref="F110:H110"/>
    <mergeCell ref="I110:K110"/>
    <mergeCell ref="L110:N110"/>
    <mergeCell ref="O110:Q110"/>
    <mergeCell ref="R110:T110"/>
    <mergeCell ref="U110:W110"/>
    <mergeCell ref="X110:Z110"/>
    <mergeCell ref="AA110:AC110"/>
    <mergeCell ref="AD110:AF110"/>
    <mergeCell ref="AG110:AI110"/>
    <mergeCell ref="F111:H111"/>
    <mergeCell ref="I111:K111"/>
    <mergeCell ref="L111:N111"/>
    <mergeCell ref="O111:Q111"/>
    <mergeCell ref="R111:T111"/>
    <mergeCell ref="U111:W111"/>
    <mergeCell ref="X111:Z111"/>
    <mergeCell ref="AA111:AC111"/>
    <mergeCell ref="AD111:AF111"/>
    <mergeCell ref="AG111:AI111"/>
    <mergeCell ref="B112:B114"/>
    <mergeCell ref="C112:C114"/>
    <mergeCell ref="D112:D114"/>
    <mergeCell ref="E112:E113"/>
    <mergeCell ref="F113:H113"/>
    <mergeCell ref="I113:K113"/>
    <mergeCell ref="L113:N113"/>
    <mergeCell ref="O113:Q113"/>
    <mergeCell ref="R113:T113"/>
    <mergeCell ref="U113:W113"/>
    <mergeCell ref="X113:Z113"/>
    <mergeCell ref="AA113:AC113"/>
    <mergeCell ref="AD113:AF113"/>
    <mergeCell ref="AG113:AI113"/>
    <mergeCell ref="F114:H114"/>
    <mergeCell ref="I114:K114"/>
    <mergeCell ref="L114:N114"/>
    <mergeCell ref="O114:Q114"/>
    <mergeCell ref="R114:T114"/>
    <mergeCell ref="U114:W114"/>
    <mergeCell ref="X114:Z114"/>
    <mergeCell ref="AA114:AC114"/>
    <mergeCell ref="AD114:AF114"/>
    <mergeCell ref="AG114:AI114"/>
    <mergeCell ref="B115:B117"/>
    <mergeCell ref="C115:C117"/>
    <mergeCell ref="D115:D117"/>
    <mergeCell ref="E115:E116"/>
    <mergeCell ref="F116:H116"/>
    <mergeCell ref="I116:K116"/>
    <mergeCell ref="L116:N116"/>
    <mergeCell ref="O116:Q116"/>
    <mergeCell ref="R116:T116"/>
    <mergeCell ref="U116:W116"/>
    <mergeCell ref="X116:Z116"/>
    <mergeCell ref="AA116:AC116"/>
    <mergeCell ref="AD116:AF116"/>
    <mergeCell ref="AG116:AI116"/>
    <mergeCell ref="F117:H117"/>
    <mergeCell ref="I117:K117"/>
    <mergeCell ref="L117:N117"/>
    <mergeCell ref="O117:Q117"/>
    <mergeCell ref="R117:T117"/>
    <mergeCell ref="U117:W117"/>
    <mergeCell ref="X117:Z117"/>
    <mergeCell ref="AA117:AC117"/>
    <mergeCell ref="AD117:AF117"/>
    <mergeCell ref="AG117:AI117"/>
    <mergeCell ref="B118:B120"/>
    <mergeCell ref="C118:C120"/>
    <mergeCell ref="D118:D120"/>
    <mergeCell ref="E118:E119"/>
    <mergeCell ref="F119:H119"/>
    <mergeCell ref="I119:K119"/>
    <mergeCell ref="L119:N119"/>
    <mergeCell ref="O119:Q119"/>
    <mergeCell ref="R119:T119"/>
    <mergeCell ref="U119:W119"/>
    <mergeCell ref="X119:Z119"/>
    <mergeCell ref="AA119:AC119"/>
    <mergeCell ref="AD119:AF119"/>
    <mergeCell ref="AG119:AI119"/>
    <mergeCell ref="F120:H120"/>
    <mergeCell ref="I120:K120"/>
    <mergeCell ref="L120:N120"/>
    <mergeCell ref="O120:Q120"/>
    <mergeCell ref="R120:T120"/>
    <mergeCell ref="U120:W120"/>
    <mergeCell ref="X120:Z120"/>
    <mergeCell ref="AA120:AC120"/>
    <mergeCell ref="AD120:AF120"/>
    <mergeCell ref="AG120:AI120"/>
    <mergeCell ref="B121:B123"/>
    <mergeCell ref="C121:C123"/>
    <mergeCell ref="D121:D123"/>
    <mergeCell ref="E121:E122"/>
    <mergeCell ref="F122:H122"/>
    <mergeCell ref="I122:K122"/>
    <mergeCell ref="L122:N122"/>
    <mergeCell ref="O122:Q122"/>
    <mergeCell ref="R122:T122"/>
    <mergeCell ref="U122:W122"/>
    <mergeCell ref="X122:Z122"/>
    <mergeCell ref="AA122:AC122"/>
    <mergeCell ref="AD122:AF122"/>
    <mergeCell ref="AG122:AI122"/>
    <mergeCell ref="F123:H123"/>
    <mergeCell ref="I123:K123"/>
    <mergeCell ref="L123:N123"/>
    <mergeCell ref="O123:Q123"/>
    <mergeCell ref="R123:T123"/>
    <mergeCell ref="U123:W123"/>
    <mergeCell ref="X123:Z123"/>
    <mergeCell ref="AA123:AC123"/>
    <mergeCell ref="AD123:AF123"/>
    <mergeCell ref="AG123:AI123"/>
    <mergeCell ref="B124:B126"/>
    <mergeCell ref="C124:C126"/>
    <mergeCell ref="D124:D126"/>
    <mergeCell ref="E124:E125"/>
    <mergeCell ref="F125:H125"/>
    <mergeCell ref="I125:K125"/>
    <mergeCell ref="L125:N125"/>
    <mergeCell ref="O125:Q125"/>
    <mergeCell ref="R125:T125"/>
    <mergeCell ref="U125:W125"/>
    <mergeCell ref="X125:Z125"/>
    <mergeCell ref="AA125:AC125"/>
    <mergeCell ref="AD125:AF125"/>
    <mergeCell ref="AG125:AI125"/>
    <mergeCell ref="F126:H126"/>
    <mergeCell ref="I126:K126"/>
    <mergeCell ref="L126:N126"/>
    <mergeCell ref="O126:Q126"/>
    <mergeCell ref="R126:T126"/>
    <mergeCell ref="U126:W126"/>
    <mergeCell ref="X126:Z126"/>
    <mergeCell ref="AA126:AC126"/>
    <mergeCell ref="AD126:AF126"/>
    <mergeCell ref="AG126:AI126"/>
    <mergeCell ref="B127:B129"/>
    <mergeCell ref="C127:C129"/>
    <mergeCell ref="D127:D129"/>
    <mergeCell ref="E127:E128"/>
    <mergeCell ref="F128:H128"/>
    <mergeCell ref="I128:K128"/>
    <mergeCell ref="L128:N128"/>
    <mergeCell ref="O128:Q128"/>
    <mergeCell ref="R128:T128"/>
    <mergeCell ref="U128:W128"/>
    <mergeCell ref="X128:Z128"/>
    <mergeCell ref="AA128:AC128"/>
    <mergeCell ref="AD128:AF128"/>
    <mergeCell ref="AG128:AI128"/>
    <mergeCell ref="F129:H129"/>
    <mergeCell ref="I129:K129"/>
    <mergeCell ref="L129:N129"/>
    <mergeCell ref="O129:Q129"/>
    <mergeCell ref="R129:T129"/>
    <mergeCell ref="U129:W129"/>
    <mergeCell ref="X129:Z129"/>
    <mergeCell ref="AA129:AC129"/>
    <mergeCell ref="B130:B131"/>
    <mergeCell ref="C130:C131"/>
    <mergeCell ref="D130:D131"/>
    <mergeCell ref="F131:H131"/>
    <mergeCell ref="I131:K131"/>
    <mergeCell ref="L131:N131"/>
    <mergeCell ref="O131:Q131"/>
    <mergeCell ref="R131:T131"/>
    <mergeCell ref="U131:W131"/>
    <mergeCell ref="X131:Z131"/>
    <mergeCell ref="AA131:AC131"/>
    <mergeCell ref="AD131:AF131"/>
    <mergeCell ref="AG131:AI131"/>
    <mergeCell ref="B132:B133"/>
    <mergeCell ref="C132:C133"/>
    <mergeCell ref="D132:D133"/>
    <mergeCell ref="F133:H133"/>
    <mergeCell ref="I133:K133"/>
    <mergeCell ref="L133:N133"/>
    <mergeCell ref="O133:Q133"/>
    <mergeCell ref="R133:T133"/>
    <mergeCell ref="U133:W133"/>
    <mergeCell ref="X133:Z133"/>
    <mergeCell ref="AA133:AC133"/>
    <mergeCell ref="AD133:AF133"/>
    <mergeCell ref="AG133:AI133"/>
    <mergeCell ref="B134:B135"/>
    <mergeCell ref="C134:C135"/>
    <mergeCell ref="D134:D135"/>
    <mergeCell ref="F135:H135"/>
    <mergeCell ref="I135:K135"/>
    <mergeCell ref="L135:N135"/>
    <mergeCell ref="O135:Q135"/>
    <mergeCell ref="R135:T135"/>
    <mergeCell ref="U135:W135"/>
    <mergeCell ref="X135:Z135"/>
    <mergeCell ref="AA135:AC135"/>
    <mergeCell ref="AD135:AF135"/>
    <mergeCell ref="AG135:AI135"/>
    <mergeCell ref="B136:B137"/>
    <mergeCell ref="C136:C137"/>
    <mergeCell ref="D136:D137"/>
    <mergeCell ref="F137:H137"/>
    <mergeCell ref="I137:K137"/>
    <mergeCell ref="L137:N137"/>
    <mergeCell ref="O137:Q137"/>
    <mergeCell ref="R137:T137"/>
    <mergeCell ref="U137:W137"/>
    <mergeCell ref="X137:Z137"/>
    <mergeCell ref="AA137:AC137"/>
    <mergeCell ref="AD137:AF137"/>
    <mergeCell ref="AG137:AI137"/>
    <mergeCell ref="B138:B139"/>
    <mergeCell ref="C138:C139"/>
    <mergeCell ref="D138:D139"/>
    <mergeCell ref="F139:H139"/>
    <mergeCell ref="I139:K139"/>
    <mergeCell ref="L139:N139"/>
    <mergeCell ref="O139:Q139"/>
    <mergeCell ref="R139:T139"/>
    <mergeCell ref="U139:W139"/>
    <mergeCell ref="X139:Z139"/>
    <mergeCell ref="AA139:AC139"/>
    <mergeCell ref="AD139:AF139"/>
    <mergeCell ref="AG139:AI139"/>
    <mergeCell ref="B140:B141"/>
    <mergeCell ref="C140:C141"/>
    <mergeCell ref="D140:D141"/>
    <mergeCell ref="F141:H141"/>
    <mergeCell ref="I141:K141"/>
    <mergeCell ref="L141:N141"/>
    <mergeCell ref="O141:Q141"/>
    <mergeCell ref="R141:T141"/>
    <mergeCell ref="U141:W141"/>
    <mergeCell ref="X141:Z141"/>
    <mergeCell ref="AA141:AC141"/>
    <mergeCell ref="AD141:AF141"/>
    <mergeCell ref="AG141:AI141"/>
    <mergeCell ref="B142:B143"/>
    <mergeCell ref="C142:C143"/>
    <mergeCell ref="D142:D143"/>
    <mergeCell ref="F143:H143"/>
    <mergeCell ref="I143:K143"/>
    <mergeCell ref="L143:N143"/>
    <mergeCell ref="O143:Q143"/>
    <mergeCell ref="R143:T143"/>
    <mergeCell ref="U143:W143"/>
    <mergeCell ref="X143:Z143"/>
    <mergeCell ref="AA143:AC143"/>
    <mergeCell ref="AD143:AF143"/>
    <mergeCell ref="AG143:AI143"/>
    <mergeCell ref="B144:B145"/>
    <mergeCell ref="C144:C145"/>
    <mergeCell ref="D144:D145"/>
    <mergeCell ref="F145:H145"/>
    <mergeCell ref="I145:K145"/>
    <mergeCell ref="L145:N145"/>
    <mergeCell ref="O145:Q145"/>
    <mergeCell ref="R145:T145"/>
    <mergeCell ref="U145:W145"/>
    <mergeCell ref="X145:Z145"/>
    <mergeCell ref="AA145:AC145"/>
    <mergeCell ref="AD145:AF145"/>
    <mergeCell ref="AG145:AI145"/>
    <mergeCell ref="B146:B147"/>
    <mergeCell ref="C146:D147"/>
    <mergeCell ref="F147:H147"/>
    <mergeCell ref="I147:K147"/>
    <mergeCell ref="L147:N147"/>
    <mergeCell ref="O147:Q147"/>
    <mergeCell ref="R147:T147"/>
    <mergeCell ref="U147:W147"/>
    <mergeCell ref="X147:Z147"/>
    <mergeCell ref="AA147:AC147"/>
    <mergeCell ref="B148:E155"/>
    <mergeCell ref="G148:H148"/>
    <mergeCell ref="J148:K148"/>
    <mergeCell ref="M148:N148"/>
    <mergeCell ref="P148:Q148"/>
    <mergeCell ref="S148:T148"/>
    <mergeCell ref="V148:W148"/>
    <mergeCell ref="Y148:Z148"/>
    <mergeCell ref="AB148:AC148"/>
    <mergeCell ref="G151:H151"/>
    <mergeCell ref="J151:K151"/>
    <mergeCell ref="M151:N151"/>
    <mergeCell ref="P151:Q151"/>
    <mergeCell ref="S151:T151"/>
    <mergeCell ref="V151:W151"/>
    <mergeCell ref="Y151:Z151"/>
    <mergeCell ref="AB151:AC151"/>
    <mergeCell ref="G152:H152"/>
    <mergeCell ref="J152:K152"/>
    <mergeCell ref="M152:N152"/>
    <mergeCell ref="P152:Q152"/>
    <mergeCell ref="S152:T152"/>
    <mergeCell ref="AE148:AF148"/>
    <mergeCell ref="AH148:AI148"/>
    <mergeCell ref="G149:H149"/>
    <mergeCell ref="J149:K149"/>
    <mergeCell ref="M149:N149"/>
    <mergeCell ref="P149:Q149"/>
    <mergeCell ref="S149:T149"/>
    <mergeCell ref="V149:W149"/>
    <mergeCell ref="Y149:Z149"/>
    <mergeCell ref="AB149:AC149"/>
    <mergeCell ref="AE149:AF149"/>
    <mergeCell ref="AH149:AI149"/>
    <mergeCell ref="G150:H150"/>
    <mergeCell ref="J150:K150"/>
    <mergeCell ref="M150:N150"/>
    <mergeCell ref="P150:Q150"/>
    <mergeCell ref="S150:T150"/>
    <mergeCell ref="V150:W150"/>
    <mergeCell ref="Y150:Z150"/>
    <mergeCell ref="AB150:AC150"/>
    <mergeCell ref="AE150:AF150"/>
    <mergeCell ref="AH150:AI150"/>
    <mergeCell ref="V152:W152"/>
    <mergeCell ref="Y152:Z152"/>
    <mergeCell ref="AB152:AC152"/>
    <mergeCell ref="G153:H153"/>
    <mergeCell ref="J153:K153"/>
    <mergeCell ref="M153:N153"/>
    <mergeCell ref="P153:Q153"/>
    <mergeCell ref="S153:T153"/>
    <mergeCell ref="V153:W153"/>
    <mergeCell ref="Y153:Z153"/>
    <mergeCell ref="AB153:AC153"/>
    <mergeCell ref="G154:H154"/>
    <mergeCell ref="J154:K154"/>
    <mergeCell ref="M154:N154"/>
    <mergeCell ref="P154:Q154"/>
    <mergeCell ref="S154:T154"/>
    <mergeCell ref="V154:W154"/>
    <mergeCell ref="Y154:Z154"/>
    <mergeCell ref="AB154:AC154"/>
    <mergeCell ref="G155:H155"/>
    <mergeCell ref="J155:K155"/>
    <mergeCell ref="M155:N155"/>
    <mergeCell ref="P155:Q155"/>
    <mergeCell ref="S155:T155"/>
    <mergeCell ref="V155:W155"/>
    <mergeCell ref="Y155:Z155"/>
    <mergeCell ref="AB155:AC155"/>
    <mergeCell ref="B157:D157"/>
    <mergeCell ref="B158:D158"/>
    <mergeCell ref="B161:E161"/>
    <mergeCell ref="F162:AC162"/>
    <mergeCell ref="B163:E164"/>
    <mergeCell ref="F163:H164"/>
    <mergeCell ref="I163:K164"/>
    <mergeCell ref="L163:N164"/>
    <mergeCell ref="O163:Q164"/>
    <mergeCell ref="R163:T164"/>
    <mergeCell ref="U163:W164"/>
    <mergeCell ref="X163:Z164"/>
    <mergeCell ref="AA163:AC164"/>
    <mergeCell ref="AD163:AF164"/>
    <mergeCell ref="AG163:AI164"/>
    <mergeCell ref="C165:E166"/>
    <mergeCell ref="F165:H166"/>
    <mergeCell ref="I165:K166"/>
    <mergeCell ref="L165:N166"/>
    <mergeCell ref="O165:Q166"/>
    <mergeCell ref="R165:T166"/>
    <mergeCell ref="U165:W166"/>
    <mergeCell ref="X165:Z166"/>
    <mergeCell ref="AA165:AC166"/>
    <mergeCell ref="AD165:AF166"/>
    <mergeCell ref="AG165:AI166"/>
    <mergeCell ref="B167:E168"/>
    <mergeCell ref="F167:H168"/>
    <mergeCell ref="I167:K168"/>
    <mergeCell ref="L167:N168"/>
    <mergeCell ref="O167:Q168"/>
    <mergeCell ref="R167:T168"/>
    <mergeCell ref="U167:W168"/>
    <mergeCell ref="X167:Z168"/>
    <mergeCell ref="AA167:AC168"/>
    <mergeCell ref="AD167:AF168"/>
    <mergeCell ref="AG167:AI168"/>
    <mergeCell ref="C169:E170"/>
    <mergeCell ref="F169:H170"/>
    <mergeCell ref="I169:K170"/>
    <mergeCell ref="L169:N170"/>
    <mergeCell ref="O169:Q170"/>
    <mergeCell ref="R169:T170"/>
    <mergeCell ref="U169:W170"/>
    <mergeCell ref="X169:Z170"/>
    <mergeCell ref="AA169:AC170"/>
    <mergeCell ref="AD169:AF170"/>
    <mergeCell ref="AG169:AI170"/>
    <mergeCell ref="B171:E172"/>
    <mergeCell ref="F171:H172"/>
    <mergeCell ref="I171:K172"/>
    <mergeCell ref="L171:N172"/>
    <mergeCell ref="O171:Q172"/>
    <mergeCell ref="R171:T172"/>
    <mergeCell ref="U171:W172"/>
    <mergeCell ref="X171:Z172"/>
    <mergeCell ref="AA171:AC172"/>
    <mergeCell ref="AD171:AF172"/>
    <mergeCell ref="AG171:AI172"/>
    <mergeCell ref="U179:W179"/>
    <mergeCell ref="X179:Z179"/>
    <mergeCell ref="AA179:AC179"/>
    <mergeCell ref="AD179:AF179"/>
    <mergeCell ref="AG179:AI179"/>
    <mergeCell ref="C173:E174"/>
    <mergeCell ref="F173:H174"/>
    <mergeCell ref="I173:K174"/>
    <mergeCell ref="L173:N174"/>
    <mergeCell ref="O173:Q174"/>
    <mergeCell ref="R173:T174"/>
    <mergeCell ref="U173:W174"/>
    <mergeCell ref="X173:Z174"/>
    <mergeCell ref="AA173:AC174"/>
    <mergeCell ref="AD173:AF174"/>
    <mergeCell ref="AG173:AI174"/>
    <mergeCell ref="B175:E176"/>
    <mergeCell ref="F175:H176"/>
    <mergeCell ref="I175:K176"/>
    <mergeCell ref="L175:N176"/>
    <mergeCell ref="O175:Q176"/>
    <mergeCell ref="R175:T176"/>
    <mergeCell ref="U175:W176"/>
    <mergeCell ref="X175:Z176"/>
    <mergeCell ref="AA175:AC176"/>
    <mergeCell ref="AD175:AF176"/>
    <mergeCell ref="AG175:AI176"/>
    <mergeCell ref="C180:E180"/>
    <mergeCell ref="F180:H180"/>
    <mergeCell ref="I180:K180"/>
    <mergeCell ref="L180:N180"/>
    <mergeCell ref="O180:Q180"/>
    <mergeCell ref="R180:T180"/>
    <mergeCell ref="U180:W180"/>
    <mergeCell ref="X180:Z180"/>
    <mergeCell ref="AA180:AC180"/>
    <mergeCell ref="AD180:AF180"/>
    <mergeCell ref="AG180:AI180"/>
    <mergeCell ref="B181:E181"/>
    <mergeCell ref="F181:AC181"/>
    <mergeCell ref="B184:E185"/>
    <mergeCell ref="F184:BH185"/>
    <mergeCell ref="C177:E178"/>
    <mergeCell ref="F177:H178"/>
    <mergeCell ref="I177:K178"/>
    <mergeCell ref="L177:N178"/>
    <mergeCell ref="O177:Q178"/>
    <mergeCell ref="R177:T178"/>
    <mergeCell ref="U177:W178"/>
    <mergeCell ref="X177:Z178"/>
    <mergeCell ref="AA177:AC178"/>
    <mergeCell ref="AD177:AF178"/>
    <mergeCell ref="AG177:AI178"/>
    <mergeCell ref="B179:E179"/>
    <mergeCell ref="F179:H179"/>
    <mergeCell ref="I179:K179"/>
    <mergeCell ref="L179:N179"/>
    <mergeCell ref="O179:Q179"/>
    <mergeCell ref="R179:T179"/>
  </mergeCells>
  <conditionalFormatting sqref="C3:E10">
    <cfRule type="cellIs" dxfId="486" priority="2" operator="equal">
      <formula>0</formula>
    </cfRule>
    <cfRule type="cellIs" dxfId="485" priority="3" operator="equal">
      <formula>0</formula>
    </cfRule>
  </conditionalFormatting>
  <conditionalFormatting sqref="F146 I146 L146 O146 R146 U146 X146 AA146">
    <cfRule type="cellIs" dxfId="484" priority="4" operator="greaterThan">
      <formula>0</formula>
    </cfRule>
  </conditionalFormatting>
  <conditionalFormatting sqref="G146:H146 J146:K146 M146:N146 P146:Q146 S146:T146 V146:W146 Y146:Z146 AB146:AC146">
    <cfRule type="cellIs" dxfId="483" priority="5" operator="equal">
      <formula>0</formula>
    </cfRule>
  </conditionalFormatting>
  <conditionalFormatting sqref="G146 J146:K146 M146:N146 P146:Q146 S146:T146 V146:W146 Y146:Z146 AB146">
    <cfRule type="cellIs" dxfId="482" priority="6" operator="lessThan">
      <formula>0</formula>
    </cfRule>
  </conditionalFormatting>
  <conditionalFormatting sqref="H146 AC146">
    <cfRule type="cellIs" dxfId="481" priority="7" operator="lessThan">
      <formula>0</formula>
    </cfRule>
  </conditionalFormatting>
  <conditionalFormatting sqref="O1">
    <cfRule type="cellIs" dxfId="480" priority="8" operator="greaterThan">
      <formula>0</formula>
    </cfRule>
  </conditionalFormatting>
  <conditionalFormatting sqref="U1">
    <cfRule type="cellIs" dxfId="479" priority="9" operator="greaterThanOrEqual">
      <formula>0</formula>
    </cfRule>
  </conditionalFormatting>
  <conditionalFormatting sqref="R1">
    <cfRule type="cellIs" dxfId="478" priority="10" operator="greaterThanOrEqual">
      <formula>0</formula>
    </cfRule>
  </conditionalFormatting>
  <conditionalFormatting sqref="X1 AA1">
    <cfRule type="cellIs" dxfId="477" priority="11" operator="greaterThan">
      <formula>0</formula>
    </cfRule>
  </conditionalFormatting>
  <conditionalFormatting sqref="L1">
    <cfRule type="cellIs" dxfId="476" priority="12" operator="greaterThan">
      <formula>0</formula>
    </cfRule>
  </conditionalFormatting>
  <conditionalFormatting sqref="I1">
    <cfRule type="cellIs" dxfId="475" priority="13" operator="greaterThan">
      <formula>0</formula>
    </cfRule>
  </conditionalFormatting>
  <conditionalFormatting sqref="F1">
    <cfRule type="cellIs" dxfId="474" priority="14" operator="greaterThan">
      <formula>0</formula>
    </cfRule>
  </conditionalFormatting>
  <conditionalFormatting sqref="G2:O2">
    <cfRule type="cellIs" dxfId="473" priority="15" operator="greaterThan">
      <formula>0</formula>
    </cfRule>
  </conditionalFormatting>
  <conditionalFormatting sqref="F5:AC6">
    <cfRule type="cellIs" dxfId="472" priority="16" operator="equal">
      <formula>0</formula>
    </cfRule>
  </conditionalFormatting>
  <conditionalFormatting sqref="F66:AC66 F69:AC69 F72:AC72 F75:AC75 F78:AC78 F81:AC81 F84:AC84 F87:AC87 F90:AC90 F93:AC93 F96:AC96 F99:AC99 F102:AC102 F105:AC105 F108:AC108 F111:AC111 F114:AC114 F117:AC117 F120:AC120 F123:AC123 F126:AC126">
    <cfRule type="cellIs" dxfId="471" priority="17" operator="equal">
      <formula>0</formula>
    </cfRule>
  </conditionalFormatting>
  <conditionalFormatting sqref="F36:AC36 F39:AC39 F42:AC42 F45:AC45 F48:AC48 F51:AC51 F54:AC54 F57:AC57 F60:AC60 F63:AC63">
    <cfRule type="cellIs" dxfId="470" priority="18" operator="equal">
      <formula>0</formula>
    </cfRule>
  </conditionalFormatting>
  <conditionalFormatting sqref="F131:AC131 F133:AC133 F135:AC135 F137:AC137 F139:AC139 F141:AC141 F143:AC143 F145:AC145 F147:AC147">
    <cfRule type="cellIs" dxfId="469" priority="19" operator="equal">
      <formula>0</formula>
    </cfRule>
  </conditionalFormatting>
  <conditionalFormatting sqref="F131 I131 L131 O131 R131 U131 X131 AA131 F133 I133 L133 O133 R133 U133 X133 AA133 F135 I135 L135 O135 R135 U135 X135 AA135 F137 I137 L137 O137 R137 U137 X137 AA137 F139 I139 L139 O139 R139 U139 X139 AA139 F141 I141 L141 O141 R141 U141 X141 AA141 F143 I143 L143 O143 R143 U143 X143 AA143 F145 I145 L145 O145 R145 U145 X145 AA145 F147 I147 L147 O147 R147 U147 X147 AA147">
    <cfRule type="cellIs" dxfId="468" priority="20" operator="equal">
      <formula>0</formula>
    </cfRule>
  </conditionalFormatting>
  <conditionalFormatting sqref="F130 I130 L130 O130 R130 U130 X130 AA130 F132 I132 L132 O132 R132 U132 X132 AA132 F134 I134 L134 O134 R134 U134 X134 AA134 F136 I136 L136 O136 R136 U136 X136 AA136 F138 I138 L138 O138 R138 U138 X138 AA138 F140 I140 L140 O140 R140 U140 X140 AA140 F142 I142 L142 O142 R142 U142 X142 AA142 F144 I144 L144 O144 R144 U144 X144 AA144">
    <cfRule type="cellIs" dxfId="467" priority="21" operator="greaterThan">
      <formula>0</formula>
    </cfRule>
  </conditionalFormatting>
  <conditionalFormatting sqref="G130:H130 J130:K130 M130:N130 P130:Q130 S130:T130 V130:W130 Y130:Z130 AB130:AC130 G132:H132 J132:K132 M132:N132 P132:Q132 S132:T132 V132:W132 Y132:Z132 AB132:AC132 G134:H134 J134:K134 M134:N134 P134:Q134 S134:T134 V134:W134 Y134:Z134 AB134:AC134 G136:H136 J136:K136 M136:N136 P136:Q136 S136:T136 V136:W136 Y136:Z136 AB136:AC136 G138:H138 J138:K138 M138:N138 P138:Q138 S138:T138 V138:W138 Y138:Z138 AB138:AC138 G140:H140 J140:K140 M140:N140 P140:Q140 S140:T140 V140:W140 Y140:Z140 AB140:AC140 G142:H142 J142:K142 M142:N142 P142:Q142 S142:T142 V142:W142 Y142:Z142 AB142:AC142 G144:H144 J144:K144 M144:N144 P144:Q144 S144:T144 V144:W144 Y144:Z144 AB144:AC144">
    <cfRule type="cellIs" dxfId="466" priority="22" operator="equal">
      <formula>0</formula>
    </cfRule>
  </conditionalFormatting>
  <conditionalFormatting sqref="G130 J130:K130 M130:N130 P130:Q130 S130:T130 V130:W130 Y130:Z130 AB130 G132 J132:K132 M132:N132 P132:Q132 S132:T132 V132:W132 Y132:Z132 AB132 G134 J134:K134 M134:N134 P134:Q134 S134:T134 V134:W134 Y134:Z134 AB134 G136 J136:K136 M136:N136 P136:Q136 S136:T136 V136:W136 Y136:Z136 AB136 G138 J138:K138 M138:N138 P138:Q138 S138:T138 V138:W138 Y138:Z138 AB138 G140 J140:K140 M140:N140 P140:Q140 S140:T140 V140:W140 Y140:Z140 AB140 G142 J142:K142 M142:N142 P142:Q142 S142:T142 V142:W142 Y142:Z142 AB142 G144 J144:K144 M144:N144 P144:Q144 S144:T144 V144:W144 Y144:Z144 AB144">
    <cfRule type="cellIs" dxfId="465" priority="23" operator="lessThan">
      <formula>0</formula>
    </cfRule>
  </conditionalFormatting>
  <conditionalFormatting sqref="H130 AC130 H132 AC132 H134 AC134 H136 AC136 H138 AC138 H140 AC140 H142 AC142 H144 AC144">
    <cfRule type="cellIs" dxfId="464" priority="24" operator="lessThan">
      <formula>0</formula>
    </cfRule>
  </conditionalFormatting>
  <conditionalFormatting sqref="F129:AC129">
    <cfRule type="cellIs" dxfId="463" priority="25" operator="equal">
      <formula>0</formula>
    </cfRule>
  </conditionalFormatting>
  <conditionalFormatting sqref="F17:AC17 F19:AC19 F21:AC21 F23:AC23 F25:AC25 F27:AC27 F29:AC29 F31:AC31 F33:AC33">
    <cfRule type="cellIs" dxfId="462" priority="26" operator="equal">
      <formula>0</formula>
    </cfRule>
  </conditionalFormatting>
  <conditionalFormatting sqref="F35:AC35 F38:AC38 F41:AC41 F44:AC44 F47:AC47 F50:AC50 F53:AC53 F56:AC56 F59:AC59 F62:AC62 F65:AC65 F68:AC68 F71:AC71 F74:AC74 F77:AC77 F80:AC80 F83:AC83 F86:AC86 F89:AC89 F92:AC92 F95:AC95 F98:AC98 F101:AC101 F104:AC104 F107:AC107 F110:AC110 F113:AC113 F116:AC116 F119:AC119 F122:AC122 F125:AC125 F128:AC128">
    <cfRule type="cellIs" dxfId="461" priority="27" operator="equal">
      <formula>0</formula>
    </cfRule>
  </conditionalFormatting>
  <conditionalFormatting sqref="F34 I34 L34 O34 R34 U34 X34 AA34 F37 I37 L37 O37 R37 U37 X37 AA37 F40 I40 L40 O40 R40 U40 X40 AA40 F43 I43 L43 O43 R43 U43 X43 AA43 F46 I46 L46 O46 R46 U46 X46 AA46 F49 I49 L49 O49 R49 U49 X49 AA49 F52 I52 L52 O52 R52 U52 X52 AA52 F55 I55 L55 O55 R55 U55 X55 AA55 F58 I58 L58 O58 R58 U58 X58 AA58 F61 I61 L61 O61 R61 U61 X61 AA61 F64 I64 L64 O64 R64 U64 X64 AA64 F67 I67 L67 O67 R67 U67 X67 AA67 F70 I70 L70 O70 R70 U70 X70 AA70 F73 I73 L73 O73 R73 U73 X73 AA73 F76 I76 L76 O76 R76 U76 X76 AA76 F79 I79 L79 O79 R79 U79 X79 AA79 F82 I82 L82 O82 R82 U82 X82 AA82 F85 I85 L85 O85 R85 U85 X85 AA85 F88 I88 L88 O88 R88 U88 X88 AA88 F91 I91 L91 O91 R91 U91 X91 AA91 F94 I94 L94 O94 R94 U94 X94 AA94 F97 I97 L97 O97 R97 U97 X97 AA97 F100 I100 L100 O100 R100 U100 X100 AA100 F103 I103 L103 O103 R103 U103 X103 AA103 F106 I106 L106 O106 R106 U106 X106 AA106 F109 I109 L109 O109 R109 U109 X109 AA109 F112 I112 L112 O112 R112 U112 X112 AA112 F115 I115 L115 O115 R115 U115 X115 AA115 F118 I118 L118 O118 R118 U118 X118 AA118 F121 I121 L121 O121 R121 U121 X121 AA121 F124 I124 L124 O124 R124 U124 X124 AA124 F127 I127 L127 O127 R127 U127 X127 AA127">
    <cfRule type="cellIs" dxfId="460" priority="28" operator="greaterThan">
      <formula>0</formula>
    </cfRule>
  </conditionalFormatting>
  <conditionalFormatting sqref="G34:H34 J34:K34 M34:N34 P34:Q34 S34:T34 V34:W34 Y34:Z34 AB34:AC34 G37:H37 J37:K37 M37:N37 P37:Q37 S37:T37 V37:W37 Y37:Z37 AB37:AC37 G40:H40 J40:K40 M40:N40 P40:Q40 S40:T40 V40:W40 Y40:Z40 AB40:AC40 G43:H43 J43:K43 M43:N43 P43:Q43 S43:T43 V43:W43 Y43:Z43 AB43:AC43 G46:H46 J46:K46 M46:N46 P46:Q46 S46:T46 V46:W46 Y46:Z46 AB46:AC46 G49:H49 J49:K49 M49:N49 P49:Q49 S49:T49 V49:W49 Y49:Z49 AB49:AC49 G52:H52 J52:K52 M52:N52 P52:Q52 S52:T52 V52:W52 Y52:Z52 AB52:AC52 G55:H55 J55:K55 M55:N55 P55:Q55 S55:T55 V55:W55 Y55:Z55 AB55:AC55 G58:H58 J58:K58 M58:N58 P58:Q58 S58:T58 V58:W58 Y58:Z58 AB58:AC58 G61:H61 J61:K61 M61:N61 P61:Q61 S61:T61 V61:W61 Y61:Z61 AB61:AC61 G64:H64 J64:K64 M64:N64 P64:Q64 S64:T64 V64:W64 Y64:Z64 AB64:AC64 G67:H67 J67:K67 M67:N67 P67:Q67 S67:T67 V67:W67 Y67:Z67 AB67:AC67 G70:H70 J70:K70 M70:N70 P70:Q70 S70:T70 V70:W70 Y70:Z70 AB70:AC70 G73:H73 J73:K73 M73:N73 P73:Q73 S73:T73 V73:W73 Y73:Z73 AB73:AC73 G76:H76 J76:K76 M76:N76 P76:Q76 S76:T76 V76:W76 Y76:Z76 AB76:AC76 G79:H79 J79:K79 M79:N79 P79:Q79 S79:T79 V79:W79 Y79:Z79 AB79:AC79 G82:H82 J82:K82 M82:N82 P82:Q82 S82:T82 V82:W82 Y82:Z82 AB82:AC82 G85:H85 J85:K85 M85:N85 P85:Q85 S85:T85 V85:W85 Y85:Z85 AB85:AC85 G88:H88 J88:K88 M88:N88 P88:Q88 S88:T88 V88:W88 Y88:Z88 AB88:AC88 G91:H91 J91:K91 M91:N91 P91:Q91 S91:T91 V91:W91 Y91:Z91 AB91:AC91 G94:H94 J94:K94 M94:N94 P94:Q94 S94:T94 V94:W94 Y94:Z94 AB94:AC94 G97:H97 J97:K97 M97:N97 P97:Q97 S97:T97 V97:W97 Y97:Z97 AB97:AC97 G100:H100 J100:K100 M100:N100 P100:Q100 S100:T100 V100:W100 Y100:Z100 AB100:AC100 G103:H103 J103:K103 M103:N103 P103:Q103 S103:T103 V103:W103 Y103:Z103 AB103:AC103 G106:H106 J106:K106 M106:N106 P106:Q106 S106:T106 V106:W106 Y106:Z106 AB106:AC106 G109:H109 J109:K109 M109:N109 P109:Q109 S109:T109 V109:W109 Y109:Z109 AB109:AC109 G112:H112 J112:K112 M112:N112 P112:Q112 S112:T112 V112:W112 Y112:Z112 AB112:AC112 G115:H115 J115:K115 M115:N115 P115:Q115 S115:T115 V115:W115 Y115:Z115 AB115:AC115 G118:H118 J118:K118 M118:N118 P118:Q118 S118:T118 V118:W118 Y118:Z118 AB118:AC118 G121:H121 J121:K121 M121:N121 P121:Q121 S121:T121 V121:W121 Y121:Z121 AB121:AC121 G124:H124 J124:K124 M124:N124 P124:Q124 S124:T124 V124:W124 Y124:Z124 AB124:AC124 G127:H127 J127:K127 M127:N127 P127:Q127 S127:T127 V127:W127 Y127:Z127 AB127:AC127">
    <cfRule type="cellIs" dxfId="459" priority="29" operator="equal">
      <formula>0</formula>
    </cfRule>
  </conditionalFormatting>
  <conditionalFormatting sqref="G34 J34:K34 M34:N34 P34:Q34 S34:T34 V34:W34 Y34:Z34 AB34 G37 J37:K37 M37:N37 P37:Q37 S37:T37 V37:W37 Y37:Z37 AB37 G40 J40:K40 M40:N40 P40:Q40 S40:T40 V40:W40 Y40:Z40 AB40 G43 J43:K43 M43:N43 P43:Q43 S43:T43 V43:W43 Y43:Z43 AB43 G46 J46:K46 M46:N46 P46:Q46 S46:T46 V46:W46 Y46:Z46 AB46 G49 J49:K49 M49:N49 P49:Q49 S49:T49 V49:W49 Y49:Z49 AB49 G52 J52:K52 M52:N52 P52:Q52 S52:T52 V52:W52 Y52:Z52 AB52 G55 J55:K55 M55:N55 P55:Q55 S55:T55 V55:W55 Y55:Z55 AB55 G58 J58:K58 M58:N58 P58:Q58 S58:T58 V58:W58 Y58:Z58 AB58 G61 J61:K61 M61:N61 P61:Q61 S61:T61 V61:W61 Y61:Z61 AB61 G64 J64:K64 M64:N64 P64:Q64 S64:T64 V64:W64 Y64:Z64 AB64 G67 J67:K67 M67:N67 P67:Q67 S67:T67 V67:W67 Y67:Z67 AB67 G70 J70:K70 M70:N70 P70:Q70 S70:T70 V70:W70 Y70:Z70 AB70 G73 J73:K73 M73:N73 P73:Q73 S73:T73 V73:W73 Y73:Z73 AB73 G76 J76:K76 M76:N76 P76:Q76 S76:T76 V76:W76 Y76:Z76 AB76 G79 J79:K79 M79:N79 P79:Q79 S79:T79 V79:W79 Y79:Z79 AB79 G82 J82:K82 M82:N82 P82:Q82 S82:T82 V82:W82 Y82:Z82 AB82 G85 J85:K85 M85:N85 P85:Q85 S85:T85 V85:W85 Y85:Z85 AB85 G88 J88:K88 M88:N88 P88:Q88 S88:T88 V88:W88 Y88:Z88 AB88 G91 J91:K91 M91:N91 P91:Q91 S91:T91 V91:W91 Y91:Z91 AB91 G94 J94:K94 M94:N94 P94:Q94 S94:T94 V94:W94 Y94:Z94 AB94 G97 J97:K97 M97:N97 P97:Q97 S97:T97 V97:W97 Y97:Z97 AB97 G100 J100:K100 M100:N100 P100:Q100 S100:T100 V100:W100 Y100:Z100 AB100 G103 J103:K103 M103:N103 P103:Q103 S103:T103 V103:W103 Y103:Z103 AB103 G106 J106:K106 M106:N106 P106:Q106 S106:T106 V106:W106 Y106:Z106 AB106 G109 J109:K109 M109:N109 P109:Q109 S109:T109 V109:W109 Y109:Z109 AB109 G112 J112:K112 M112:N112 P112:Q112 S112:T112 V112:W112 Y112:Z112 AB112 G115 J115:K115 M115:N115 P115:Q115 S115:T115 V115:W115 Y115:Z115 AB115 G118 J118:K118 M118:N118 P118:Q118 S118:T118 V118:W118 Y118:Z118 AB118 G121 J121:K121 M121:N121 P121:Q121 S121:T121 V121:W121 Y121:Z121 AB121 G124 J124:K124 M124:N124 P124:Q124 S124:T124 V124:W124 Y124:Z124 AB124 G127 J127:K127 M127:N127 P127:Q127 S127:T127 V127:W127 Y127:Z127 AB127">
    <cfRule type="cellIs" dxfId="458" priority="30" operator="lessThan">
      <formula>0</formula>
    </cfRule>
  </conditionalFormatting>
  <conditionalFormatting sqref="H34 AC34 H37 AC37 H40 AC40 H43 AC43 H46 AC46 H49 AC49 H52 AC52 H55 AC55 H58 AC58 H61 AC61 H64 AC64 H67 AC67 H70 AC70 H73 AC73 H76 AC76 H79 AC79 H82 AC82 H85 AC85 H88 AC88 H91 AC91 H94 AC94 H97 AC97 H100 AC100 H103 AC103 H106 AC106 H109 AC109 H112 AC112 H115 AC115 H118 AC118 H121 AC121 H124 AC124 H127 AC127">
    <cfRule type="cellIs" dxfId="457" priority="31" operator="lessThan">
      <formula>0</formula>
    </cfRule>
  </conditionalFormatting>
  <conditionalFormatting sqref="F129 I129 L129 O129 R129 U129 X129 AA129 F36 I36 L36 O36 R36 U36 X36 AA36 F39 I39 L39 O39 R39 U39 X39 AA39 F42 I42 L42 O42 R42 U42 X42 AA42 F45 I45 L45 O45 R45 U45 X45 AA45 F48 I48 L48 O48 R48 U48 X48 AA48 F51 I51 L51 O51 R51 U51 X51 AA51 F54 I54 L54 O54 R54 U54 X54 AA54 F57 I57 L57 O57 R57 U57 X57 AA57 F60 I60 L60 O60 R60 U60 X60 AA60 F63 I63 L63 O63 R63 U63 X63 AA63 F66 I66 L66 O66 R66 U66 X66 AA66 F69 I69 L69 O69 R69 U69 X69 AA69 F72 I72 L72 O72 R72 U72 X72 AA72 F75 I75 L75 O75 R75 U75 X75 AA75 F78 I78 L78 O78 R78 U78 X78 AA78 F81 I81 L81 O81 R81 U81 X81 AA81 F84 I84 L84 O84 R84 U84 X84 AA84 F87 I87 L87 O87 R87 U87 X87 AA87 F90 I90 L90 O90 R90 U90 X90 AA90 F93 I93 L93 O93 R93 U93 X93 AA93 F96 I96 L96 O96 R96 U96 X96 AA96 F99 I99 L99 O99 R99 U99 X99 AA99 F102 I102 L102 O102 R102 U102 X102 AA102 F105 I105 L105 O105 R105 U105 X105 AA105 F108 I108 L108 O108 R108 U108 X108 AA108 F111 I111 L111 O111 R111 U111 X111 AA111 F114 I114 L114 O114 R114 U114 X114 AA114 F117 I117 L117 O117 R117 U117 X117 AA117 F120 I120 L120 O120 R120 U120 X120 AA120 F123 I123 L123 O123 R123 U123 X123 AA123 F126 I126 L126 O126 R126 U126 X126 AA126">
    <cfRule type="cellIs" dxfId="456" priority="32" operator="equal">
      <formula>0</formula>
    </cfRule>
  </conditionalFormatting>
  <conditionalFormatting sqref="F16:AC16">
    <cfRule type="cellIs" dxfId="455" priority="33" operator="equal">
      <formula>0</formula>
    </cfRule>
  </conditionalFormatting>
  <conditionalFormatting sqref="F33 I33 L33 O33 R33 U33 X33 AA33">
    <cfRule type="cellIs" dxfId="454" priority="34" operator="equal">
      <formula>0</formula>
    </cfRule>
  </conditionalFormatting>
  <conditionalFormatting sqref="F32 I32 L32 O32 R32 U32 X32 AA32">
    <cfRule type="cellIs" dxfId="453" priority="35" operator="greaterThan">
      <formula>0</formula>
    </cfRule>
  </conditionalFormatting>
  <conditionalFormatting sqref="G32:H32 J32:K32 M32:N32 P32:Q32 S32:T32 V32:W32 Y32:Z32 AB32:AC32">
    <cfRule type="cellIs" dxfId="452" priority="36" operator="equal">
      <formula>0</formula>
    </cfRule>
  </conditionalFormatting>
  <conditionalFormatting sqref="G32 J32:K32 M32:N32 P32:Q32 S32:T32 V32:W32 Y32:Z32 AB32">
    <cfRule type="cellIs" dxfId="451" priority="37" operator="lessThan">
      <formula>0</formula>
    </cfRule>
  </conditionalFormatting>
  <conditionalFormatting sqref="H32 AC32">
    <cfRule type="cellIs" dxfId="450" priority="38" operator="lessThan">
      <formula>0</formula>
    </cfRule>
  </conditionalFormatting>
  <conditionalFormatting sqref="F25 I25 L25 O25 R25 U25 X25 AA25 F27 I27 L27 O27 R27 U27 X27 AA27 F29 I29 L29 O29 R29 U29 X29 AA29 F31 I31 L31 O31 R31 U31 X31 AA31">
    <cfRule type="cellIs" dxfId="449" priority="39" operator="equal">
      <formula>0</formula>
    </cfRule>
  </conditionalFormatting>
  <conditionalFormatting sqref="F24 I24 L24 O24 R24 U24 X24 AA24 F26 I26 L26 O26 R26 U26 X26 AA26 F28 I28 L28 O28 R28 U28 X28 AA28 F30 I30 L30 O30 R30 U30 X30 AA30">
    <cfRule type="cellIs" dxfId="448" priority="40" operator="greaterThan">
      <formula>0</formula>
    </cfRule>
  </conditionalFormatting>
  <conditionalFormatting sqref="G24:H24 J24:K24 M24:N24 P24:Q24 S24:T24 V24:W24 Y24:Z24 AB24:AC24 G26:H26 J26:K26 M26:N26 P26:Q26 S26:T26 V26:W26 Y26:Z26 AB26:AC26 G28:H28 J28:K28 M28:N28 P28:Q28 S28:T28 V28:W28 Y28:Z28 AB28:AC28 G30:H30 J30:K30 M30:N30 P30:Q30 S30:T30 V30:W30 Y30:Z30 AB30:AC30">
    <cfRule type="cellIs" dxfId="447" priority="41" operator="equal">
      <formula>0</formula>
    </cfRule>
  </conditionalFormatting>
  <conditionalFormatting sqref="G24 J24:K24 M24:N24 P24:Q24 S24:T24 V24:W24 Y24:Z24 AB24 G26 J26:K26 M26:N26 P26:Q26 S26:T26 V26:W26 Y26:Z26 AB26 G28 J28:K28 M28:N28 P28:Q28 S28:T28 V28:W28 Y28:Z28 AB28 G30 J30:K30 M30:N30 P30:Q30 S30:T30 V30:W30 Y30:Z30 AB30">
    <cfRule type="cellIs" dxfId="446" priority="42" operator="lessThan">
      <formula>0</formula>
    </cfRule>
  </conditionalFormatting>
  <conditionalFormatting sqref="H24 AC24 H26 AC26 H28 AC28 H30 AC30">
    <cfRule type="cellIs" dxfId="445" priority="43" operator="lessThan">
      <formula>0</formula>
    </cfRule>
  </conditionalFormatting>
  <conditionalFormatting sqref="F23 I23 L23 O23 R23 U23 X23 AA23">
    <cfRule type="cellIs" dxfId="444" priority="44" operator="equal">
      <formula>0</formula>
    </cfRule>
  </conditionalFormatting>
  <conditionalFormatting sqref="F22 I22 L22 O22 R22 U22 X22 AA22">
    <cfRule type="cellIs" dxfId="443" priority="45" operator="greaterThan">
      <formula>0</formula>
    </cfRule>
  </conditionalFormatting>
  <conditionalFormatting sqref="G22:H22 J22:K22 M22:N22 P22:Q22 S22:T22 V22:W22 Y22:Z22 AB22:AC22">
    <cfRule type="cellIs" dxfId="442" priority="46" operator="equal">
      <formula>0</formula>
    </cfRule>
  </conditionalFormatting>
  <conditionalFormatting sqref="G22 J22:K22 M22:N22 P22:Q22 S22:T22 V22:W22 Y22:Z22 AB22">
    <cfRule type="cellIs" dxfId="441" priority="47" operator="lessThan">
      <formula>0</formula>
    </cfRule>
  </conditionalFormatting>
  <conditionalFormatting sqref="H22 AC22">
    <cfRule type="cellIs" dxfId="440" priority="48" operator="lessThan">
      <formula>0</formula>
    </cfRule>
  </conditionalFormatting>
  <conditionalFormatting sqref="F21 I21 L21 O21 R21 U21 X21 AA21">
    <cfRule type="cellIs" dxfId="439" priority="49" operator="equal">
      <formula>0</formula>
    </cfRule>
  </conditionalFormatting>
  <conditionalFormatting sqref="F20 I20 L20 O20 R20 U20 X20 AA20">
    <cfRule type="cellIs" dxfId="438" priority="50" operator="greaterThan">
      <formula>0</formula>
    </cfRule>
  </conditionalFormatting>
  <conditionalFormatting sqref="G20:H20 J20:K20 M20:N20 P20:Q20 S20:T20 V20:W20 Y20:Z20 AB20:AC20">
    <cfRule type="cellIs" dxfId="437" priority="51" operator="equal">
      <formula>0</formula>
    </cfRule>
  </conditionalFormatting>
  <conditionalFormatting sqref="G20 J20:K20 M20:N20 P20:Q20 S20:T20 V20:W20 Y20:Z20 AB20">
    <cfRule type="cellIs" dxfId="436" priority="52" operator="lessThan">
      <formula>0</formula>
    </cfRule>
  </conditionalFormatting>
  <conditionalFormatting sqref="H20 AC20">
    <cfRule type="cellIs" dxfId="435" priority="53" operator="lessThan">
      <formula>0</formula>
    </cfRule>
  </conditionalFormatting>
  <conditionalFormatting sqref="F19 I19 L19 O19 R19 U19 X19 AA19">
    <cfRule type="cellIs" dxfId="434" priority="54" operator="equal">
      <formula>0</formula>
    </cfRule>
  </conditionalFormatting>
  <conditionalFormatting sqref="F15 I15 L15 O15 R15 U15 X15 AA15">
    <cfRule type="cellIs" dxfId="433" priority="55" operator="greaterThan">
      <formula>0</formula>
    </cfRule>
  </conditionalFormatting>
  <conditionalFormatting sqref="G15:H15 J15:K15 M15:N15 P15:Q15 S15:T15 V15:W15 Y15:Z15 AB15:AC15">
    <cfRule type="cellIs" dxfId="432" priority="56" operator="equal">
      <formula>0</formula>
    </cfRule>
  </conditionalFormatting>
  <conditionalFormatting sqref="G15 J15:K15 M15:N15 P15:Q15 S15:T15 V15:W15 Y15:Z15 AB15">
    <cfRule type="cellIs" dxfId="431" priority="57" operator="lessThan">
      <formula>0</formula>
    </cfRule>
  </conditionalFormatting>
  <conditionalFormatting sqref="H15 AC15">
    <cfRule type="cellIs" dxfId="430" priority="58" operator="lessThan">
      <formula>0</formula>
    </cfRule>
  </conditionalFormatting>
  <conditionalFormatting sqref="F14:AC14">
    <cfRule type="cellIs" dxfId="429" priority="59" operator="equal">
      <formula>0</formula>
    </cfRule>
  </conditionalFormatting>
  <conditionalFormatting sqref="F163:AC180">
    <cfRule type="cellIs" dxfId="428" priority="60" operator="equal">
      <formula>0</formula>
    </cfRule>
  </conditionalFormatting>
  <conditionalFormatting sqref="E12:E15">
    <cfRule type="cellIs" dxfId="427" priority="61" operator="equal">
      <formula>0</formula>
    </cfRule>
  </conditionalFormatting>
  <conditionalFormatting sqref="F165:AC166">
    <cfRule type="cellIs" dxfId="426" priority="62" operator="equal">
      <formula>0</formula>
    </cfRule>
  </conditionalFormatting>
  <conditionalFormatting sqref="G148:H155 J148:K155 M148:N155 P148:Q155 S148:T155 V148:W155 Y148:Z155 AB148:AC155">
    <cfRule type="cellIs" dxfId="425" priority="63" operator="equal">
      <formula>0</formula>
    </cfRule>
  </conditionalFormatting>
  <conditionalFormatting sqref="M3 G3:G4 R3:S4 Y3:Y4">
    <cfRule type="cellIs" dxfId="424" priority="64" operator="equal">
      <formula>0</formula>
    </cfRule>
  </conditionalFormatting>
  <conditionalFormatting sqref="F13:AC13">
    <cfRule type="cellIs" dxfId="423" priority="65" operator="equal">
      <formula>0</formula>
    </cfRule>
  </conditionalFormatting>
  <conditionalFormatting sqref="G4 AD6:AI6 F12 I12 L12 O12 R12 U12 X12 AA12 AD12 AG12 AD15 AG15 F18 I18 L18 O18 R18 U18 X18 AA18 AD18 AG18 AD20 AG20 AD22 AG22 AD24 AG24 AD26 AG26 AD28 AG28 AD30 AG30 AD32 AG32 AD34 AG34 AD37 AG37 AD40 AG40 AD43 AG43 AD46 AG46 AD49 AG49 AD52 AG52 AD55 AG55 AD58 AG58 AD61 AG61 AD64 AG64 AD67 AG67 AD70 AG70 AD73 AG73 AD76 AG76 AD79 AG79 AD82 AG82 AD85 AG85 AD88 AG88 AD91 AG91 AD94 AG94 AD97 AG97 AD100 AG100 AD103 AG103 AD106 AG106 AD109 AG109 AD112 AG112 AD115 AG115 AD118 AG118 AD121 AG121 AD124 AG124 AD127 AG127 AD130 AG130 AD132 AG132 AD134 AG134 AD136 AG136 AD138 AG138 AD140 AG140 AD142 AG142 AD144 AG144">
    <cfRule type="cellIs" dxfId="422" priority="66" operator="greaterThan">
      <formula>0</formula>
    </cfRule>
  </conditionalFormatting>
  <conditionalFormatting sqref="F165:AC166 F163:AI164 F167:AI168 F171:AI172 F175:AI176 F179:AI179 F14 I14 L14 O14 R14 U14 X14 AA14 F17 I17 L17 O17 R17 U17 X17 AA17 AE5:AF5 AD13:AI13 AD14 AG14 AD16:AI16 AD17 AG17 AD19:AI19 AD21:AI21 AD23:AI23 AD25:AI25 AD27:AI27 AD29:AI29 AD31:AI31 AD33:AI33 AD35:AI35 AD36 AG36 AD38:AI38 AD39 AG39 AD41:AI41 AD42 AG42 AD44:AI44 AD45 AG45 AD47:AI47 AD48 AG48 AD50:AI50 AD51 AG51 AD53:AI53 AD54 AG54 AD56:AI56 AD57 AG57 AD59:AI59 AD60 AG60 AD62:AI62 AD63 AG63 AD65:AI65 AD66 AG66 AD68:AI68 AD69 AG69 AD71:AI71 AD72 AG72 AD74:AI74 AD75 AG75 AD77:AI77 AD78 AG78 AD80:AI80 AD81 AG81 AD83:AI83 AD84 AG84 AD86:AI86 AD87 AG87 AD89:AI89 AD90 AG90 AD92:AI92 AD93 AG93 AD95:AI95 AD96 AG96 AD98:AI98 AD99 AG99 AD101:AI101 AD102 AG102 AD104:AI104 AD105 AG105 AD107:AI107 AD108 AG108 AD110:AI110 AD111 AG111 AD113:AI113 AD114 AG114 AD116:AI116 AD117 AG117 AD119:AI119 AD120 AG120 AD122:AI122 AD123 AG123 AD125:AI125 AD126 AG126 AD128:AI129 AD131:AI131 AD133:AI133 AD135:AI135 AD137:AI137 AD139:AI139 AD141:AI141 AD143:AI143">
    <cfRule type="cellIs" dxfId="421" priority="67" operator="equal">
      <formula>0</formula>
    </cfRule>
  </conditionalFormatting>
  <conditionalFormatting sqref="F169:AI170 F173:AI174 F177:AI178 F180:AI180 AD165:AI166">
    <cfRule type="cellIs" dxfId="420" priority="68" operator="equal">
      <formula>0</formula>
    </cfRule>
  </conditionalFormatting>
  <conditionalFormatting sqref="G12:H12 J12:K12 M12:N12 P12:Q12 S12:T12 V12:W12 Y12:Z12 AB12:AC12 AE12:AF12 AH12:AI12 AE15:AF15 AH15:AI15 G18:H18 J18:K18 M18:N18 P18:Q18 S18:T18 V18:W18 Y18:Z18 AB18:AC18 AE18:AF18 AH18:AI18 AE20:AF20 AH20:AI20 AE22:AF22 AH22:AI22 AE24:AF24 AH24:AI24 AE26:AF26 AH26:AI26 AE28:AF28 AH28:AI28 AE30:AF30 AH30:AI30 AE32:AF32 AH32:AI32 AE34:AF34 AH34:AI34 AE37:AF37 AH37:AI37 AE40:AF40 AH40:AI40 AE43:AF43 AH43:AI43 AE46:AF46 AH46:AI46 AE49:AF49 AH49:AI49 AE52:AF52 AH52:AI52 AE55:AF55 AH55:AI55 AE58:AF58 AH58:AI58 AE61:AF61 AH61:AI61 AE64:AF64 AH64:AI64 AE67:AF67 AH67:AI67 AE70:AF70 AH70:AI70 AE73:AF73 AH73:AI73 AE76:AF76 AH76:AI76 AE79:AF79 AH79:AI79 AE82:AF82 AH82:AI82 AE85:AF85 AH85:AI85 AE88:AF88 AH88:AI88 AE91:AF91 AH91:AI91 AE94:AF94 AH94:AI94 AE97:AF97 AH97:AI97 AE100:AF100 AH100:AI100 AE103:AF103 AH103:AI103 AE106:AF106 AH106:AI106 AE109:AF109 AH109:AI109 AE112:AF112 AH112:AI112 AE115:AF115 AH115:AI115 AE118:AF118 AH118:AI118 AE121:AF121 AH121:AI121 AE124:AF124 AH124:AI124 AE127:AF127 AH127:AI127 AE130:AF130 AH130:AI130 AE132:AF132 AH132:AI132 AE134:AF134 AH134:AI134 AE136:AF136 AH136:AI136 AE138:AF138 AH138:AI138 AE140:AF140 AH140:AI140 AE142:AF142 AH142:AI142 AE144:AF144 AH144:AI144">
    <cfRule type="cellIs" dxfId="419" priority="69" operator="equal">
      <formula>0</formula>
    </cfRule>
  </conditionalFormatting>
  <conditionalFormatting sqref="G12 J12:K12 M12:N12 P12:Q12 S12:T12 V12:W12 Y12:Z12 AB12 AE12 AH12 AE15 AH15 G18 J18:K18 M18:N18 P18:Q18 S18:T18 V18:W18 Y18:Z18 AB18 AE18 AH18 AE20 AH20 AE22 AH22 AE24 AH24 AE26 AH26 AE28 AH28 AE30 AH30 AE32 AH32 AE34 AH34 AE37 AH37 AE40 AH40 AE43 AH43 AE46 AH46 AE49 AH49 AE52 AH52 AE55 AH55 AE58 AH58 AE61 AH61 AE64 AH64 AE67 AH67 AE70 AH70 AE73 AH73 AE76 AH76 AE79 AH79 AE82 AH82 AE85 AH85 AE88 AH88 AE91 AH91 AE94 AH94 AE97 AH97 AE100 AH100 AE103 AH103 AE106 AH106 AE109 AH109 AE112 AH112 AE115 AH115 AE118 AH118 AE121 AH121 AE124 AH124 AE127 AH127 AE130 AH130 AE132 AH132 AE134 AH134 AE136 AH136 AE138 AH138 AE140 AH140 AE142 AH142 AE144 AH144">
    <cfRule type="cellIs" dxfId="418" priority="70" operator="lessThan">
      <formula>0</formula>
    </cfRule>
  </conditionalFormatting>
  <conditionalFormatting sqref="AH5:AI5">
    <cfRule type="cellIs" dxfId="417" priority="71" operator="between">
      <formula>1</formula>
      <formula>8</formula>
    </cfRule>
    <cfRule type="cellIs" dxfId="416" priority="72" operator="equal">
      <formula>0</formula>
    </cfRule>
  </conditionalFormatting>
  <conditionalFormatting sqref="H12 AC12 AF12 AI12 AF15 AI15 H18 AC18 AF18 AI18 AF20 AI20 AF22 AI22 AF24 AI24 AF26 AI26 AF28 AI28 AF30 AI30 AF32 AI32 AF34 AI34 AF37 AI37 AF40 AI40 AF43 AI43 AF46 AI46 AF49 AI49 AF52 AI52 AF55 AI55 AF58 AI58 AF61 AI61 AF64 AI64 AF67 AI67 AF70 AI70 AF73 AI73 AF76 AI76 AF79 AI79 AF82 AI82 AF85 AI85 AF88 AI88 AF91 AI91 AF94 AI94 AF97 AI97 AF100 AI100 AF103 AI103 AF106 AI106 AF109 AI109 AF112 AI112 AF115 AI115 AF118 AI118 AF121 AI121 AF124 AI124 AF127 AI127 AF130 AI130 AF132 AI132 AF134 AI134 AF136 AI136 AF138 AI138 AF140 AI140 AF142 AI142 AF144 AI144">
    <cfRule type="cellIs" dxfId="415" priority="73" operator="lessThan">
      <formula>0</formula>
    </cfRule>
  </conditionalFormatting>
  <conditionalFormatting sqref="F9:AI10">
    <cfRule type="cellIs" dxfId="414" priority="74" operator="lessThan">
      <formula>0</formula>
    </cfRule>
    <cfRule type="cellIs" dxfId="413" priority="75" operator="equal">
      <formula>0</formula>
    </cfRule>
  </conditionalFormatting>
  <dataValidations count="3">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F12 I12 L12 O12 R12 U12 X12 AA12 AD12 AG12 F15 I15 L15 O15 R15 U15 X15 AA15 AD15 AG15 F18 I18 L18 O18 R18 U18 X18 AA18 AD18 AG18 F20 I20 L20 O20 R20 U20 X20 AA20 AD20 AG20 F22 I22 L22 O22 R22 U22 X22 AA22 AD22 AG22 F24 I24 L24 O24 R24 U24 X24 AA24 AD24 AG24 F26 I26 L26 O26 R26 U26 X26 AA26 AD26 AG26 F28 I28 L28 O28 R28 U28 X28 AA28 AD28 AG28 F30 I30 L30 O30 R30 U30 X30 AA30 AD30 AG30 F32 I32 L32 O32 R32 U32 X32 AA32 AD32 AG32 F34 I34 L34 O34 R34 U34 X34 AA34 AD34 AG34 F37 I37 L37 O37 R37 U37 X37 AA37 AD37 AG37 F40 I40 L40 O40 R40 U40 X40 AA40 AD40 AG40 F43 I43 L43 O43 R43 U43 X43 AA43 AD43 AG43 F46 I46 L46 O46 R46 U46 X46 AA46 AD46 AG46 F49 I49 L49 O49 R49 U49 X49 AA49 AD49 AG49 F52 I52 L52 O52 R52 U52 X52 AA52 AD52 AG52 F55 I55 L55 O55 R55 U55 X55 AA55 AD55 AG55 F58 I58 L58 O58 R58 U58 X58 AA58 AD58 AG58 F61 I61 L61 O61 R61 U61 X61 AA61 AD61 AG61 F64 I64 L64 O64 R64 U64 X64 AA64 AD64 AG64 F67 I67 L67 O67 R67 U67 X67 AA67 AD67 AG67 F70 I70 L70 O70 R70 U70 X70 AA70 AD70 AG70 F73 I73 L73 O73 R73 U73 X73 AA73 AD73 AG73 F76 I76 L76 O76 R76 U76 X76 AA76 AD76 AG76 F79 I79 L79 O79 R79 U79 X79 AA79 AD79 AG79 F82 I82 L82 O82 R82 U82 X82 AA82 AD82 AG82 F85 I85 L85 O85 R85 U85 X85 AA85 AD85 AG85 F88 I88 L88 O88 R88 U88 X88 AA88 AD88 AG88 F91 I91 L91 O91 R91 U91 X91 AA91 AD91 AG91 F94 I94 L94 O94 R94 U94 X94 AA94 AD94 AG94 F97 I97 L97 O97 R97 U97 X97 AA97 AD97 AG97 F100 I100 L100 O100 R100 U100 X100 AA100 AD100 AG100 F103 I103 L103 O103 R103 U103 X103 AA103 AD103 AG103 F106 I106 L106 O106 R106 U106 X106 AA106 AD106 AG106 F109 I109 L109 O109 R109 U109 X109 AA109 AD109 AG109 F112 I112 L112 O112 R112 U112 X112 AA112 AD112 AG112 F115 I115 L115 O115 R115 U115 X115 AA115 AD115 AG115 F118 I118 L118 O118 R118 U118 X118 AA118 AD118 AG118 F121 I121 L121 O121 R121 U121 X121 AA121 AD121 AG121 F124 I124 L124 O124 R124 U124 X124 AA124 AD124 AG124 F127 I127 L127 O127 R127 U127 X127 AA127 AD127 AG127 F130 I130 L130 O130 R130 U130 X130 AA130 AD130 AG130 F132 I132 L132 O132 R132 U132 X132 AA132 AD132 AG132 F134 I134 L134 O134 R134 U134 X134 AA134 AD134 AG134 F136 I136 L136 O136 R136 U136 X136 AA136 AD136 AG136 F138 I138 L138 O138 R138 U138 X138 AA138 AD138 AG138 F140 I140 L140 O140 R140 U140 X140 AA140 AD140 AG140 F142 I142 L142 O142 R142 U142 X142 AA142 AD142 AG142 F144 I144 L144 O144 R144 U144 X144 AA144 AD144 F146 I146 L146 O146 R146 U146 X146 AA146" xr:uid="{00000000-0002-0000-1400-000000000000}">
      <formula1>0.00694444444444444</formula1>
      <formula2>0</formula2>
    </dataValidation>
    <dataValidation allowBlank="1" showInputMessage="1" showErrorMessage="1" promptTitle="        DATA INPUT" prompt="Enter the name of the competing club into the appropriate lane header" sqref="AD6:AI6" xr:uid="{00000000-0002-0000-1400-000001000000}">
      <formula1>0</formula1>
      <formula2>0</formula2>
    </dataValidation>
    <dataValidation allowBlank="1" showInputMessage="1" showErrorMessage="1" promptTitle="     DATA INPUT" prompt="PLEASE ENTER THE NUMBER OF THE FIRST LANE TO BE USED. ALL OTHER LANES WILL NUMBER AUTOMATICALLY AS TEAM NAMES ARE ENTERED. _x000a_NO NUMBER &amp; THE NAME REMAINS BLANK AND NO POINTS WILL BE ALLOCATED." sqref="G5:H5" xr:uid="{00000000-0002-0000-1400-000002000000}">
      <formula1>0</formula1>
      <formula2>0</formula2>
    </dataValidation>
  </dataValidations>
  <hyperlinks>
    <hyperlink ref="F1" location="'Gala Setup'!H4" display="Gala _x000a_Setup" xr:uid="{00000000-0004-0000-1400-000000000000}"/>
    <hyperlink ref="I1" location="Recording!C32" display="Gala_x000a_Recording" xr:uid="{00000000-0004-0000-1400-000001000000}"/>
    <hyperlink ref="L1" location="'Final result'!C8" display="Final _x000a_Result" xr:uid="{00000000-0004-0000-1400-000002000000}"/>
    <hyperlink ref="O1" location="'Quick Check'!A1" display="Check _x000a_Results" xr:uid="{00000000-0004-0000-1400-000003000000}"/>
    <hyperlink ref="R1" location="'Print 6 Lane'!F12" display="6 Lane Printout" xr:uid="{00000000-0004-0000-1400-000004000000}"/>
    <hyperlink ref="U1" location="'print 10 lane'!F12" display="10 Lane Printout" xr:uid="{00000000-0004-0000-1400-000005000000}"/>
    <hyperlink ref="X1" location="HDR!H3" display="Rankings _x000a_HDR" xr:uid="{00000000-0004-0000-1400-000006000000}"/>
    <hyperlink ref="AA1" location="MRF!R1" display="Rankings _x000a_MRF" xr:uid="{00000000-0004-0000-1400-000007000000}"/>
    <hyperlink ref="B167" location="'8 Lane Gala'!F34" display="GO TO EVENT 11" xr:uid="{00000000-0004-0000-1400-000008000000}"/>
    <hyperlink ref="B171" location="'8 Lane Gala'!F58" display="GO TO EVENT 19" xr:uid="{00000000-0004-0000-1400-000009000000}"/>
    <hyperlink ref="B175" location="'8 Lane Gala'!F82" display="GO TO EVENT 27" xr:uid="{00000000-0004-0000-1400-00000A000000}"/>
    <hyperlink ref="B179" location="'8 Lane Gala'!F106" display="GO TO EVENT 35" xr:uid="{00000000-0004-0000-1400-00000B000000}"/>
    <hyperlink ref="B181" location="'8 Lane Gala'!F130" display="GO TO EVENT 43" xr:uid="{00000000-0004-0000-1400-00000C000000}"/>
  </hyperlinks>
  <printOptions horizontalCentered="1" verticalCentered="1"/>
  <pageMargins left="0.74791666666666701" right="0.74791666666666701" top="0.59027777777777801" bottom="0.59027777777777801" header="0.511811023622047" footer="0.511811023622047"/>
  <pageSetup paperSize="9" scale="29" fitToHeight="6" orientation="portrait" horizontalDpi="300" verticalDpi="300" r:id="rId1"/>
  <rowBreaks count="4" manualBreakCount="4">
    <brk id="39" max="16383" man="1"/>
    <brk id="66" max="16383" man="1"/>
    <brk id="96" max="16383" man="1"/>
    <brk id="126"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B647"/>
  <sheetViews>
    <sheetView showGridLines="0" showRowColHeaders="0" zoomScale="56" zoomScaleNormal="56" workbookViewId="0">
      <pane xSplit="8" ySplit="11" topLeftCell="I12" activePane="bottomRight" state="frozen"/>
      <selection pane="topRight" activeCell="I1" sqref="I1"/>
      <selection pane="bottomLeft" activeCell="A12" sqref="A12"/>
      <selection pane="bottomRight" activeCell="AJ148" sqref="AJ148"/>
    </sheetView>
  </sheetViews>
  <sheetFormatPr defaultColWidth="9.109375" defaultRowHeight="19.8" x14ac:dyDescent="0.25"/>
  <cols>
    <col min="1" max="1" width="7" style="833" hidden="1" customWidth="1"/>
    <col min="2" max="2" width="7" style="834" customWidth="1"/>
    <col min="3" max="3" width="11.109375" style="959" customWidth="1"/>
    <col min="4" max="4" width="9.6640625" style="834" customWidth="1"/>
    <col min="5" max="5" width="40.6640625" style="834" customWidth="1"/>
    <col min="6" max="6" width="15.6640625" style="834" hidden="1" customWidth="1"/>
    <col min="7" max="7" width="16.44140625" style="834" hidden="1" customWidth="1"/>
    <col min="8" max="8" width="15.33203125" style="834" hidden="1" customWidth="1"/>
    <col min="9" max="9" width="16.88671875" style="836" customWidth="1"/>
    <col min="10" max="10" width="6.6640625" style="834" customWidth="1"/>
    <col min="11" max="11" width="5.6640625" style="834" customWidth="1"/>
    <col min="12" max="12" width="16.88671875" style="836" customWidth="1"/>
    <col min="13" max="14" width="5.6640625" style="834" customWidth="1"/>
    <col min="15" max="15" width="16.88671875" style="836" customWidth="1"/>
    <col min="16" max="16" width="5.6640625" style="834" customWidth="1"/>
    <col min="17" max="17" width="6.5546875" style="834" customWidth="1"/>
    <col min="18" max="18" width="16.88671875" style="836" customWidth="1"/>
    <col min="19" max="20" width="5.6640625" style="834" customWidth="1"/>
    <col min="21" max="21" width="16.88671875" style="836" customWidth="1"/>
    <col min="22" max="23" width="5.6640625" style="834" customWidth="1"/>
    <col min="24" max="24" width="16.88671875" style="836" customWidth="1"/>
    <col min="25" max="26" width="5.6640625" style="834" customWidth="1"/>
    <col min="27" max="27" width="16.88671875" style="836" customWidth="1"/>
    <col min="28" max="29" width="5.6640625" style="834" customWidth="1"/>
    <col min="30" max="30" width="16.88671875" style="836" customWidth="1"/>
    <col min="31" max="31" width="5.6640625" style="834" customWidth="1"/>
    <col min="32" max="32" width="5.109375" style="834" customWidth="1"/>
    <col min="33" max="33" width="16.88671875" style="836" customWidth="1"/>
    <col min="34" max="34" width="5.6640625" style="834" customWidth="1"/>
    <col min="35" max="35" width="5.109375" style="834" customWidth="1"/>
    <col min="36" max="36" width="17" style="836" customWidth="1"/>
    <col min="37" max="37" width="5.6640625" style="834" customWidth="1"/>
    <col min="38" max="38" width="4.88671875" style="834" customWidth="1"/>
    <col min="39" max="56" width="5.33203125" style="833" hidden="1" customWidth="1"/>
    <col min="57" max="58" width="5.109375" style="833" hidden="1" customWidth="1"/>
    <col min="59" max="63" width="5.109375" style="942" customWidth="1"/>
    <col min="64" max="64" width="11" style="942" customWidth="1"/>
    <col min="65" max="73" width="8.33203125" style="942" customWidth="1"/>
    <col min="74" max="74" width="137.44140625" style="942" customWidth="1"/>
    <col min="75" max="75" width="2.109375" style="942" hidden="1" customWidth="1"/>
    <col min="76" max="76" width="8.33203125" style="942" hidden="1" customWidth="1"/>
    <col min="77" max="77" width="175.6640625" style="942" customWidth="1"/>
    <col min="78" max="78" width="2.109375" style="942" hidden="1" customWidth="1"/>
    <col min="79" max="80" width="8.33203125" style="942" hidden="1" customWidth="1"/>
    <col min="81" max="81" width="8.33203125" style="833" customWidth="1"/>
    <col min="82" max="82" width="15.33203125" style="833" customWidth="1"/>
    <col min="83" max="83" width="20.6640625" style="833" customWidth="1"/>
    <col min="84" max="84" width="8.33203125" style="833" customWidth="1"/>
    <col min="85" max="16384" width="9.109375" style="833"/>
  </cols>
  <sheetData>
    <row r="1" spans="2:80" ht="77.25" customHeight="1" x14ac:dyDescent="0.25">
      <c r="B1" s="1489" t="str">
        <f>'Gala Setup'!S4</f>
        <v>NASL.2023 V6</v>
      </c>
      <c r="C1" s="1489"/>
      <c r="D1" s="1489"/>
      <c r="E1" s="1489"/>
      <c r="F1" s="833"/>
      <c r="G1" s="1013"/>
      <c r="H1" s="1013"/>
      <c r="I1" s="960" t="s">
        <v>4502</v>
      </c>
      <c r="J1" s="1443"/>
      <c r="K1" s="1443"/>
      <c r="L1" s="961" t="s">
        <v>5071</v>
      </c>
      <c r="M1" s="1444"/>
      <c r="N1" s="1444"/>
      <c r="O1" s="960"/>
      <c r="P1" s="1445"/>
      <c r="Q1" s="1445"/>
      <c r="R1" s="960" t="s">
        <v>5134</v>
      </c>
      <c r="S1" s="1443"/>
      <c r="T1" s="1443"/>
      <c r="U1" s="960" t="s">
        <v>5126</v>
      </c>
      <c r="V1" s="1446"/>
      <c r="W1" s="1446"/>
      <c r="X1" s="960" t="s">
        <v>5135</v>
      </c>
      <c r="Y1" s="844"/>
      <c r="Z1" s="844"/>
      <c r="AA1" s="960" t="s">
        <v>5074</v>
      </c>
      <c r="AB1" s="844"/>
      <c r="AC1" s="844"/>
      <c r="AD1" s="960" t="s">
        <v>5073</v>
      </c>
      <c r="AE1" s="962"/>
      <c r="AF1" s="962"/>
      <c r="AG1" s="1014"/>
      <c r="AH1" s="962"/>
      <c r="AI1" s="962"/>
      <c r="AJ1" s="1014"/>
      <c r="AK1" s="962"/>
      <c r="AL1" s="962"/>
      <c r="AM1" s="842"/>
      <c r="AS1" s="833" t="str">
        <f>I6</f>
        <v>HARINGEY AQUATICS</v>
      </c>
      <c r="AT1" s="833" t="str">
        <f>L6</f>
        <v>STEVENAGE</v>
      </c>
      <c r="AU1" s="833" t="str">
        <f>O6</f>
        <v>BORO OF BROXBOURNE</v>
      </c>
      <c r="AV1" s="833" t="str">
        <f>R6</f>
        <v>AYLESBURY</v>
      </c>
      <c r="AW1" s="833" t="str">
        <f>U6</f>
        <v>BRAINTREE &amp; BOCKING</v>
      </c>
      <c r="AX1" s="833" t="str">
        <f>X6</f>
        <v>Bo of Harrow</v>
      </c>
      <c r="AY1" s="833" t="str">
        <f>AA6</f>
        <v>Hillingdon 'B'</v>
      </c>
      <c r="AZ1" s="833">
        <f>AD6</f>
        <v>0</v>
      </c>
      <c r="BA1" s="833">
        <f>AG6</f>
        <v>0</v>
      </c>
      <c r="BB1" s="833">
        <f>AJ6</f>
        <v>0</v>
      </c>
      <c r="BV1" s="1490"/>
      <c r="BY1" s="1491"/>
      <c r="BZ1" s="1015"/>
      <c r="CA1" s="1015"/>
      <c r="CB1" s="1015"/>
    </row>
    <row r="2" spans="2:80" ht="45" customHeight="1" x14ac:dyDescent="0.25">
      <c r="F2" s="1016"/>
      <c r="G2" s="1016"/>
      <c r="H2" s="1017"/>
      <c r="I2" s="1449" t="str">
        <f>'Gala Setup'!H2</f>
        <v>National Arena Swimming League</v>
      </c>
      <c r="J2" s="1449"/>
      <c r="K2" s="1449"/>
      <c r="L2" s="1449"/>
      <c r="M2" s="1449"/>
      <c r="N2" s="1449"/>
      <c r="O2" s="1449"/>
      <c r="P2" s="1449"/>
      <c r="Q2" s="1449"/>
      <c r="R2" s="1449"/>
      <c r="S2" s="1449"/>
      <c r="T2" s="1449"/>
      <c r="U2" s="1449"/>
      <c r="V2" s="1449"/>
      <c r="W2" s="1449"/>
      <c r="X2" s="1449"/>
      <c r="Y2" s="1449"/>
      <c r="Z2" s="1449"/>
      <c r="AA2" s="1449"/>
      <c r="AB2" s="1449"/>
      <c r="AC2" s="1449"/>
      <c r="AD2" s="1449"/>
      <c r="AE2" s="1449"/>
      <c r="AF2" s="1449"/>
      <c r="AG2" s="1449"/>
      <c r="AH2" s="1449"/>
      <c r="AI2" s="1449"/>
      <c r="AJ2" s="1449"/>
      <c r="AK2" s="1449"/>
      <c r="AL2" s="1449"/>
      <c r="AO2" s="833" t="b">
        <f>IF(B6&gt;4,1)</f>
        <v>0</v>
      </c>
      <c r="BV2" s="1490"/>
      <c r="BY2" s="1491"/>
      <c r="BZ2" s="1015"/>
      <c r="CA2" s="1015"/>
      <c r="CB2" s="1015"/>
    </row>
    <row r="3" spans="2:80" ht="30" customHeight="1" x14ac:dyDescent="0.25">
      <c r="B3" s="1018"/>
      <c r="C3" s="1016"/>
      <c r="D3" s="1016"/>
      <c r="E3" s="1016"/>
      <c r="F3" s="1016"/>
      <c r="G3" s="1016"/>
      <c r="H3" s="1019"/>
      <c r="I3" s="1020" t="s">
        <v>11</v>
      </c>
      <c r="J3" s="1450" t="str">
        <f>'Gala Setup'!H4</f>
        <v>LONDON</v>
      </c>
      <c r="K3" s="1450"/>
      <c r="L3" s="1450"/>
      <c r="M3" s="1450"/>
      <c r="N3" s="1450"/>
      <c r="O3" s="1492" t="s">
        <v>13</v>
      </c>
      <c r="P3" s="1492"/>
      <c r="Q3" s="1492"/>
      <c r="R3" s="1450" t="str">
        <f>'Gala Setup'!J4</f>
        <v>ONE</v>
      </c>
      <c r="S3" s="1450"/>
      <c r="T3" s="1450"/>
      <c r="U3" s="1450"/>
      <c r="V3" s="1450"/>
      <c r="W3" s="1450"/>
      <c r="X3" s="1021" t="s">
        <v>4548</v>
      </c>
      <c r="Y3" s="1402" t="str">
        <f>'Gala Setup'!H5</f>
        <v>THREE</v>
      </c>
      <c r="Z3" s="1402"/>
      <c r="AA3" s="1402"/>
      <c r="AB3" s="1402"/>
      <c r="AC3" s="1493" t="s">
        <v>5128</v>
      </c>
      <c r="AD3" s="1493"/>
      <c r="AE3" s="1493"/>
      <c r="AF3" s="1493"/>
      <c r="AG3" s="1450" t="str">
        <f>'Gala Setup'!J5</f>
        <v>TWO</v>
      </c>
      <c r="AH3" s="1450"/>
      <c r="AI3" s="1450"/>
      <c r="AJ3" s="1450"/>
      <c r="AK3" s="1450"/>
      <c r="AL3" s="1450"/>
      <c r="BV3" s="1490"/>
      <c r="BY3" s="1482"/>
      <c r="BZ3" s="1482"/>
      <c r="CA3" s="1482"/>
      <c r="CB3" s="1482"/>
    </row>
    <row r="4" spans="2:80" ht="30" customHeight="1" x14ac:dyDescent="0.25">
      <c r="G4" s="1022"/>
      <c r="H4" s="1019"/>
      <c r="I4" s="1494" t="s">
        <v>4550</v>
      </c>
      <c r="J4" s="1494"/>
      <c r="K4" s="1494"/>
      <c r="L4" s="1495" t="str">
        <f>'Gala Setup'!H6</f>
        <v>AQUA VALE S &amp; F CENTRE AYLESBURY</v>
      </c>
      <c r="M4" s="1495"/>
      <c r="N4" s="1495"/>
      <c r="O4" s="1495"/>
      <c r="P4" s="1495"/>
      <c r="Q4" s="1495"/>
      <c r="R4" s="1495"/>
      <c r="S4" s="1495"/>
      <c r="T4" s="1495"/>
      <c r="U4" s="1495"/>
      <c r="V4" s="1495"/>
      <c r="W4" s="1495"/>
      <c r="X4" s="1023" t="s">
        <v>4551</v>
      </c>
      <c r="Y4" s="1496">
        <f>'Gala Setup'!H7</f>
        <v>45269</v>
      </c>
      <c r="Z4" s="1496"/>
      <c r="AA4" s="1496"/>
      <c r="AB4" s="1496"/>
      <c r="AC4" s="1492" t="s">
        <v>5136</v>
      </c>
      <c r="AD4" s="1492"/>
      <c r="AE4" s="1492"/>
      <c r="AF4" s="1492"/>
      <c r="AG4" s="1450" t="str">
        <f>'Gala Setup'!J7</f>
        <v>3ER231478</v>
      </c>
      <c r="AH4" s="1450"/>
      <c r="AI4" s="1450"/>
      <c r="AJ4" s="1450"/>
      <c r="AK4" s="1450"/>
      <c r="AL4" s="1450"/>
      <c r="BV4" s="1490"/>
      <c r="BY4" s="1482"/>
      <c r="BZ4" s="1482"/>
      <c r="CA4" s="1482"/>
      <c r="CB4" s="1482"/>
    </row>
    <row r="5" spans="2:80" ht="30" customHeight="1" x14ac:dyDescent="0.25">
      <c r="I5" s="1024" t="s">
        <v>4327</v>
      </c>
      <c r="J5" s="1497">
        <f>'Gala Setup'!N4</f>
        <v>1</v>
      </c>
      <c r="K5" s="1497"/>
      <c r="L5" s="1024" t="s">
        <v>4327</v>
      </c>
      <c r="M5" s="1498">
        <f>'Gala Setup'!N5</f>
        <v>2</v>
      </c>
      <c r="N5" s="1498"/>
      <c r="O5" s="1024" t="s">
        <v>4327</v>
      </c>
      <c r="P5" s="1498">
        <f>'Gala Setup'!N6</f>
        <v>3</v>
      </c>
      <c r="Q5" s="1498"/>
      <c r="R5" s="1024" t="s">
        <v>4327</v>
      </c>
      <c r="S5" s="1498">
        <f>'Gala Setup'!N7</f>
        <v>4</v>
      </c>
      <c r="T5" s="1498"/>
      <c r="U5" s="1024" t="s">
        <v>4327</v>
      </c>
      <c r="V5" s="1498">
        <f>'Gala Setup'!N8</f>
        <v>5</v>
      </c>
      <c r="W5" s="1498"/>
      <c r="X5" s="1024" t="s">
        <v>4327</v>
      </c>
      <c r="Y5" s="1498">
        <f>'Gala Setup'!N9</f>
        <v>6</v>
      </c>
      <c r="Z5" s="1498"/>
      <c r="AA5" s="1024" t="s">
        <v>4327</v>
      </c>
      <c r="AB5" s="1498">
        <f>'Gala Setup'!N10</f>
        <v>7</v>
      </c>
      <c r="AC5" s="1498"/>
      <c r="AD5" s="1024" t="s">
        <v>4327</v>
      </c>
      <c r="AE5" s="1498">
        <f>'Gala Setup'!N11</f>
        <v>0</v>
      </c>
      <c r="AF5" s="1498"/>
      <c r="AG5" s="1024" t="s">
        <v>4327</v>
      </c>
      <c r="AH5" s="1499">
        <f>'Gala Setup'!N12</f>
        <v>0</v>
      </c>
      <c r="AI5" s="1499"/>
      <c r="AJ5" s="1024" t="s">
        <v>4327</v>
      </c>
      <c r="AK5" s="1500">
        <f>'Gala Setup'!N13</f>
        <v>0</v>
      </c>
      <c r="AL5" s="1500"/>
      <c r="AM5" s="1384" t="s">
        <v>5081</v>
      </c>
      <c r="BV5" s="1490"/>
      <c r="BY5" s="1482"/>
      <c r="BZ5" s="1482"/>
      <c r="CA5" s="1482"/>
      <c r="CB5" s="1482"/>
    </row>
    <row r="6" spans="2:80" ht="30" customHeight="1" x14ac:dyDescent="0.25">
      <c r="B6" s="1025">
        <f>COUNT(AS1:BB1)</f>
        <v>3</v>
      </c>
      <c r="C6" s="1026"/>
      <c r="D6" s="1026"/>
      <c r="E6" s="1027"/>
      <c r="I6" s="1484" t="str">
        <f>'Gala Setup'!P4</f>
        <v>HARINGEY AQUATICS</v>
      </c>
      <c r="J6" s="1484"/>
      <c r="K6" s="1484"/>
      <c r="L6" s="1484" t="str">
        <f>'Gala Setup'!P5</f>
        <v>STEVENAGE</v>
      </c>
      <c r="M6" s="1484"/>
      <c r="N6" s="1484"/>
      <c r="O6" s="1484" t="str">
        <f>'Gala Setup'!P6</f>
        <v>BORO OF BROXBOURNE</v>
      </c>
      <c r="P6" s="1484"/>
      <c r="Q6" s="1484"/>
      <c r="R6" s="1484" t="str">
        <f>'Gala Setup'!P7</f>
        <v>AYLESBURY</v>
      </c>
      <c r="S6" s="1484"/>
      <c r="T6" s="1484"/>
      <c r="U6" s="1484" t="str">
        <f>'Gala Setup'!P8</f>
        <v>BRAINTREE &amp; BOCKING</v>
      </c>
      <c r="V6" s="1484"/>
      <c r="W6" s="1484"/>
      <c r="X6" s="1484" t="str">
        <f>'Gala Setup'!P9</f>
        <v>Bo of Harrow</v>
      </c>
      <c r="Y6" s="1484"/>
      <c r="Z6" s="1484"/>
      <c r="AA6" s="1484" t="str">
        <f>'Gala Setup'!P10</f>
        <v>Hillingdon 'B'</v>
      </c>
      <c r="AB6" s="1484"/>
      <c r="AC6" s="1484"/>
      <c r="AD6" s="1484">
        <f>'Gala Setup'!P11</f>
        <v>0</v>
      </c>
      <c r="AE6" s="1484"/>
      <c r="AF6" s="1484"/>
      <c r="AG6" s="1484">
        <f>'Gala Setup'!P12</f>
        <v>0</v>
      </c>
      <c r="AH6" s="1484"/>
      <c r="AI6" s="1484"/>
      <c r="AJ6" s="1484">
        <f>'Gala Setup'!P13</f>
        <v>0</v>
      </c>
      <c r="AK6" s="1484"/>
      <c r="AL6" s="1484"/>
      <c r="AM6" s="1384"/>
      <c r="BV6" s="1490"/>
      <c r="BY6" s="1482"/>
      <c r="BZ6" s="1482"/>
      <c r="CA6" s="1482"/>
      <c r="CB6" s="1482"/>
    </row>
    <row r="7" spans="2:80" ht="30" customHeight="1" x14ac:dyDescent="0.25">
      <c r="B7" s="1485" t="s">
        <v>5137</v>
      </c>
      <c r="C7" s="1485"/>
      <c r="D7" s="1485"/>
      <c r="E7" s="1028" t="s">
        <v>5138</v>
      </c>
      <c r="I7" s="1486" t="s">
        <v>4422</v>
      </c>
      <c r="J7" s="1487">
        <f>IF(J9="","",IF(J9&lt;1,"",SUM((J9&lt;M9),(J9&lt;P9),(J9&lt;S9),(J9&lt;V9),(J9&lt;Y9),(J9&lt;AB9),(J9&lt;AE9),(J9&lt;AH9),(J9&lt;AK9))+1))</f>
        <v>7</v>
      </c>
      <c r="K7" s="1487"/>
      <c r="L7" s="1486" t="s">
        <v>4422</v>
      </c>
      <c r="M7" s="1487">
        <f>IF(M9="","",IF(M9&lt;1,"",SUM((M9&lt;P9),(M9&lt;S9),(M9&lt;V9),(M9&lt;Y9),(M9&lt;AB9),(M9&lt;AE9),(M9&lt;J9),(M9&lt;AH9),(M9&lt;AK9))+1))</f>
        <v>6</v>
      </c>
      <c r="N7" s="1487"/>
      <c r="O7" s="1486" t="s">
        <v>4422</v>
      </c>
      <c r="P7" s="1487">
        <f>IF(P9="","",IF(P9&lt;1,"",SUM((P9&lt;S9),(P9&lt;V9),(P9&lt;Y9),(P9&lt;AB9),(P9&lt;AE9),(P9&lt;J9),(P9&lt;M9),(P9&lt;AH9),(P9&lt;AK9))+1))</f>
        <v>5</v>
      </c>
      <c r="Q7" s="1487"/>
      <c r="R7" s="1486" t="s">
        <v>4422</v>
      </c>
      <c r="S7" s="1487">
        <f>IF(S9="","",IF(S9&lt;1,"",SUM((S9&lt;V9),(S9&lt;Y9),(S9&lt;AB9),(S9&lt;AE9),(S9&lt;J9),(S9&lt;M9),(S9&lt;P9),(S9&lt;AH9),(S9&lt;AK9))+1))</f>
        <v>2</v>
      </c>
      <c r="T7" s="1487"/>
      <c r="U7" s="1486" t="s">
        <v>4422</v>
      </c>
      <c r="V7" s="1487">
        <f>IF(V9="","",IF(V9&lt;1,"",SUM((V9&lt;Y9),(V9&lt;AB9),(V9&lt;AE9),(V9&lt;J9),(V9&lt;M9),(V9&lt;P9),(V9&lt;S9),(V9&lt;AH9),(V9&lt;AK9))+1))</f>
        <v>1</v>
      </c>
      <c r="W7" s="1487"/>
      <c r="X7" s="1486" t="s">
        <v>4422</v>
      </c>
      <c r="Y7" s="1487">
        <f>IF(Y9="","",IF(Y9&lt;1,"",SUM((Y9&lt;AB9),(Y9&lt;AE9),(Y9&lt;J9),(Y9&lt;M9),(Y9&lt;P9),(Y9&lt;S9),(Y9&lt;V9),(Y9&lt;AH9),(Y9&lt;AK9))+1))</f>
        <v>3</v>
      </c>
      <c r="Z7" s="1487"/>
      <c r="AA7" s="1486" t="s">
        <v>4422</v>
      </c>
      <c r="AB7" s="1487">
        <f>IF(AB9="","",IF(AB9&lt;1,"",SUM((AB9&lt;AE9),(AB9&lt;J9),(AB9&lt;M9),(AB9&lt;P9),(AB9&lt;S9),(AB9&lt;V9),(AB9&lt;Y9),(AB9&lt;AH9),(AB9&lt;AK9))+1))</f>
        <v>4</v>
      </c>
      <c r="AC7" s="1487"/>
      <c r="AD7" s="1486" t="s">
        <v>4422</v>
      </c>
      <c r="AE7" s="1487" t="str">
        <f>IF(AE9="","",IF(AE9&lt;1,"",SUM((AE9&lt;J9),(AE9&lt;M9),(AE9&lt;P9),(AE9&lt;S9),(AE9&lt;V9),(AE9&lt;Y9),(AE9&lt;AB9),(AE9&lt;AH9),(AE9&lt;AK9))+1))</f>
        <v/>
      </c>
      <c r="AF7" s="1487"/>
      <c r="AG7" s="1486" t="s">
        <v>4422</v>
      </c>
      <c r="AH7" s="1487" t="str">
        <f>IF(AH9="","",IF(AH9&lt;1,"",SUM((AH9&lt;AK9),(AH9&lt;J9),(AH9&lt;M9),(AH9&lt;P9),(AH9&lt;S9),(AH9&lt;V9),(AH9&lt;Y9),(AH9&lt;AB9),(AH9&lt;AE9))+1))</f>
        <v/>
      </c>
      <c r="AI7" s="1487"/>
      <c r="AJ7" s="1486" t="s">
        <v>4422</v>
      </c>
      <c r="AK7" s="1487" t="str">
        <f>IF(AK9="","",IF(AK9&lt;1,"",SUM((AK9&lt;J9),(AK9&lt;M9),(AK9&lt;P9),(AK9&lt;S9),(AK9&lt;V9),(AK9&lt;Y9),(AK9&lt;AB9),(AK9&lt;AE9),(AK9&lt;AH9))+1))</f>
        <v/>
      </c>
      <c r="AL7" s="1487"/>
      <c r="AM7" s="1384"/>
      <c r="BV7" s="1490"/>
      <c r="BY7" s="1482"/>
      <c r="BZ7" s="1482"/>
      <c r="CA7" s="1482"/>
      <c r="CB7" s="1482"/>
    </row>
    <row r="8" spans="2:80" ht="30" customHeight="1" x14ac:dyDescent="0.25">
      <c r="B8" s="1488" t="s">
        <v>5139</v>
      </c>
      <c r="C8" s="1488"/>
      <c r="D8" s="1488"/>
      <c r="E8" s="1029" t="s">
        <v>5140</v>
      </c>
      <c r="I8" s="1486"/>
      <c r="J8" s="1487"/>
      <c r="K8" s="1487"/>
      <c r="L8" s="1486"/>
      <c r="M8" s="1487"/>
      <c r="N8" s="1487"/>
      <c r="O8" s="1486"/>
      <c r="P8" s="1487"/>
      <c r="Q8" s="1487"/>
      <c r="R8" s="1486"/>
      <c r="S8" s="1487"/>
      <c r="T8" s="1487"/>
      <c r="U8" s="1486"/>
      <c r="V8" s="1487"/>
      <c r="W8" s="1487"/>
      <c r="X8" s="1486"/>
      <c r="Y8" s="1487"/>
      <c r="Z8" s="1487"/>
      <c r="AA8" s="1486"/>
      <c r="AB8" s="1487"/>
      <c r="AC8" s="1487"/>
      <c r="AD8" s="1486"/>
      <c r="AE8" s="1487"/>
      <c r="AF8" s="1487"/>
      <c r="AG8" s="1486"/>
      <c r="AH8" s="1487"/>
      <c r="AI8" s="1487"/>
      <c r="AJ8" s="1486"/>
      <c r="AK8" s="1487"/>
      <c r="AL8" s="1487"/>
      <c r="AM8" s="1384"/>
      <c r="BV8" s="1490"/>
      <c r="BY8" s="1482"/>
      <c r="BZ8" s="1482"/>
      <c r="CA8" s="1482"/>
      <c r="CB8" s="1482"/>
    </row>
    <row r="9" spans="2:80" ht="30" customHeight="1" x14ac:dyDescent="0.25">
      <c r="B9" s="1488"/>
      <c r="C9" s="1488"/>
      <c r="D9" s="1488"/>
      <c r="E9" s="1483">
        <f>SUM(J9,M9,P9,S9,V9,Y9,AB9,AE9,AH9,AK9)</f>
        <v>1394</v>
      </c>
      <c r="I9" s="1379" t="s">
        <v>5082</v>
      </c>
      <c r="J9" s="1380">
        <f>SUM(K12:K146)</f>
        <v>152</v>
      </c>
      <c r="K9" s="1380"/>
      <c r="L9" s="1379" t="s">
        <v>5082</v>
      </c>
      <c r="M9" s="1380">
        <f>SUM(N12:N146)</f>
        <v>158</v>
      </c>
      <c r="N9" s="1380"/>
      <c r="O9" s="1379" t="s">
        <v>5082</v>
      </c>
      <c r="P9" s="1380">
        <f>SUM(Q12:Q146)</f>
        <v>171</v>
      </c>
      <c r="Q9" s="1380"/>
      <c r="R9" s="1379" t="s">
        <v>5082</v>
      </c>
      <c r="S9" s="1380">
        <f>SUM(T12:T146)</f>
        <v>241</v>
      </c>
      <c r="T9" s="1380"/>
      <c r="U9" s="1379" t="s">
        <v>5082</v>
      </c>
      <c r="V9" s="1380">
        <f>SUM(W12:W146)</f>
        <v>252</v>
      </c>
      <c r="W9" s="1380"/>
      <c r="X9" s="1379" t="s">
        <v>5082</v>
      </c>
      <c r="Y9" s="1380">
        <f>SUM(Z12:Z146)</f>
        <v>212</v>
      </c>
      <c r="Z9" s="1380"/>
      <c r="AA9" s="1379" t="s">
        <v>5082</v>
      </c>
      <c r="AB9" s="1380">
        <f>SUM(AC12:AC146)</f>
        <v>208</v>
      </c>
      <c r="AC9" s="1380"/>
      <c r="AD9" s="1379" t="s">
        <v>5082</v>
      </c>
      <c r="AE9" s="1380">
        <f>SUM(AF12:AF146)</f>
        <v>0</v>
      </c>
      <c r="AF9" s="1380"/>
      <c r="AG9" s="1379" t="s">
        <v>5082</v>
      </c>
      <c r="AH9" s="1380">
        <f>SUM(AI12:AI146)</f>
        <v>0</v>
      </c>
      <c r="AI9" s="1380"/>
      <c r="AJ9" s="1379" t="s">
        <v>5082</v>
      </c>
      <c r="AK9" s="1380">
        <f>SUM(AL12:AL146)</f>
        <v>0</v>
      </c>
      <c r="AL9" s="1380"/>
      <c r="AM9" s="1384"/>
      <c r="BV9" s="1490"/>
      <c r="BY9" s="1482"/>
      <c r="BZ9" s="1482"/>
      <c r="CA9" s="1482"/>
      <c r="CB9" s="1482"/>
    </row>
    <row r="10" spans="2:80" ht="30" customHeight="1" x14ac:dyDescent="0.25">
      <c r="B10" s="1488"/>
      <c r="C10" s="1488"/>
      <c r="D10" s="1488"/>
      <c r="E10" s="1483"/>
      <c r="I10" s="1379"/>
      <c r="J10" s="1380"/>
      <c r="K10" s="1380"/>
      <c r="L10" s="1379"/>
      <c r="M10" s="1380"/>
      <c r="N10" s="1380"/>
      <c r="O10" s="1379"/>
      <c r="P10" s="1380"/>
      <c r="Q10" s="1380"/>
      <c r="R10" s="1379"/>
      <c r="S10" s="1380"/>
      <c r="T10" s="1380"/>
      <c r="U10" s="1379"/>
      <c r="V10" s="1380"/>
      <c r="W10" s="1380"/>
      <c r="X10" s="1379"/>
      <c r="Y10" s="1380"/>
      <c r="Z10" s="1380"/>
      <c r="AA10" s="1379"/>
      <c r="AB10" s="1380"/>
      <c r="AC10" s="1380"/>
      <c r="AD10" s="1379"/>
      <c r="AE10" s="1380"/>
      <c r="AF10" s="1380"/>
      <c r="AG10" s="1379"/>
      <c r="AH10" s="1380"/>
      <c r="AI10" s="1380"/>
      <c r="AJ10" s="1379"/>
      <c r="AK10" s="1380"/>
      <c r="AL10" s="1380"/>
      <c r="AM10" s="1384"/>
      <c r="BV10" s="1490"/>
      <c r="BY10" s="1482"/>
      <c r="BZ10" s="1482"/>
      <c r="CA10" s="1482"/>
      <c r="CB10" s="1482"/>
    </row>
    <row r="11" spans="2:80" ht="30" customHeight="1" x14ac:dyDescent="0.25">
      <c r="B11" s="1369" t="s">
        <v>4417</v>
      </c>
      <c r="C11" s="1369"/>
      <c r="D11" s="1369"/>
      <c r="E11" s="1369"/>
      <c r="I11" s="872" t="s">
        <v>4424</v>
      </c>
      <c r="J11" s="873" t="s">
        <v>4422</v>
      </c>
      <c r="K11" s="873" t="s">
        <v>5082</v>
      </c>
      <c r="L11" s="874" t="s">
        <v>4424</v>
      </c>
      <c r="M11" s="873" t="s">
        <v>4422</v>
      </c>
      <c r="N11" s="873" t="s">
        <v>5082</v>
      </c>
      <c r="O11" s="874" t="s">
        <v>4424</v>
      </c>
      <c r="P11" s="873" t="s">
        <v>4422</v>
      </c>
      <c r="Q11" s="873" t="s">
        <v>5082</v>
      </c>
      <c r="R11" s="874" t="s">
        <v>4424</v>
      </c>
      <c r="S11" s="873" t="s">
        <v>4422</v>
      </c>
      <c r="T11" s="875" t="s">
        <v>5082</v>
      </c>
      <c r="U11" s="874" t="s">
        <v>4424</v>
      </c>
      <c r="V11" s="873" t="s">
        <v>4422</v>
      </c>
      <c r="W11" s="873" t="s">
        <v>5082</v>
      </c>
      <c r="X11" s="874" t="s">
        <v>4424</v>
      </c>
      <c r="Y11" s="873" t="s">
        <v>4422</v>
      </c>
      <c r="Z11" s="873" t="s">
        <v>5082</v>
      </c>
      <c r="AA11" s="874" t="s">
        <v>4424</v>
      </c>
      <c r="AB11" s="873" t="s">
        <v>4422</v>
      </c>
      <c r="AC11" s="873" t="s">
        <v>5082</v>
      </c>
      <c r="AD11" s="874" t="s">
        <v>4424</v>
      </c>
      <c r="AE11" s="875" t="s">
        <v>4422</v>
      </c>
      <c r="AF11" s="875" t="s">
        <v>5082</v>
      </c>
      <c r="AG11" s="874" t="s">
        <v>4424</v>
      </c>
      <c r="AH11" s="875" t="s">
        <v>4422</v>
      </c>
      <c r="AI11" s="875" t="s">
        <v>5082</v>
      </c>
      <c r="AJ11" s="874" t="s">
        <v>4424</v>
      </c>
      <c r="AK11" s="875" t="s">
        <v>4422</v>
      </c>
      <c r="AL11" s="873" t="s">
        <v>5082</v>
      </c>
      <c r="AM11" s="1384"/>
      <c r="BV11" s="1490"/>
      <c r="BY11" s="1482"/>
      <c r="BZ11" s="1482"/>
      <c r="CA11" s="1482"/>
      <c r="CB11" s="1482"/>
    </row>
    <row r="12" spans="2:80" ht="35.25" customHeight="1" x14ac:dyDescent="0.3">
      <c r="B12" s="1434">
        <v>1</v>
      </c>
      <c r="C12" s="1371" t="s">
        <v>5083</v>
      </c>
      <c r="D12" s="1435" t="s">
        <v>5093</v>
      </c>
      <c r="E12" s="877" t="str">
        <f>'Gala Setup'!J9</f>
        <v>200M</v>
      </c>
      <c r="I12" s="1030">
        <f>0+TEXT(Recording!D32,"00\:00\.00")</f>
        <v>1.7831018518518519E-3</v>
      </c>
      <c r="J12" s="1031">
        <f>IF(I12=0,0,IF(I$6=0,0,IF(I12&lt;1,SUM((I12&gt;L12),(I12&gt;O12),(I12&gt;R12),(I12&gt;U12),(I12&gt;X12),(I12&gt;AA12),(I12&gt;AD12),(I12&gt;AG12),(I12&gt;AJ12),(I12&gt;BE12)))-$AM12))</f>
        <v>2</v>
      </c>
      <c r="K12" s="1031">
        <f>IF(I12=0,0,IF(I$6=0,0,IF(J12=0,0,((11-J12)))-$B$6))</f>
        <v>6</v>
      </c>
      <c r="L12" s="1032">
        <f>0+TEXT(Recording!E32,"00\:00\.00")</f>
        <v>1.8467592592592596E-3</v>
      </c>
      <c r="M12" s="1031">
        <f>IF(L12=0,0,IF(L$6=0,0,IF(L12&lt;1,SUM((L12&gt;O12),(L12&gt;R12),(L12&gt;U12),(L12&gt;X12),(L12&gt;AA12),(L12&gt;AD12),(L12&gt;I12),(L12&gt;AG12),(L12&gt;AJ12),(L12&gt;BE12)))-$AM12))</f>
        <v>5</v>
      </c>
      <c r="N12" s="1031">
        <f>IF(L12=0,0,IF(L$6=0,0,IF(M12=0,0,((11-M12)))-$B$6))</f>
        <v>3</v>
      </c>
      <c r="O12" s="878">
        <f>0+TEXT(Recording!F32,"00\:00\.00")</f>
        <v>1.7894675925925925E-3</v>
      </c>
      <c r="P12" s="879">
        <f>IF(O12=0,0,IF(O$6=0,0,IF(O12&lt;1,SUM((O12&gt;L12),(O12&gt;I12),(O12&gt;R12),(O12&gt;U12),(O12&gt;X12),(O12&gt;AA12),(O12&gt;AD12),(O12&gt;AG12),(O12&gt;AJ12),(O12&gt;BE12)))-$AM12))</f>
        <v>3</v>
      </c>
      <c r="Q12" s="879">
        <f>IF(O12=0,0,IF(O$6=0,0,IF(P12=0,0,((11-P12)))-$B$6))</f>
        <v>5</v>
      </c>
      <c r="R12" s="878">
        <f>0+TEXT(Recording!G32,"00\:00\.00")</f>
        <v>1.75E-3</v>
      </c>
      <c r="S12" s="879">
        <f>IF(R12=0,0,IF(R$6=0,0,IF(R12&lt;1,SUM((R12&gt;L12),(R12&gt;O12),(R12&gt;I12),(R12&gt;U12),(R12&gt;X12),(R12&gt;AA12),(R12&gt;AD12),(R12&gt;AG12),(R12&gt;AJ12),(R12&gt;BE12)))-$AM12))</f>
        <v>1</v>
      </c>
      <c r="T12" s="879">
        <f>IF(R12=0,0,IF(R$6=0,0,IF(S12=0,0,((11-S12)))-$B$6))</f>
        <v>7</v>
      </c>
      <c r="U12" s="878">
        <f>0+TEXT(Recording!H32,"00\:00\.00")</f>
        <v>1.8901620370370372E-3</v>
      </c>
      <c r="V12" s="879">
        <f>IF(U12=0,0,IF(U$6=0,0,IF(U12&lt;1,SUM((U12&gt;L12),(U12&gt;O12),(U12&gt;R12),(U12&gt;I12),(U12&gt;X12),(U12&gt;AA12),(U12&gt;AD12),(U12&gt;AG12),(U12&gt;AJ12),(U12&gt;BE12)))-$AM12))</f>
        <v>7</v>
      </c>
      <c r="W12" s="879">
        <f>IF(U12=0,0,IF(U$6=0,0,IF(V12=0,0,((11-V12)))-$B$6))</f>
        <v>1</v>
      </c>
      <c r="X12" s="878">
        <f>0+TEXT(Recording!I32,"00\:00\.00")</f>
        <v>1.8304398148148149E-3</v>
      </c>
      <c r="Y12" s="879">
        <f>IF(X12=0,0,IF(X$6=0,0,IF(X12&lt;1,SUM((X12&gt;L12),(X12&gt;O12),(X12&gt;R12),(X12&gt;U12),(X12&gt;I12),(X12&gt;AA12),(X12&gt;AD12),(X12&gt;AG12),(X12&gt;AJ12),(X12&gt;BE12)))-$AM12))</f>
        <v>4</v>
      </c>
      <c r="Z12" s="879">
        <f>IF(X12=0,0,IF(X$6=0,0,IF(Y12=0,0,((11-Y12)))-$B$6))</f>
        <v>4</v>
      </c>
      <c r="AA12" s="878">
        <f>0+TEXT(Recording!J32,"00\:00\.00")</f>
        <v>1.8548611111111109E-3</v>
      </c>
      <c r="AB12" s="879">
        <f>IF(AA12=0,0,IF(AA$6=0,0,IF(AA12&lt;1,SUM((AA12&gt;L12),(AA12&gt;O12),(AA12&gt;R12),(AA12&gt;U12),(AA12&gt;X12),(AA12&gt;I12),(AA12&gt;AD12),(AA12&gt;AG12),(AA12&gt;AJ12),(AA12&gt;BE12))))-$AM12)</f>
        <v>6</v>
      </c>
      <c r="AC12" s="879">
        <f>IF(AA12=0,0,IF(AA$6=0,0,IF(AB12=0,0,((11-AB12)))-$B$6))</f>
        <v>2</v>
      </c>
      <c r="AD12" s="878">
        <f>0+TEXT(Recording!K32,"00\:00\.00")</f>
        <v>0</v>
      </c>
      <c r="AE12" s="879">
        <f>IF(AD12=0,0,IF(AD$6=0,0,IF(AD12&lt;1,SUM((AD12&gt;L12),(AD12&gt;O12),(AD12&gt;R12),(AD12&gt;U12),(AD12&gt;X12),(AD12&gt;AA12),(AD12&gt;AG12),(AD12&gt;AJ12),(AD12&gt;I12),(AD12&gt;BE12)))-$AM12))</f>
        <v>0</v>
      </c>
      <c r="AF12" s="879">
        <f>IF(AD12=0,0,IF(AD$6=0,0,IF(AE12=0,0,((11-AE12)))-$B$6))</f>
        <v>0</v>
      </c>
      <c r="AG12" s="878">
        <f>0+TEXT(Recording!L32,"00\:00\.00")</f>
        <v>0</v>
      </c>
      <c r="AH12" s="879">
        <f>IF(AG12=0,0,IF(AG$6=0,0,IF(AG12&lt;1,SUM((AG12&gt;I12),(AG12&gt;L12),(AG12&gt;O12),(AG12&gt;R12),(AG12&gt;U12),(AG12&gt;X12),(AG12&gt;AA12),(AG12&gt;AD12),(AG12&gt;AJ12),(AG12&gt;BE12)))-$AM12))</f>
        <v>0</v>
      </c>
      <c r="AI12" s="879">
        <f>IF(AG12=0,0,IF(AG$6=0,0,IF(AH12=0,0,((11-AH12)))-$B$6))</f>
        <v>0</v>
      </c>
      <c r="AJ12" s="878">
        <f>0+TEXT(Recording!M32,"00\:00\.00")</f>
        <v>0</v>
      </c>
      <c r="AK12" s="879">
        <f>IF(AJ12=0,0,IF(AJ$6=0,0,IF(AJ12&lt;1,SUM((AJ12&gt;I12),(AJ12&gt;L12),(AJ12&gt;O12),(AJ12&gt;R12),(AJ12&gt;U12),(AJ12&gt;X12),(AJ12&gt;AA12),(AJ12&gt;AD12),(AJ12&gt;AG12),(AJ12&gt;BE12)))-$AM12))</f>
        <v>0</v>
      </c>
      <c r="AL12" s="989">
        <f>IF(AJ12=0,0,IF(AJ$6=0,0,IF(AK12=0,0,((11-AK12)))-$B$6))</f>
        <v>0</v>
      </c>
      <c r="AM12" s="883">
        <f>COUNTBLANK(I594:R594)</f>
        <v>3</v>
      </c>
      <c r="BL12" s="1033"/>
      <c r="BM12" s="1033"/>
      <c r="BN12" s="1033"/>
      <c r="BO12" s="1033"/>
      <c r="BP12" s="1033"/>
      <c r="BQ12" s="1033"/>
      <c r="BR12" s="1033"/>
      <c r="BS12" s="1033"/>
      <c r="BT12" s="1033"/>
      <c r="BU12" s="1033"/>
      <c r="BV12" s="1481"/>
      <c r="BY12" s="1482"/>
      <c r="BZ12" s="1482"/>
      <c r="CA12" s="1482"/>
      <c r="CB12" s="1482"/>
    </row>
    <row r="13" spans="2:80" ht="35.25" customHeight="1" x14ac:dyDescent="0.3">
      <c r="B13" s="1434"/>
      <c r="C13" s="1371"/>
      <c r="D13" s="1435"/>
      <c r="E13" s="884" t="s">
        <v>5085</v>
      </c>
      <c r="I13" s="1351" t="str">
        <f>PROPER('Team 1'!$I$4)</f>
        <v>Bianca Gomez-Velasco</v>
      </c>
      <c r="J13" s="1351"/>
      <c r="K13" s="1351"/>
      <c r="L13" s="1351" t="str">
        <f>PROPER('Team 2'!$I$4)</f>
        <v>Sophie Stelmach</v>
      </c>
      <c r="M13" s="1351"/>
      <c r="N13" s="1351"/>
      <c r="O13" s="1351" t="str">
        <f>PROPER('Team 3'!$I$4)</f>
        <v>Hannah Lovelock</v>
      </c>
      <c r="P13" s="1351"/>
      <c r="Q13" s="1351"/>
      <c r="R13" s="1351" t="str">
        <f>PROPER('Team 4'!$I$4)</f>
        <v>Libby Blissett</v>
      </c>
      <c r="S13" s="1351"/>
      <c r="T13" s="1351"/>
      <c r="U13" s="1351" t="str">
        <f>PROPER('Team 5'!$I$4)</f>
        <v>Isabelle Talbot</v>
      </c>
      <c r="V13" s="1351"/>
      <c r="W13" s="1351"/>
      <c r="X13" s="1351" t="str">
        <f>PROPER('Team 6'!$I$4)</f>
        <v>Alice  Sharrock</v>
      </c>
      <c r="Y13" s="1351"/>
      <c r="Z13" s="1351"/>
      <c r="AA13" s="1351" t="str">
        <f>PROPER('Team 7'!$I$4)</f>
        <v>Laura Hibberd</v>
      </c>
      <c r="AB13" s="1351"/>
      <c r="AC13" s="1351"/>
      <c r="AD13" s="1351" t="str">
        <f>PROPER('Team 8'!$I$4)</f>
        <v xml:space="preserve"> </v>
      </c>
      <c r="AE13" s="1351"/>
      <c r="AF13" s="1351"/>
      <c r="AG13" s="1351" t="str">
        <f>PROPER('Team 9'!$I$4)</f>
        <v xml:space="preserve"> </v>
      </c>
      <c r="AH13" s="1351"/>
      <c r="AI13" s="1351"/>
      <c r="AJ13" s="1351" t="str">
        <f>PROPER('Team 10'!$I$4)</f>
        <v xml:space="preserve"> </v>
      </c>
      <c r="AK13" s="1351"/>
      <c r="AL13" s="1351"/>
      <c r="AM13" s="883"/>
      <c r="BL13" s="1033"/>
      <c r="BM13" s="1033"/>
      <c r="BN13" s="1033"/>
      <c r="BO13" s="1033"/>
      <c r="BP13" s="1033"/>
      <c r="BQ13" s="1033"/>
      <c r="BR13" s="1033"/>
      <c r="BS13" s="1033"/>
      <c r="BT13" s="1033"/>
      <c r="BU13" s="1033"/>
      <c r="BV13" s="1481"/>
      <c r="BY13" s="1482"/>
      <c r="BZ13" s="1482"/>
      <c r="CA13" s="1482"/>
      <c r="CB13" s="1482"/>
    </row>
    <row r="14" spans="2:80" ht="35.25" customHeight="1" x14ac:dyDescent="0.3">
      <c r="B14" s="1434"/>
      <c r="C14" s="1371"/>
      <c r="D14" s="1435"/>
      <c r="E14" s="885" t="s">
        <v>5108</v>
      </c>
      <c r="I14" s="1367">
        <f>Recording!D34</f>
        <v>0</v>
      </c>
      <c r="J14" s="1367"/>
      <c r="K14" s="1367"/>
      <c r="L14" s="1367">
        <f>Recording!E34</f>
        <v>0</v>
      </c>
      <c r="M14" s="1367"/>
      <c r="N14" s="1367"/>
      <c r="O14" s="1367">
        <f>Recording!F34</f>
        <v>0</v>
      </c>
      <c r="P14" s="1367"/>
      <c r="Q14" s="1367"/>
      <c r="R14" s="1367">
        <f>Recording!G34</f>
        <v>0</v>
      </c>
      <c r="S14" s="1367"/>
      <c r="T14" s="1367"/>
      <c r="U14" s="1367">
        <f>Recording!H34</f>
        <v>0</v>
      </c>
      <c r="V14" s="1367"/>
      <c r="W14" s="1367"/>
      <c r="X14" s="1367">
        <f>Recording!I34</f>
        <v>0</v>
      </c>
      <c r="Y14" s="1367"/>
      <c r="Z14" s="1367"/>
      <c r="AA14" s="1367">
        <f>Recording!J34</f>
        <v>0</v>
      </c>
      <c r="AB14" s="1367"/>
      <c r="AC14" s="1367"/>
      <c r="AD14" s="1367">
        <f>Recording!K34</f>
        <v>0</v>
      </c>
      <c r="AE14" s="1367"/>
      <c r="AF14" s="1367"/>
      <c r="AG14" s="1367">
        <f>Recording!L34</f>
        <v>0</v>
      </c>
      <c r="AH14" s="1367"/>
      <c r="AI14" s="1367"/>
      <c r="AJ14" s="1367">
        <f>Recording!M34</f>
        <v>0</v>
      </c>
      <c r="AK14" s="1367"/>
      <c r="AL14" s="1367"/>
      <c r="AM14" s="883"/>
      <c r="BL14" s="1033"/>
      <c r="BM14" s="1033"/>
      <c r="BN14" s="1033"/>
      <c r="BO14" s="1033"/>
      <c r="BP14" s="1033"/>
      <c r="BQ14" s="1033"/>
      <c r="BR14" s="1033"/>
      <c r="BS14" s="1033"/>
      <c r="BT14" s="1033"/>
      <c r="BU14" s="1033"/>
      <c r="BV14" s="1481"/>
      <c r="BY14" s="1482"/>
      <c r="BZ14" s="1482"/>
      <c r="CA14" s="1482"/>
      <c r="CB14" s="1482"/>
    </row>
    <row r="15" spans="2:80" ht="35.25" customHeight="1" x14ac:dyDescent="0.3">
      <c r="B15" s="1364">
        <v>2</v>
      </c>
      <c r="C15" s="1365" t="s">
        <v>5087</v>
      </c>
      <c r="D15" s="1438" t="s">
        <v>5093</v>
      </c>
      <c r="E15" s="877" t="str">
        <f>'Gala Setup'!J9</f>
        <v>200M</v>
      </c>
      <c r="I15" s="1030">
        <f>0+TEXT(Recording!D36,"00\:00\.00")</f>
        <v>0</v>
      </c>
      <c r="J15" s="879">
        <f>IF(I15=0,0,IF(I$6=0,0,IF(I15&lt;1,SUM((I15&gt;L15),(I15&gt;O15),(I15&gt;R15),(I15&gt;U15),(I15&gt;X15),(I15&gt;AA15),(I15&gt;AD15),(I15&gt;AG15),(I15&gt;AJ15),(I15&gt;BE15)))-$AM15))</f>
        <v>0</v>
      </c>
      <c r="K15" s="879">
        <f>IF(I15=0,0,IF(I$6=0,0,IF(J15=0,0,((11-J15)))-$B$6))</f>
        <v>0</v>
      </c>
      <c r="L15" s="878">
        <f>0+TEXT(Recording!E36,"00\:00\.00")</f>
        <v>1.8596064814814814E-3</v>
      </c>
      <c r="M15" s="879">
        <f>IF(L15=0,0,IF(L$6=0,0,IF(L15&lt;1,SUM((L15&gt;O15),(L15&gt;R15),(L15&gt;U15),(L15&gt;X15),(L15&gt;AA15),(L15&gt;AD15),(L15&gt;I15),(L15&gt;AG15),(L15&gt;AJ15),(L15&gt;BE15)))-$AM15))</f>
        <v>6</v>
      </c>
      <c r="N15" s="879">
        <f>IF(L15=0,0,IF(L$6=0,0,IF(M15=0,0,((11-M15)))-$B$6))</f>
        <v>2</v>
      </c>
      <c r="O15" s="878">
        <f>0+TEXT(Recording!F36,"00\:00\.00")</f>
        <v>1.7115740740740739E-3</v>
      </c>
      <c r="P15" s="879">
        <f>IF(O15=0,0,IF(O$6=0,0,IF(O15&lt;1,SUM((O15&gt;L15),(O15&gt;I15),(O15&gt;R15),(O15&gt;U15),(O15&gt;X15),(O15&gt;AA15),(O15&gt;AD15),(O15&gt;AG15),(O15&gt;AJ15),(O15&gt;BE15)))-$AM15))</f>
        <v>5</v>
      </c>
      <c r="Q15" s="879">
        <f>IF(O15=0,0,IF(O$6=0,0,IF(P15=0,0,((11-P15)))-$B$6))</f>
        <v>3</v>
      </c>
      <c r="R15" s="878">
        <f>0+TEXT(Recording!G36,"00\:00\.00")</f>
        <v>1.6637731481481484E-3</v>
      </c>
      <c r="S15" s="879">
        <f>IF(R15=0,0,IF(R$6=0,0,IF(R15&lt;1,SUM((R15&gt;L15),(R15&gt;O15),(R15&gt;I15),(R15&gt;U15),(R15&gt;X15),(R15&gt;AA15),(R15&gt;AD15),(R15&gt;AG15),(R15&gt;AJ15),(R15&gt;BE15)))-$AM15))</f>
        <v>3</v>
      </c>
      <c r="T15" s="879">
        <f>IF(R15=0,0,IF(R$6=0,0,IF(S15=0,0,((11-S15)))-$B$6))</f>
        <v>5</v>
      </c>
      <c r="U15" s="878">
        <f>0+TEXT(Recording!H36,"00\:00\.00")</f>
        <v>1.6520833333333333E-3</v>
      </c>
      <c r="V15" s="879">
        <f>IF(U15=0,0,IF(U$6=0,0,IF(U15&lt;1,SUM((U15&gt;L15),(U15&gt;O15),(U15&gt;R15),(U15&gt;I15),(U15&gt;X15),(U15&gt;AA15),(U15&gt;AD15),(U15&gt;AG15),(U15&gt;AJ15),(U15&gt;BE15)))-$AM15))</f>
        <v>2</v>
      </c>
      <c r="W15" s="879">
        <f>IF(U15=0,0,IF(U$6=0,0,IF(V15=0,0,((11-V15)))-$B$6))</f>
        <v>6</v>
      </c>
      <c r="X15" s="878">
        <f>0+TEXT(Recording!I36,"00\:00\.00")</f>
        <v>1.6135416666666668E-3</v>
      </c>
      <c r="Y15" s="879">
        <f>IF(X15=0,0,IF(X$6=0,0,IF(X15&lt;1,SUM((X15&gt;L15),(X15&gt;O15),(X15&gt;R15),(X15&gt;U15),(X15&gt;I15),(X15&gt;AA15),(X15&gt;AD15),(X15&gt;AG15),(X15&gt;AJ15),(X15&gt;BE15)))-$AM15))</f>
        <v>1</v>
      </c>
      <c r="Z15" s="879">
        <f>IF(X15=0,0,IF(X$6=0,0,IF(Y15=0,0,((11-Y15)))-$B$6))</f>
        <v>7</v>
      </c>
      <c r="AA15" s="878">
        <f>0+TEXT(Recording!J36,"00\:00\.00")</f>
        <v>1.6844907407407405E-3</v>
      </c>
      <c r="AB15" s="879">
        <f>IF(AA15=0,0,IF(AA$6=0,0,IF(AA15&lt;1,SUM((AA15&gt;L15),(AA15&gt;O15),(AA15&gt;R15),(AA15&gt;U15),(AA15&gt;X15),(AA15&gt;I15),(AA15&gt;AD15),(AA15&gt;AG15),(AA15&gt;AJ15),(AA15&gt;BE15))))-$AM15)</f>
        <v>4</v>
      </c>
      <c r="AC15" s="879">
        <f>IF(AA15=0,0,IF(AA$6=0,0,IF(AB15=0,0,((11-AB15)))-$B$6))</f>
        <v>4</v>
      </c>
      <c r="AD15" s="878">
        <f>0+TEXT(Recording!K36,"00\:00\.00")</f>
        <v>0</v>
      </c>
      <c r="AE15" s="879">
        <f>IF(AD15=0,0,IF(AD$6=0,0,IF(AD15&lt;1,SUM((AD15&gt;L15),(AD15&gt;O15),(AD15&gt;R15),(AD15&gt;U15),(AD15&gt;X15),(AD15&gt;AA15),(AD15&gt;AG15),(AD15&gt;AJ15),(AD15&gt;I15),(AD15&gt;BE15)))-$AM15))</f>
        <v>0</v>
      </c>
      <c r="AF15" s="879">
        <f>IF(AD15=0,0,IF(AD$6=0,0,IF(AE15=0,0,((11-AE15)))-$B$6))</f>
        <v>0</v>
      </c>
      <c r="AG15" s="878">
        <f>0+TEXT(Recording!L36,"00\:00\.00")</f>
        <v>0</v>
      </c>
      <c r="AH15" s="879">
        <f>IF(AG15=0,0,IF(AG$6=0,0,IF(AG15&lt;1,SUM((AG15&gt;I15),(AG15&gt;L15),(AG15&gt;O15),(AG15&gt;R15),(AG15&gt;U15),(AG15&gt;X15),(AG15&gt;AA15),(AG15&gt;AD15),(AG15&gt;AJ15),(AG15&gt;BE15)))-$AM15))</f>
        <v>0</v>
      </c>
      <c r="AI15" s="879">
        <f>IF(AG15=0,0,IF(AG$6=0,0,IF(AH15=0,0,((11-AH15)))-$B$6))</f>
        <v>0</v>
      </c>
      <c r="AJ15" s="878">
        <f>0+TEXT(Recording!M36,"00\:00\.00")</f>
        <v>0</v>
      </c>
      <c r="AK15" s="879">
        <f>IF(AJ15=0,0,IF(AJ$6=0,0,IF(AJ15&lt;1,SUM((AJ15&gt;I15),(AJ15&gt;L15),(AJ15&gt;O15),(AJ15&gt;R15),(AJ15&gt;U15),(AJ15&gt;X15),(AJ15&gt;AA15),(AJ15&gt;AD15),(AJ15&gt;AG15),(AJ15&gt;BE15)))-$AM15))</f>
        <v>0</v>
      </c>
      <c r="AL15" s="989">
        <f>IF(AJ15=0,0,IF(AJ$6=0,0,IF(AK15=0,0,((11-AK15)))-$B$6))</f>
        <v>0</v>
      </c>
      <c r="AM15" s="883">
        <f>COUNTBLANK(I595:R595)</f>
        <v>4</v>
      </c>
      <c r="BL15" s="1033"/>
      <c r="BM15" s="1033"/>
      <c r="BN15" s="1033"/>
      <c r="BO15" s="1033"/>
      <c r="BP15" s="1033"/>
      <c r="BQ15" s="1033"/>
      <c r="BR15" s="1033"/>
      <c r="BS15" s="1033"/>
      <c r="BT15" s="1033"/>
      <c r="BU15" s="1033"/>
      <c r="BV15" s="1481"/>
      <c r="BY15" s="1482"/>
      <c r="BZ15" s="1482"/>
      <c r="CA15" s="1482"/>
      <c r="CB15" s="1482"/>
    </row>
    <row r="16" spans="2:80" ht="35.25" customHeight="1" x14ac:dyDescent="0.3">
      <c r="B16" s="1364"/>
      <c r="C16" s="1365"/>
      <c r="D16" s="1438"/>
      <c r="E16" s="884" t="s">
        <v>5085</v>
      </c>
      <c r="I16" s="1351" t="str">
        <f>PROPER('Team 1'!$I$5)</f>
        <v>Zente Buzsik</v>
      </c>
      <c r="J16" s="1351"/>
      <c r="K16" s="1351"/>
      <c r="L16" s="1351" t="str">
        <f>PROPER('Team 2'!$I$5)</f>
        <v>Harry Chapman</v>
      </c>
      <c r="M16" s="1351"/>
      <c r="N16" s="1351"/>
      <c r="O16" s="1351" t="str">
        <f>PROPER('Team 3'!$I$5)</f>
        <v>George Lovelock</v>
      </c>
      <c r="P16" s="1351"/>
      <c r="Q16" s="1351"/>
      <c r="R16" s="1351" t="str">
        <f>PROPER('Team 4'!$I$5)</f>
        <v>Ellis Bunce</v>
      </c>
      <c r="S16" s="1351"/>
      <c r="T16" s="1351"/>
      <c r="U16" s="1351" t="str">
        <f>PROPER('Team 5'!$I$5)</f>
        <v>Albert Orley</v>
      </c>
      <c r="V16" s="1351"/>
      <c r="W16" s="1351"/>
      <c r="X16" s="1351" t="str">
        <f>PROPER('Team 6'!$I$5)</f>
        <v>Razvan Lembac</v>
      </c>
      <c r="Y16" s="1351"/>
      <c r="Z16" s="1351"/>
      <c r="AA16" s="1351" t="str">
        <f>PROPER('Team 7'!$I$5)</f>
        <v>Liam Treanor</v>
      </c>
      <c r="AB16" s="1351"/>
      <c r="AC16" s="1351"/>
      <c r="AD16" s="1351" t="str">
        <f>PROPER('Team 8'!$I$5)</f>
        <v xml:space="preserve"> </v>
      </c>
      <c r="AE16" s="1351"/>
      <c r="AF16" s="1351"/>
      <c r="AG16" s="1351" t="str">
        <f>PROPER('Team 9'!$I$5)</f>
        <v xml:space="preserve"> </v>
      </c>
      <c r="AH16" s="1351"/>
      <c r="AI16" s="1351"/>
      <c r="AJ16" s="1351" t="str">
        <f>PROPER('Team 10'!$I$5)</f>
        <v xml:space="preserve"> </v>
      </c>
      <c r="AK16" s="1351"/>
      <c r="AL16" s="1351"/>
      <c r="AM16" s="883"/>
      <c r="BL16" s="1033"/>
      <c r="BM16" s="1033"/>
      <c r="BN16" s="1033"/>
      <c r="BO16" s="1033"/>
      <c r="BP16" s="1033"/>
      <c r="BQ16" s="1033"/>
      <c r="BR16" s="1033"/>
      <c r="BS16" s="1033"/>
      <c r="BT16" s="1033"/>
      <c r="BU16" s="1033"/>
      <c r="BV16" s="1481"/>
      <c r="BY16" s="1482"/>
      <c r="BZ16" s="1482"/>
      <c r="CA16" s="1482"/>
      <c r="CB16" s="1482"/>
    </row>
    <row r="17" spans="2:80" ht="35.25" customHeight="1" x14ac:dyDescent="0.3">
      <c r="B17" s="1364"/>
      <c r="C17" s="1365"/>
      <c r="D17" s="1438"/>
      <c r="E17" s="885" t="s">
        <v>5108</v>
      </c>
      <c r="I17" s="1367" t="str">
        <f>Recording!D38</f>
        <v>6.4 did not initiate the turn straight away when turned onto breast</v>
      </c>
      <c r="J17" s="1367"/>
      <c r="K17" s="1367"/>
      <c r="L17" s="1367">
        <f>Recording!E38</f>
        <v>0</v>
      </c>
      <c r="M17" s="1367"/>
      <c r="N17" s="1367"/>
      <c r="O17" s="1367">
        <f>Recording!F38</f>
        <v>0</v>
      </c>
      <c r="P17" s="1367"/>
      <c r="Q17" s="1367"/>
      <c r="R17" s="1367">
        <f>Recording!G38</f>
        <v>0</v>
      </c>
      <c r="S17" s="1367"/>
      <c r="T17" s="1367"/>
      <c r="U17" s="1367">
        <f>Recording!H38</f>
        <v>0</v>
      </c>
      <c r="V17" s="1367"/>
      <c r="W17" s="1367"/>
      <c r="X17" s="1367">
        <f>Recording!I38</f>
        <v>0</v>
      </c>
      <c r="Y17" s="1367"/>
      <c r="Z17" s="1367"/>
      <c r="AA17" s="1367">
        <f>Recording!J38</f>
        <v>0</v>
      </c>
      <c r="AB17" s="1367"/>
      <c r="AC17" s="1367"/>
      <c r="AD17" s="1367">
        <f>Recording!K38</f>
        <v>0</v>
      </c>
      <c r="AE17" s="1367"/>
      <c r="AF17" s="1367"/>
      <c r="AG17" s="1367">
        <f>Recording!L38</f>
        <v>0</v>
      </c>
      <c r="AH17" s="1367"/>
      <c r="AI17" s="1367"/>
      <c r="AJ17" s="1367">
        <f>Recording!M38</f>
        <v>0</v>
      </c>
      <c r="AK17" s="1367"/>
      <c r="AL17" s="1367"/>
      <c r="AM17" s="883"/>
      <c r="BL17" s="1033"/>
      <c r="BM17" s="1033"/>
      <c r="BN17" s="1033"/>
      <c r="BO17" s="1033"/>
      <c r="BP17" s="1033"/>
      <c r="BQ17" s="1033"/>
      <c r="BR17" s="1033"/>
      <c r="BS17" s="1033"/>
      <c r="BT17" s="1033"/>
      <c r="BU17" s="1033"/>
      <c r="BV17" s="1481"/>
      <c r="BY17" s="1482"/>
      <c r="BZ17" s="1482"/>
      <c r="CA17" s="1482"/>
      <c r="CB17" s="1482"/>
    </row>
    <row r="18" spans="2:80" ht="35.25" customHeight="1" x14ac:dyDescent="0.3">
      <c r="B18" s="1362">
        <v>3</v>
      </c>
      <c r="C18" s="1358" t="s">
        <v>5083</v>
      </c>
      <c r="D18" s="1432" t="s">
        <v>5088</v>
      </c>
      <c r="E18" s="887" t="s">
        <v>5089</v>
      </c>
      <c r="I18" s="1030">
        <f>0+TEXT(Recording!D40,"00\:00\.00")</f>
        <v>1.7363425925925925E-3</v>
      </c>
      <c r="J18" s="879">
        <f>IF(I18=0,0,IF(I$6=0,0,IF(I18&lt;1,SUM((I18&gt;L18),(I18&gt;O18),(I18&gt;R18),(I18&gt;U18),(I18&gt;X18),(I18&gt;AA18),(I18&gt;AD18),(I18&gt;AG18),(I18&gt;AJ18),(I18&gt;BE18)))-$AM18))</f>
        <v>1</v>
      </c>
      <c r="K18" s="879">
        <f>IF(I18=0,0,IF(I$6=0,0,IF(J18=0,0,((11-J18)))-$B$6))</f>
        <v>7</v>
      </c>
      <c r="L18" s="878">
        <f>0+TEXT(Recording!E40,"00\:00\.00")</f>
        <v>0</v>
      </c>
      <c r="M18" s="879">
        <f>IF(L18=0,0,IF(L$6=0,0,IF(L18&lt;1,SUM((L18&gt;O18),(L18&gt;R18),(L18&gt;U18),(L18&gt;X18),(L18&gt;AA18),(L18&gt;AD18),(L18&gt;I18),(L18&gt;AG18),(L18&gt;AJ18),(L18&gt;BE18)))-$AM18))</f>
        <v>0</v>
      </c>
      <c r="N18" s="879">
        <f>IF(L18=0,0,IF(L$6=0,0,IF(M18=0,0,((11-M18)))-$B$6))</f>
        <v>0</v>
      </c>
      <c r="O18" s="878">
        <f>0+TEXT(Recording!F40,"00\:00\.00")</f>
        <v>0</v>
      </c>
      <c r="P18" s="879">
        <f>IF(O18=0,0,IF(O$6=0,0,IF(O18&lt;1,SUM((O18&gt;L18),(O18&gt;I18),(O18&gt;R18),(O18&gt;U18),(O18&gt;X18),(O18&gt;AA18),(O18&gt;AD18),(O18&gt;AG18),(O18&gt;AJ18),(O18&gt;BE18)))-$AM18))</f>
        <v>0</v>
      </c>
      <c r="Q18" s="879">
        <f>IF(O18=0,0,IF(O$6=0,0,IF(P18=0,0,((11-P18)))-$B$6))</f>
        <v>0</v>
      </c>
      <c r="R18" s="878">
        <f>0+TEXT(Recording!G40,"00\:00\.00")</f>
        <v>1.8369212962962963E-3</v>
      </c>
      <c r="S18" s="879">
        <f>IF(R18=0,0,IF(R$6=0,0,IF(R18&lt;1,SUM((R18&gt;L18),(R18&gt;O18),(R18&gt;I18),(R18&gt;U18),(R18&gt;X18),(R18&gt;AA18),(R18&gt;AD18),(R18&gt;AG18),(R18&gt;AJ18),(R18&gt;BE18)))-$AM18))</f>
        <v>4</v>
      </c>
      <c r="T18" s="879">
        <f>IF(R18=0,0,IF(R$6=0,0,IF(S18=0,0,((11-S18)))-$B$6))</f>
        <v>4</v>
      </c>
      <c r="U18" s="878">
        <f>0+TEXT(Recording!H40,"00\:00\.00")</f>
        <v>1.8157407407407408E-3</v>
      </c>
      <c r="V18" s="879">
        <f>IF(U18=0,0,IF(U$6=0,0,IF(U18&lt;1,SUM((U18&gt;L18),(U18&gt;O18),(U18&gt;R18),(U18&gt;I18),(U18&gt;X18),(U18&gt;AA18),(U18&gt;AD18),(U18&gt;AG18),(U18&gt;AJ18),(U18&gt;BE18)))-$AM18))</f>
        <v>3</v>
      </c>
      <c r="W18" s="879">
        <f>IF(U18=0,0,IF(U$6=0,0,IF(V18=0,0,((11-V18)))-$B$6))</f>
        <v>5</v>
      </c>
      <c r="X18" s="878">
        <f>0+TEXT(Recording!I40,"00\:00\.00")</f>
        <v>1.9184027777777778E-3</v>
      </c>
      <c r="Y18" s="879">
        <f>IF(X18=0,0,IF(X$6=0,0,IF(X18&lt;1,SUM((X18&gt;L18),(X18&gt;O18),(X18&gt;R18),(X18&gt;U18),(X18&gt;I18),(X18&gt;AA18),(X18&gt;AD18),(X18&gt;AG18),(X18&gt;AJ18),(X18&gt;BE18)))-$AM18))</f>
        <v>5</v>
      </c>
      <c r="Z18" s="879">
        <f>IF(X18=0,0,IF(X$6=0,0,IF(Y18=0,0,((11-Y18)))-$B$6))</f>
        <v>3</v>
      </c>
      <c r="AA18" s="878">
        <f>0+TEXT(Recording!J40,"00\:00\.00")</f>
        <v>1.8145833333333332E-3</v>
      </c>
      <c r="AB18" s="879">
        <f>IF(AA18=0,0,IF(AA$6=0,0,IF(AA18&lt;1,SUM((AA18&gt;L18),(AA18&gt;O18),(AA18&gt;R18),(AA18&gt;U18),(AA18&gt;X18),(AA18&gt;I18),(AA18&gt;AD18),(AA18&gt;AG18),(AA18&gt;AJ18),(AA18&gt;BE18))))-$AM18)</f>
        <v>2</v>
      </c>
      <c r="AC18" s="879">
        <f>IF(AA18=0,0,IF(AA$6=0,0,IF(AB18=0,0,((11-AB18)))-$B$6))</f>
        <v>6</v>
      </c>
      <c r="AD18" s="878">
        <f>0+TEXT(Recording!K40,"00\:00\.00")</f>
        <v>0</v>
      </c>
      <c r="AE18" s="879">
        <f>IF(AD18=0,0,IF(AD$6=0,0,IF(AD18&lt;1,SUM((AD18&gt;L18),(AD18&gt;O18),(AD18&gt;R18),(AD18&gt;U18),(AD18&gt;X18),(AD18&gt;AA18),(AD18&gt;AG18),(AD18&gt;AJ18),(AD18&gt;I18),(AD18&gt;BE18)))-$AM18))</f>
        <v>0</v>
      </c>
      <c r="AF18" s="879">
        <f>IF(AD18=0,0,IF(AD$6=0,0,IF(AE18=0,0,((11-AE18)))-$B$6))</f>
        <v>0</v>
      </c>
      <c r="AG18" s="878">
        <f>0+TEXT(Recording!L40,"00\:00\.00")</f>
        <v>0</v>
      </c>
      <c r="AH18" s="879">
        <f>IF(AG18=0,0,IF(AG$6=0,0,IF(AG18&lt;1,SUM((AG18&gt;I18),(AG18&gt;L18),(AG18&gt;O18),(AG18&gt;R18),(AG18&gt;U18),(AG18&gt;X18),(AG18&gt;AA18),(AG18&gt;AD18),(AG18&gt;AJ18),(AG18&gt;BE18)))-$AM18))</f>
        <v>0</v>
      </c>
      <c r="AI18" s="879">
        <f>IF(AG18=0,0,IF(AG$6=0,0,IF(AH18=0,0,((11-AH18)))-$B$6))</f>
        <v>0</v>
      </c>
      <c r="AJ18" s="878">
        <f>0+TEXT(Recording!M40,"00\:00\.00")</f>
        <v>0</v>
      </c>
      <c r="AK18" s="879">
        <f>IF(AJ18=0,0,IF(AJ$6=0,0,IF(AJ18&lt;1,SUM((AJ18&gt;I18),(AJ18&gt;L18),(AJ18&gt;O18),(AJ18&gt;R18),(AJ18&gt;U18),(AJ18&gt;X18),(AJ18&gt;AA18),(AJ18&gt;AD18),(AJ18&gt;AG18),(AJ18&gt;BE18)))-$AM18))</f>
        <v>0</v>
      </c>
      <c r="AL18" s="989">
        <f>IF(AJ18=0,0,IF(AJ$6=0,0,IF(AK18=0,0,((11-AK18)))-$B$6))</f>
        <v>0</v>
      </c>
      <c r="AM18" s="883">
        <f>COUNTBLANK(I596:R596)</f>
        <v>5</v>
      </c>
      <c r="BL18" s="1033"/>
      <c r="BM18" s="1033"/>
      <c r="BN18" s="1033"/>
      <c r="BO18" s="1033"/>
      <c r="BP18" s="1033"/>
      <c r="BQ18" s="1033"/>
      <c r="BR18" s="1033"/>
      <c r="BS18" s="1033"/>
      <c r="BT18" s="1033"/>
      <c r="BU18" s="1033"/>
      <c r="BV18" s="1481"/>
      <c r="BY18" s="1482"/>
      <c r="BZ18" s="1482"/>
      <c r="CA18" s="1482"/>
      <c r="CB18" s="1482"/>
    </row>
    <row r="19" spans="2:80" ht="35.25" customHeight="1" x14ac:dyDescent="0.3">
      <c r="B19" s="1362"/>
      <c r="C19" s="1358"/>
      <c r="D19" s="1432"/>
      <c r="E19" s="888" t="s">
        <v>5108</v>
      </c>
      <c r="I19" s="1367">
        <f>Recording!D41</f>
        <v>0</v>
      </c>
      <c r="J19" s="1367"/>
      <c r="K19" s="1367"/>
      <c r="L19" s="1367" t="str">
        <f>Recording!E41</f>
        <v>OA swimmer</v>
      </c>
      <c r="M19" s="1367"/>
      <c r="N19" s="1367"/>
      <c r="O19" s="1367">
        <f>Recording!F41</f>
        <v>0</v>
      </c>
      <c r="P19" s="1367"/>
      <c r="Q19" s="1367"/>
      <c r="R19" s="1367">
        <f>Recording!G41</f>
        <v>0</v>
      </c>
      <c r="S19" s="1367"/>
      <c r="T19" s="1367"/>
      <c r="U19" s="1367">
        <f>Recording!H41</f>
        <v>0</v>
      </c>
      <c r="V19" s="1367"/>
      <c r="W19" s="1367"/>
      <c r="X19" s="1367">
        <f>Recording!I41</f>
        <v>0</v>
      </c>
      <c r="Y19" s="1367"/>
      <c r="Z19" s="1367"/>
      <c r="AA19" s="1367">
        <f>Recording!J41</f>
        <v>0</v>
      </c>
      <c r="AB19" s="1367"/>
      <c r="AC19" s="1367"/>
      <c r="AD19" s="1367">
        <f>Recording!K41</f>
        <v>0</v>
      </c>
      <c r="AE19" s="1367"/>
      <c r="AF19" s="1367"/>
      <c r="AG19" s="1367">
        <f>Recording!L41</f>
        <v>0</v>
      </c>
      <c r="AH19" s="1367"/>
      <c r="AI19" s="1367"/>
      <c r="AJ19" s="1367">
        <f>Recording!M41</f>
        <v>0</v>
      </c>
      <c r="AK19" s="1367"/>
      <c r="AL19" s="1367"/>
      <c r="AM19" s="883"/>
      <c r="BL19" s="1033"/>
      <c r="BM19" s="1033"/>
      <c r="BN19" s="1033"/>
      <c r="BO19" s="1033"/>
      <c r="BP19" s="1033"/>
      <c r="BQ19" s="1033"/>
      <c r="BR19" s="1033"/>
      <c r="BS19" s="1033"/>
      <c r="BT19" s="1033"/>
      <c r="BU19" s="1033"/>
      <c r="BV19" s="1481"/>
      <c r="BY19" s="1482"/>
      <c r="BZ19" s="1482"/>
      <c r="CA19" s="1482"/>
      <c r="CB19" s="1482"/>
    </row>
    <row r="20" spans="2:80" ht="35.25" customHeight="1" x14ac:dyDescent="0.3">
      <c r="B20" s="1337">
        <v>4</v>
      </c>
      <c r="C20" s="1360" t="s">
        <v>5087</v>
      </c>
      <c r="D20" s="1429" t="s">
        <v>5088</v>
      </c>
      <c r="E20" s="891" t="s">
        <v>5089</v>
      </c>
      <c r="I20" s="1030">
        <f>0+TEXT(Recording!D43,"00\:00\.00")</f>
        <v>0</v>
      </c>
      <c r="J20" s="879">
        <f>IF(I20=0,0,IF(I$6=0,0,IF(I20&lt;1,SUM((I20&gt;L20),(I20&gt;O20),(I20&gt;R20),(I20&gt;U20),(I20&gt;X20),(I20&gt;AA20),(I20&gt;AD20),(I20&gt;AG20),(I20&gt;AJ20),(I20&gt;BE20)))-$AM20))</f>
        <v>0</v>
      </c>
      <c r="K20" s="879">
        <f>IF(I20=0,0,IF(I$6=0,0,IF(J20=0,0,((11-J20)))-$B$6))</f>
        <v>0</v>
      </c>
      <c r="L20" s="878">
        <f>0+TEXT(Recording!E43,"00\:00\.00")</f>
        <v>1.6399305555555557E-3</v>
      </c>
      <c r="M20" s="879">
        <f>IF(L20=0,0,IF(L$6=0,0,IF(L20&lt;1,SUM((L20&gt;O20),(L20&gt;R20),(L20&gt;U20),(L20&gt;X20),(L20&gt;AA20),(L20&gt;AD20),(L20&gt;I20),(L20&gt;AG20),(L20&gt;AJ20),(L20&gt;BE20)))-$AM20))</f>
        <v>1</v>
      </c>
      <c r="N20" s="879">
        <f>IF(L20=0,0,IF(L$6=0,0,IF(M20=0,0,((11-M20)))-$B$6))</f>
        <v>7</v>
      </c>
      <c r="O20" s="878">
        <f>0+TEXT(Recording!F43,"00\:00\.00")</f>
        <v>0</v>
      </c>
      <c r="P20" s="879">
        <f>IF(O20=0,0,IF(O$6=0,0,IF(O20&lt;1,SUM((O20&gt;L20),(O20&gt;I20),(O20&gt;R20),(O20&gt;U20),(O20&gt;X20),(O20&gt;AA20),(O20&gt;AD20),(O20&gt;AG20),(O20&gt;AJ20),(O20&gt;BE20)))-$AM20))</f>
        <v>0</v>
      </c>
      <c r="Q20" s="879">
        <f>IF(O20=0,0,IF(O$6=0,0,IF(P20=0,0,((11-P20)))-$B$6))</f>
        <v>0</v>
      </c>
      <c r="R20" s="878">
        <f>0+TEXT(Recording!G43,"00\:00\.00")</f>
        <v>2.0035879629629631E-3</v>
      </c>
      <c r="S20" s="879">
        <f>IF(R20=0,0,IF(R$6=0,0,IF(R20&lt;1,SUM((R20&gt;L20),(R20&gt;O20),(R20&gt;I20),(R20&gt;U20),(R20&gt;X20),(R20&gt;AA20),(R20&gt;AD20),(R20&gt;AG20),(R20&gt;AJ20),(R20&gt;BE20)))-$AM20))</f>
        <v>5</v>
      </c>
      <c r="T20" s="879">
        <f>IF(R20=0,0,IF(R$6=0,0,IF(S20=0,0,((11-S20)))-$B$6))</f>
        <v>3</v>
      </c>
      <c r="U20" s="878">
        <f>0+TEXT(Recording!H43,"00\:00\.00")</f>
        <v>1.7332175925925926E-3</v>
      </c>
      <c r="V20" s="879">
        <f>IF(U20=0,0,IF(U$6=0,0,IF(U20&lt;1,SUM((U20&gt;L20),(U20&gt;O20),(U20&gt;R20),(U20&gt;I20),(U20&gt;X20),(U20&gt;AA20),(U20&gt;AD20),(U20&gt;AG20),(U20&gt;AJ20),(U20&gt;BE20)))-$AM20))</f>
        <v>2</v>
      </c>
      <c r="W20" s="879">
        <f>IF(U20=0,0,IF(U$6=0,0,IF(V20=0,0,((11-V20)))-$B$6))</f>
        <v>6</v>
      </c>
      <c r="X20" s="878">
        <f>0+TEXT(Recording!I43,"00\:00\.00")</f>
        <v>1.7974537037037037E-3</v>
      </c>
      <c r="Y20" s="879">
        <f>IF(X20=0,0,IF(X$6=0,0,IF(X20&lt;1,SUM((X20&gt;L20),(X20&gt;O20),(X20&gt;R20),(X20&gt;U20),(X20&gt;I20),(X20&gt;AA20),(X20&gt;AD20),(X20&gt;AG20),(X20&gt;AJ20),(X20&gt;BE20)))-$AM20))</f>
        <v>3</v>
      </c>
      <c r="Z20" s="879">
        <f>IF(X20=0,0,IF(X$6=0,0,IF(Y20=0,0,((11-Y20)))-$B$6))</f>
        <v>5</v>
      </c>
      <c r="AA20" s="878">
        <f>0+TEXT(Recording!J43,"00\:00\.00")</f>
        <v>1.9951388888888892E-3</v>
      </c>
      <c r="AB20" s="879">
        <f>IF(AA20=0,0,IF(AA$6=0,0,IF(AA20&lt;1,SUM((AA20&gt;L20),(AA20&gt;O20),(AA20&gt;R20),(AA20&gt;U20),(AA20&gt;X20),(AA20&gt;I20),(AA20&gt;AD20),(AA20&gt;AG20),(AA20&gt;AJ20),(AA20&gt;BE20))))-$AM20)</f>
        <v>4</v>
      </c>
      <c r="AC20" s="879">
        <f>IF(AA20=0,0,IF(AA$6=0,0,IF(AB20=0,0,((11-AB20)))-$B$6))</f>
        <v>4</v>
      </c>
      <c r="AD20" s="878">
        <f>0+TEXT(Recording!K43,"00\:00\.00")</f>
        <v>0</v>
      </c>
      <c r="AE20" s="879">
        <f>IF(AD20=0,0,IF(AD$6=0,0,IF(AD20&lt;1,SUM((AD20&gt;L20),(AD20&gt;O20),(AD20&gt;R20),(AD20&gt;U20),(AD20&gt;X20),(AD20&gt;AA20),(AD20&gt;AG20),(AD20&gt;AJ20),(AD20&gt;I20),(AD20&gt;BE20)))-$AM20))</f>
        <v>0</v>
      </c>
      <c r="AF20" s="879">
        <f>IF(AD20=0,0,IF(AD$6=0,0,IF(AE20=0,0,((11-AE20)))-$B$6))</f>
        <v>0</v>
      </c>
      <c r="AG20" s="878">
        <f>0+TEXT(Recording!L43,"00\:00\.00")</f>
        <v>0</v>
      </c>
      <c r="AH20" s="879">
        <f>IF(AG20=0,0,IF(AG$6=0,0,IF(AG20&lt;1,SUM((AG20&gt;I20),(AG20&gt;L20),(AG20&gt;O20),(AG20&gt;R20),(AG20&gt;U20),(AG20&gt;X20),(AG20&gt;AA20),(AG20&gt;AD20),(AG20&gt;AJ20),(AG20&gt;BE20)))-$AM20))</f>
        <v>0</v>
      </c>
      <c r="AI20" s="879">
        <f>IF(AG20=0,0,IF(AG$6=0,0,IF(AH20=0,0,((11-AH20)))-$B$6))</f>
        <v>0</v>
      </c>
      <c r="AJ20" s="878">
        <f>0+TEXT(Recording!M43,"00\:00\.00")</f>
        <v>0</v>
      </c>
      <c r="AK20" s="879">
        <f>IF(AJ20=0,0,IF(AJ$6=0,0,IF(AJ20&lt;1,SUM((AJ20&gt;I20),(AJ20&gt;L20),(AJ20&gt;O20),(AJ20&gt;R20),(AJ20&gt;U20),(AJ20&gt;X20),(AJ20&gt;AA20),(AJ20&gt;AD20),(AJ20&gt;AG20),(AJ20&gt;BE20)))-$AM20))</f>
        <v>0</v>
      </c>
      <c r="AL20" s="989">
        <f>IF(AJ20=0,0,IF(AJ$6=0,0,IF(AK20=0,0,((11-AK20)))-$B$6))</f>
        <v>0</v>
      </c>
      <c r="AM20" s="883">
        <f>COUNTBLANK(I597:R597)</f>
        <v>5</v>
      </c>
      <c r="BL20" s="1033"/>
      <c r="BM20" s="1033"/>
      <c r="BN20" s="1033"/>
      <c r="BO20" s="1033"/>
      <c r="BP20" s="1033"/>
      <c r="BQ20" s="1033"/>
      <c r="BR20" s="1033"/>
      <c r="BS20" s="1033"/>
      <c r="BT20" s="1033"/>
      <c r="BU20" s="1033"/>
      <c r="BV20" s="1481"/>
      <c r="BY20" s="1482"/>
      <c r="BZ20" s="1482"/>
      <c r="CA20" s="1482"/>
      <c r="CB20" s="1482"/>
    </row>
    <row r="21" spans="2:80" ht="35.25" customHeight="1" x14ac:dyDescent="0.3">
      <c r="B21" s="1337"/>
      <c r="C21" s="1360"/>
      <c r="D21" s="1429"/>
      <c r="E21" s="888" t="s">
        <v>5108</v>
      </c>
      <c r="I21" s="1367" t="str">
        <f>Recording!D44</f>
        <v>DNS</v>
      </c>
      <c r="J21" s="1367"/>
      <c r="K21" s="1367"/>
      <c r="L21" s="1367">
        <f>Recording!E44</f>
        <v>0</v>
      </c>
      <c r="M21" s="1367"/>
      <c r="N21" s="1367"/>
      <c r="O21" s="1367" t="str">
        <f>Recording!F44</f>
        <v>4.4 initiated the start before signal</v>
      </c>
      <c r="P21" s="1367"/>
      <c r="Q21" s="1367"/>
      <c r="R21" s="1367">
        <f>Recording!G44</f>
        <v>0</v>
      </c>
      <c r="S21" s="1367"/>
      <c r="T21" s="1367"/>
      <c r="U21" s="1367">
        <f>Recording!H44</f>
        <v>0</v>
      </c>
      <c r="V21" s="1367"/>
      <c r="W21" s="1367"/>
      <c r="X21" s="1367">
        <f>Recording!I44</f>
        <v>0</v>
      </c>
      <c r="Y21" s="1367"/>
      <c r="Z21" s="1367"/>
      <c r="AA21" s="1367">
        <f>Recording!J44</f>
        <v>0</v>
      </c>
      <c r="AB21" s="1367"/>
      <c r="AC21" s="1367"/>
      <c r="AD21" s="1367">
        <f>Recording!K44</f>
        <v>0</v>
      </c>
      <c r="AE21" s="1367"/>
      <c r="AF21" s="1367"/>
      <c r="AG21" s="1367">
        <f>Recording!L44</f>
        <v>0</v>
      </c>
      <c r="AH21" s="1367"/>
      <c r="AI21" s="1367"/>
      <c r="AJ21" s="1367">
        <f>Recording!M44</f>
        <v>0</v>
      </c>
      <c r="AK21" s="1367"/>
      <c r="AL21" s="1367"/>
      <c r="AM21" s="883"/>
      <c r="BL21" s="1033"/>
      <c r="BM21" s="1033"/>
      <c r="BN21" s="1033"/>
      <c r="BO21" s="1033"/>
      <c r="BP21" s="1033"/>
      <c r="BQ21" s="1033"/>
      <c r="BR21" s="1033"/>
      <c r="BS21" s="1033"/>
      <c r="BT21" s="1033"/>
      <c r="BU21" s="1033"/>
      <c r="BV21" s="1481"/>
      <c r="BY21" s="1482"/>
      <c r="BZ21" s="1482"/>
      <c r="CA21" s="1482"/>
      <c r="CB21" s="1482"/>
    </row>
    <row r="22" spans="2:80" ht="35.25" customHeight="1" x14ac:dyDescent="0.3">
      <c r="B22" s="1337">
        <v>5</v>
      </c>
      <c r="C22" s="1358" t="s">
        <v>5083</v>
      </c>
      <c r="D22" s="1332" t="s">
        <v>5090</v>
      </c>
      <c r="E22" s="891" t="s">
        <v>5091</v>
      </c>
      <c r="I22" s="1030">
        <f>0+TEXT(Recording!D46,"00\:00\.00")</f>
        <v>1.645949074074074E-3</v>
      </c>
      <c r="J22" s="879">
        <f>IF(I22=0,0,IF(I$6=0,0,IF(I22&lt;1,SUM((I22&gt;L22),(I22&gt;O22),(I22&gt;R22),(I22&gt;U22),(I22&gt;X22),(I22&gt;AA22),(I22&gt;AD22),(I22&gt;AG22),(I22&gt;AJ22),(I22&gt;BE22)))-$AM22))</f>
        <v>2</v>
      </c>
      <c r="K22" s="879">
        <f>IF(I22=0,0,IF(I$6=0,0,IF(J22=0,0,((11-J22)))-$B$6))</f>
        <v>6</v>
      </c>
      <c r="L22" s="878">
        <f>0+TEXT(Recording!E46,"00\:00\.00")</f>
        <v>1.742361111111111E-3</v>
      </c>
      <c r="M22" s="879">
        <f>IF(L22=0,0,IF(L$6=0,0,IF(L22&lt;1,SUM((L22&gt;O22),(L22&gt;R22),(L22&gt;U22),(L22&gt;X22),(L22&gt;AA22),(L22&gt;AD22),(L22&gt;I22),(L22&gt;AG22),(L22&gt;AJ22),(L22&gt;BE22)))-$AM22))</f>
        <v>4</v>
      </c>
      <c r="N22" s="879">
        <f>IF(L22=0,0,IF(L$6=0,0,IF(M22=0,0,((11-M22)))-$B$6))</f>
        <v>4</v>
      </c>
      <c r="O22" s="878">
        <f>0+TEXT(Recording!F46,"00\:00\.00")</f>
        <v>1.6287037037037036E-3</v>
      </c>
      <c r="P22" s="879">
        <f>IF(O22=0,0,IF(O$6=0,0,IF(O22&lt;1,SUM((O22&gt;L22),(O22&gt;I22),(O22&gt;R22),(O22&gt;U22),(O22&gt;X22),(O22&gt;AA22),(O22&gt;AD22),(O22&gt;AG22),(O22&gt;AJ22),(O22&gt;BE22)))-$AM22))</f>
        <v>1</v>
      </c>
      <c r="Q22" s="879">
        <f>IF(O22=0,0,IF(O$6=0,0,IF(P22=0,0,((11-P22)))-$B$6))</f>
        <v>7</v>
      </c>
      <c r="R22" s="878">
        <f>0+TEXT(Recording!G46,"00\:00\.00")</f>
        <v>1.6534722222222222E-3</v>
      </c>
      <c r="S22" s="879">
        <f>IF(R22=0,0,IF(R$6=0,0,IF(R22&lt;1,SUM((R22&gt;L22),(R22&gt;O22),(R22&gt;I22),(R22&gt;U22),(R22&gt;X22),(R22&gt;AA22),(R22&gt;AD22),(R22&gt;AG22),(R22&gt;AJ22),(R22&gt;BE22)))-$AM22))</f>
        <v>3</v>
      </c>
      <c r="T22" s="879">
        <f>IF(R22=0,0,IF(R$6=0,0,IF(S22=0,0,((11-S22)))-$B$6))</f>
        <v>5</v>
      </c>
      <c r="U22" s="878">
        <f>0+TEXT(Recording!H46,"00\:00\.00")</f>
        <v>1.7437500000000003E-3</v>
      </c>
      <c r="V22" s="879">
        <f>IF(U22=0,0,IF(U$6=0,0,IF(U22&lt;1,SUM((U22&gt;L22),(U22&gt;O22),(U22&gt;R22),(U22&gt;I22),(U22&gt;X22),(U22&gt;AA22),(U22&gt;AD22),(U22&gt;AG22),(U22&gt;AJ22),(U22&gt;BE22)))-$AM22))</f>
        <v>5</v>
      </c>
      <c r="W22" s="879">
        <f>IF(U22=0,0,IF(U$6=0,0,IF(V22=0,0,((11-V22)))-$B$6))</f>
        <v>3</v>
      </c>
      <c r="X22" s="878">
        <f>0+TEXT(Recording!I46,"00\:00\.00")</f>
        <v>1.9731481481481479E-3</v>
      </c>
      <c r="Y22" s="879">
        <f>IF(X22=0,0,IF(X$6=0,0,IF(X22&lt;1,SUM((X22&gt;L22),(X22&gt;O22),(X22&gt;R22),(X22&gt;U22),(X22&gt;I22),(X22&gt;AA22),(X22&gt;AD22),(X22&gt;AG22),(X22&gt;AJ22),(X22&gt;BE22)))-$AM22))</f>
        <v>6</v>
      </c>
      <c r="Z22" s="879">
        <f>IF(X22=0,0,IF(X$6=0,0,IF(Y22=0,0,((11-Y22)))-$B$6))</f>
        <v>2</v>
      </c>
      <c r="AA22" s="878">
        <f>0+TEXT(Recording!J46,"00\:00\.00")</f>
        <v>0</v>
      </c>
      <c r="AB22" s="879">
        <f>IF(AA22=0,0,IF(AA$6=0,0,IF(AA22&lt;1,SUM((AA22&gt;L22),(AA22&gt;O22),(AA22&gt;R22),(AA22&gt;U22),(AA22&gt;X22),(AA22&gt;I22),(AA22&gt;AD22),(AA22&gt;AG22),(AA22&gt;AJ22),(AA22&gt;BE22))))-$AM22)</f>
        <v>0</v>
      </c>
      <c r="AC22" s="879">
        <f>IF(AA22=0,0,IF(AA$6=0,0,IF(AB22=0,0,((11-AB22)))-$B$6))</f>
        <v>0</v>
      </c>
      <c r="AD22" s="878">
        <f>0+TEXT(Recording!K46,"00\:00\.00")</f>
        <v>0</v>
      </c>
      <c r="AE22" s="879">
        <f>IF(AD22=0,0,IF(AD$6=0,0,IF(AD22&lt;1,SUM((AD22&gt;L22),(AD22&gt;O22),(AD22&gt;R22),(AD22&gt;U22),(AD22&gt;X22),(AD22&gt;AA22),(AD22&gt;AG22),(AD22&gt;AJ22),(AD22&gt;I22),(AD22&gt;BE22)))-$AM22))</f>
        <v>0</v>
      </c>
      <c r="AF22" s="879">
        <f>IF(AD22=0,0,IF(AD$6=0,0,IF(AE22=0,0,((11-AE22)))-$B$6))</f>
        <v>0</v>
      </c>
      <c r="AG22" s="878">
        <f>0+TEXT(Recording!L46,"00\:00\.00")</f>
        <v>0</v>
      </c>
      <c r="AH22" s="879">
        <f>IF(AG22=0,0,IF(AG$6=0,0,IF(AG22&lt;1,SUM((AG22&gt;I22),(AG22&gt;L22),(AG22&gt;O22),(AG22&gt;R22),(AG22&gt;U22),(AG22&gt;X22),(AG22&gt;AA22),(AG22&gt;AD22),(AG22&gt;AJ22),(AG22&gt;BE22)))-$AM22))</f>
        <v>0</v>
      </c>
      <c r="AI22" s="879">
        <f>IF(AG22=0,0,IF(AG$6=0,0,IF(AH22=0,0,((11-AH22)))-$B$6))</f>
        <v>0</v>
      </c>
      <c r="AJ22" s="878">
        <f>0+TEXT(Recording!M46,"00\:00\.00")</f>
        <v>0</v>
      </c>
      <c r="AK22" s="879">
        <f>IF(AJ22=0,0,IF(AJ$6=0,0,IF(AJ22&lt;1,SUM((AJ22&gt;I22),(AJ22&gt;L22),(AJ22&gt;O22),(AJ22&gt;R22),(AJ22&gt;U22),(AJ22&gt;X22),(AJ22&gt;AA22),(AJ22&gt;AD22),(AJ22&gt;AG22),(AJ22&gt;BE22)))-$AM22))</f>
        <v>0</v>
      </c>
      <c r="AL22" s="989">
        <f>IF(AJ22=0,0,IF(AJ$6=0,0,IF(AK22=0,0,((11-AK22)))-$B$6))</f>
        <v>0</v>
      </c>
      <c r="AM22" s="883">
        <f>COUNTBLANK(I598:R598)</f>
        <v>4</v>
      </c>
      <c r="BL22" s="1033"/>
      <c r="BM22" s="1033"/>
      <c r="BN22" s="1033"/>
      <c r="BO22" s="1033"/>
      <c r="BP22" s="1033"/>
      <c r="BQ22" s="1033"/>
      <c r="BR22" s="1033"/>
      <c r="BS22" s="1033"/>
      <c r="BT22" s="1033"/>
      <c r="BU22" s="1033"/>
      <c r="BV22" s="1481"/>
    </row>
    <row r="23" spans="2:80" ht="35.25" customHeight="1" x14ac:dyDescent="0.3">
      <c r="B23" s="1337"/>
      <c r="C23" s="1358"/>
      <c r="D23" s="1332"/>
      <c r="E23" s="888" t="s">
        <v>5108</v>
      </c>
      <c r="I23" s="1367">
        <f>Recording!D47</f>
        <v>0</v>
      </c>
      <c r="J23" s="1367"/>
      <c r="K23" s="1367"/>
      <c r="L23" s="1367">
        <f>Recording!E47</f>
        <v>0</v>
      </c>
      <c r="M23" s="1367"/>
      <c r="N23" s="1367"/>
      <c r="O23" s="1367">
        <f>Recording!F47</f>
        <v>0</v>
      </c>
      <c r="P23" s="1367"/>
      <c r="Q23" s="1367"/>
      <c r="R23" s="1367">
        <f>Recording!G47</f>
        <v>0</v>
      </c>
      <c r="S23" s="1367"/>
      <c r="T23" s="1367"/>
      <c r="U23" s="1367">
        <f>Recording!H47</f>
        <v>0</v>
      </c>
      <c r="V23" s="1367"/>
      <c r="W23" s="1367"/>
      <c r="X23" s="1367">
        <f>Recording!I47</f>
        <v>0</v>
      </c>
      <c r="Y23" s="1367"/>
      <c r="Z23" s="1367"/>
      <c r="AA23" s="1367" t="str">
        <f>Recording!J47</f>
        <v>7.6 did not touch at the turn end with both hands simultaneously</v>
      </c>
      <c r="AB23" s="1367"/>
      <c r="AC23" s="1367"/>
      <c r="AD23" s="1367">
        <f>Recording!K47</f>
        <v>0</v>
      </c>
      <c r="AE23" s="1367"/>
      <c r="AF23" s="1367"/>
      <c r="AG23" s="1367">
        <f>Recording!L47</f>
        <v>0</v>
      </c>
      <c r="AH23" s="1367"/>
      <c r="AI23" s="1367"/>
      <c r="AJ23" s="1367">
        <f>Recording!M47</f>
        <v>0</v>
      </c>
      <c r="AK23" s="1367"/>
      <c r="AL23" s="1367"/>
      <c r="AM23" s="883"/>
      <c r="BL23" s="1033"/>
      <c r="BM23" s="1033"/>
      <c r="BN23" s="1033"/>
      <c r="BO23" s="1033"/>
      <c r="BP23" s="1033"/>
      <c r="BQ23" s="1033"/>
      <c r="BR23" s="1033"/>
      <c r="BS23" s="1033"/>
      <c r="BT23" s="1033"/>
      <c r="BU23" s="1033"/>
    </row>
    <row r="24" spans="2:80" ht="35.25" customHeight="1" x14ac:dyDescent="0.3">
      <c r="B24" s="1337">
        <v>6</v>
      </c>
      <c r="C24" s="1360" t="s">
        <v>5087</v>
      </c>
      <c r="D24" s="1332" t="s">
        <v>5090</v>
      </c>
      <c r="E24" s="891" t="s">
        <v>5091</v>
      </c>
      <c r="I24" s="1030">
        <f>0+TEXT(Recording!D49,"00\:00\.00")</f>
        <v>1.7806712962962965E-3</v>
      </c>
      <c r="J24" s="879">
        <f>IF(I24=0,0,IF(I$6=0,0,IF(I24&lt;1,SUM((I24&gt;L24),(I24&gt;O24),(I24&gt;R24),(I24&gt;U24),(I24&gt;X24),(I24&gt;AA24),(I24&gt;AD24),(I24&gt;AG24),(I24&gt;AJ24),(I24&gt;BE24)))-$AM24))</f>
        <v>5</v>
      </c>
      <c r="K24" s="879">
        <f>IF(I24=0,0,IF(I$6=0,0,IF(J24=0,0,((11-J24)))-$B$6))</f>
        <v>3</v>
      </c>
      <c r="L24" s="878">
        <f>0+TEXT(Recording!E49,"00\:00\.00")</f>
        <v>1.7177083333333332E-3</v>
      </c>
      <c r="M24" s="879">
        <f>IF(L24=0,0,IF(L$6=0,0,IF(L24&lt;1,SUM((L24&gt;O24),(L24&gt;R24),(L24&gt;U24),(L24&gt;X24),(L24&gt;AA24),(L24&gt;AD24),(L24&gt;I24),(L24&gt;AG24),(L24&gt;AJ24),(L24&gt;BE24)))-$AM24))</f>
        <v>4</v>
      </c>
      <c r="N24" s="879">
        <f>IF(L24=0,0,IF(L$6=0,0,IF(M24=0,0,((11-M24)))-$B$6))</f>
        <v>4</v>
      </c>
      <c r="O24" s="878">
        <f>0+TEXT(Recording!F49,"00\:00\.00")</f>
        <v>1.6693287037037039E-3</v>
      </c>
      <c r="P24" s="879">
        <f>IF(O24=0,0,IF(O$6=0,0,IF(O24&lt;1,SUM((O24&gt;L24),(O24&gt;I24),(O24&gt;R24),(O24&gt;U24),(O24&gt;X24),(O24&gt;AA24),(O24&gt;AD24),(O24&gt;AG24),(O24&gt;AJ24),(O24&gt;BE24)))-$AM24))</f>
        <v>3</v>
      </c>
      <c r="Q24" s="879">
        <f>IF(O24=0,0,IF(O$6=0,0,IF(P24=0,0,((11-P24)))-$B$6))</f>
        <v>5</v>
      </c>
      <c r="R24" s="878">
        <f>0+TEXT(Recording!G49,"00\:00\.00")</f>
        <v>1.8538194444444446E-3</v>
      </c>
      <c r="S24" s="879">
        <f>IF(R24=0,0,IF(R$6=0,0,IF(R24&lt;1,SUM((R24&gt;L24),(R24&gt;O24),(R24&gt;I24),(R24&gt;U24),(R24&gt;X24),(R24&gt;AA24),(R24&gt;AD24),(R24&gt;AG24),(R24&gt;AJ24),(R24&gt;BE24)))-$AM24))</f>
        <v>7</v>
      </c>
      <c r="T24" s="879">
        <f>IF(R24=0,0,IF(R$6=0,0,IF(S24=0,0,((11-S24)))-$B$6))</f>
        <v>1</v>
      </c>
      <c r="U24" s="878">
        <f>0+TEXT(Recording!H49,"00\:00\.00")</f>
        <v>1.8093750000000002E-3</v>
      </c>
      <c r="V24" s="879">
        <f>IF(U24=0,0,IF(U$6=0,0,IF(U24&lt;1,SUM((U24&gt;L24),(U24&gt;O24),(U24&gt;R24),(U24&gt;I24),(U24&gt;X24),(U24&gt;AA24),(U24&gt;AD24),(U24&gt;AG24),(U24&gt;AJ24),(U24&gt;BE24)))-$AM24))</f>
        <v>6</v>
      </c>
      <c r="W24" s="879">
        <f>IF(U24=0,0,IF(U$6=0,0,IF(V24=0,0,((11-V24)))-$B$6))</f>
        <v>2</v>
      </c>
      <c r="X24" s="878">
        <f>0+TEXT(Recording!I49,"00\:00\.00")</f>
        <v>1.5825231481481482E-3</v>
      </c>
      <c r="Y24" s="879">
        <f>IF(X24=0,0,IF(X$6=0,0,IF(X24&lt;1,SUM((X24&gt;L24),(X24&gt;O24),(X24&gt;R24),(X24&gt;U24),(X24&gt;I24),(X24&gt;AA24),(X24&gt;AD24),(X24&gt;AG24),(X24&gt;AJ24),(X24&gt;BE24)))-$AM24))</f>
        <v>2</v>
      </c>
      <c r="Z24" s="879">
        <f>IF(X24=0,0,IF(X$6=0,0,IF(Y24=0,0,((11-Y24)))-$B$6))</f>
        <v>6</v>
      </c>
      <c r="AA24" s="878">
        <f>0+TEXT(Recording!J49,"00\:00\.00")</f>
        <v>1.5534722222222224E-3</v>
      </c>
      <c r="AB24" s="879">
        <f>IF(AA24=0,0,IF(AA$6=0,0,IF(AA24&lt;1,SUM((AA24&gt;L24),(AA24&gt;O24),(AA24&gt;R24),(AA24&gt;U24),(AA24&gt;X24),(AA24&gt;I24),(AA24&gt;AD24),(AA24&gt;AG24),(AA24&gt;AJ24),(AA24&gt;BE24))))-$AM24)</f>
        <v>1</v>
      </c>
      <c r="AC24" s="879">
        <f>IF(AA24=0,0,IF(AA$6=0,0,IF(AB24=0,0,((11-AB24)))-$B$6))</f>
        <v>7</v>
      </c>
      <c r="AD24" s="878">
        <f>0+TEXT(Recording!K49,"00\:00\.00")</f>
        <v>0</v>
      </c>
      <c r="AE24" s="879">
        <f>IF(AD24=0,0,IF(AD$6=0,0,IF(AD24&lt;1,SUM((AD24&gt;L24),(AD24&gt;O24),(AD24&gt;R24),(AD24&gt;U24),(AD24&gt;X24),(AD24&gt;AA24),(AD24&gt;AG24),(AD24&gt;AJ24),(AD24&gt;I24),(AD24&gt;BE24)))-$AM24))</f>
        <v>0</v>
      </c>
      <c r="AF24" s="879">
        <f>IF(AD24=0,0,IF(AD$6=0,0,IF(AE24=0,0,((11-AE24)))-$B$6))</f>
        <v>0</v>
      </c>
      <c r="AG24" s="878">
        <f>0+TEXT(Recording!L49,"00\:00\.00")</f>
        <v>0</v>
      </c>
      <c r="AH24" s="879">
        <f>IF(AG24=0,0,IF(AG$6=0,0,IF(AG24&lt;1,SUM((AG24&gt;I24),(AG24&gt;L24),(AG24&gt;O24),(AG24&gt;R24),(AG24&gt;U24),(AG24&gt;X24),(AG24&gt;AA24),(AG24&gt;AD24),(AG24&gt;AJ24),(AG24&gt;BE24)))-$AM24))</f>
        <v>0</v>
      </c>
      <c r="AI24" s="879">
        <f>IF(AG24=0,0,IF(AG$6=0,0,IF(AH24=0,0,((11-AH24)))-$B$6))</f>
        <v>0</v>
      </c>
      <c r="AJ24" s="878">
        <f>0+TEXT(Recording!M49,"00\:00\.00")</f>
        <v>0</v>
      </c>
      <c r="AK24" s="879">
        <f>IF(AJ24=0,0,IF(AJ$6=0,0,IF(AJ24&lt;1,SUM((AJ24&gt;I24),(AJ24&gt;L24),(AJ24&gt;O24),(AJ24&gt;R24),(AJ24&gt;U24),(AJ24&gt;X24),(AJ24&gt;AA24),(AJ24&gt;AD24),(AJ24&gt;AG24),(AJ24&gt;BE24)))-$AM24))</f>
        <v>0</v>
      </c>
      <c r="AL24" s="989">
        <f>IF(AJ24=0,0,IF(AJ$6=0,0,IF(AK24=0,0,((11-AK24)))-$B$6))</f>
        <v>0</v>
      </c>
      <c r="AM24" s="883">
        <f>COUNTBLANK(I599:R599)</f>
        <v>3</v>
      </c>
      <c r="BL24" s="1033"/>
      <c r="BM24" s="1033"/>
      <c r="BN24" s="1033"/>
      <c r="BO24" s="1033"/>
      <c r="BP24" s="1033"/>
      <c r="BQ24" s="1033"/>
      <c r="BR24" s="1033"/>
      <c r="BS24" s="1033"/>
      <c r="BT24" s="1033"/>
      <c r="BU24" s="1033"/>
    </row>
    <row r="25" spans="2:80" ht="35.25" customHeight="1" x14ac:dyDescent="0.3">
      <c r="B25" s="1337"/>
      <c r="C25" s="1360"/>
      <c r="D25" s="1332"/>
      <c r="E25" s="888" t="s">
        <v>5108</v>
      </c>
      <c r="I25" s="1367">
        <f>Recording!D50</f>
        <v>0</v>
      </c>
      <c r="J25" s="1367"/>
      <c r="K25" s="1367"/>
      <c r="L25" s="1367">
        <f>Recording!E50</f>
        <v>0</v>
      </c>
      <c r="M25" s="1367"/>
      <c r="N25" s="1367"/>
      <c r="O25" s="1367">
        <f>Recording!F50</f>
        <v>0</v>
      </c>
      <c r="P25" s="1367"/>
      <c r="Q25" s="1367"/>
      <c r="R25" s="1367">
        <f>Recording!G50</f>
        <v>0</v>
      </c>
      <c r="S25" s="1367"/>
      <c r="T25" s="1367"/>
      <c r="U25" s="1367">
        <f>Recording!H50</f>
        <v>0</v>
      </c>
      <c r="V25" s="1367"/>
      <c r="W25" s="1367"/>
      <c r="X25" s="1367">
        <f>Recording!I50</f>
        <v>0</v>
      </c>
      <c r="Y25" s="1367"/>
      <c r="Z25" s="1367"/>
      <c r="AA25" s="1367">
        <f>Recording!J50</f>
        <v>0</v>
      </c>
      <c r="AB25" s="1367"/>
      <c r="AC25" s="1367"/>
      <c r="AD25" s="1367">
        <f>Recording!K50</f>
        <v>0</v>
      </c>
      <c r="AE25" s="1367"/>
      <c r="AF25" s="1367"/>
      <c r="AG25" s="1367">
        <f>Recording!L50</f>
        <v>0</v>
      </c>
      <c r="AH25" s="1367"/>
      <c r="AI25" s="1367"/>
      <c r="AJ25" s="1367">
        <f>Recording!M50</f>
        <v>0</v>
      </c>
      <c r="AK25" s="1367"/>
      <c r="AL25" s="1367"/>
      <c r="AM25" s="883"/>
      <c r="BL25" s="1033"/>
      <c r="BM25" s="1033"/>
      <c r="BN25" s="1033"/>
      <c r="BO25" s="1033"/>
      <c r="BP25" s="1033"/>
      <c r="BQ25" s="1033"/>
      <c r="BR25" s="1033"/>
      <c r="BS25" s="1033"/>
      <c r="BT25" s="1033"/>
      <c r="BU25" s="1033"/>
    </row>
    <row r="26" spans="2:80" ht="35.25" customHeight="1" x14ac:dyDescent="0.3">
      <c r="B26" s="1337">
        <v>7</v>
      </c>
      <c r="C26" s="1358" t="s">
        <v>5083</v>
      </c>
      <c r="D26" s="1332" t="s">
        <v>5092</v>
      </c>
      <c r="E26" s="891" t="s">
        <v>5089</v>
      </c>
      <c r="I26" s="1030">
        <f>0+TEXT(Recording!D52,"00\:00\.00")</f>
        <v>1.4748842592592591E-3</v>
      </c>
      <c r="J26" s="879">
        <f>IF(I26=0,0,IF(I$6=0,0,IF(I26&lt;1,SUM((I26&gt;L26),(I26&gt;O26),(I26&gt;R26),(I26&gt;U26),(I26&gt;X26),(I26&gt;AA26),(I26&gt;AD26),(I26&gt;AG26),(I26&gt;AJ26),(I26&gt;BE26)))-$AM26))</f>
        <v>7</v>
      </c>
      <c r="K26" s="879">
        <f>IF(I26=0,0,IF(I$6=0,0,IF(J26=0,0,((11-J26)))-$B$6))</f>
        <v>1</v>
      </c>
      <c r="L26" s="878">
        <f>0+TEXT(Recording!E52,"00\:00\.00")</f>
        <v>1.4600694444444444E-3</v>
      </c>
      <c r="M26" s="879">
        <f>IF(L26=0,0,IF(L$6=0,0,IF(L26&lt;1,SUM((L26&gt;O26),(L26&gt;R26),(L26&gt;U26),(L26&gt;X26),(L26&gt;AA26),(L26&gt;AD26),(L26&gt;I26),(L26&gt;AG26),(L26&gt;AJ26),(L26&gt;BE26)))-$AM26))</f>
        <v>6</v>
      </c>
      <c r="N26" s="879">
        <f>IF(L26=0,0,IF(L$6=0,0,IF(M26=0,0,((11-M26)))-$B$6))</f>
        <v>2</v>
      </c>
      <c r="O26" s="878">
        <f>0+TEXT(Recording!F52,"00\:00\.00")</f>
        <v>1.4290509259259258E-3</v>
      </c>
      <c r="P26" s="879">
        <f>IF(O26=0,0,IF(O$6=0,0,IF(O26&lt;1,SUM((O26&gt;L26),(O26&gt;I26),(O26&gt;R26),(O26&gt;U26),(O26&gt;X26),(O26&gt;AA26),(O26&gt;AD26),(O26&gt;AG26),(O26&gt;AJ26),(O26&gt;BE26)))-$AM26))</f>
        <v>4</v>
      </c>
      <c r="Q26" s="879">
        <f>IF(O26=0,0,IF(O$6=0,0,IF(P26=0,0,((11-P26)))-$B$6))</f>
        <v>4</v>
      </c>
      <c r="R26" s="878">
        <f>0+TEXT(Recording!G52,"00\:00\.00")</f>
        <v>1.4349537037037037E-3</v>
      </c>
      <c r="S26" s="879">
        <f>IF(R26=0,0,IF(R$6=0,0,IF(R26&lt;1,SUM((R26&gt;L26),(R26&gt;O26),(R26&gt;I26),(R26&gt;U26),(R26&gt;X26),(R26&gt;AA26),(R26&gt;AD26),(R26&gt;AG26),(R26&gt;AJ26),(R26&gt;BE26)))-$AM26))</f>
        <v>5</v>
      </c>
      <c r="T26" s="879">
        <f>IF(R26=0,0,IF(R$6=0,0,IF(S26=0,0,((11-S26)))-$B$6))</f>
        <v>3</v>
      </c>
      <c r="U26" s="878">
        <f>0+TEXT(Recording!H52,"00\:00\.00")</f>
        <v>1.3890046296296298E-3</v>
      </c>
      <c r="V26" s="879">
        <f>IF(U26=0,0,IF(U$6=0,0,IF(U26&lt;1,SUM((U26&gt;L26),(U26&gt;O26),(U26&gt;R26),(U26&gt;I26),(U26&gt;X26),(U26&gt;AA26),(U26&gt;AD26),(U26&gt;AG26),(U26&gt;AJ26),(U26&gt;BE26)))-$AM26))</f>
        <v>1</v>
      </c>
      <c r="W26" s="879">
        <f>IF(U26=0,0,IF(U$6=0,0,IF(V26=0,0,((11-V26)))-$B$6))</f>
        <v>7</v>
      </c>
      <c r="X26" s="878">
        <f>0+TEXT(Recording!I52,"00\:00\.00")</f>
        <v>1.391435185185185E-3</v>
      </c>
      <c r="Y26" s="879">
        <f>IF(X26=0,0,IF(X$6=0,0,IF(X26&lt;1,SUM((X26&gt;L26),(X26&gt;O26),(X26&gt;R26),(X26&gt;U26),(X26&gt;I26),(X26&gt;AA26),(X26&gt;AD26),(X26&gt;AG26),(X26&gt;AJ26),(X26&gt;BE26)))-$AM26))</f>
        <v>2</v>
      </c>
      <c r="Z26" s="879">
        <f>IF(X26=0,0,IF(X$6=0,0,IF(Y26=0,0,((11-Y26)))-$B$6))</f>
        <v>6</v>
      </c>
      <c r="AA26" s="878">
        <f>0+TEXT(Recording!J52,"00\:00\.00")</f>
        <v>1.4256944444444445E-3</v>
      </c>
      <c r="AB26" s="879">
        <f>IF(AA26=0,0,IF(AA$6=0,0,IF(AA26&lt;1,SUM((AA26&gt;L26),(AA26&gt;O26),(AA26&gt;R26),(AA26&gt;U26),(AA26&gt;X26),(AA26&gt;I26),(AA26&gt;AD26),(AA26&gt;AG26),(AA26&gt;AJ26),(AA26&gt;BE26))))-$AM26)</f>
        <v>3</v>
      </c>
      <c r="AC26" s="879">
        <f>IF(AA26=0,0,IF(AA$6=0,0,IF(AB26=0,0,((11-AB26)))-$B$6))</f>
        <v>5</v>
      </c>
      <c r="AD26" s="878">
        <f>0+TEXT(Recording!K52,"00\:00\.00")</f>
        <v>0</v>
      </c>
      <c r="AE26" s="879">
        <f>IF(AD26=0,0,IF(AD$6=0,0,IF(AD26&lt;1,SUM((AD26&gt;L26),(AD26&gt;O26),(AD26&gt;R26),(AD26&gt;U26),(AD26&gt;X26),(AD26&gt;AA26),(AD26&gt;AG26),(AD26&gt;AJ26),(AD26&gt;I26),(AD26&gt;BE26)))-$AM26))</f>
        <v>0</v>
      </c>
      <c r="AF26" s="879">
        <f>IF(AD26=0,0,IF(AD$6=0,0,IF(AE26=0,0,((11-AE26)))-$B$6))</f>
        <v>0</v>
      </c>
      <c r="AG26" s="878">
        <f>0+TEXT(Recording!L52,"00\:00\.00")</f>
        <v>0</v>
      </c>
      <c r="AH26" s="879">
        <f>IF(AG26=0,0,IF(AG$6=0,0,IF(AG26&lt;1,SUM((AG26&gt;I26),(AG26&gt;L26),(AG26&gt;O26),(AG26&gt;R26),(AG26&gt;U26),(AG26&gt;X26),(AG26&gt;AA26),(AG26&gt;AD26),(AG26&gt;AJ26),(AG26&gt;BE26)))-$AM26))</f>
        <v>0</v>
      </c>
      <c r="AI26" s="879">
        <f>IF(AG26=0,0,IF(AG$6=0,0,IF(AH26=0,0,((11-AH26)))-$B$6))</f>
        <v>0</v>
      </c>
      <c r="AJ26" s="878">
        <f>0+TEXT(Recording!M52,"00\:00\.00")</f>
        <v>0</v>
      </c>
      <c r="AK26" s="879">
        <f>IF(AJ26=0,0,IF(AJ$6=0,0,IF(AJ26&lt;1,SUM((AJ26&gt;I26),(AJ26&gt;L26),(AJ26&gt;O26),(AJ26&gt;R26),(AJ26&gt;U26),(AJ26&gt;X26),(AJ26&gt;AA26),(AJ26&gt;AD26),(AJ26&gt;AG26),(AJ26&gt;BE26)))-$AM26))</f>
        <v>0</v>
      </c>
      <c r="AL26" s="989">
        <f>IF(AJ26=0,0,IF(AJ$6=0,0,IF(AK26=0,0,((11-AK26)))-$B$6))</f>
        <v>0</v>
      </c>
      <c r="AM26" s="883">
        <f>COUNTBLANK(I600:R600)</f>
        <v>3</v>
      </c>
      <c r="BL26" s="1033"/>
      <c r="BM26" s="1033"/>
      <c r="BN26" s="1033"/>
      <c r="BO26" s="1033"/>
      <c r="BP26" s="1033"/>
      <c r="BQ26" s="1033"/>
      <c r="BR26" s="1033"/>
      <c r="BS26" s="1033"/>
      <c r="BT26" s="1033"/>
      <c r="BU26" s="1033"/>
    </row>
    <row r="27" spans="2:80" ht="35.25" customHeight="1" x14ac:dyDescent="0.3">
      <c r="B27" s="1337"/>
      <c r="C27" s="1358"/>
      <c r="D27" s="1332"/>
      <c r="E27" s="888" t="s">
        <v>5108</v>
      </c>
      <c r="I27" s="1367">
        <f>Recording!D53</f>
        <v>0</v>
      </c>
      <c r="J27" s="1367"/>
      <c r="K27" s="1367"/>
      <c r="L27" s="1367">
        <f>Recording!E53</f>
        <v>0</v>
      </c>
      <c r="M27" s="1367"/>
      <c r="N27" s="1367"/>
      <c r="O27" s="1367">
        <f>Recording!F53</f>
        <v>0</v>
      </c>
      <c r="P27" s="1367"/>
      <c r="Q27" s="1367"/>
      <c r="R27" s="1367">
        <f>Recording!G53</f>
        <v>0</v>
      </c>
      <c r="S27" s="1367"/>
      <c r="T27" s="1367"/>
      <c r="U27" s="1367">
        <f>Recording!H53</f>
        <v>0</v>
      </c>
      <c r="V27" s="1367"/>
      <c r="W27" s="1367"/>
      <c r="X27" s="1367">
        <f>Recording!I53</f>
        <v>0</v>
      </c>
      <c r="Y27" s="1367"/>
      <c r="Z27" s="1367"/>
      <c r="AA27" s="1367">
        <f>Recording!J53</f>
        <v>0</v>
      </c>
      <c r="AB27" s="1367"/>
      <c r="AC27" s="1367"/>
      <c r="AD27" s="1367">
        <f>Recording!K53</f>
        <v>0</v>
      </c>
      <c r="AE27" s="1367"/>
      <c r="AF27" s="1367"/>
      <c r="AG27" s="1367">
        <f>Recording!L53</f>
        <v>0</v>
      </c>
      <c r="AH27" s="1367"/>
      <c r="AI27" s="1367"/>
      <c r="AJ27" s="1367">
        <f>Recording!M53</f>
        <v>0</v>
      </c>
      <c r="AK27" s="1367"/>
      <c r="AL27" s="1367"/>
      <c r="AM27" s="883"/>
      <c r="BL27" s="1033"/>
      <c r="BM27" s="1033"/>
      <c r="BN27" s="1033"/>
      <c r="BO27" s="1033"/>
      <c r="BP27" s="1033"/>
      <c r="BQ27" s="1033"/>
      <c r="BR27" s="1033"/>
      <c r="BS27" s="1033"/>
      <c r="BT27" s="1033"/>
      <c r="BU27" s="1033"/>
    </row>
    <row r="28" spans="2:80" ht="35.25" customHeight="1" x14ac:dyDescent="0.3">
      <c r="B28" s="1337">
        <v>8</v>
      </c>
      <c r="C28" s="1360" t="s">
        <v>5087</v>
      </c>
      <c r="D28" s="1332" t="s">
        <v>5092</v>
      </c>
      <c r="E28" s="891" t="s">
        <v>5089</v>
      </c>
      <c r="I28" s="1030">
        <f>0+TEXT(Recording!D55,"00\:00\.00")</f>
        <v>1.4600694444444444E-3</v>
      </c>
      <c r="J28" s="879">
        <f>IF(I28=0,0,IF(I$6=0,0,IF(I28&lt;1,SUM((I28&gt;L28),(I28&gt;O28),(I28&gt;R28),(I28&gt;U28),(I28&gt;X28),(I28&gt;AA28),(I28&gt;AD28),(I28&gt;AG28),(I28&gt;AJ28),(I28&gt;BE28)))-$AM28))</f>
        <v>7</v>
      </c>
      <c r="K28" s="879">
        <f>IF(I28=0,0,IF(I$6=0,0,IF(J28=0,0,((11-J28)))-$B$6))</f>
        <v>1</v>
      </c>
      <c r="L28" s="878">
        <f>0+TEXT(Recording!E55,"00\:00\.00")</f>
        <v>1.3547453703703701E-3</v>
      </c>
      <c r="M28" s="879">
        <f>IF(L28=0,0,IF(L$6=0,0,IF(L28&lt;1,SUM((L28&gt;O28),(L28&gt;R28),(L28&gt;U28),(L28&gt;X28),(L28&gt;AA28),(L28&gt;AD28),(L28&gt;I28),(L28&gt;AG28),(L28&gt;AJ28),(L28&gt;BE28)))-$AM28))</f>
        <v>5</v>
      </c>
      <c r="N28" s="879">
        <f>IF(L28=0,0,IF(L$6=0,0,IF(M28=0,0,((11-M28)))-$B$6))</f>
        <v>3</v>
      </c>
      <c r="O28" s="878">
        <f>0+TEXT(Recording!F55,"00\:00\.00")</f>
        <v>1.4348379629629631E-3</v>
      </c>
      <c r="P28" s="879">
        <f>IF(O28=0,0,IF(O$6=0,0,IF(O28&lt;1,SUM((O28&gt;L28),(O28&gt;I28),(O28&gt;R28),(O28&gt;U28),(O28&gt;X28),(O28&gt;AA28),(O28&gt;AD28),(O28&gt;AG28),(O28&gt;AJ28),(O28&gt;BE28)))-$AM28))</f>
        <v>6</v>
      </c>
      <c r="Q28" s="879">
        <f>IF(O28=0,0,IF(O$6=0,0,IF(P28=0,0,((11-P28)))-$B$6))</f>
        <v>2</v>
      </c>
      <c r="R28" s="878">
        <f>0+TEXT(Recording!G55,"00\:00\.00")</f>
        <v>1.3260416666666666E-3</v>
      </c>
      <c r="S28" s="879">
        <f>IF(R28=0,0,IF(R$6=0,0,IF(R28&lt;1,SUM((R28&gt;L28),(R28&gt;O28),(R28&gt;I28),(R28&gt;U28),(R28&gt;X28),(R28&gt;AA28),(R28&gt;AD28),(R28&gt;AG28),(R28&gt;AJ28),(R28&gt;BE28)))-$AM28))</f>
        <v>4</v>
      </c>
      <c r="T28" s="879">
        <f>IF(R28=0,0,IF(R$6=0,0,IF(S28=0,0,((11-S28)))-$B$6))</f>
        <v>4</v>
      </c>
      <c r="U28" s="878">
        <f>0+TEXT(Recording!H55,"00\:00\.00")</f>
        <v>1.2678240740740742E-3</v>
      </c>
      <c r="V28" s="879">
        <f>IF(U28=0,0,IF(U$6=0,0,IF(U28&lt;1,SUM((U28&gt;L28),(U28&gt;O28),(U28&gt;R28),(U28&gt;I28),(U28&gt;X28),(U28&gt;AA28),(U28&gt;AD28),(U28&gt;AG28),(U28&gt;AJ28),(U28&gt;BE28)))-$AM28))</f>
        <v>2</v>
      </c>
      <c r="W28" s="879">
        <f>IF(U28=0,0,IF(U$6=0,0,IF(V28=0,0,((11-V28)))-$B$6))</f>
        <v>6</v>
      </c>
      <c r="X28" s="878">
        <f>0+TEXT(Recording!I55,"00\:00\.00")</f>
        <v>1.262037037037037E-3</v>
      </c>
      <c r="Y28" s="879">
        <f>IF(X28=0,0,IF(X$6=0,0,IF(X28&lt;1,SUM((X28&gt;L28),(X28&gt;O28),(X28&gt;R28),(X28&gt;U28),(X28&gt;I28),(X28&gt;AA28),(X28&gt;AD28),(X28&gt;AG28),(X28&gt;AJ28),(X28&gt;BE28)))-$AM28))</f>
        <v>1</v>
      </c>
      <c r="Z28" s="879">
        <f>IF(X28=0,0,IF(X$6=0,0,IF(Y28=0,0,((11-Y28)))-$B$6))</f>
        <v>7</v>
      </c>
      <c r="AA28" s="878">
        <f>0+TEXT(Recording!J55,"00\:00\.00")</f>
        <v>1.3180555555555556E-3</v>
      </c>
      <c r="AB28" s="879">
        <f>IF(AA28=0,0,IF(AA$6=0,0,IF(AA28&lt;1,SUM((AA28&gt;L28),(AA28&gt;O28),(AA28&gt;R28),(AA28&gt;U28),(AA28&gt;X28),(AA28&gt;I28),(AA28&gt;AD28),(AA28&gt;AG28),(AA28&gt;AJ28),(AA28&gt;BE28))))-$AM28)</f>
        <v>3</v>
      </c>
      <c r="AC28" s="879">
        <f>IF(AA28=0,0,IF(AA$6=0,0,IF(AB28=0,0,((11-AB28)))-$B$6))</f>
        <v>5</v>
      </c>
      <c r="AD28" s="878">
        <f>0+TEXT(Recording!K55,"00\:00\.00")</f>
        <v>0</v>
      </c>
      <c r="AE28" s="879">
        <f>IF(AD28=0,0,IF(AD$6=0,0,IF(AD28&lt;1,SUM((AD28&gt;L28),(AD28&gt;O28),(AD28&gt;R28),(AD28&gt;U28),(AD28&gt;X28),(AD28&gt;AA28),(AD28&gt;AG28),(AD28&gt;AJ28),(AD28&gt;I28),(AD28&gt;BE28)))-$AM28))</f>
        <v>0</v>
      </c>
      <c r="AF28" s="879">
        <f>IF(AD28=0,0,IF(AD$6=0,0,IF(AE28=0,0,((11-AE28)))-$B$6))</f>
        <v>0</v>
      </c>
      <c r="AG28" s="878">
        <f>0+TEXT(Recording!L55,"00\:00\.00")</f>
        <v>0</v>
      </c>
      <c r="AH28" s="879">
        <f>IF(AG28=0,0,IF(AG$6=0,0,IF(AG28&lt;1,SUM((AG28&gt;I28),(AG28&gt;L28),(AG28&gt;O28),(AG28&gt;R28),(AG28&gt;U28),(AG28&gt;X28),(AG28&gt;AA28),(AG28&gt;AD28),(AG28&gt;AJ28),(AG28&gt;BE28)))-$AM28))</f>
        <v>0</v>
      </c>
      <c r="AI28" s="879">
        <f>IF(AG28=0,0,IF(AG$6=0,0,IF(AH28=0,0,((11-AH28)))-$B$6))</f>
        <v>0</v>
      </c>
      <c r="AJ28" s="878">
        <f>0+TEXT(Recording!M55,"00\:00\.00")</f>
        <v>0</v>
      </c>
      <c r="AK28" s="879">
        <f>IF(AJ28=0,0,IF(AJ$6=0,0,IF(AJ28&lt;1,SUM((AJ28&gt;I28),(AJ28&gt;L28),(AJ28&gt;O28),(AJ28&gt;R28),(AJ28&gt;U28),(AJ28&gt;X28),(AJ28&gt;AA28),(AJ28&gt;AD28),(AJ28&gt;AG28),(AJ28&gt;BE28)))-$AM28))</f>
        <v>0</v>
      </c>
      <c r="AL28" s="989">
        <f>IF(AJ28=0,0,IF(AJ$6=0,0,IF(AK28=0,0,((11-AK28)))-$B$6))</f>
        <v>0</v>
      </c>
      <c r="AM28" s="883">
        <f>COUNTBLANK(I601:R601)</f>
        <v>3</v>
      </c>
      <c r="BL28" s="1033"/>
      <c r="BM28" s="1033"/>
      <c r="BN28" s="1033"/>
      <c r="BO28" s="1033"/>
      <c r="BP28" s="1033"/>
      <c r="BQ28" s="1033"/>
      <c r="BR28" s="1033"/>
      <c r="BS28" s="1033"/>
      <c r="BT28" s="1033"/>
      <c r="BU28" s="1033"/>
    </row>
    <row r="29" spans="2:80" ht="35.25" customHeight="1" x14ac:dyDescent="0.3">
      <c r="B29" s="1337"/>
      <c r="C29" s="1360"/>
      <c r="D29" s="1332"/>
      <c r="E29" s="888" t="s">
        <v>5108</v>
      </c>
      <c r="I29" s="1367">
        <f>Recording!D56</f>
        <v>0</v>
      </c>
      <c r="J29" s="1367"/>
      <c r="K29" s="1367"/>
      <c r="L29" s="1367">
        <f>Recording!E56</f>
        <v>0</v>
      </c>
      <c r="M29" s="1367"/>
      <c r="N29" s="1367"/>
      <c r="O29" s="1367">
        <f>Recording!F56</f>
        <v>0</v>
      </c>
      <c r="P29" s="1367"/>
      <c r="Q29" s="1367"/>
      <c r="R29" s="1367">
        <f>Recording!G56</f>
        <v>0</v>
      </c>
      <c r="S29" s="1367"/>
      <c r="T29" s="1367"/>
      <c r="U29" s="1367">
        <f>Recording!H56</f>
        <v>0</v>
      </c>
      <c r="V29" s="1367"/>
      <c r="W29" s="1367"/>
      <c r="X29" s="1367">
        <f>Recording!I56</f>
        <v>0</v>
      </c>
      <c r="Y29" s="1367"/>
      <c r="Z29" s="1367"/>
      <c r="AA29" s="1367">
        <f>Recording!J56</f>
        <v>0</v>
      </c>
      <c r="AB29" s="1367"/>
      <c r="AC29" s="1367"/>
      <c r="AD29" s="1367">
        <f>Recording!K56</f>
        <v>0</v>
      </c>
      <c r="AE29" s="1367"/>
      <c r="AF29" s="1367"/>
      <c r="AG29" s="1367">
        <f>Recording!L56</f>
        <v>0</v>
      </c>
      <c r="AH29" s="1367"/>
      <c r="AI29" s="1367"/>
      <c r="AJ29" s="1367">
        <f>Recording!M56</f>
        <v>0</v>
      </c>
      <c r="AK29" s="1367"/>
      <c r="AL29" s="1367"/>
      <c r="AM29" s="883"/>
      <c r="BL29" s="1033"/>
      <c r="BM29" s="1033"/>
      <c r="BN29" s="1033"/>
      <c r="BO29" s="1033"/>
      <c r="BP29" s="1033"/>
      <c r="BQ29" s="1033"/>
      <c r="BR29" s="1033"/>
      <c r="BS29" s="1033"/>
      <c r="BT29" s="1033"/>
      <c r="BU29" s="1033"/>
    </row>
    <row r="30" spans="2:80" ht="35.25" customHeight="1" x14ac:dyDescent="0.3">
      <c r="B30" s="1337">
        <v>9</v>
      </c>
      <c r="C30" s="1358" t="s">
        <v>5083</v>
      </c>
      <c r="D30" s="1424" t="s">
        <v>5093</v>
      </c>
      <c r="E30" s="891" t="s">
        <v>5091</v>
      </c>
      <c r="I30" s="1030">
        <f>0+TEXT(Recording!D58,"00\:00\.00")</f>
        <v>0</v>
      </c>
      <c r="J30" s="879">
        <f>IF(I30=0,0,IF(I$6=0,0,IF(I30&lt;1,SUM((I30&gt;L30),(I30&gt;O30),(I30&gt;R30),(I30&gt;U30),(I30&gt;X30),(I30&gt;AA30),(I30&gt;AD30),(I30&gt;AG30),(I30&gt;AJ30),(I30&gt;BE30)))-$AM30))</f>
        <v>0</v>
      </c>
      <c r="K30" s="879">
        <f>IF(I30=0,0,IF(I$6=0,0,IF(J30=0,0,((11-J30)))-$B$6))</f>
        <v>0</v>
      </c>
      <c r="L30" s="878">
        <f>0+TEXT(Recording!E58,"00\:00\.00")</f>
        <v>1.6187500000000002E-3</v>
      </c>
      <c r="M30" s="879">
        <f>IF(L30=0,0,IF(L$6=0,0,IF(L30&lt;1,SUM((L30&gt;O30),(L30&gt;R30),(L30&gt;U30),(L30&gt;X30),(L30&gt;AA30),(L30&gt;AD30),(L30&gt;I30),(L30&gt;AG30),(L30&gt;AJ30),(L30&gt;BE30)))-$AM30))</f>
        <v>6</v>
      </c>
      <c r="N30" s="879">
        <f>IF(L30=0,0,IF(L$6=0,0,IF(M30=0,0,((11-M30)))-$B$6))</f>
        <v>2</v>
      </c>
      <c r="O30" s="878">
        <f>0+TEXT(Recording!F58,"00\:00\.00")</f>
        <v>1.6140046296296295E-3</v>
      </c>
      <c r="P30" s="879">
        <f>IF(O30=0,0,IF(O$6=0,0,IF(O30&lt;1,SUM((O30&gt;L30),(O30&gt;I30),(O30&gt;R30),(O30&gt;U30),(O30&gt;X30),(O30&gt;AA30),(O30&gt;AD30),(O30&gt;AG30),(O30&gt;AJ30),(O30&gt;BE30)))-$AM30))</f>
        <v>5</v>
      </c>
      <c r="Q30" s="879">
        <f>IF(O30=0,0,IF(O$6=0,0,IF(P30=0,0,((11-P30)))-$B$6))</f>
        <v>3</v>
      </c>
      <c r="R30" s="878">
        <f>0+TEXT(Recording!G58,"00\:00\.00")</f>
        <v>1.5174768518518517E-3</v>
      </c>
      <c r="S30" s="879">
        <f>IF(R30=0,0,IF(R$6=0,0,IF(R30&lt;1,SUM((R30&gt;L30),(R30&gt;O30),(R30&gt;I30),(R30&gt;U30),(R30&gt;X30),(R30&gt;AA30),(R30&gt;AD30),(R30&gt;AG30),(R30&gt;AJ30),(R30&gt;BE30)))-$AM30))</f>
        <v>1</v>
      </c>
      <c r="T30" s="879">
        <f>IF(R30=0,0,IF(R$6=0,0,IF(S30=0,0,((11-S30)))-$B$6))</f>
        <v>7</v>
      </c>
      <c r="U30" s="878">
        <f>0+TEXT(Recording!H58,"00\:00\.00")</f>
        <v>1.5806712962962962E-3</v>
      </c>
      <c r="V30" s="879">
        <f>IF(U30=0,0,IF(U$6=0,0,IF(U30&lt;1,SUM((U30&gt;L30),(U30&gt;O30),(U30&gt;R30),(U30&gt;I30),(U30&gt;X30),(U30&gt;AA30),(U30&gt;AD30),(U30&gt;AG30),(U30&gt;AJ30),(U30&gt;BE30)))-$AM30))</f>
        <v>3</v>
      </c>
      <c r="W30" s="879">
        <f>IF(U30=0,0,IF(U$6=0,0,IF(V30=0,0,((11-V30)))-$B$6))</f>
        <v>5</v>
      </c>
      <c r="X30" s="878">
        <f>0+TEXT(Recording!I58,"00\:00\.00")</f>
        <v>1.6027777777777776E-3</v>
      </c>
      <c r="Y30" s="879">
        <f>IF(X30=0,0,IF(X$6=0,0,IF(X30&lt;1,SUM((X30&gt;L30),(X30&gt;O30),(X30&gt;R30),(X30&gt;U30),(X30&gt;I30),(X30&gt;AA30),(X30&gt;AD30),(X30&gt;AG30),(X30&gt;AJ30),(X30&gt;BE30)))-$AM30))</f>
        <v>4</v>
      </c>
      <c r="Z30" s="879">
        <f>IF(X30=0,0,IF(X$6=0,0,IF(Y30=0,0,((11-Y30)))-$B$6))</f>
        <v>4</v>
      </c>
      <c r="AA30" s="878">
        <f>0+TEXT(Recording!J58,"00\:00\.00")</f>
        <v>1.5299768518518518E-3</v>
      </c>
      <c r="AB30" s="879">
        <f>IF(AA30=0,0,IF(AA$6=0,0,IF(AA30&lt;1,SUM((AA30&gt;L30),(AA30&gt;O30),(AA30&gt;R30),(AA30&gt;U30),(AA30&gt;X30),(AA30&gt;I30),(AA30&gt;AD30),(AA30&gt;AG30),(AA30&gt;AJ30),(AA30&gt;BE30))))-$AM30)</f>
        <v>2</v>
      </c>
      <c r="AC30" s="879">
        <f>IF(AA30=0,0,IF(AA$6=0,0,IF(AB30=0,0,((11-AB30)))-$B$6))</f>
        <v>6</v>
      </c>
      <c r="AD30" s="878">
        <f>0+TEXT(Recording!K58,"00\:00\.00")</f>
        <v>0</v>
      </c>
      <c r="AE30" s="879">
        <f>IF(AD30=0,0,IF(AD$6=0,0,IF(AD30&lt;1,SUM((AD30&gt;L30),(AD30&gt;O30),(AD30&gt;R30),(AD30&gt;U30),(AD30&gt;X30),(AD30&gt;AA30),(AD30&gt;AG30),(AD30&gt;AJ30),(AD30&gt;I30),(AD30&gt;BE30)))-$AM30))</f>
        <v>0</v>
      </c>
      <c r="AF30" s="879">
        <f>IF(AD30=0,0,IF(AD$6=0,0,IF(AE30=0,0,((11-AE30)))-$B$6))</f>
        <v>0</v>
      </c>
      <c r="AG30" s="878">
        <f>0+TEXT(Recording!L58,"00\:00\.00")</f>
        <v>0</v>
      </c>
      <c r="AH30" s="879">
        <f>IF(AG30=0,0,IF(AG$6=0,0,IF(AG30&lt;1,SUM((AG30&gt;I30),(AG30&gt;L30),(AG30&gt;O30),(AG30&gt;R30),(AG30&gt;U30),(AG30&gt;X30),(AG30&gt;AA30),(AG30&gt;AD30),(AG30&gt;AJ30),(AG30&gt;BE30)))-$AM30))</f>
        <v>0</v>
      </c>
      <c r="AI30" s="879">
        <f>IF(AG30=0,0,IF(AG$6=0,0,IF(AH30=0,0,((11-AH30)))-$B$6))</f>
        <v>0</v>
      </c>
      <c r="AJ30" s="878">
        <f>0+TEXT(Recording!M58,"00\:00\.00")</f>
        <v>0</v>
      </c>
      <c r="AK30" s="879">
        <f>IF(AJ30=0,0,IF(AJ$6=0,0,IF(AJ30&lt;1,SUM((AJ30&gt;I30),(AJ30&gt;L30),(AJ30&gt;O30),(AJ30&gt;R30),(AJ30&gt;U30),(AJ30&gt;X30),(AJ30&gt;AA30),(AJ30&gt;AD30),(AJ30&gt;AG30),(AJ30&gt;BE30)))-$AM30))</f>
        <v>0</v>
      </c>
      <c r="AL30" s="989">
        <f>IF(AJ30=0,0,IF(AJ$6=0,0,IF(AK30=0,0,((11-AK30)))-$B$6))</f>
        <v>0</v>
      </c>
      <c r="AM30" s="883">
        <f>COUNTBLANK(I602:R602)</f>
        <v>4</v>
      </c>
      <c r="BL30" s="1033"/>
      <c r="BM30" s="1033"/>
      <c r="BN30" s="1033"/>
      <c r="BO30" s="1033"/>
      <c r="BP30" s="1033"/>
      <c r="BQ30" s="1033"/>
      <c r="BR30" s="1033"/>
      <c r="BS30" s="1033"/>
      <c r="BT30" s="1033"/>
      <c r="BU30" s="1033"/>
    </row>
    <row r="31" spans="2:80" ht="35.25" customHeight="1" x14ac:dyDescent="0.3">
      <c r="B31" s="1337"/>
      <c r="C31" s="1358"/>
      <c r="D31" s="1424"/>
      <c r="E31" s="888" t="s">
        <v>5108</v>
      </c>
      <c r="I31" s="1367" t="str">
        <f>Recording!D59</f>
        <v>10.12 Jump before incoming swimmer touched the wall</v>
      </c>
      <c r="J31" s="1367"/>
      <c r="K31" s="1367"/>
      <c r="L31" s="1367">
        <f>Recording!E59</f>
        <v>0</v>
      </c>
      <c r="M31" s="1367"/>
      <c r="N31" s="1367"/>
      <c r="O31" s="1367">
        <f>Recording!F59</f>
        <v>0</v>
      </c>
      <c r="P31" s="1367"/>
      <c r="Q31" s="1367"/>
      <c r="R31" s="1367">
        <f>Recording!G59</f>
        <v>0</v>
      </c>
      <c r="S31" s="1367"/>
      <c r="T31" s="1367"/>
      <c r="U31" s="1367">
        <f>Recording!H59</f>
        <v>0</v>
      </c>
      <c r="V31" s="1367"/>
      <c r="W31" s="1367"/>
      <c r="X31" s="1367">
        <f>Recording!I59</f>
        <v>0</v>
      </c>
      <c r="Y31" s="1367"/>
      <c r="Z31" s="1367"/>
      <c r="AA31" s="1367">
        <f>Recording!J59</f>
        <v>0</v>
      </c>
      <c r="AB31" s="1367"/>
      <c r="AC31" s="1367"/>
      <c r="AD31" s="1367">
        <f>Recording!K59</f>
        <v>0</v>
      </c>
      <c r="AE31" s="1367"/>
      <c r="AF31" s="1367"/>
      <c r="AG31" s="1367">
        <f>Recording!L59</f>
        <v>0</v>
      </c>
      <c r="AH31" s="1367"/>
      <c r="AI31" s="1367"/>
      <c r="AJ31" s="1367">
        <f>Recording!M59</f>
        <v>0</v>
      </c>
      <c r="AK31" s="1367"/>
      <c r="AL31" s="1367"/>
      <c r="AM31" s="883"/>
      <c r="BL31" s="1033"/>
      <c r="BM31" s="1033"/>
      <c r="BN31" s="1033"/>
      <c r="BO31" s="1033"/>
      <c r="BP31" s="1033"/>
      <c r="BQ31" s="1033"/>
      <c r="BR31" s="1033"/>
      <c r="BS31" s="1033"/>
      <c r="BT31" s="1033"/>
      <c r="BU31" s="1033"/>
    </row>
    <row r="32" spans="2:80" ht="35.25" customHeight="1" x14ac:dyDescent="0.3">
      <c r="B32" s="1359">
        <v>10</v>
      </c>
      <c r="C32" s="1360" t="s">
        <v>5087</v>
      </c>
      <c r="D32" s="1424" t="s">
        <v>5093</v>
      </c>
      <c r="E32" s="891" t="s">
        <v>5091</v>
      </c>
      <c r="I32" s="1030">
        <f>0+TEXT(Recording!D61,"00\:00\.00")</f>
        <v>1.5916666666666666E-3</v>
      </c>
      <c r="J32" s="879">
        <f>IF(I32=0,0,IF(I$6=0,0,IF(I32&lt;1,SUM((I32&gt;L32),(I32&gt;O32),(I32&gt;R32),(I32&gt;U32),(I32&gt;X32),(I32&gt;AA32),(I32&gt;AD32),(I32&gt;AG32),(I32&gt;AJ32),(I32&gt;BE32)))-$AM32))</f>
        <v>6</v>
      </c>
      <c r="K32" s="879">
        <f>IF(I32=0,0,IF(I$6=0,0,IF(J32=0,0,((11-J32)))-$B$6))</f>
        <v>2</v>
      </c>
      <c r="L32" s="1030">
        <f>0+TEXT(Recording!E61,"00\:00\.00")</f>
        <v>1.5048611111111111E-3</v>
      </c>
      <c r="M32" s="879">
        <f>IF(L32=0,0,IF(L$6=0,0,IF(L32&lt;1,SUM((L32&gt;O32),(L32&gt;R32),(L32&gt;U32),(L32&gt;X32),(L32&gt;AA32),(L32&gt;AD32),(L32&gt;I32),(L32&gt;AG32),(L32&gt;AJ32),(L32&gt;BE32)))-$AM32))</f>
        <v>5</v>
      </c>
      <c r="N32" s="879">
        <f>IF(L32=0,0,IF(L$6=0,0,IF(M32=0,0,((11-M32)))-$B$6))</f>
        <v>3</v>
      </c>
      <c r="O32" s="1030">
        <f>0+TEXT(Recording!F61,"00\:00\.00")</f>
        <v>0</v>
      </c>
      <c r="P32" s="879">
        <f>IF(O32=0,0,IF(O$6=0,0,IF(O32&lt;1,SUM((O32&gt;L32),(O32&gt;I32),(O32&gt;R32),(O32&gt;U32),(O32&gt;X32),(O32&gt;AA32),(O32&gt;AD32),(O32&gt;AG32),(O32&gt;AJ32),(O32&gt;BE32)))-$AM32))</f>
        <v>0</v>
      </c>
      <c r="Q32" s="879">
        <f>IF(O32=0,0,IF(O$6=0,0,IF(P32=0,0,((11-P32)))-$B$6))</f>
        <v>0</v>
      </c>
      <c r="R32" s="1030">
        <f>0+TEXT(Recording!G61,"00\:00\.00")</f>
        <v>1.3813657407407409E-3</v>
      </c>
      <c r="S32" s="879">
        <f>IF(R32=0,0,IF(R$6=0,0,IF(R32&lt;1,SUM((R32&gt;L32),(R32&gt;O32),(R32&gt;I32),(R32&gt;U32),(R32&gt;X32),(R32&gt;AA32),(R32&gt;AD32),(R32&gt;AG32),(R32&gt;AJ32),(R32&gt;BE32)))-$AM32))</f>
        <v>2</v>
      </c>
      <c r="T32" s="879">
        <f>IF(R32=0,0,IF(R$6=0,0,IF(S32=0,0,((11-S32)))-$B$6))</f>
        <v>6</v>
      </c>
      <c r="U32" s="1030">
        <f>0+TEXT(Recording!H61,"00\:00\.00")</f>
        <v>1.4202546296296298E-3</v>
      </c>
      <c r="V32" s="879">
        <f>IF(U32=0,0,IF(U$6=0,0,IF(U32&lt;1,SUM((U32&gt;L32),(U32&gt;O32),(U32&gt;R32),(U32&gt;I32),(U32&gt;X32),(U32&gt;AA32),(U32&gt;AD32),(U32&gt;AG32),(U32&gt;AJ32),(U32&gt;BE32)))-$AM32))</f>
        <v>4</v>
      </c>
      <c r="W32" s="879">
        <f>IF(U32=0,0,IF(U$6=0,0,IF(V32=0,0,((11-V32)))-$B$6))</f>
        <v>4</v>
      </c>
      <c r="X32" s="1030">
        <f>0+TEXT(Recording!I61,"00\:00\.00")</f>
        <v>1.3542824074074073E-3</v>
      </c>
      <c r="Y32" s="879">
        <f>IF(X32=0,0,IF(X$6=0,0,IF(X32&lt;1,SUM((X32&gt;L32),(X32&gt;O32),(X32&gt;R32),(X32&gt;U32),(X32&gt;I32),(X32&gt;AA32),(X32&gt;AD32),(X32&gt;AG32),(X32&gt;AJ32),(X32&gt;BE32)))-$AM32))</f>
        <v>1</v>
      </c>
      <c r="Z32" s="879">
        <f>IF(X32=0,0,IF(X$6=0,0,IF(Y32=0,0,((11-Y32)))-$B$6))</f>
        <v>7</v>
      </c>
      <c r="AA32" s="1030">
        <f>0+TEXT(Recording!J61,"00\:00\.00")</f>
        <v>1.420138888888889E-3</v>
      </c>
      <c r="AB32" s="879">
        <f>IF(AA32=0,0,IF(AA$6=0,0,IF(AA32&lt;1,SUM((AA32&gt;L32),(AA32&gt;O32),(AA32&gt;R32),(AA32&gt;U32),(AA32&gt;X32),(AA32&gt;I32),(AA32&gt;AD32),(AA32&gt;AG32),(AA32&gt;AJ32),(AA32&gt;BE32))))-$AM32)</f>
        <v>3</v>
      </c>
      <c r="AC32" s="879">
        <f>IF(AA32=0,0,IF(AA$6=0,0,IF(AB32=0,0,((11-AB32)))-$B$6))</f>
        <v>5</v>
      </c>
      <c r="AD32" s="1030">
        <f>0+TEXT(Recording!K61,"00\:00\.00")</f>
        <v>0</v>
      </c>
      <c r="AE32" s="879">
        <f>IF(AD32=0,0,IF(AD$6=0,0,IF(AD32&lt;1,SUM((AD32&gt;L32),(AD32&gt;O32),(AD32&gt;R32),(AD32&gt;U32),(AD32&gt;X32),(AD32&gt;AA32),(AD32&gt;AG32),(AD32&gt;AJ32),(AD32&gt;I32),(AD32&gt;BE32)))-$AM32))</f>
        <v>0</v>
      </c>
      <c r="AF32" s="879">
        <f>IF(AD32=0,0,IF(AD$6=0,0,IF(AE32=0,0,((11-AE32)))-$B$6))</f>
        <v>0</v>
      </c>
      <c r="AG32" s="1030">
        <f>0+TEXT(Recording!L61,"00\:00\.00")</f>
        <v>0</v>
      </c>
      <c r="AH32" s="879">
        <f>IF(AG32=0,0,IF(AG$6=0,0,IF(AG32&lt;1,SUM((AG32&gt;I32),(AG32&gt;L32),(AG32&gt;O32),(AG32&gt;R32),(AG32&gt;U32),(AG32&gt;X32),(AG32&gt;AA32),(AG32&gt;AD32),(AG32&gt;AJ32),(AG32&gt;BE32)))-$AM32))</f>
        <v>0</v>
      </c>
      <c r="AI32" s="879">
        <f>IF(AG32=0,0,IF(AG$6=0,0,IF(AH32=0,0,((11-AH32)))-$B$6))</f>
        <v>0</v>
      </c>
      <c r="AJ32" s="1030">
        <f>0+TEXT(Recording!M61,"00\:00\.00")</f>
        <v>0</v>
      </c>
      <c r="AK32" s="879">
        <f>IF(AJ32=0,0,IF(AJ$6=0,0,IF(AJ32&lt;1,SUM((AJ32&gt;I32),(AJ32&gt;L32),(AJ32&gt;O32),(AJ32&gt;R32),(AJ32&gt;U32),(AJ32&gt;X32),(AJ32&gt;AA32),(AJ32&gt;AD32),(AJ32&gt;AG32),(AJ32&gt;BE32)))-$AM32))</f>
        <v>0</v>
      </c>
      <c r="AL32" s="989">
        <f>IF(AJ32=0,0,IF(AJ$6=0,0,IF(AK32=0,0,((11-AK32)))-$B$6))</f>
        <v>0</v>
      </c>
      <c r="AM32" s="883">
        <f>COUNTBLANK(I603:R603)</f>
        <v>4</v>
      </c>
      <c r="BL32" s="1033"/>
      <c r="BM32" s="1033"/>
      <c r="BN32" s="1033"/>
      <c r="BO32" s="1033"/>
      <c r="BP32" s="1033"/>
      <c r="BQ32" s="1033"/>
      <c r="BR32" s="1033"/>
      <c r="BS32" s="1033"/>
      <c r="BT32" s="1033"/>
      <c r="BU32" s="1033"/>
    </row>
    <row r="33" spans="2:80" ht="35.25" customHeight="1" x14ac:dyDescent="0.3">
      <c r="B33" s="1359"/>
      <c r="C33" s="1360"/>
      <c r="D33" s="1424"/>
      <c r="E33" s="888" t="s">
        <v>5108</v>
      </c>
      <c r="I33" s="1367">
        <f>Recording!D62</f>
        <v>0</v>
      </c>
      <c r="J33" s="1367"/>
      <c r="K33" s="1367"/>
      <c r="L33" s="1367">
        <f>Recording!E62</f>
        <v>0</v>
      </c>
      <c r="M33" s="1367"/>
      <c r="N33" s="1367"/>
      <c r="O33" s="1367" t="str">
        <f>Recording!F62</f>
        <v>10.12 swimmer left the block before incoming swimmer touched the wall</v>
      </c>
      <c r="P33" s="1367"/>
      <c r="Q33" s="1367"/>
      <c r="R33" s="1367">
        <f>Recording!G62</f>
        <v>0</v>
      </c>
      <c r="S33" s="1367"/>
      <c r="T33" s="1367"/>
      <c r="U33" s="1367">
        <f>Recording!H62</f>
        <v>0</v>
      </c>
      <c r="V33" s="1367"/>
      <c r="W33" s="1367"/>
      <c r="X33" s="1367">
        <f>Recording!I62</f>
        <v>0</v>
      </c>
      <c r="Y33" s="1367"/>
      <c r="Z33" s="1367"/>
      <c r="AA33" s="1367">
        <f>Recording!J62</f>
        <v>0</v>
      </c>
      <c r="AB33" s="1367"/>
      <c r="AC33" s="1367"/>
      <c r="AD33" s="1367">
        <f>Recording!K62</f>
        <v>0</v>
      </c>
      <c r="AE33" s="1367"/>
      <c r="AF33" s="1367"/>
      <c r="AG33" s="1367">
        <f>Recording!L62</f>
        <v>0</v>
      </c>
      <c r="AH33" s="1367"/>
      <c r="AI33" s="1367"/>
      <c r="AJ33" s="1367">
        <f>Recording!M62</f>
        <v>0</v>
      </c>
      <c r="AK33" s="1367"/>
      <c r="AL33" s="1367"/>
      <c r="AM33" s="883"/>
      <c r="BL33" s="1033"/>
      <c r="BM33" s="1033"/>
      <c r="BN33" s="1033"/>
      <c r="BO33" s="1033"/>
      <c r="BP33" s="1033"/>
      <c r="BQ33" s="1033"/>
      <c r="BR33" s="1033"/>
      <c r="BS33" s="1033"/>
      <c r="BT33" s="1033"/>
      <c r="BU33" s="1033"/>
    </row>
    <row r="34" spans="2:80" ht="35.25" customHeight="1" x14ac:dyDescent="0.3">
      <c r="B34" s="1349">
        <v>11</v>
      </c>
      <c r="C34" s="1333" t="s">
        <v>5083</v>
      </c>
      <c r="D34" s="1429" t="s">
        <v>5094</v>
      </c>
      <c r="E34" s="1350" t="s">
        <v>5095</v>
      </c>
      <c r="I34" s="1030">
        <f>0+TEXT(Recording!D64,"00\:00\.00")</f>
        <v>5.1493055555555558E-4</v>
      </c>
      <c r="J34" s="879">
        <f>IF(I34=0,0,IF(I$6=0,0,IF(I34&lt;1,SUM((I34&gt;L34),(I34&gt;O34),(I34&gt;R34),(I34&gt;U34),(I34&gt;X34),(I34&gt;AA34),(I34&gt;AD34),(I34&gt;AG34),(I34&gt;AJ34),(I34&gt;BE34)))-$AM34))</f>
        <v>4</v>
      </c>
      <c r="K34" s="879">
        <f>IF(I34=0,0,IF(I$6=0,0,IF(J34=0,0,((11-J34)))-$B$6))</f>
        <v>4</v>
      </c>
      <c r="L34" s="878">
        <f>0+TEXT(Recording!E64,"00\:00\.00")</f>
        <v>5.1990740740740741E-4</v>
      </c>
      <c r="M34" s="879">
        <f>IF(L34=0,0,IF(L$6=0,0,IF(L34&lt;1,SUM((L34&gt;O34),(L34&gt;R34),(L34&gt;U34),(L34&gt;X34),(L34&gt;AA34),(L34&gt;AD34),(L34&gt;I34),(L34&gt;AG34),(L34&gt;AJ34),(L34&gt;BE34)))-$AM34))</f>
        <v>5</v>
      </c>
      <c r="N34" s="879">
        <f>IF(L34=0,0,IF(L$6=0,0,IF(M34=0,0,((11-M34)))-$B$6))</f>
        <v>3</v>
      </c>
      <c r="O34" s="878">
        <f>0+TEXT(Recording!F64,"00\:00\.00")</f>
        <v>0</v>
      </c>
      <c r="P34" s="879">
        <f>IF(O34=0,0,IF(O$6=0,0,IF(O34&lt;1,SUM((O34&gt;L34),(O34&gt;I34),(O34&gt;R34),(O34&gt;U34),(O34&gt;X34),(O34&gt;AA34),(O34&gt;AD34),(O34&gt;AG34),(O34&gt;AJ34),(O34&gt;BE34)))-$AM34))</f>
        <v>0</v>
      </c>
      <c r="Q34" s="879">
        <f>IF(O34=0,0,IF(O$6=0,0,IF(P34=0,0,((11-P34)))-$B$6))</f>
        <v>0</v>
      </c>
      <c r="R34" s="878">
        <f>0+TEXT(Recording!G64,"00\:00\.00")</f>
        <v>4.6643518518518518E-4</v>
      </c>
      <c r="S34" s="879">
        <f>IF(R34=0,0,IF(R$6=0,0,IF(R34&lt;1,SUM((R34&gt;L34),(R34&gt;O34),(R34&gt;I34),(R34&gt;U34),(R34&gt;X34),(R34&gt;AA34),(R34&gt;AD34),(R34&gt;AG34),(R34&gt;AJ34),(R34&gt;BE34)))-$AM34))</f>
        <v>2</v>
      </c>
      <c r="T34" s="879">
        <f>IF(R34=0,0,IF(R$6=0,0,IF(S34=0,0,((11-S34)))-$B$6))</f>
        <v>6</v>
      </c>
      <c r="U34" s="878">
        <f>0+TEXT(Recording!H64,"00\:00\.00")</f>
        <v>4.6516203703703699E-4</v>
      </c>
      <c r="V34" s="879">
        <f>IF(U34=0,0,IF(U$6=0,0,IF(U34&lt;1,SUM((U34&gt;L34),(U34&gt;O34),(U34&gt;R34),(U34&gt;I34),(U34&gt;X34),(U34&gt;AA34),(U34&gt;AD34),(U34&gt;AG34),(U34&gt;AJ34),(U34&gt;BE34)))-$AM34))</f>
        <v>1</v>
      </c>
      <c r="W34" s="879">
        <f>IF(U34=0,0,IF(U$6=0,0,IF(V34=0,0,((11-V34)))-$B$6))</f>
        <v>7</v>
      </c>
      <c r="X34" s="878">
        <f>0+TEXT(Recording!I64,"00\:00\.00")</f>
        <v>5.346064814814815E-4</v>
      </c>
      <c r="Y34" s="879">
        <f>IF(X34=0,0,IF(X$6=0,0,IF(X34&lt;1,SUM((X34&gt;L34),(X34&gt;O34),(X34&gt;R34),(X34&gt;U34),(X34&gt;I34),(X34&gt;AA34),(X34&gt;AD34),(X34&gt;AG34),(X34&gt;AJ34),(X34&gt;BE34)))-$AM34))</f>
        <v>6</v>
      </c>
      <c r="Z34" s="879">
        <f>IF(X34=0,0,IF(X$6=0,0,IF(Y34=0,0,((11-Y34)))-$B$6))</f>
        <v>2</v>
      </c>
      <c r="AA34" s="878">
        <f>0+TEXT(Recording!J64,"00\:00\.00")</f>
        <v>4.9548611111111115E-4</v>
      </c>
      <c r="AB34" s="879">
        <f>IF(AA34=0,0,IF(AA$6=0,0,IF(AA34&lt;1,SUM((AA34&gt;L34),(AA34&gt;O34),(AA34&gt;R34),(AA34&gt;U34),(AA34&gt;X34),(AA34&gt;I34),(AA34&gt;AD34),(AA34&gt;AG34),(AA34&gt;AJ34),(AA34&gt;BE34))))-$AM34)</f>
        <v>3</v>
      </c>
      <c r="AC34" s="879">
        <f>IF(AA34=0,0,IF(AA$6=0,0,IF(AB34=0,0,((11-AB34)))-$B$6))</f>
        <v>5</v>
      </c>
      <c r="AD34" s="878">
        <f>0+TEXT(Recording!K64,"00\:00\.00")</f>
        <v>0</v>
      </c>
      <c r="AE34" s="879">
        <f>IF(AD34=0,0,IF(AD$6=0,0,IF(AD34&lt;1,SUM((AD34&gt;L34),(AD34&gt;O34),(AD34&gt;R34),(AD34&gt;U34),(AD34&gt;X34),(AD34&gt;AA34),(AD34&gt;AG34),(AD34&gt;AJ34),(AD34&gt;I34),(AD34&gt;BE34)))-$AM34))</f>
        <v>0</v>
      </c>
      <c r="AF34" s="879">
        <f>IF(AD34=0,0,IF(AD$6=0,0,IF(AE34=0,0,((11-AE34)))-$B$6))</f>
        <v>0</v>
      </c>
      <c r="AG34" s="878">
        <f>0+TEXT(Recording!L64,"00\:00\.00")</f>
        <v>0</v>
      </c>
      <c r="AH34" s="879">
        <f>IF(AG34=0,0,IF(AG$6=0,0,IF(AG34&lt;1,SUM((AG34&gt;I34),(AG34&gt;L34),(AG34&gt;O34),(AG34&gt;R34),(AG34&gt;U34),(AG34&gt;X34),(AG34&gt;AA34),(AG34&gt;AD34),(AG34&gt;AJ34),(AG34&gt;BE34)))-$AM34))</f>
        <v>0</v>
      </c>
      <c r="AI34" s="879">
        <f>IF(AG34=0,0,IF(AG$6=0,0,IF(AH34=0,0,((11-AH34)))-$B$6))</f>
        <v>0</v>
      </c>
      <c r="AJ34" s="878">
        <f>0+TEXT(Recording!M64,"00\:00\.00")</f>
        <v>0</v>
      </c>
      <c r="AK34" s="879">
        <f>IF(AJ34=0,0,IF(AJ$6=0,0,IF(AJ34&lt;1,SUM((AJ34&gt;I34),(AJ34&gt;L34),(AJ34&gt;O34),(AJ34&gt;R34),(AJ34&gt;U34),(AJ34&gt;X34),(AJ34&gt;AA34),(AJ34&gt;AD34),(AJ34&gt;AG34),(AJ34&gt;BE34)))-$AM34))</f>
        <v>0</v>
      </c>
      <c r="AL34" s="989">
        <f>IF(AJ34=0,0,IF(AJ$6=0,0,IF(AK34=0,0,((11-AK34)))-$B$6))</f>
        <v>0</v>
      </c>
      <c r="AM34" s="883">
        <f>COUNTBLANK(I604:R604)</f>
        <v>4</v>
      </c>
      <c r="BL34" s="1033"/>
      <c r="BM34" s="1033"/>
      <c r="BN34" s="1033"/>
      <c r="BO34" s="1033"/>
      <c r="BP34" s="1033"/>
      <c r="BQ34" s="1033"/>
      <c r="BR34" s="1033"/>
      <c r="BS34" s="1033"/>
      <c r="BT34" s="1033"/>
      <c r="BU34" s="1033"/>
    </row>
    <row r="35" spans="2:80" ht="35.25" customHeight="1" x14ac:dyDescent="0.3">
      <c r="B35" s="1349"/>
      <c r="C35" s="1333"/>
      <c r="D35" s="1429"/>
      <c r="E35" s="1350"/>
      <c r="I35" s="1351" t="str">
        <f>PROPER('Team 1'!$I$38)</f>
        <v>Eleanor Skinner</v>
      </c>
      <c r="J35" s="1351"/>
      <c r="K35" s="1351"/>
      <c r="L35" s="1351" t="str">
        <f>PROPER('Team 2'!$I$38)</f>
        <v>Esmae Green</v>
      </c>
      <c r="M35" s="1351"/>
      <c r="N35" s="1351"/>
      <c r="O35" s="1351" t="str">
        <f>PROPER('Team 3'!$I$38)</f>
        <v>Hannah Jounor</v>
      </c>
      <c r="P35" s="1351"/>
      <c r="Q35" s="1351"/>
      <c r="R35" s="1351" t="str">
        <f>PROPER('Team 4'!$I$38)</f>
        <v>Chelsea Dare</v>
      </c>
      <c r="S35" s="1351"/>
      <c r="T35" s="1351"/>
      <c r="U35" s="1351" t="str">
        <f>PROPER('Team 5'!$I$38)</f>
        <v>Maisie Cooper</v>
      </c>
      <c r="V35" s="1351"/>
      <c r="W35" s="1351"/>
      <c r="X35" s="1351" t="str">
        <f>PROPER('Team 6'!$I$38)</f>
        <v>Mahika Chandrashekar</v>
      </c>
      <c r="Y35" s="1351"/>
      <c r="Z35" s="1351"/>
      <c r="AA35" s="1351" t="str">
        <f>PROPER('Team 7'!$I$38)</f>
        <v>Zara Jobanputra</v>
      </c>
      <c r="AB35" s="1351"/>
      <c r="AC35" s="1351"/>
      <c r="AD35" s="1351" t="str">
        <f>PROPER('Team 8'!$I$38)</f>
        <v xml:space="preserve"> </v>
      </c>
      <c r="AE35" s="1351"/>
      <c r="AF35" s="1351"/>
      <c r="AG35" s="1351" t="str">
        <f>PROPER('Team 9'!$I$38)</f>
        <v xml:space="preserve"> </v>
      </c>
      <c r="AH35" s="1351"/>
      <c r="AI35" s="1351"/>
      <c r="AJ35" s="1351" t="str">
        <f>PROPER('Team 10'!$I$38)</f>
        <v xml:space="preserve"> </v>
      </c>
      <c r="AK35" s="1351"/>
      <c r="AL35" s="1351"/>
      <c r="AM35" s="883"/>
      <c r="BL35" s="1033"/>
      <c r="BM35" s="1033"/>
      <c r="BN35" s="1033"/>
      <c r="BO35" s="1033"/>
      <c r="BP35" s="1033"/>
      <c r="BQ35" s="1033"/>
      <c r="BR35" s="1033"/>
      <c r="BS35" s="1033"/>
      <c r="BT35" s="1033"/>
      <c r="BU35" s="1033"/>
    </row>
    <row r="36" spans="2:80" ht="35.25" customHeight="1" x14ac:dyDescent="0.3">
      <c r="B36" s="1349"/>
      <c r="C36" s="1333"/>
      <c r="D36" s="1429"/>
      <c r="E36" s="888" t="s">
        <v>5108</v>
      </c>
      <c r="I36" s="1367">
        <f>Recording!D66</f>
        <v>0</v>
      </c>
      <c r="J36" s="1367"/>
      <c r="K36" s="1367"/>
      <c r="L36" s="1367">
        <f>Recording!E66</f>
        <v>0</v>
      </c>
      <c r="M36" s="1367"/>
      <c r="N36" s="1367"/>
      <c r="O36" s="1367">
        <f>Recording!F66</f>
        <v>0</v>
      </c>
      <c r="P36" s="1367"/>
      <c r="Q36" s="1367"/>
      <c r="R36" s="1367">
        <f>Recording!G66</f>
        <v>0</v>
      </c>
      <c r="S36" s="1367"/>
      <c r="T36" s="1367"/>
      <c r="U36" s="1367">
        <f>Recording!H66</f>
        <v>0</v>
      </c>
      <c r="V36" s="1367"/>
      <c r="W36" s="1367"/>
      <c r="X36" s="1367">
        <f>Recording!I66</f>
        <v>0</v>
      </c>
      <c r="Y36" s="1367"/>
      <c r="Z36" s="1367"/>
      <c r="AA36" s="1367">
        <f>Recording!J66</f>
        <v>0</v>
      </c>
      <c r="AB36" s="1367"/>
      <c r="AC36" s="1367"/>
      <c r="AD36" s="1367">
        <f>Recording!K66</f>
        <v>0</v>
      </c>
      <c r="AE36" s="1367"/>
      <c r="AF36" s="1367"/>
      <c r="AG36" s="1367">
        <f>Recording!L66</f>
        <v>0</v>
      </c>
      <c r="AH36" s="1367"/>
      <c r="AI36" s="1367"/>
      <c r="AJ36" s="1367">
        <f>Recording!M66</f>
        <v>0</v>
      </c>
      <c r="AK36" s="1367"/>
      <c r="AL36" s="1367"/>
      <c r="AM36" s="883"/>
      <c r="BL36" s="1033"/>
      <c r="BM36" s="1033"/>
      <c r="BN36" s="1033"/>
      <c r="BO36" s="1033"/>
      <c r="BP36" s="1033"/>
      <c r="BQ36" s="1033"/>
      <c r="BR36" s="1033"/>
      <c r="BS36" s="1033"/>
      <c r="BT36" s="1033"/>
      <c r="BU36" s="1033"/>
    </row>
    <row r="37" spans="2:80" ht="35.25" customHeight="1" x14ac:dyDescent="0.3">
      <c r="B37" s="1355">
        <v>12</v>
      </c>
      <c r="C37" s="1343" t="s">
        <v>5087</v>
      </c>
      <c r="D37" s="1429" t="s">
        <v>5094</v>
      </c>
      <c r="E37" s="1350" t="s">
        <v>5095</v>
      </c>
      <c r="I37" s="1030">
        <f>0+TEXT(Recording!D68,"00\:00\.00")</f>
        <v>0</v>
      </c>
      <c r="J37" s="879">
        <f>IF(I37=0,0,IF(I$6=0,0,IF(I37&lt;1,SUM((I37&gt;L37),(I37&gt;O37),(I37&gt;R37),(I37&gt;U37),(I37&gt;X37),(I37&gt;AA37),(I37&gt;AD37),(I37&gt;AG37),(I37&gt;AJ37),(I37&gt;BE37)))-$AM37))</f>
        <v>0</v>
      </c>
      <c r="K37" s="879">
        <f>IF(I37=0,0,IF(I$6=0,0,IF(J37=0,0,((11-J37)))-$B$6))</f>
        <v>0</v>
      </c>
      <c r="L37" s="878">
        <f>0+TEXT(Recording!E68,"00\:00\.00")</f>
        <v>4.6608796296296302E-4</v>
      </c>
      <c r="M37" s="879">
        <f>IF(L37=0,0,IF(L$6=0,0,IF(L37&lt;1,SUM((L37&gt;O37),(L37&gt;R37),(L37&gt;U37),(L37&gt;X37),(L37&gt;AA37),(L37&gt;AD37),(L37&gt;I37),(L37&gt;AG37),(L37&gt;AJ37),(L37&gt;BE37)))-$AM37))</f>
        <v>1</v>
      </c>
      <c r="N37" s="879">
        <f>IF(L37=0,0,IF(L$6=0,0,IF(M37=0,0,((11-M37)))-$B$6))</f>
        <v>7</v>
      </c>
      <c r="O37" s="878">
        <f>0+TEXT(Recording!F68,"00\:00\.00")</f>
        <v>5.4340277777777785E-4</v>
      </c>
      <c r="P37" s="879">
        <f>IF(O37=0,0,IF(O$6=0,0,IF(O37&lt;1,SUM((O37&gt;L37),(O37&gt;I37),(O37&gt;R37),(O37&gt;U37),(O37&gt;X37),(O37&gt;AA37),(O37&gt;AD37),(O37&gt;AG37),(O37&gt;AJ37),(O37&gt;BE37)))-$AM37))</f>
        <v>6</v>
      </c>
      <c r="Q37" s="879">
        <f>IF(O37=0,0,IF(O$6=0,0,IF(P37=0,0,((11-P37)))-$B$6))</f>
        <v>2</v>
      </c>
      <c r="R37" s="878">
        <f>0+TEXT(Recording!G68,"00\:00\.00")</f>
        <v>5.3668981481481482E-4</v>
      </c>
      <c r="S37" s="879">
        <f>IF(R37=0,0,IF(R$6=0,0,IF(R37&lt;1,SUM((R37&gt;L37),(R37&gt;O37),(R37&gt;I37),(R37&gt;U37),(R37&gt;X37),(R37&gt;AA37),(R37&gt;AD37),(R37&gt;AG37),(R37&gt;AJ37),(R37&gt;BE37)))-$AM37))</f>
        <v>5</v>
      </c>
      <c r="T37" s="879">
        <f>IF(R37=0,0,IF(R$6=0,0,IF(S37=0,0,((11-S37)))-$B$6))</f>
        <v>3</v>
      </c>
      <c r="U37" s="878">
        <f>0+TEXT(Recording!H68,"00\:00\.00")</f>
        <v>4.7870370370370368E-4</v>
      </c>
      <c r="V37" s="879">
        <f>IF(U37=0,0,IF(U$6=0,0,IF(U37&lt;1,SUM((U37&gt;L37),(U37&gt;O37),(U37&gt;R37),(U37&gt;I37),(U37&gt;X37),(U37&gt;AA37),(U37&gt;AD37),(U37&gt;AG37),(U37&gt;AJ37),(U37&gt;BE37)))-$AM37))</f>
        <v>2</v>
      </c>
      <c r="W37" s="879">
        <f>IF(U37=0,0,IF(U$6=0,0,IF(V37=0,0,((11-V37)))-$B$6))</f>
        <v>6</v>
      </c>
      <c r="X37" s="878">
        <f>0+TEXT(Recording!I68,"00\:00\.00")</f>
        <v>5.2071759259259259E-4</v>
      </c>
      <c r="Y37" s="879">
        <f>IF(X37=0,0,IF(X$6=0,0,IF(X37&lt;1,SUM((X37&gt;L37),(X37&gt;O37),(X37&gt;R37),(X37&gt;U37),(X37&gt;I37),(X37&gt;AA37),(X37&gt;AD37),(X37&gt;AG37),(X37&gt;AJ37),(X37&gt;BE37)))-$AM37))</f>
        <v>3</v>
      </c>
      <c r="Z37" s="879">
        <f>IF(X37=0,0,IF(X$6=0,0,IF(Y37=0,0,((11-Y37)))-$B$6))</f>
        <v>5</v>
      </c>
      <c r="AA37" s="878">
        <f>0+TEXT(Recording!J68,"00\:00\.00")</f>
        <v>5.3321759259259262E-4</v>
      </c>
      <c r="AB37" s="879">
        <f>IF(AA37=0,0,IF(AA$6=0,0,IF(AA37&lt;1,SUM((AA37&gt;L37),(AA37&gt;O37),(AA37&gt;R37),(AA37&gt;U37),(AA37&gt;X37),(AA37&gt;I37),(AA37&gt;AD37),(AA37&gt;AG37),(AA37&gt;AJ37),(AA37&gt;BE37))))-$AM37)</f>
        <v>4</v>
      </c>
      <c r="AC37" s="879">
        <f>IF(AA37=0,0,IF(AA$6=0,0,IF(AB37=0,0,((11-AB37)))-$B$6))</f>
        <v>4</v>
      </c>
      <c r="AD37" s="878">
        <f>0+TEXT(Recording!K68,"00\:00\.00")</f>
        <v>0</v>
      </c>
      <c r="AE37" s="879">
        <f>IF(AD37=0,0,IF(AD$6=0,0,IF(AD37&lt;1,SUM((AD37&gt;L37),(AD37&gt;O37),(AD37&gt;R37),(AD37&gt;U37),(AD37&gt;X37),(AD37&gt;AA37),(AD37&gt;AG37),(AD37&gt;AJ37),(AD37&gt;I37),(AD37&gt;BE37)))-$AM37))</f>
        <v>0</v>
      </c>
      <c r="AF37" s="879">
        <f>IF(AD37=0,0,IF(AD$6=0,0,IF(AE37=0,0,((11-AE37)))-$B$6))</f>
        <v>0</v>
      </c>
      <c r="AG37" s="878">
        <f>0+TEXT(Recording!L68,"00\:00\.00")</f>
        <v>0</v>
      </c>
      <c r="AH37" s="879">
        <f>IF(AG37=0,0,IF(AG$6=0,0,IF(AG37&lt;1,SUM((AG37&gt;I37),(AG37&gt;L37),(AG37&gt;O37),(AG37&gt;R37),(AG37&gt;U37),(AG37&gt;X37),(AG37&gt;AA37),(AG37&gt;AD37),(AG37&gt;AJ37),(AG37&gt;BE37)))-$AM37))</f>
        <v>0</v>
      </c>
      <c r="AI37" s="879">
        <f>IF(AG37=0,0,IF(AG$6=0,0,IF(AH37=0,0,((11-AH37)))-$B$6))</f>
        <v>0</v>
      </c>
      <c r="AJ37" s="878">
        <f>0+TEXT(Recording!M68,"00\:00\.00")</f>
        <v>0</v>
      </c>
      <c r="AK37" s="879">
        <f>IF(AJ37=0,0,IF(AJ$6=0,0,IF(AJ37&lt;1,SUM((AJ37&gt;I37),(AJ37&gt;L37),(AJ37&gt;O37),(AJ37&gt;R37),(AJ37&gt;U37),(AJ37&gt;X37),(AJ37&gt;AA37),(AJ37&gt;AD37),(AJ37&gt;AG37),(AJ37&gt;BE37)))-$AM37))</f>
        <v>0</v>
      </c>
      <c r="AL37" s="989">
        <f>IF(AJ37=0,0,IF(AJ$6=0,0,IF(AK37=0,0,((11-AK37)))-$B$6))</f>
        <v>0</v>
      </c>
      <c r="AM37" s="896">
        <f>COUNTBLANK(I605:R605)</f>
        <v>4</v>
      </c>
      <c r="BL37" s="1033"/>
      <c r="BM37" s="1033"/>
      <c r="BN37" s="1033"/>
      <c r="BO37" s="1033"/>
      <c r="BP37" s="1033"/>
      <c r="BQ37" s="1033"/>
      <c r="BR37" s="1033"/>
      <c r="BS37" s="1033"/>
      <c r="BT37" s="1033"/>
      <c r="BU37" s="1033"/>
    </row>
    <row r="38" spans="2:80" ht="35.25" customHeight="1" x14ac:dyDescent="0.3">
      <c r="B38" s="1355"/>
      <c r="C38" s="1343"/>
      <c r="D38" s="1429"/>
      <c r="E38" s="1350"/>
      <c r="I38" s="1351" t="str">
        <f>PROPER('Team 1'!$I$39)</f>
        <v>Leonardo Goad</v>
      </c>
      <c r="J38" s="1351"/>
      <c r="K38" s="1351"/>
      <c r="L38" s="1351" t="str">
        <f>PROPER('Team 2'!$I$39)</f>
        <v>James Winter</v>
      </c>
      <c r="M38" s="1351"/>
      <c r="N38" s="1351"/>
      <c r="O38" s="1351" t="str">
        <f>PROPER('Team 3'!$I$39)</f>
        <v>Liam  Thompson</v>
      </c>
      <c r="P38" s="1351"/>
      <c r="Q38" s="1351"/>
      <c r="R38" s="1351" t="str">
        <f>PROPER('Team 4'!$I$39)</f>
        <v>Simon Rosa</v>
      </c>
      <c r="S38" s="1351"/>
      <c r="T38" s="1351"/>
      <c r="U38" s="1351" t="str">
        <f>PROPER('Team 5'!$I$39)</f>
        <v>Myron Young</v>
      </c>
      <c r="V38" s="1351"/>
      <c r="W38" s="1351"/>
      <c r="X38" s="1351" t="str">
        <f>PROPER('Team 6'!$I$39)</f>
        <v>Macsen Roberts</v>
      </c>
      <c r="Y38" s="1351"/>
      <c r="Z38" s="1351"/>
      <c r="AA38" s="1351" t="str">
        <f>PROPER('Team 7'!$I$39)</f>
        <v>Christopher Li Mow Ching</v>
      </c>
      <c r="AB38" s="1351"/>
      <c r="AC38" s="1351"/>
      <c r="AD38" s="1351" t="str">
        <f>PROPER('Team 8'!$I$39)</f>
        <v xml:space="preserve"> </v>
      </c>
      <c r="AE38" s="1351"/>
      <c r="AF38" s="1351"/>
      <c r="AG38" s="1351" t="str">
        <f>PROPER('Team 9'!$I$39)</f>
        <v xml:space="preserve"> </v>
      </c>
      <c r="AH38" s="1351"/>
      <c r="AI38" s="1351"/>
      <c r="AJ38" s="1351" t="str">
        <f>PROPER('Team 10'!$I$39)</f>
        <v xml:space="preserve"> </v>
      </c>
      <c r="AK38" s="1351"/>
      <c r="AL38" s="1351"/>
      <c r="AM38" s="896"/>
      <c r="BL38" s="1033"/>
      <c r="BM38" s="1033"/>
      <c r="BN38" s="1033"/>
      <c r="BO38" s="1033"/>
      <c r="BP38" s="1033"/>
      <c r="BQ38" s="1033"/>
      <c r="BR38" s="1033"/>
      <c r="BS38" s="1033"/>
      <c r="BT38" s="1033"/>
      <c r="BU38" s="1033"/>
    </row>
    <row r="39" spans="2:80" ht="35.25" customHeight="1" x14ac:dyDescent="0.3">
      <c r="B39" s="1355"/>
      <c r="C39" s="1343"/>
      <c r="D39" s="1429"/>
      <c r="E39" s="888" t="s">
        <v>5108</v>
      </c>
      <c r="I39" s="1367" t="str">
        <f>Recording!D70</f>
        <v>6.2 left position on back except when executing the turn</v>
      </c>
      <c r="J39" s="1367"/>
      <c r="K39" s="1367"/>
      <c r="L39" s="1367">
        <f>Recording!E70</f>
        <v>0</v>
      </c>
      <c r="M39" s="1367"/>
      <c r="N39" s="1367"/>
      <c r="O39" s="1367">
        <f>Recording!F70</f>
        <v>0</v>
      </c>
      <c r="P39" s="1367"/>
      <c r="Q39" s="1367"/>
      <c r="R39" s="1367">
        <f>Recording!G70</f>
        <v>0</v>
      </c>
      <c r="S39" s="1367"/>
      <c r="T39" s="1367"/>
      <c r="U39" s="1367">
        <f>Recording!H70</f>
        <v>0</v>
      </c>
      <c r="V39" s="1367"/>
      <c r="W39" s="1367"/>
      <c r="X39" s="1367">
        <f>Recording!I70</f>
        <v>0</v>
      </c>
      <c r="Y39" s="1367"/>
      <c r="Z39" s="1367"/>
      <c r="AA39" s="1367">
        <f>Recording!J70</f>
        <v>0</v>
      </c>
      <c r="AB39" s="1367"/>
      <c r="AC39" s="1367"/>
      <c r="AD39" s="1367">
        <f>Recording!K70</f>
        <v>0</v>
      </c>
      <c r="AE39" s="1367"/>
      <c r="AF39" s="1367"/>
      <c r="AG39" s="1367">
        <f>Recording!L70</f>
        <v>0</v>
      </c>
      <c r="AH39" s="1367"/>
      <c r="AI39" s="1367"/>
      <c r="AJ39" s="1367">
        <f>Recording!M70</f>
        <v>0</v>
      </c>
      <c r="AK39" s="1367"/>
      <c r="AL39" s="1367"/>
      <c r="AM39" s="896"/>
      <c r="BL39" s="1033"/>
      <c r="BM39" s="1033"/>
      <c r="BN39" s="1033"/>
      <c r="BO39" s="1033"/>
      <c r="BP39" s="1033"/>
      <c r="BQ39" s="1033"/>
      <c r="BR39" s="1033"/>
      <c r="BS39" s="1033"/>
      <c r="BT39" s="1033"/>
      <c r="BU39" s="1033"/>
    </row>
    <row r="40" spans="2:80" ht="35.25" customHeight="1" x14ac:dyDescent="0.3">
      <c r="B40" s="1349">
        <v>13</v>
      </c>
      <c r="C40" s="1333" t="s">
        <v>5083</v>
      </c>
      <c r="D40" s="1424" t="s">
        <v>5096</v>
      </c>
      <c r="E40" s="1350" t="s">
        <v>5097</v>
      </c>
      <c r="I40" s="1030">
        <f>0+TEXT(Recording!D72,"00\:00\.00")</f>
        <v>9.4062500000000005E-4</v>
      </c>
      <c r="J40" s="879">
        <f>IF(I40=0,0,IF(I$6=0,0,IF(I40&lt;1,SUM((I40&gt;L40),(I40&gt;O40),(I40&gt;R40),(I40&gt;U40),(I40&gt;X40),(I40&gt;AA40),(I40&gt;AD40),(I40&gt;AG40),(I40&gt;AJ40),(I40&gt;BE40)))-$AM40))</f>
        <v>1</v>
      </c>
      <c r="K40" s="879">
        <f>IF(I40=0,0,IF(I$6=0,0,IF(J40=0,0,((11-J40)))-$B$6))</f>
        <v>7</v>
      </c>
      <c r="L40" s="878">
        <f>0+TEXT(Recording!E72,"00\:00\.00")</f>
        <v>1.1271990740740741E-3</v>
      </c>
      <c r="M40" s="879">
        <f>IF(L40=0,0,IF(L$6=0,0,IF(L40&lt;1,SUM((L40&gt;O40),(L40&gt;R40),(L40&gt;U40),(L40&gt;X40),(L40&gt;AA40),(L40&gt;AD40),(L40&gt;I40),(L40&gt;AG40),(L40&gt;AJ40),(L40&gt;BE40)))-$AM40))</f>
        <v>5</v>
      </c>
      <c r="N40" s="879">
        <f>IF(L40=0,0,IF(L$6=0,0,IF(M40=0,0,((11-M40)))-$B$6))</f>
        <v>3</v>
      </c>
      <c r="O40" s="878">
        <f>0+TEXT(Recording!F72,"00\:00\.00")</f>
        <v>9.5138888888888888E-4</v>
      </c>
      <c r="P40" s="879">
        <f>IF(O40=0,0,IF(O$6=0,0,IF(O40&lt;1,SUM((O40&gt;L40),(O40&gt;I40),(O40&gt;R40),(O40&gt;U40),(O40&gt;X40),(O40&gt;AA40),(O40&gt;AD40),(O40&gt;AG40),(O40&gt;AJ40),(O40&gt;BE40)))-$AM40))</f>
        <v>2</v>
      </c>
      <c r="Q40" s="879">
        <f>IF(O40=0,0,IF(O$6=0,0,IF(P40=0,0,((11-P40)))-$B$6))</f>
        <v>6</v>
      </c>
      <c r="R40" s="878">
        <f>0+TEXT(Recording!G72,"00\:00\.00")</f>
        <v>1.0512731481481482E-3</v>
      </c>
      <c r="S40" s="879">
        <f>IF(R40=0,0,IF(R$6=0,0,IF(R40&lt;1,SUM((R40&gt;L40),(R40&gt;O40),(R40&gt;I40),(R40&gt;U40),(R40&gt;X40),(R40&gt;AA40),(R40&gt;AD40),(R40&gt;AG40),(R40&gt;AJ40),(R40&gt;BE40)))-$AM40))</f>
        <v>3</v>
      </c>
      <c r="T40" s="879">
        <f>IF(R40=0,0,IF(R$6=0,0,IF(S40=0,0,((11-S40)))-$B$6))</f>
        <v>5</v>
      </c>
      <c r="U40" s="878">
        <f>0+TEXT(Recording!H72,"00\:00\.00")</f>
        <v>1.135185185185185E-3</v>
      </c>
      <c r="V40" s="879">
        <f>IF(U40=0,0,IF(U$6=0,0,IF(U40&lt;1,SUM((U40&gt;L40),(U40&gt;O40),(U40&gt;R40),(U40&gt;I40),(U40&gt;X40),(U40&gt;AA40),(U40&gt;AD40),(U40&gt;AG40),(U40&gt;AJ40),(U40&gt;BE40)))-$AM40))</f>
        <v>6</v>
      </c>
      <c r="W40" s="879">
        <f>IF(U40=0,0,IF(U$6=0,0,IF(V40=0,0,((11-V40)))-$B$6))</f>
        <v>2</v>
      </c>
      <c r="X40" s="878">
        <f>0+TEXT(Recording!I72,"00\:00\.00")</f>
        <v>1.2004629629629631E-3</v>
      </c>
      <c r="Y40" s="879">
        <f>IF(X40=0,0,IF(X$6=0,0,IF(X40&lt;1,SUM((X40&gt;L40),(X40&gt;O40),(X40&gt;R40),(X40&gt;U40),(X40&gt;I40),(X40&gt;AA40),(X40&gt;AD40),(X40&gt;AG40),(X40&gt;AJ40),(X40&gt;BE40)))-$AM40))</f>
        <v>7</v>
      </c>
      <c r="Z40" s="879">
        <f>IF(X40=0,0,IF(X$6=0,0,IF(Y40=0,0,((11-Y40)))-$B$6))</f>
        <v>1</v>
      </c>
      <c r="AA40" s="878">
        <f>0+TEXT(Recording!J72,"00\:00\.00")</f>
        <v>1.0837962962962962E-3</v>
      </c>
      <c r="AB40" s="879">
        <f>IF(AA40=0,0,IF(AA$6=0,0,IF(AA40&lt;1,SUM((AA40&gt;L40),(AA40&gt;O40),(AA40&gt;R40),(AA40&gt;U40),(AA40&gt;X40),(AA40&gt;I40),(AA40&gt;AD40),(AA40&gt;AG40),(AA40&gt;AJ40),(AA40&gt;BE40))))-$AM40)</f>
        <v>4</v>
      </c>
      <c r="AC40" s="879">
        <f>IF(AA40=0,0,IF(AA$6=0,0,IF(AB40=0,0,((11-AB40)))-$B$6))</f>
        <v>4</v>
      </c>
      <c r="AD40" s="878">
        <f>0+TEXT(Recording!K72,"00\:00\.00")</f>
        <v>0</v>
      </c>
      <c r="AE40" s="879">
        <f>IF(AD40=0,0,IF(AD$6=0,0,IF(AD40&lt;1,SUM((AD40&gt;L40),(AD40&gt;O40),(AD40&gt;R40),(AD40&gt;U40),(AD40&gt;X40),(AD40&gt;AA40),(AD40&gt;AG40),(AD40&gt;AJ40),(AD40&gt;I40),(AD40&gt;BE40)))-$AM40))</f>
        <v>0</v>
      </c>
      <c r="AF40" s="879">
        <f>IF(AD40=0,0,IF(AD$6=0,0,IF(AE40=0,0,((11-AE40)))-$B$6))</f>
        <v>0</v>
      </c>
      <c r="AG40" s="878">
        <f>0+TEXT(Recording!L72,"00\:00\.00")</f>
        <v>0</v>
      </c>
      <c r="AH40" s="879">
        <f>IF(AG40=0,0,IF(AG$6=0,0,IF(AG40&lt;1,SUM((AG40&gt;I40),(AG40&gt;L40),(AG40&gt;O40),(AG40&gt;R40),(AG40&gt;U40),(AG40&gt;X40),(AG40&gt;AA40),(AG40&gt;AD40),(AG40&gt;AJ40),(AG40&gt;BE40)))-$AM40))</f>
        <v>0</v>
      </c>
      <c r="AI40" s="879">
        <f>IF(AG40=0,0,IF(AG$6=0,0,IF(AH40=0,0,((11-AH40)))-$B$6))</f>
        <v>0</v>
      </c>
      <c r="AJ40" s="878">
        <f>0+TEXT(Recording!M72,"00\:00\.00")</f>
        <v>0</v>
      </c>
      <c r="AK40" s="879">
        <f>IF(AJ40=0,0,IF(AJ$6=0,0,IF(AJ40&lt;1,SUM((AJ40&gt;I40),(AJ40&gt;L40),(AJ40&gt;O40),(AJ40&gt;R40),(AJ40&gt;U40),(AJ40&gt;X40),(AJ40&gt;AA40),(AJ40&gt;AD40),(AJ40&gt;AG40),(AJ40&gt;BE40)))-$AM40))</f>
        <v>0</v>
      </c>
      <c r="AL40" s="989">
        <f>IF(AJ40=0,0,IF(AJ$6=0,0,IF(AK40=0,0,((11-AK40)))-$B$6))</f>
        <v>0</v>
      </c>
      <c r="AM40" s="883">
        <f>COUNTBLANK(I606:R606)</f>
        <v>3</v>
      </c>
      <c r="BL40" s="1033"/>
      <c r="BM40" s="1033"/>
      <c r="BN40" s="1033"/>
      <c r="BO40" s="1033"/>
      <c r="BP40" s="1033"/>
      <c r="BQ40" s="1033"/>
      <c r="BR40" s="1033"/>
      <c r="BS40" s="1033"/>
      <c r="BT40" s="1033"/>
      <c r="BU40" s="1033"/>
    </row>
    <row r="41" spans="2:80" ht="35.25" customHeight="1" x14ac:dyDescent="0.3">
      <c r="B41" s="1349"/>
      <c r="C41" s="1333"/>
      <c r="D41" s="1424"/>
      <c r="E41" s="1350"/>
      <c r="I41" s="1351" t="str">
        <f>PROPER('Team 1'!$I$40)</f>
        <v>Amy Hanson</v>
      </c>
      <c r="J41" s="1351"/>
      <c r="K41" s="1351"/>
      <c r="L41" s="1351" t="str">
        <f>PROPER('Team 2'!$I$40)</f>
        <v>Ruby Whitby</v>
      </c>
      <c r="M41" s="1351"/>
      <c r="N41" s="1351"/>
      <c r="O41" s="1351" t="str">
        <f>PROPER('Team 3'!$I$40)</f>
        <v>Mia Nelson</v>
      </c>
      <c r="P41" s="1351"/>
      <c r="Q41" s="1351"/>
      <c r="R41" s="1351" t="str">
        <f>PROPER('Team 4'!$I$40)</f>
        <v>Frances Starsmore</v>
      </c>
      <c r="S41" s="1351"/>
      <c r="T41" s="1351"/>
      <c r="U41" s="1351" t="str">
        <f>PROPER('Team 5'!$I$40)</f>
        <v>Isabelle Reeve</v>
      </c>
      <c r="V41" s="1351"/>
      <c r="W41" s="1351"/>
      <c r="X41" s="1351" t="str">
        <f>PROPER('Team 6'!$I$40)</f>
        <v>Emma Sum</v>
      </c>
      <c r="Y41" s="1351"/>
      <c r="Z41" s="1351"/>
      <c r="AA41" s="1351" t="str">
        <f>PROPER('Team 7'!$I$40)</f>
        <v>Mia Curle</v>
      </c>
      <c r="AB41" s="1351"/>
      <c r="AC41" s="1351"/>
      <c r="AD41" s="1351" t="str">
        <f>PROPER('Team 8'!$I$40)</f>
        <v xml:space="preserve"> </v>
      </c>
      <c r="AE41" s="1351"/>
      <c r="AF41" s="1351"/>
      <c r="AG41" s="1351" t="str">
        <f>PROPER('Team 9'!$I$40)</f>
        <v xml:space="preserve"> </v>
      </c>
      <c r="AH41" s="1351"/>
      <c r="AI41" s="1351"/>
      <c r="AJ41" s="1351" t="str">
        <f>PROPER('Team 10'!$I$40)</f>
        <v xml:space="preserve"> </v>
      </c>
      <c r="AK41" s="1351"/>
      <c r="AL41" s="1351"/>
      <c r="AM41" s="883"/>
      <c r="BL41" s="1033"/>
      <c r="BM41" s="1033"/>
      <c r="BN41" s="1033"/>
      <c r="BO41" s="1033"/>
      <c r="BP41" s="1033"/>
      <c r="BQ41" s="1033"/>
      <c r="BR41" s="1033"/>
      <c r="BS41" s="1033"/>
      <c r="BT41" s="1033"/>
      <c r="BU41" s="1033"/>
    </row>
    <row r="42" spans="2:80" ht="35.25" customHeight="1" x14ac:dyDescent="0.3">
      <c r="B42" s="1349"/>
      <c r="C42" s="1333"/>
      <c r="D42" s="1424"/>
      <c r="E42" s="888" t="s">
        <v>5108</v>
      </c>
      <c r="I42" s="1367">
        <f>Recording!D74</f>
        <v>0</v>
      </c>
      <c r="J42" s="1367"/>
      <c r="K42" s="1367"/>
      <c r="L42" s="1367">
        <f>Recording!E74</f>
        <v>0</v>
      </c>
      <c r="M42" s="1367"/>
      <c r="N42" s="1367"/>
      <c r="O42" s="1367">
        <f>Recording!F74</f>
        <v>0</v>
      </c>
      <c r="P42" s="1367"/>
      <c r="Q42" s="1367"/>
      <c r="R42" s="1367">
        <f>Recording!G74</f>
        <v>0</v>
      </c>
      <c r="S42" s="1367"/>
      <c r="T42" s="1367"/>
      <c r="U42" s="1367">
        <f>Recording!H74</f>
        <v>0</v>
      </c>
      <c r="V42" s="1367"/>
      <c r="W42" s="1367"/>
      <c r="X42" s="1367">
        <f>Recording!I74</f>
        <v>0</v>
      </c>
      <c r="Y42" s="1367"/>
      <c r="Z42" s="1367"/>
      <c r="AA42" s="1367">
        <f>Recording!J74</f>
        <v>0</v>
      </c>
      <c r="AB42" s="1367"/>
      <c r="AC42" s="1367"/>
      <c r="AD42" s="1367">
        <f>Recording!K74</f>
        <v>0</v>
      </c>
      <c r="AE42" s="1367"/>
      <c r="AF42" s="1367"/>
      <c r="AG42" s="1367">
        <f>Recording!L74</f>
        <v>0</v>
      </c>
      <c r="AH42" s="1367"/>
      <c r="AI42" s="1367"/>
      <c r="AJ42" s="1367">
        <f>Recording!M74</f>
        <v>0</v>
      </c>
      <c r="AK42" s="1367"/>
      <c r="AL42" s="1367"/>
      <c r="AM42" s="883"/>
      <c r="BL42" s="1033"/>
      <c r="BM42" s="1033"/>
      <c r="BN42" s="1033"/>
      <c r="BO42" s="1033"/>
      <c r="BP42" s="1033"/>
      <c r="BQ42" s="1033"/>
      <c r="BR42" s="1033"/>
      <c r="BS42" s="1033"/>
      <c r="BT42" s="1033"/>
      <c r="BU42" s="1033"/>
    </row>
    <row r="43" spans="2:80" ht="35.25" customHeight="1" x14ac:dyDescent="0.3">
      <c r="B43" s="1352">
        <v>14</v>
      </c>
      <c r="C43" s="1343" t="s">
        <v>5087</v>
      </c>
      <c r="D43" s="1424" t="s">
        <v>5096</v>
      </c>
      <c r="E43" s="1350" t="s">
        <v>5097</v>
      </c>
      <c r="I43" s="1030">
        <f>0+TEXT(Recording!D76,"00\:00\.00")</f>
        <v>1.1857638888888888E-3</v>
      </c>
      <c r="J43" s="879">
        <f>IF(I43=0,0,IF(I$6=0,0,IF(I43&lt;1,SUM((I43&gt;L43),(I43&gt;O43),(I43&gt;R43),(I43&gt;U43),(I43&gt;X43),(I43&gt;AA43),(I43&gt;AD43),(I43&gt;AG43),(I43&gt;AJ43),(I43&gt;BE43)))-$AM43))</f>
        <v>7</v>
      </c>
      <c r="K43" s="879">
        <f>IF(I43=0,0,IF(I$6=0,0,IF(J43=0,0,((11-J43)))-$B$6))</f>
        <v>1</v>
      </c>
      <c r="L43" s="878">
        <f>0+TEXT(Recording!E76,"00\:00\.00")</f>
        <v>1.0996527777777777E-3</v>
      </c>
      <c r="M43" s="879">
        <f>IF(L43=0,0,IF(L$6=0,0,IF(L43&lt;1,SUM((L43&gt;O43),(L43&gt;R43),(L43&gt;U43),(L43&gt;X43),(L43&gt;AA43),(L43&gt;AD43),(L43&gt;I43),(L43&gt;AG43),(L43&gt;AJ43),(L43&gt;BE43)))-$AM43))</f>
        <v>5</v>
      </c>
      <c r="N43" s="879">
        <f>IF(L43=0,0,IF(L$6=0,0,IF(M43=0,0,((11-M43)))-$B$6))</f>
        <v>3</v>
      </c>
      <c r="O43" s="878">
        <f>0+TEXT(Recording!F76,"00\:00\.00")</f>
        <v>1.0501157407407408E-3</v>
      </c>
      <c r="P43" s="879">
        <f>IF(O43=0,0,IF(O$6=0,0,IF(O43&lt;1,SUM((O43&gt;L43),(O43&gt;I43),(O43&gt;R43),(O43&gt;U43),(O43&gt;X43),(O43&gt;AA43),(O43&gt;AD43),(O43&gt;AG43),(O43&gt;AJ43),(O43&gt;BE43)))-$AM43))</f>
        <v>3</v>
      </c>
      <c r="Q43" s="879">
        <f>IF(O43=0,0,IF(O$6=0,0,IF(P43=0,0,((11-P43)))-$B$6))</f>
        <v>5</v>
      </c>
      <c r="R43" s="878">
        <f>0+TEXT(Recording!G76,"00\:00\.00")</f>
        <v>1.1608796296296295E-3</v>
      </c>
      <c r="S43" s="879">
        <f>IF(R43=0,0,IF(R$6=0,0,IF(R43&lt;1,SUM((R43&gt;L43),(R43&gt;O43),(R43&gt;I43),(R43&gt;U43),(R43&gt;X43),(R43&gt;AA43),(R43&gt;AD43),(R43&gt;AG43),(R43&gt;AJ43),(R43&gt;BE43)))-$AM43))</f>
        <v>6</v>
      </c>
      <c r="T43" s="879">
        <f>IF(R43=0,0,IF(R$6=0,0,IF(S43=0,0,((11-S43)))-$B$6))</f>
        <v>2</v>
      </c>
      <c r="U43" s="878">
        <f>0+TEXT(Recording!H76,"00\:00\.00")</f>
        <v>1.0450231481481482E-3</v>
      </c>
      <c r="V43" s="879">
        <f>IF(U43=0,0,IF(U$6=0,0,IF(U43&lt;1,SUM((U43&gt;L43),(U43&gt;O43),(U43&gt;R43),(U43&gt;I43),(U43&gt;X43),(U43&gt;AA43),(U43&gt;AD43),(U43&gt;AG43),(U43&gt;AJ43),(U43&gt;BE43)))-$AM43))</f>
        <v>2</v>
      </c>
      <c r="W43" s="879">
        <f>IF(U43=0,0,IF(U$6=0,0,IF(V43=0,0,((11-V43)))-$B$6))</f>
        <v>6</v>
      </c>
      <c r="X43" s="878">
        <f>0+TEXT(Recording!I76,"00\:00\.00")</f>
        <v>1.0557870370370372E-3</v>
      </c>
      <c r="Y43" s="879">
        <f>IF(X43=0,0,IF(X$6=0,0,IF(X43&lt;1,SUM((X43&gt;L43),(X43&gt;O43),(X43&gt;R43),(X43&gt;U43),(X43&gt;I43),(X43&gt;AA43),(X43&gt;AD43),(X43&gt;AG43),(X43&gt;AJ43),(X43&gt;BE43)))-$AM43))</f>
        <v>4</v>
      </c>
      <c r="Z43" s="879">
        <f>IF(X43=0,0,IF(X$6=0,0,IF(Y43=0,0,((11-Y43)))-$B$6))</f>
        <v>4</v>
      </c>
      <c r="AA43" s="878">
        <f>0+TEXT(Recording!J76,"00\:00\.00")</f>
        <v>8.9733796296296295E-4</v>
      </c>
      <c r="AB43" s="879">
        <f>IF(AA43=0,0,IF(AA$6=0,0,IF(AA43&lt;1,SUM((AA43&gt;L43),(AA43&gt;O43),(AA43&gt;R43),(AA43&gt;U43),(AA43&gt;X43),(AA43&gt;I43),(AA43&gt;AD43),(AA43&gt;AG43),(AA43&gt;AJ43),(AA43&gt;BE43))))-$AM43)</f>
        <v>1</v>
      </c>
      <c r="AC43" s="879">
        <f>IF(AA43=0,0,IF(AA$6=0,0,IF(AB43=0,0,((11-AB43)))-$B$6))</f>
        <v>7</v>
      </c>
      <c r="AD43" s="878">
        <f>0+TEXT(Recording!K76,"00\:00\.00")</f>
        <v>0</v>
      </c>
      <c r="AE43" s="879">
        <f>IF(AD43=0,0,IF(AD$6=0,0,IF(AD43&lt;1,SUM((AD43&gt;L43),(AD43&gt;O43),(AD43&gt;R43),(AD43&gt;U43),(AD43&gt;X43),(AD43&gt;AA43),(AD43&gt;AG43),(AD43&gt;AJ43),(AD43&gt;I43),(AD43&gt;BE43)))-$AM43))</f>
        <v>0</v>
      </c>
      <c r="AF43" s="879">
        <f>IF(AD43=0,0,IF(AD$6=0,0,IF(AE43=0,0,((11-AE43)))-$B$6))</f>
        <v>0</v>
      </c>
      <c r="AG43" s="878">
        <f>0+TEXT(Recording!L76,"00\:00\.00")</f>
        <v>0</v>
      </c>
      <c r="AH43" s="879">
        <f>IF(AG43=0,0,IF(AG$6=0,0,IF(AG43&lt;1,SUM((AG43&gt;I43),(AG43&gt;L43),(AG43&gt;O43),(AG43&gt;R43),(AG43&gt;U43),(AG43&gt;X43),(AG43&gt;AA43),(AG43&gt;AD43),(AG43&gt;AJ43),(AG43&gt;BE43)))-$AM43))</f>
        <v>0</v>
      </c>
      <c r="AI43" s="879">
        <f>IF(AG43=0,0,IF(AG$6=0,0,IF(AH43=0,0,((11-AH43)))-$B$6))</f>
        <v>0</v>
      </c>
      <c r="AJ43" s="878">
        <f>0+TEXT(Recording!M76,"00\:00\.00")</f>
        <v>0</v>
      </c>
      <c r="AK43" s="879">
        <f>IF(AJ43=0,0,IF(AJ$6=0,0,IF(AJ43&lt;1,SUM((AJ43&gt;I43),(AJ43&gt;L43),(AJ43&gt;O43),(AJ43&gt;R43),(AJ43&gt;U43),(AJ43&gt;X43),(AJ43&gt;AA43),(AJ43&gt;AD43),(AJ43&gt;AG43),(AJ43&gt;BE43)))-$AM43))</f>
        <v>0</v>
      </c>
      <c r="AL43" s="989">
        <f>IF(AJ43=0,0,IF(AJ$6=0,0,IF(AK43=0,0,((11-AK43)))-$B$6))</f>
        <v>0</v>
      </c>
      <c r="AM43" s="896">
        <f>COUNTBLANK(I607:R607)</f>
        <v>3</v>
      </c>
      <c r="BL43" s="1033"/>
      <c r="BM43" s="1033"/>
      <c r="BN43" s="1033"/>
      <c r="BO43" s="1033"/>
      <c r="BP43" s="1033"/>
      <c r="BQ43" s="1033"/>
      <c r="BR43" s="1033"/>
      <c r="BS43" s="1033"/>
      <c r="BT43" s="1033"/>
      <c r="BU43" s="1033"/>
    </row>
    <row r="44" spans="2:80" ht="35.25" customHeight="1" x14ac:dyDescent="0.3">
      <c r="B44" s="1352"/>
      <c r="C44" s="1343"/>
      <c r="D44" s="1424"/>
      <c r="E44" s="1350"/>
      <c r="I44" s="1351" t="str">
        <f>PROPER('Team 1'!$I$41)</f>
        <v>Albert Nezha</v>
      </c>
      <c r="J44" s="1351"/>
      <c r="K44" s="1351"/>
      <c r="L44" s="1351" t="str">
        <f>PROPER('Team 2'!$I$41)</f>
        <v>Kai Jun Wai Cheung</v>
      </c>
      <c r="M44" s="1351"/>
      <c r="N44" s="1351"/>
      <c r="O44" s="1351" t="str">
        <f>PROPER('Team 3'!$I$41)</f>
        <v>Ryan Wimpenny</v>
      </c>
      <c r="P44" s="1351"/>
      <c r="Q44" s="1351"/>
      <c r="R44" s="1351" t="str">
        <f>PROPER('Team 4'!$I$41)</f>
        <v>Samuel Rosa</v>
      </c>
      <c r="S44" s="1351"/>
      <c r="T44" s="1351"/>
      <c r="U44" s="1351" t="str">
        <f>PROPER('Team 5'!$I$41)</f>
        <v>Bradley Rawlinson</v>
      </c>
      <c r="V44" s="1351"/>
      <c r="W44" s="1351"/>
      <c r="X44" s="1351" t="str">
        <f>PROPER('Team 6'!$I$41)</f>
        <v>Dylan Roberts</v>
      </c>
      <c r="Y44" s="1351"/>
      <c r="Z44" s="1351"/>
      <c r="AA44" s="1351" t="str">
        <f>PROPER('Team 7'!$I$41)</f>
        <v>Advay Bhatia</v>
      </c>
      <c r="AB44" s="1351"/>
      <c r="AC44" s="1351"/>
      <c r="AD44" s="1351" t="str">
        <f>PROPER('Team 8'!$I$41)</f>
        <v xml:space="preserve"> </v>
      </c>
      <c r="AE44" s="1351"/>
      <c r="AF44" s="1351"/>
      <c r="AG44" s="1351" t="str">
        <f>PROPER('Team 9'!$I$41)</f>
        <v xml:space="preserve"> </v>
      </c>
      <c r="AH44" s="1351"/>
      <c r="AI44" s="1351"/>
      <c r="AJ44" s="1351" t="str">
        <f>PROPER('Team 10'!$I$41)</f>
        <v xml:space="preserve"> </v>
      </c>
      <c r="AK44" s="1351"/>
      <c r="AL44" s="1351"/>
      <c r="AM44" s="896"/>
      <c r="BL44" s="1033"/>
      <c r="BM44" s="1033"/>
      <c r="BN44" s="1033"/>
      <c r="BO44" s="1033"/>
      <c r="BP44" s="1033"/>
      <c r="BQ44" s="1033"/>
      <c r="BR44" s="1033"/>
      <c r="BS44" s="1033"/>
      <c r="BT44" s="1033"/>
      <c r="BU44" s="1033"/>
    </row>
    <row r="45" spans="2:80" ht="35.25" customHeight="1" x14ac:dyDescent="0.3">
      <c r="B45" s="1352"/>
      <c r="C45" s="1343"/>
      <c r="D45" s="1424"/>
      <c r="E45" s="888" t="s">
        <v>5108</v>
      </c>
      <c r="I45" s="1367">
        <f>Recording!D78</f>
        <v>0</v>
      </c>
      <c r="J45" s="1367"/>
      <c r="K45" s="1367"/>
      <c r="L45" s="1367">
        <f>Recording!E78</f>
        <v>0</v>
      </c>
      <c r="M45" s="1367"/>
      <c r="N45" s="1367"/>
      <c r="O45" s="1367">
        <f>Recording!F78</f>
        <v>0</v>
      </c>
      <c r="P45" s="1367"/>
      <c r="Q45" s="1367"/>
      <c r="R45" s="1367">
        <f>Recording!G78</f>
        <v>0</v>
      </c>
      <c r="S45" s="1367"/>
      <c r="T45" s="1367"/>
      <c r="U45" s="1367">
        <f>Recording!H78</f>
        <v>0</v>
      </c>
      <c r="V45" s="1367"/>
      <c r="W45" s="1367"/>
      <c r="X45" s="1367">
        <f>Recording!I78</f>
        <v>0</v>
      </c>
      <c r="Y45" s="1367"/>
      <c r="Z45" s="1367"/>
      <c r="AA45" s="1367">
        <f>Recording!J78</f>
        <v>0</v>
      </c>
      <c r="AB45" s="1367"/>
      <c r="AC45" s="1367"/>
      <c r="AD45" s="1367">
        <f>Recording!K78</f>
        <v>0</v>
      </c>
      <c r="AE45" s="1367"/>
      <c r="AF45" s="1367"/>
      <c r="AG45" s="1367">
        <f>Recording!L78</f>
        <v>0</v>
      </c>
      <c r="AH45" s="1367"/>
      <c r="AI45" s="1367"/>
      <c r="AJ45" s="1367">
        <f>Recording!M78</f>
        <v>0</v>
      </c>
      <c r="AK45" s="1367"/>
      <c r="AL45" s="1367"/>
      <c r="AM45" s="896"/>
      <c r="BL45" s="1033"/>
      <c r="BM45" s="1033"/>
      <c r="BN45" s="1033"/>
      <c r="BO45" s="1033"/>
      <c r="BP45" s="1033"/>
      <c r="BQ45" s="1033"/>
      <c r="BR45" s="1033"/>
      <c r="BS45" s="1033"/>
      <c r="BT45" s="1033"/>
      <c r="BU45" s="1033"/>
    </row>
    <row r="46" spans="2:80" ht="35.25" customHeight="1" x14ac:dyDescent="0.3">
      <c r="B46" s="1349">
        <v>15</v>
      </c>
      <c r="C46" s="1333" t="s">
        <v>5083</v>
      </c>
      <c r="D46" s="1424" t="s">
        <v>5098</v>
      </c>
      <c r="E46" s="1350" t="s">
        <v>5099</v>
      </c>
      <c r="I46" s="1030">
        <f>0+TEXT(Recording!D80,"00\:00\.00")</f>
        <v>8.9375000000000001E-4</v>
      </c>
      <c r="J46" s="879">
        <f>IF(I46=0,0,IF(I$6=0,0,IF(I46&lt;1,SUM((I46&gt;L46),(I46&gt;O46),(I46&gt;R46),(I46&gt;U46),(I46&gt;X46),(I46&gt;AA46),(I46&gt;AD46),(I46&gt;AG46),(I46&gt;AJ46),(I46&gt;BE46)))-$AM46))</f>
        <v>5</v>
      </c>
      <c r="K46" s="879">
        <f>IF(I46=0,0,IF(I$6=0,0,IF(J46=0,0,((11-J46)))-$B$6))</f>
        <v>3</v>
      </c>
      <c r="L46" s="878">
        <f>0+TEXT(Recording!E80,"00\:00\.00")</f>
        <v>9.2106481481481477E-4</v>
      </c>
      <c r="M46" s="879">
        <f>IF(L46=0,0,IF(L$6=0,0,IF(L46&lt;1,SUM((L46&gt;O46),(L46&gt;R46),(L46&gt;U46),(L46&gt;X46),(L46&gt;AA46),(L46&gt;AD46),(L46&gt;I46),(L46&gt;AG46),(L46&gt;AJ46),(L46&gt;BE46)))-$AM46))</f>
        <v>6</v>
      </c>
      <c r="N46" s="879">
        <f>IF(L46=0,0,IF(L$6=0,0,IF(M46=0,0,((11-M46)))-$B$6))</f>
        <v>2</v>
      </c>
      <c r="O46" s="878">
        <f>0+TEXT(Recording!F80,"00\:00\.00")</f>
        <v>8.6793981481481488E-4</v>
      </c>
      <c r="P46" s="879">
        <f>IF(O46=0,0,IF(O$6=0,0,IF(O46&lt;1,SUM((O46&gt;L46),(O46&gt;I46),(O46&gt;R46),(O46&gt;U46),(O46&gt;X46),(O46&gt;AA46),(O46&gt;AD46),(O46&gt;AG46),(O46&gt;AJ46),(O46&gt;BE46)))-$AM46))</f>
        <v>4</v>
      </c>
      <c r="Q46" s="879">
        <f>IF(O46=0,0,IF(O$6=0,0,IF(P46=0,0,((11-P46)))-$B$6))</f>
        <v>4</v>
      </c>
      <c r="R46" s="878">
        <f>0+TEXT(Recording!G80,"00\:00\.00")</f>
        <v>7.7500000000000008E-4</v>
      </c>
      <c r="S46" s="879">
        <f>IF(R46=0,0,IF(R$6=0,0,IF(R46&lt;1,SUM((R46&gt;L46),(R46&gt;O46),(R46&gt;I46),(R46&gt;U46),(R46&gt;X46),(R46&gt;AA46),(R46&gt;AD46),(R46&gt;AG46),(R46&gt;AJ46),(R46&gt;BE46)))-$AM46))</f>
        <v>1</v>
      </c>
      <c r="T46" s="879">
        <f>IF(R46=0,0,IF(R$6=0,0,IF(S46=0,0,((11-S46)))-$B$6))</f>
        <v>7</v>
      </c>
      <c r="U46" s="878">
        <f>0+TEXT(Recording!H80,"00\:00\.00")</f>
        <v>8.3391203703703709E-4</v>
      </c>
      <c r="V46" s="879">
        <f>IF(U46=0,0,IF(U$6=0,0,IF(U46&lt;1,SUM((U46&gt;L46),(U46&gt;O46),(U46&gt;R46),(U46&gt;I46),(U46&gt;X46),(U46&gt;AA46),(U46&gt;AD46),(U46&gt;AG46),(U46&gt;AJ46),(U46&gt;BE46)))-$AM46))</f>
        <v>2</v>
      </c>
      <c r="W46" s="879">
        <f>IF(U46=0,0,IF(U$6=0,0,IF(V46=0,0,((11-V46)))-$B$6))</f>
        <v>6</v>
      </c>
      <c r="X46" s="878">
        <f>0+TEXT(Recording!I80,"00\:00\.00")</f>
        <v>8.4525462962962972E-4</v>
      </c>
      <c r="Y46" s="879">
        <f>IF(X46=0,0,IF(X$6=0,0,IF(X46&lt;1,SUM((X46&gt;L46),(X46&gt;O46),(X46&gt;R46),(X46&gt;U46),(X46&gt;I46),(X46&gt;AA46),(X46&gt;AD46),(X46&gt;AG46),(X46&gt;AJ46),(X46&gt;BE46)))-$AM46))</f>
        <v>3</v>
      </c>
      <c r="Z46" s="879">
        <f>IF(X46=0,0,IF(X$6=0,0,IF(Y46=0,0,((11-Y46)))-$B$6))</f>
        <v>5</v>
      </c>
      <c r="AA46" s="878">
        <f>0+TEXT(Recording!J80,"00\:00\.00")</f>
        <v>9.3564814814814812E-4</v>
      </c>
      <c r="AB46" s="879">
        <f>IF(AA46=0,0,IF(AA$6=0,0,IF(AA46&lt;1,SUM((AA46&gt;L46),(AA46&gt;O46),(AA46&gt;R46),(AA46&gt;U46),(AA46&gt;X46),(AA46&gt;I46),(AA46&gt;AD46),(AA46&gt;AG46),(AA46&gt;AJ46),(AA46&gt;BE46))))-$AM46)</f>
        <v>7</v>
      </c>
      <c r="AC46" s="879">
        <f>IF(AA46=0,0,IF(AA$6=0,0,IF(AB46=0,0,((11-AB46)))-$B$6))</f>
        <v>1</v>
      </c>
      <c r="AD46" s="878">
        <f>0+TEXT(Recording!K80,"00\:00\.00")</f>
        <v>0</v>
      </c>
      <c r="AE46" s="879">
        <f>IF(AD46=0,0,IF(AD$6=0,0,IF(AD46&lt;1,SUM((AD46&gt;L46),(AD46&gt;O46),(AD46&gt;R46),(AD46&gt;U46),(AD46&gt;X46),(AD46&gt;AA46),(AD46&gt;AG46),(AD46&gt;AJ46),(AD46&gt;I46),(AD46&gt;BE46)))-$AM46))</f>
        <v>0</v>
      </c>
      <c r="AF46" s="879">
        <f>IF(AD46=0,0,IF(AD$6=0,0,IF(AE46=0,0,((11-AE46)))-$B$6))</f>
        <v>0</v>
      </c>
      <c r="AG46" s="878">
        <f>0+TEXT(Recording!L80,"00\:00\.00")</f>
        <v>0</v>
      </c>
      <c r="AH46" s="879">
        <f>IF(AG46=0,0,IF(AG$6=0,0,IF(AG46&lt;1,SUM((AG46&gt;I46),(AG46&gt;L46),(AG46&gt;O46),(AG46&gt;R46),(AG46&gt;U46),(AG46&gt;X46),(AG46&gt;AA46),(AG46&gt;AD46),(AG46&gt;AJ46),(AG46&gt;BE46)))-$AM46))</f>
        <v>0</v>
      </c>
      <c r="AI46" s="879">
        <f>IF(AG46=0,0,IF(AG$6=0,0,IF(AH46=0,0,((11-AH46)))-$B$6))</f>
        <v>0</v>
      </c>
      <c r="AJ46" s="878">
        <f>0+TEXT(Recording!M80,"00\:00\.00")</f>
        <v>0</v>
      </c>
      <c r="AK46" s="879">
        <f>IF(AJ46=0,0,IF(AJ$6=0,0,IF(AJ46&lt;1,SUM((AJ46&gt;I46),(AJ46&gt;L46),(AJ46&gt;O46),(AJ46&gt;R46),(AJ46&gt;U46),(AJ46&gt;X46),(AJ46&gt;AA46),(AJ46&gt;AD46),(AJ46&gt;AG46),(AJ46&gt;BE46)))-$AM46))</f>
        <v>0</v>
      </c>
      <c r="AL46" s="989">
        <f>IF(AJ46=0,0,IF(AJ$6=0,0,IF(AK46=0,0,((11-AK46)))-$B$6))</f>
        <v>0</v>
      </c>
      <c r="AM46" s="883">
        <f>COUNTBLANK(I608:R608)</f>
        <v>3</v>
      </c>
      <c r="BL46" s="1033"/>
      <c r="BM46" s="1033"/>
      <c r="BN46" s="1033"/>
      <c r="BO46" s="1033"/>
      <c r="BP46" s="1033"/>
      <c r="BQ46" s="1033"/>
      <c r="BR46" s="1033"/>
      <c r="BS46" s="1033"/>
      <c r="BT46" s="1033"/>
      <c r="BU46" s="1033"/>
    </row>
    <row r="47" spans="2:80" s="897" customFormat="1" ht="35.25" customHeight="1" x14ac:dyDescent="0.3">
      <c r="B47" s="1349"/>
      <c r="C47" s="1333"/>
      <c r="D47" s="1424"/>
      <c r="E47" s="1350"/>
      <c r="I47" s="1351" t="str">
        <f>PROPER('Team 1'!$I$42)</f>
        <v>Shreya Bavishi</v>
      </c>
      <c r="J47" s="1351"/>
      <c r="K47" s="1351"/>
      <c r="L47" s="1351" t="str">
        <f>PROPER('Team 2'!$I$42)</f>
        <v>Daisy Harradine</v>
      </c>
      <c r="M47" s="1351"/>
      <c r="N47" s="1351"/>
      <c r="O47" s="1351" t="str">
        <f>PROPER('Team 3'!$I$42)</f>
        <v>Hannah Lovelock</v>
      </c>
      <c r="P47" s="1351"/>
      <c r="Q47" s="1351"/>
      <c r="R47" s="1351" t="str">
        <f>PROPER('Team 4'!$I$42)</f>
        <v>Megan Johnson</v>
      </c>
      <c r="S47" s="1351"/>
      <c r="T47" s="1351"/>
      <c r="U47" s="1351" t="str">
        <f>PROPER('Team 5'!$I$42)</f>
        <v>Hollie Heighes</v>
      </c>
      <c r="V47" s="1351"/>
      <c r="W47" s="1351"/>
      <c r="X47" s="1351" t="str">
        <f>PROPER('Team 6'!$I$42)</f>
        <v>Alice  Sharrock</v>
      </c>
      <c r="Y47" s="1351"/>
      <c r="Z47" s="1351"/>
      <c r="AA47" s="1351" t="str">
        <f>PROPER('Team 7'!$I$42)</f>
        <v>Keanna Roets</v>
      </c>
      <c r="AB47" s="1351"/>
      <c r="AC47" s="1351"/>
      <c r="AD47" s="1351" t="str">
        <f>PROPER('Team 8'!$I$42)</f>
        <v xml:space="preserve"> </v>
      </c>
      <c r="AE47" s="1351"/>
      <c r="AF47" s="1351"/>
      <c r="AG47" s="1351" t="str">
        <f>PROPER('Team 9'!$I$42)</f>
        <v xml:space="preserve"> </v>
      </c>
      <c r="AH47" s="1351"/>
      <c r="AI47" s="1351"/>
      <c r="AJ47" s="1351" t="str">
        <f>PROPER('Team 10'!$I$42)</f>
        <v xml:space="preserve"> </v>
      </c>
      <c r="AK47" s="1351"/>
      <c r="AL47" s="1351"/>
      <c r="AM47" s="883"/>
      <c r="BG47" s="1034"/>
      <c r="BH47" s="1034"/>
      <c r="BI47" s="1034"/>
      <c r="BJ47" s="1034"/>
      <c r="BK47" s="1034"/>
      <c r="BL47" s="1033"/>
      <c r="BM47" s="1033"/>
      <c r="BN47" s="1033"/>
      <c r="BO47" s="1033"/>
      <c r="BP47" s="1033"/>
      <c r="BQ47" s="1033"/>
      <c r="BR47" s="1033"/>
      <c r="BS47" s="1033"/>
      <c r="BT47" s="1033"/>
      <c r="BU47" s="1033"/>
      <c r="BV47" s="1034"/>
      <c r="BW47" s="1034"/>
      <c r="BX47" s="1034"/>
      <c r="BY47" s="1034"/>
      <c r="BZ47" s="1034"/>
      <c r="CA47" s="1034"/>
      <c r="CB47" s="1034"/>
    </row>
    <row r="48" spans="2:80" s="897" customFormat="1" ht="35.25" customHeight="1" x14ac:dyDescent="0.3">
      <c r="B48" s="1349"/>
      <c r="C48" s="1333"/>
      <c r="D48" s="1424"/>
      <c r="E48" s="888" t="s">
        <v>5108</v>
      </c>
      <c r="I48" s="1367">
        <f>Recording!D82</f>
        <v>0</v>
      </c>
      <c r="J48" s="1367"/>
      <c r="K48" s="1367"/>
      <c r="L48" s="1367">
        <f>Recording!E82</f>
        <v>0</v>
      </c>
      <c r="M48" s="1367"/>
      <c r="N48" s="1367"/>
      <c r="O48" s="1367">
        <f>Recording!F82</f>
        <v>0</v>
      </c>
      <c r="P48" s="1367"/>
      <c r="Q48" s="1367"/>
      <c r="R48" s="1367">
        <f>Recording!G82</f>
        <v>0</v>
      </c>
      <c r="S48" s="1367"/>
      <c r="T48" s="1367"/>
      <c r="U48" s="1367">
        <f>Recording!H82</f>
        <v>0</v>
      </c>
      <c r="V48" s="1367"/>
      <c r="W48" s="1367"/>
      <c r="X48" s="1367">
        <f>Recording!I82</f>
        <v>0</v>
      </c>
      <c r="Y48" s="1367"/>
      <c r="Z48" s="1367"/>
      <c r="AA48" s="1367">
        <f>Recording!J82</f>
        <v>0</v>
      </c>
      <c r="AB48" s="1367"/>
      <c r="AC48" s="1367"/>
      <c r="AD48" s="1367">
        <f>Recording!K82</f>
        <v>0</v>
      </c>
      <c r="AE48" s="1367"/>
      <c r="AF48" s="1367"/>
      <c r="AG48" s="1367">
        <f>Recording!L82</f>
        <v>0</v>
      </c>
      <c r="AH48" s="1367"/>
      <c r="AI48" s="1367"/>
      <c r="AJ48" s="1367">
        <f>Recording!M82</f>
        <v>0</v>
      </c>
      <c r="AK48" s="1367"/>
      <c r="AL48" s="1367"/>
      <c r="AM48" s="883"/>
      <c r="BG48" s="1034"/>
      <c r="BH48" s="1034"/>
      <c r="BI48" s="1034"/>
      <c r="BJ48" s="1034"/>
      <c r="BK48" s="1034"/>
      <c r="BL48" s="1033"/>
      <c r="BM48" s="1033"/>
      <c r="BN48" s="1033"/>
      <c r="BO48" s="1033"/>
      <c r="BP48" s="1033"/>
      <c r="BQ48" s="1033"/>
      <c r="BR48" s="1033"/>
      <c r="BS48" s="1033"/>
      <c r="BT48" s="1033"/>
      <c r="BU48" s="1033"/>
      <c r="BV48" s="1034"/>
      <c r="BW48" s="1034"/>
      <c r="BX48" s="1034"/>
      <c r="BY48" s="1034"/>
      <c r="BZ48" s="1034"/>
      <c r="CA48" s="1034"/>
      <c r="CB48" s="1034"/>
    </row>
    <row r="49" spans="2:73" ht="35.25" customHeight="1" x14ac:dyDescent="0.3">
      <c r="B49" s="1349">
        <v>16</v>
      </c>
      <c r="C49" s="1343" t="s">
        <v>5087</v>
      </c>
      <c r="D49" s="1424" t="s">
        <v>5098</v>
      </c>
      <c r="E49" s="1350" t="s">
        <v>5099</v>
      </c>
      <c r="I49" s="1030">
        <f>0+TEXT(Recording!D84,"00\:00\.00")</f>
        <v>9.2187499999999995E-4</v>
      </c>
      <c r="J49" s="879">
        <f>IF(I49=0,0,IF(I$6=0,0,IF(I49&lt;1,SUM((I49&gt;L49),(I49&gt;O49),(I49&gt;R49),(I49&gt;U49),(I49&gt;X49),(I49&gt;AA49),(I49&gt;AD49),(I49&gt;AG49),(I49&gt;AJ49),(I49&gt;BE49)))-$AM49))</f>
        <v>5</v>
      </c>
      <c r="K49" s="879">
        <f>IF(I49=0,0,IF(I$6=0,0,IF(J49=0,0,((11-J49)))-$B$6))</f>
        <v>3</v>
      </c>
      <c r="L49" s="878">
        <f>0+TEXT(Recording!E84,"00\:00\.00")</f>
        <v>8.1967592592592595E-4</v>
      </c>
      <c r="M49" s="879">
        <f>IF(L49=0,0,IF(L$6=0,0,IF(L49&lt;1,SUM((L49&gt;O49),(L49&gt;R49),(L49&gt;U49),(L49&gt;X49),(L49&gt;AA49),(L49&gt;AD49),(L49&gt;I49),(L49&gt;AG49),(L49&gt;AJ49),(L49&gt;BE49)))-$AM49))</f>
        <v>4</v>
      </c>
      <c r="N49" s="879">
        <f>IF(L49=0,0,IF(L$6=0,0,IF(M49=0,0,((11-M49)))-$B$6))</f>
        <v>4</v>
      </c>
      <c r="O49" s="878">
        <f>0+TEXT(Recording!F84,"00\:00\.00")</f>
        <v>9.8182870370370373E-4</v>
      </c>
      <c r="P49" s="879">
        <f>IF(O49=0,0,IF(O$6=0,0,IF(O49&lt;1,SUM((O49&gt;L49),(O49&gt;I49),(O49&gt;R49),(O49&gt;U49),(O49&gt;X49),(O49&gt;AA49),(O49&gt;AD49),(O49&gt;AG49),(O49&gt;AJ49),(O49&gt;BE49)))-$AM49))</f>
        <v>6</v>
      </c>
      <c r="Q49" s="879">
        <f>IF(O49=0,0,IF(O$6=0,0,IF(P49=0,0,((11-P49)))-$B$6))</f>
        <v>2</v>
      </c>
      <c r="R49" s="878">
        <f>0+TEXT(Recording!G84,"00\:00\.00")</f>
        <v>7.7662037037037033E-4</v>
      </c>
      <c r="S49" s="879">
        <f>IF(R49=0,0,IF(R$6=0,0,IF(R49&lt;1,SUM((R49&gt;L49),(R49&gt;O49),(R49&gt;I49),(R49&gt;U49),(R49&gt;X49),(R49&gt;AA49),(R49&gt;AD49),(R49&gt;AG49),(R49&gt;AJ49),(R49&gt;BE49)))-$AM49))</f>
        <v>2</v>
      </c>
      <c r="T49" s="879">
        <f>IF(R49=0,0,IF(R$6=0,0,IF(S49=0,0,((11-S49)))-$B$6))</f>
        <v>6</v>
      </c>
      <c r="U49" s="878">
        <f>0+TEXT(Recording!H84,"00\:00\.00")</f>
        <v>7.4768518518518511E-4</v>
      </c>
      <c r="V49" s="879">
        <f>IF(U49=0,0,IF(U$6=0,0,IF(U49&lt;1,SUM((U49&gt;L49),(U49&gt;O49),(U49&gt;R49),(U49&gt;I49),(U49&gt;X49),(U49&gt;AA49),(U49&gt;AD49),(U49&gt;AG49),(U49&gt;AJ49),(U49&gt;BE49)))-$AM49))</f>
        <v>1</v>
      </c>
      <c r="W49" s="879">
        <f>IF(U49=0,0,IF(U$6=0,0,IF(V49=0,0,((11-V49)))-$B$6))</f>
        <v>7</v>
      </c>
      <c r="X49" s="878">
        <f>0+TEXT(Recording!I84,"00\:00\.00")</f>
        <v>0</v>
      </c>
      <c r="Y49" s="879">
        <f>IF(X49=0,0,IF(X$6=0,0,IF(X49&lt;1,SUM((X49&gt;L49),(X49&gt;O49),(X49&gt;R49),(X49&gt;U49),(X49&gt;I49),(X49&gt;AA49),(X49&gt;AD49),(X49&gt;AG49),(X49&gt;AJ49),(X49&gt;BE49)))-$AM49))</f>
        <v>0</v>
      </c>
      <c r="Z49" s="879">
        <f>IF(X49=0,0,IF(X$6=0,0,IF(Y49=0,0,((11-Y49)))-$B$6))</f>
        <v>0</v>
      </c>
      <c r="AA49" s="878">
        <f>0+TEXT(Recording!J84,"00\:00\.00")</f>
        <v>8.1678240740740745E-4</v>
      </c>
      <c r="AB49" s="879">
        <f>IF(AA49=0,0,IF(AA$6=0,0,IF(AA49&lt;1,SUM((AA49&gt;L49),(AA49&gt;O49),(AA49&gt;R49),(AA49&gt;U49),(AA49&gt;X49),(AA49&gt;I49),(AA49&gt;AD49),(AA49&gt;AG49),(AA49&gt;AJ49),(AA49&gt;BE49))))-$AM49)</f>
        <v>3</v>
      </c>
      <c r="AC49" s="879">
        <f>IF(AA49=0,0,IF(AA$6=0,0,IF(AB49=0,0,((11-AB49)))-$B$6))</f>
        <v>5</v>
      </c>
      <c r="AD49" s="878">
        <f>0+TEXT(Recording!K84,"00\:00\.00")</f>
        <v>0</v>
      </c>
      <c r="AE49" s="879">
        <f>IF(AD49=0,0,IF(AD$6=0,0,IF(AD49&lt;1,SUM((AD49&gt;L49),(AD49&gt;O49),(AD49&gt;R49),(AD49&gt;U49),(AD49&gt;X49),(AD49&gt;AA49),(AD49&gt;AG49),(AD49&gt;AJ49),(AD49&gt;I49),(AD49&gt;BE49)))-$AM49))</f>
        <v>0</v>
      </c>
      <c r="AF49" s="879">
        <f>IF(AD49=0,0,IF(AD$6=0,0,IF(AE49=0,0,((11-AE49)))-$B$6))</f>
        <v>0</v>
      </c>
      <c r="AG49" s="878">
        <f>0+TEXT(Recording!L84,"00\:00\.00")</f>
        <v>0</v>
      </c>
      <c r="AH49" s="879">
        <f>IF(AG49=0,0,IF(AG$6=0,0,IF(AG49&lt;1,SUM((AG49&gt;I49),(AG49&gt;L49),(AG49&gt;O49),(AG49&gt;R49),(AG49&gt;U49),(AG49&gt;X49),(AG49&gt;AA49),(AG49&gt;AD49),(AG49&gt;AJ49),(AG49&gt;BE49)))-$AM49))</f>
        <v>0</v>
      </c>
      <c r="AI49" s="879">
        <f>IF(AG49=0,0,IF(AG$6=0,0,IF(AH49=0,0,((11-AH49)))-$B$6))</f>
        <v>0</v>
      </c>
      <c r="AJ49" s="878">
        <f>0+TEXT(Recording!M84,"00\:00\.00")</f>
        <v>0</v>
      </c>
      <c r="AK49" s="879">
        <f>IF(AJ49=0,0,IF(AJ$6=0,0,IF(AJ49&lt;1,SUM((AJ49&gt;I49),(AJ49&gt;L49),(AJ49&gt;O49),(AJ49&gt;R49),(AJ49&gt;U49),(AJ49&gt;X49),(AJ49&gt;AA49),(AJ49&gt;AD49),(AJ49&gt;AG49),(AJ49&gt;BE49)))-$AM49))</f>
        <v>0</v>
      </c>
      <c r="AL49" s="989">
        <f>IF(AJ49=0,0,IF(AJ$6=0,0,IF(AK49=0,0,((11-AK49)))-$B$6))</f>
        <v>0</v>
      </c>
      <c r="AM49" s="883">
        <f>COUNTBLANK(I609:R609)</f>
        <v>4</v>
      </c>
      <c r="BL49" s="1033"/>
      <c r="BM49" s="1033"/>
      <c r="BN49" s="1033"/>
      <c r="BO49" s="1033"/>
      <c r="BP49" s="1033"/>
      <c r="BQ49" s="1033"/>
      <c r="BR49" s="1033"/>
      <c r="BS49" s="1033"/>
      <c r="BT49" s="1033"/>
      <c r="BU49" s="1033"/>
    </row>
    <row r="50" spans="2:73" ht="35.25" customHeight="1" x14ac:dyDescent="0.3">
      <c r="B50" s="1349"/>
      <c r="C50" s="1343"/>
      <c r="D50" s="1424"/>
      <c r="E50" s="1350"/>
      <c r="I50" s="1351" t="str">
        <f>PROPER('Team 1'!$I$43)</f>
        <v>Zalan Tornay</v>
      </c>
      <c r="J50" s="1351"/>
      <c r="K50" s="1351"/>
      <c r="L50" s="1351" t="str">
        <f>PROPER('Team 2'!$I$43)</f>
        <v>Alexander Gregory</v>
      </c>
      <c r="M50" s="1351"/>
      <c r="N50" s="1351"/>
      <c r="O50" s="1351" t="str">
        <f>PROPER('Team 3'!$I$43)</f>
        <v>Alfie Bullock</v>
      </c>
      <c r="P50" s="1351"/>
      <c r="Q50" s="1351"/>
      <c r="R50" s="1351" t="str">
        <f>PROPER('Team 4'!$I$43)</f>
        <v>Charles Raines</v>
      </c>
      <c r="S50" s="1351"/>
      <c r="T50" s="1351"/>
      <c r="U50" s="1351" t="str">
        <f>PROPER('Team 5'!$I$43)</f>
        <v>Albert Orley</v>
      </c>
      <c r="V50" s="1351"/>
      <c r="W50" s="1351"/>
      <c r="X50" s="1351" t="str">
        <f>PROPER('Team 6'!$I$43)</f>
        <v>Louis Waissman</v>
      </c>
      <c r="Y50" s="1351"/>
      <c r="Z50" s="1351"/>
      <c r="AA50" s="1351" t="str">
        <f>PROPER('Team 7'!$I$43)</f>
        <v>Tsz Kwai Chan</v>
      </c>
      <c r="AB50" s="1351"/>
      <c r="AC50" s="1351"/>
      <c r="AD50" s="1351" t="str">
        <f>PROPER('Team 8'!$I$43)</f>
        <v xml:space="preserve"> </v>
      </c>
      <c r="AE50" s="1351"/>
      <c r="AF50" s="1351"/>
      <c r="AG50" s="1351" t="str">
        <f>PROPER('Team 9'!$I$43)</f>
        <v xml:space="preserve"> </v>
      </c>
      <c r="AH50" s="1351"/>
      <c r="AI50" s="1351"/>
      <c r="AJ50" s="1351" t="str">
        <f>PROPER('Team 10'!$I$43)</f>
        <v xml:space="preserve"> </v>
      </c>
      <c r="AK50" s="1351"/>
      <c r="AL50" s="1351"/>
      <c r="AM50" s="883"/>
      <c r="BL50" s="1033"/>
      <c r="BM50" s="1033"/>
      <c r="BN50" s="1033"/>
      <c r="BO50" s="1033"/>
      <c r="BP50" s="1033"/>
      <c r="BQ50" s="1033"/>
      <c r="BR50" s="1033"/>
      <c r="BS50" s="1033"/>
      <c r="BT50" s="1033"/>
      <c r="BU50" s="1033"/>
    </row>
    <row r="51" spans="2:73" ht="35.25" customHeight="1" x14ac:dyDescent="0.3">
      <c r="B51" s="1349"/>
      <c r="C51" s="1343"/>
      <c r="D51" s="1424"/>
      <c r="E51" s="888" t="s">
        <v>5108</v>
      </c>
      <c r="I51" s="1367">
        <f>Recording!D86</f>
        <v>0</v>
      </c>
      <c r="J51" s="1367"/>
      <c r="K51" s="1367"/>
      <c r="L51" s="1367">
        <f>Recording!E86</f>
        <v>0</v>
      </c>
      <c r="M51" s="1367"/>
      <c r="N51" s="1367"/>
      <c r="O51" s="1367">
        <f>Recording!F86</f>
        <v>0</v>
      </c>
      <c r="P51" s="1367"/>
      <c r="Q51" s="1367"/>
      <c r="R51" s="1367">
        <f>Recording!G86</f>
        <v>0</v>
      </c>
      <c r="S51" s="1367"/>
      <c r="T51" s="1367"/>
      <c r="U51" s="1367">
        <f>Recording!H86</f>
        <v>0</v>
      </c>
      <c r="V51" s="1367"/>
      <c r="W51" s="1367"/>
      <c r="X51" s="1367" t="str">
        <f>Recording!I86</f>
        <v>6.4 turn not initiated straight away once turned over</v>
      </c>
      <c r="Y51" s="1367"/>
      <c r="Z51" s="1367"/>
      <c r="AA51" s="1367">
        <f>Recording!J86</f>
        <v>0</v>
      </c>
      <c r="AB51" s="1367"/>
      <c r="AC51" s="1367"/>
      <c r="AD51" s="1367">
        <f>Recording!K86</f>
        <v>0</v>
      </c>
      <c r="AE51" s="1367"/>
      <c r="AF51" s="1367"/>
      <c r="AG51" s="1367">
        <f>Recording!L86</f>
        <v>0</v>
      </c>
      <c r="AH51" s="1367"/>
      <c r="AI51" s="1367"/>
      <c r="AJ51" s="1367">
        <f>Recording!M86</f>
        <v>0</v>
      </c>
      <c r="AK51" s="1367"/>
      <c r="AL51" s="1367"/>
      <c r="AM51" s="883"/>
      <c r="BL51" s="1033"/>
      <c r="BM51" s="1033"/>
      <c r="BN51" s="1033"/>
      <c r="BO51" s="1033"/>
      <c r="BP51" s="1033"/>
      <c r="BQ51" s="1033"/>
      <c r="BR51" s="1033"/>
      <c r="BS51" s="1033"/>
      <c r="BT51" s="1033"/>
      <c r="BU51" s="1033"/>
    </row>
    <row r="52" spans="2:73" ht="35.25" customHeight="1" x14ac:dyDescent="0.3">
      <c r="B52" s="1349">
        <v>17</v>
      </c>
      <c r="C52" s="1333" t="s">
        <v>5083</v>
      </c>
      <c r="D52" s="1424" t="s">
        <v>5093</v>
      </c>
      <c r="E52" s="1350" t="s">
        <v>5100</v>
      </c>
      <c r="I52" s="1030">
        <f>0+TEXT(Recording!D88,"00\:00\.00")</f>
        <v>8.8090277777777776E-4</v>
      </c>
      <c r="J52" s="879">
        <f>IF(I52=0,0,IF(I$6=0,0,IF(I52&lt;1,SUM((I52&gt;L52),(I52&gt;O52),(I52&gt;R52),(I52&gt;U52),(I52&gt;X52),(I52&gt;AA52),(I52&gt;AD52),(I52&gt;AG52),(I52&gt;AJ52),(I52&gt;BE52)))-$AM52))</f>
        <v>3</v>
      </c>
      <c r="K52" s="879">
        <f>IF(I52=0,0,IF(I$6=0,0,IF(J52=0,0,((11-J52)))-$B$6))</f>
        <v>5</v>
      </c>
      <c r="L52" s="878">
        <f>0+TEXT(Recording!E88,"00\:00\.00")</f>
        <v>9.2118055555555562E-4</v>
      </c>
      <c r="M52" s="879">
        <f>IF(L52=0,0,IF(L$6=0,0,IF(L52&lt;1,SUM((L52&gt;O52),(L52&gt;R52),(L52&gt;U52),(L52&gt;X52),(L52&gt;AA52),(L52&gt;AD52),(L52&gt;I52),(L52&gt;AG52),(L52&gt;AJ52),(L52&gt;BE52)))-$AM52))</f>
        <v>7</v>
      </c>
      <c r="N52" s="879">
        <f>IF(L52=0,0,IF(L$6=0,0,IF(M52=0,0,((11-M52)))-$B$6))</f>
        <v>1</v>
      </c>
      <c r="O52" s="878">
        <f>0+TEXT(Recording!F88,"00\:00\.00")</f>
        <v>9.0671296296296301E-4</v>
      </c>
      <c r="P52" s="879">
        <f>IF(O52=0,0,IF(O$6=0,0,IF(O52&lt;1,SUM((O52&gt;L52),(O52&gt;I52),(O52&gt;R52),(O52&gt;U52),(O52&gt;X52),(O52&gt;AA52),(O52&gt;AD52),(O52&gt;AG52),(O52&gt;AJ52),(O52&gt;BE52)))-$AM52))</f>
        <v>6</v>
      </c>
      <c r="Q52" s="879">
        <f>IF(O52=0,0,IF(O$6=0,0,IF(P52=0,0,((11-P52)))-$B$6))</f>
        <v>2</v>
      </c>
      <c r="R52" s="878">
        <f>0+TEXT(Recording!G88,"00\:00\.00")</f>
        <v>7.9513888888888896E-4</v>
      </c>
      <c r="S52" s="879">
        <f>IF(R52=0,0,IF(R$6=0,0,IF(R52&lt;1,SUM((R52&gt;L52),(R52&gt;O52),(R52&gt;I52),(R52&gt;U52),(R52&gt;X52),(R52&gt;AA52),(R52&gt;AD52),(R52&gt;AG52),(R52&gt;AJ52),(R52&gt;BE52)))-$AM52))</f>
        <v>1</v>
      </c>
      <c r="T52" s="879">
        <f>IF(R52=0,0,IF(R$6=0,0,IF(S52=0,0,((11-S52)))-$B$6))</f>
        <v>7</v>
      </c>
      <c r="U52" s="878">
        <f>0+TEXT(Recording!H88,"00\:00\.00")</f>
        <v>8.6215277777777777E-4</v>
      </c>
      <c r="V52" s="879">
        <f>IF(U52=0,0,IF(U$6=0,0,IF(U52&lt;1,SUM((U52&gt;L52),(U52&gt;O52),(U52&gt;R52),(U52&gt;I52),(U52&gt;X52),(U52&gt;AA52),(U52&gt;AD52),(U52&gt;AG52),(U52&gt;AJ52),(U52&gt;BE52)))-$AM52))</f>
        <v>2</v>
      </c>
      <c r="W52" s="879">
        <f>IF(U52=0,0,IF(U$6=0,0,IF(V52=0,0,((11-V52)))-$B$6))</f>
        <v>6</v>
      </c>
      <c r="X52" s="878">
        <f>0+TEXT(Recording!I88,"00\:00\.00")</f>
        <v>9.0601851851851857E-4</v>
      </c>
      <c r="Y52" s="879">
        <f>IF(X52=0,0,IF(X$6=0,0,IF(X52&lt;1,SUM((X52&gt;L52),(X52&gt;O52),(X52&gt;R52),(X52&gt;U52),(X52&gt;I52),(X52&gt;AA52),(X52&gt;AD52),(X52&gt;AG52),(X52&gt;AJ52),(X52&gt;BE52)))-$AM52))</f>
        <v>5</v>
      </c>
      <c r="Z52" s="879">
        <f>IF(X52=0,0,IF(X$6=0,0,IF(Y52=0,0,((11-Y52)))-$B$6))</f>
        <v>3</v>
      </c>
      <c r="AA52" s="878">
        <f>0+TEXT(Recording!J88,"00\:00\.00")</f>
        <v>8.9131944444444447E-4</v>
      </c>
      <c r="AB52" s="879">
        <f>IF(AA52=0,0,IF(AA$6=0,0,IF(AA52&lt;1,SUM((AA52&gt;L52),(AA52&gt;O52),(AA52&gt;R52),(AA52&gt;U52),(AA52&gt;X52),(AA52&gt;I52),(AA52&gt;AD52),(AA52&gt;AG52),(AA52&gt;AJ52),(AA52&gt;BE52))))-$AM52)</f>
        <v>4</v>
      </c>
      <c r="AC52" s="879">
        <f>IF(AA52=0,0,IF(AA$6=0,0,IF(AB52=0,0,((11-AB52)))-$B$6))</f>
        <v>4</v>
      </c>
      <c r="AD52" s="878">
        <f>0+TEXT(Recording!K88,"00\:00\.00")</f>
        <v>0</v>
      </c>
      <c r="AE52" s="879">
        <f>IF(AD52=0,0,IF(AD$6=0,0,IF(AD52&lt;1,SUM((AD52&gt;L52),(AD52&gt;O52),(AD52&gt;R52),(AD52&gt;U52),(AD52&gt;X52),(AD52&gt;AA52),(AD52&gt;AG52),(AD52&gt;AJ52),(AD52&gt;I52),(AD52&gt;BE52)))-$AM52))</f>
        <v>0</v>
      </c>
      <c r="AF52" s="879">
        <f>IF(AD52=0,0,IF(AD$6=0,0,IF(AE52=0,0,((11-AE52)))-$B$6))</f>
        <v>0</v>
      </c>
      <c r="AG52" s="878">
        <f>0+TEXT(Recording!L88,"00\:00\.00")</f>
        <v>0</v>
      </c>
      <c r="AH52" s="879">
        <f>IF(AG52=0,0,IF(AG$6=0,0,IF(AG52&lt;1,SUM((AG52&gt;I52),(AG52&gt;L52),(AG52&gt;O52),(AG52&gt;R52),(AG52&gt;U52),(AG52&gt;X52),(AG52&gt;AA52),(AG52&gt;AD52),(AG52&gt;AJ52),(AG52&gt;BE52)))-$AM52))</f>
        <v>0</v>
      </c>
      <c r="AI52" s="879">
        <f>IF(AG52=0,0,IF(AG$6=0,0,IF(AH52=0,0,((11-AH52)))-$B$6))</f>
        <v>0</v>
      </c>
      <c r="AJ52" s="878">
        <f>0+TEXT(Recording!M88,"00\:00\.00")</f>
        <v>0</v>
      </c>
      <c r="AK52" s="879">
        <f>IF(AJ52=0,0,IF(AJ$6=0,0,IF(AJ52&lt;1,SUM((AJ52&gt;I52),(AJ52&gt;L52),(AJ52&gt;O52),(AJ52&gt;R52),(AJ52&gt;U52),(AJ52&gt;X52),(AJ52&gt;AA52),(AJ52&gt;AD52),(AJ52&gt;AG52),(AJ52&gt;BE52)))-$AM52))</f>
        <v>0</v>
      </c>
      <c r="AL52" s="989">
        <f>IF(AJ52=0,0,IF(AJ$6=0,0,IF(AK52=0,0,((11-AK52)))-$B$6))</f>
        <v>0</v>
      </c>
      <c r="AM52" s="883">
        <f>COUNTBLANK(I610:R610)</f>
        <v>3</v>
      </c>
      <c r="BL52" s="1033"/>
      <c r="BM52" s="1033"/>
      <c r="BN52" s="1033"/>
      <c r="BO52" s="1033"/>
      <c r="BP52" s="1033"/>
      <c r="BQ52" s="1033"/>
      <c r="BR52" s="1033"/>
      <c r="BS52" s="1033"/>
      <c r="BT52" s="1033"/>
      <c r="BU52" s="1033"/>
    </row>
    <row r="53" spans="2:73" ht="35.25" customHeight="1" x14ac:dyDescent="0.3">
      <c r="B53" s="1349"/>
      <c r="C53" s="1333"/>
      <c r="D53" s="1424"/>
      <c r="E53" s="1350"/>
      <c r="I53" s="1351" t="str">
        <f>PROPER('Team 1'!$I$44)</f>
        <v>Maja Grzybek</v>
      </c>
      <c r="J53" s="1351"/>
      <c r="K53" s="1351"/>
      <c r="L53" s="1351" t="str">
        <f>PROPER('Team 2'!$I$44)</f>
        <v>Madeleine Bailiss</v>
      </c>
      <c r="M53" s="1351"/>
      <c r="N53" s="1351"/>
      <c r="O53" s="1351" t="str">
        <f>PROPER('Team 3'!$I$44)</f>
        <v>Sophie Clark</v>
      </c>
      <c r="P53" s="1351"/>
      <c r="Q53" s="1351"/>
      <c r="R53" s="1351" t="str">
        <f>PROPER('Team 4'!$I$44)</f>
        <v>Libby Blissett</v>
      </c>
      <c r="S53" s="1351"/>
      <c r="T53" s="1351"/>
      <c r="U53" s="1351" t="str">
        <f>PROPER('Team 5'!$I$44)</f>
        <v>Kathryn Edwards</v>
      </c>
      <c r="V53" s="1351"/>
      <c r="W53" s="1351"/>
      <c r="X53" s="1351" t="str">
        <f>PROPER('Team 6'!$I$44)</f>
        <v>Laura Leksander</v>
      </c>
      <c r="Y53" s="1351"/>
      <c r="Z53" s="1351"/>
      <c r="AA53" s="1351" t="str">
        <f>PROPER('Team 7'!$I$44)</f>
        <v>Keira Brannigan</v>
      </c>
      <c r="AB53" s="1351"/>
      <c r="AC53" s="1351"/>
      <c r="AD53" s="1351" t="str">
        <f>PROPER('Team 8'!$I$44)</f>
        <v xml:space="preserve"> </v>
      </c>
      <c r="AE53" s="1351"/>
      <c r="AF53" s="1351"/>
      <c r="AG53" s="1351" t="str">
        <f>PROPER('Team 9'!$I$44)</f>
        <v xml:space="preserve"> </v>
      </c>
      <c r="AH53" s="1351"/>
      <c r="AI53" s="1351"/>
      <c r="AJ53" s="1351" t="str">
        <f>PROPER('Team 10'!$I$44)</f>
        <v xml:space="preserve"> </v>
      </c>
      <c r="AK53" s="1351"/>
      <c r="AL53" s="1351"/>
      <c r="AM53" s="883"/>
      <c r="BL53" s="1033"/>
      <c r="BM53" s="1033"/>
      <c r="BN53" s="1033"/>
      <c r="BO53" s="1033"/>
      <c r="BP53" s="1033"/>
      <c r="BQ53" s="1033"/>
      <c r="BR53" s="1033"/>
      <c r="BS53" s="1033"/>
      <c r="BT53" s="1033"/>
      <c r="BU53" s="1033"/>
    </row>
    <row r="54" spans="2:73" ht="35.25" customHeight="1" x14ac:dyDescent="0.3">
      <c r="B54" s="1349"/>
      <c r="C54" s="1333"/>
      <c r="D54" s="1424"/>
      <c r="E54" s="888" t="s">
        <v>5108</v>
      </c>
      <c r="I54" s="1367">
        <f>Recording!D90</f>
        <v>0</v>
      </c>
      <c r="J54" s="1367"/>
      <c r="K54" s="1367"/>
      <c r="L54" s="1367">
        <f>Recording!E90</f>
        <v>0</v>
      </c>
      <c r="M54" s="1367"/>
      <c r="N54" s="1367"/>
      <c r="O54" s="1367">
        <f>Recording!F90</f>
        <v>0</v>
      </c>
      <c r="P54" s="1367"/>
      <c r="Q54" s="1367"/>
      <c r="R54" s="1367">
        <f>Recording!G90</f>
        <v>0</v>
      </c>
      <c r="S54" s="1367"/>
      <c r="T54" s="1367"/>
      <c r="U54" s="1367">
        <f>Recording!H90</f>
        <v>0</v>
      </c>
      <c r="V54" s="1367"/>
      <c r="W54" s="1367"/>
      <c r="X54" s="1367">
        <f>Recording!I90</f>
        <v>0</v>
      </c>
      <c r="Y54" s="1367"/>
      <c r="Z54" s="1367"/>
      <c r="AA54" s="1367">
        <f>Recording!J90</f>
        <v>0</v>
      </c>
      <c r="AB54" s="1367"/>
      <c r="AC54" s="1367"/>
      <c r="AD54" s="1367">
        <f>Recording!K90</f>
        <v>0</v>
      </c>
      <c r="AE54" s="1367"/>
      <c r="AF54" s="1367"/>
      <c r="AG54" s="1367">
        <f>Recording!L90</f>
        <v>0</v>
      </c>
      <c r="AH54" s="1367"/>
      <c r="AI54" s="1367"/>
      <c r="AJ54" s="1367">
        <f>Recording!M90</f>
        <v>0</v>
      </c>
      <c r="AK54" s="1367"/>
      <c r="AL54" s="1367"/>
      <c r="AM54" s="883"/>
      <c r="BL54" s="1033"/>
      <c r="BM54" s="1033"/>
      <c r="BN54" s="1033"/>
      <c r="BO54" s="1033"/>
      <c r="BP54" s="1033"/>
      <c r="BQ54" s="1033"/>
      <c r="BR54" s="1033"/>
      <c r="BS54" s="1033"/>
      <c r="BT54" s="1033"/>
      <c r="BU54" s="1033"/>
    </row>
    <row r="55" spans="2:73" ht="35.25" customHeight="1" x14ac:dyDescent="0.3">
      <c r="B55" s="1349">
        <v>18</v>
      </c>
      <c r="C55" s="1343" t="s">
        <v>5087</v>
      </c>
      <c r="D55" s="1424" t="s">
        <v>5093</v>
      </c>
      <c r="E55" s="1350" t="s">
        <v>5100</v>
      </c>
      <c r="I55" s="1030">
        <f>0+TEXT(Recording!D92,"00\:00\.00")</f>
        <v>0</v>
      </c>
      <c r="J55" s="879">
        <f>IF(I55=0,0,IF(I$6=0,0,IF(I55&lt;1,SUM((I55&gt;L55),(I55&gt;O55),(I55&gt;R55),(I55&gt;U55),(I55&gt;X55),(I55&gt;AA55),(I55&gt;AD55),(I55&gt;AG55),(I55&gt;AJ55),(I55&gt;BE55)))-$AM55))</f>
        <v>0</v>
      </c>
      <c r="K55" s="879">
        <f>IF(I55=0,0,IF(I$6=0,0,IF(J55=0,0,((11-J55)))-$B$6))</f>
        <v>0</v>
      </c>
      <c r="L55" s="878">
        <f>0+TEXT(Recording!E92,"00\:00\.00")</f>
        <v>1.0456018518518518E-3</v>
      </c>
      <c r="M55" s="879">
        <f>IF(L55=0,0,IF(L$6=0,0,IF(L55&lt;1,SUM((L55&gt;O55),(L55&gt;R55),(L55&gt;U55),(L55&gt;X55),(L55&gt;AA55),(L55&gt;AD55),(L55&gt;I55),(L55&gt;AG55),(L55&gt;AJ55),(L55&gt;BE55)))-$AM55))</f>
        <v>6</v>
      </c>
      <c r="N55" s="879">
        <f>IF(L55=0,0,IF(L$6=0,0,IF(M55=0,0,((11-M55)))-$B$6))</f>
        <v>2</v>
      </c>
      <c r="O55" s="878">
        <f>0+TEXT(Recording!F92,"00\:00\.00")</f>
        <v>8.0162037037037018E-4</v>
      </c>
      <c r="P55" s="879">
        <f>IF(O55=0,0,IF(O$6=0,0,IF(O55&lt;1,SUM((O55&gt;L55),(O55&gt;I55),(O55&gt;R55),(O55&gt;U55),(O55&gt;X55),(O55&gt;AA55),(O55&gt;AD55),(O55&gt;AG55),(O55&gt;AJ55),(O55&gt;BE55)))-$AM55))</f>
        <v>5</v>
      </c>
      <c r="Q55" s="879">
        <f>IF(O55=0,0,IF(O$6=0,0,IF(P55=0,0,((11-P55)))-$B$6))</f>
        <v>3</v>
      </c>
      <c r="R55" s="878">
        <f>0+TEXT(Recording!G92,"00\:00\.00")</f>
        <v>7.4166666666666662E-4</v>
      </c>
      <c r="S55" s="879">
        <f>IF(R55=0,0,IF(R$6=0,0,IF(R55&lt;1,SUM((R55&gt;L55),(R55&gt;O55),(R55&gt;I55),(R55&gt;U55),(R55&gt;X55),(R55&gt;AA55),(R55&gt;AD55),(R55&gt;AG55),(R55&gt;AJ55),(R55&gt;BE55)))-$AM55))</f>
        <v>2</v>
      </c>
      <c r="T55" s="879">
        <f>IF(R55=0,0,IF(R$6=0,0,IF(S55=0,0,((11-S55)))-$B$6))</f>
        <v>6</v>
      </c>
      <c r="U55" s="878">
        <f>0+TEXT(Recording!H92,"00\:00\.00")</f>
        <v>7.594907407407407E-4</v>
      </c>
      <c r="V55" s="879">
        <f>IF(U55=0,0,IF(U$6=0,0,IF(U55&lt;1,SUM((U55&gt;L55),(U55&gt;O55),(U55&gt;R55),(U55&gt;I55),(U55&gt;X55),(U55&gt;AA55),(U55&gt;AD55),(U55&gt;AG55),(U55&gt;AJ55),(U55&gt;BE55)))-$AM55))</f>
        <v>4</v>
      </c>
      <c r="W55" s="879">
        <f>IF(U55=0,0,IF(U$6=0,0,IF(V55=0,0,((11-V55)))-$B$6))</f>
        <v>4</v>
      </c>
      <c r="X55" s="878">
        <f>0+TEXT(Recording!I92,"00\:00\.00")</f>
        <v>7.1388888888888891E-4</v>
      </c>
      <c r="Y55" s="879">
        <f>IF(X55=0,0,IF(X$6=0,0,IF(X55&lt;1,SUM((X55&gt;L55),(X55&gt;O55),(X55&gt;R55),(X55&gt;U55),(X55&gt;I55),(X55&gt;AA55),(X55&gt;AD55),(X55&gt;AG55),(X55&gt;AJ55),(X55&gt;BE55)))-$AM55))</f>
        <v>1</v>
      </c>
      <c r="Z55" s="879">
        <f>IF(X55=0,0,IF(X$6=0,0,IF(Y55=0,0,((11-Y55)))-$B$6))</f>
        <v>7</v>
      </c>
      <c r="AA55" s="878">
        <f>0+TEXT(Recording!J92,"00\:00\.00")</f>
        <v>7.53125E-4</v>
      </c>
      <c r="AB55" s="879">
        <f>IF(AA55=0,0,IF(AA$6=0,0,IF(AA55&lt;1,SUM((AA55&gt;L55),(AA55&gt;O55),(AA55&gt;R55),(AA55&gt;U55),(AA55&gt;X55),(AA55&gt;I55),(AA55&gt;AD55),(AA55&gt;AG55),(AA55&gt;AJ55),(AA55&gt;BE55))))-$AM55)</f>
        <v>3</v>
      </c>
      <c r="AC55" s="879">
        <f>IF(AA55=0,0,IF(AA$6=0,0,IF(AB55=0,0,((11-AB55)))-$B$6))</f>
        <v>5</v>
      </c>
      <c r="AD55" s="878">
        <f>0+TEXT(Recording!K92,"00\:00\.00")</f>
        <v>0</v>
      </c>
      <c r="AE55" s="879">
        <f>IF(AD55=0,0,IF(AD$6=0,0,IF(AD55&lt;1,SUM((AD55&gt;L55),(AD55&gt;O55),(AD55&gt;R55),(AD55&gt;U55),(AD55&gt;X55),(AD55&gt;AA55),(AD55&gt;AG55),(AD55&gt;AJ55),(AD55&gt;I55),(AD55&gt;BE55)))-$AM55))</f>
        <v>0</v>
      </c>
      <c r="AF55" s="879">
        <f>IF(AD55=0,0,IF(AD$6=0,0,IF(AE55=0,0,((11-AE55)))-$B$6))</f>
        <v>0</v>
      </c>
      <c r="AG55" s="878">
        <f>0+TEXT(Recording!L92,"00\:00\.00")</f>
        <v>0</v>
      </c>
      <c r="AH55" s="879">
        <f>IF(AG55=0,0,IF(AG$6=0,0,IF(AG55&lt;1,SUM((AG55&gt;I55),(AG55&gt;L55),(AG55&gt;O55),(AG55&gt;R55),(AG55&gt;U55),(AG55&gt;X55),(AG55&gt;AA55),(AG55&gt;AD55),(AG55&gt;AJ55),(AG55&gt;BE55)))-$AM55))</f>
        <v>0</v>
      </c>
      <c r="AI55" s="879">
        <f>IF(AG55=0,0,IF(AG$6=0,0,IF(AH55=0,0,((11-AH55)))-$B$6))</f>
        <v>0</v>
      </c>
      <c r="AJ55" s="878">
        <f>0+TEXT(Recording!M92,"00\:00\.00")</f>
        <v>0</v>
      </c>
      <c r="AK55" s="879">
        <f>IF(AJ55=0,0,IF(AJ$6=0,0,IF(AJ55&lt;1,SUM((AJ55&gt;I55),(AJ55&gt;L55),(AJ55&gt;O55),(AJ55&gt;R55),(AJ55&gt;U55),(AJ55&gt;X55),(AJ55&gt;AA55),(AJ55&gt;AD55),(AJ55&gt;AG55),(AJ55&gt;BE55)))-$AM55))</f>
        <v>0</v>
      </c>
      <c r="AL55" s="989">
        <f>IF(AJ55=0,0,IF(AJ$6=0,0,IF(AK55=0,0,((11-AK55)))-$B$6))</f>
        <v>0</v>
      </c>
      <c r="AM55" s="883">
        <f>COUNTBLANK(I611:R611)</f>
        <v>4</v>
      </c>
      <c r="BL55" s="1033"/>
      <c r="BM55" s="1033"/>
      <c r="BN55" s="1033"/>
      <c r="BO55" s="1033"/>
      <c r="BP55" s="1033"/>
      <c r="BQ55" s="1033"/>
      <c r="BR55" s="1033"/>
      <c r="BS55" s="1033"/>
      <c r="BT55" s="1033"/>
      <c r="BU55" s="1033"/>
    </row>
    <row r="56" spans="2:73" ht="35.25" customHeight="1" x14ac:dyDescent="0.3">
      <c r="B56" s="1349"/>
      <c r="C56" s="1343"/>
      <c r="D56" s="1424"/>
      <c r="E56" s="1350"/>
      <c r="I56" s="1351" t="str">
        <f>PROPER('Team 1'!$I$45)</f>
        <v xml:space="preserve"> </v>
      </c>
      <c r="J56" s="1351"/>
      <c r="K56" s="1351"/>
      <c r="L56" s="1351" t="str">
        <f>PROPER('Team 2'!$I$45)</f>
        <v>Samuel Heraty</v>
      </c>
      <c r="M56" s="1351"/>
      <c r="N56" s="1351"/>
      <c r="O56" s="1351" t="str">
        <f>PROPER('Team 3'!$I$45)</f>
        <v>Luke Morley</v>
      </c>
      <c r="P56" s="1351"/>
      <c r="Q56" s="1351"/>
      <c r="R56" s="1351" t="str">
        <f>PROPER('Team 4'!$I$45)</f>
        <v>Ellis Bunce</v>
      </c>
      <c r="S56" s="1351"/>
      <c r="T56" s="1351"/>
      <c r="U56" s="1351" t="str">
        <f>PROPER('Team 5'!$I$45)</f>
        <v>Daniel Parker</v>
      </c>
      <c r="V56" s="1351"/>
      <c r="W56" s="1351"/>
      <c r="X56" s="1351" t="str">
        <f>PROPER('Team 6'!$I$45)</f>
        <v>Shanil Ramaiya</v>
      </c>
      <c r="Y56" s="1351"/>
      <c r="Z56" s="1351"/>
      <c r="AA56" s="1351" t="str">
        <f>PROPER('Team 7'!$I$45)</f>
        <v>Liam Treanor</v>
      </c>
      <c r="AB56" s="1351"/>
      <c r="AC56" s="1351"/>
      <c r="AD56" s="1351" t="str">
        <f>PROPER('Team 8'!$I$45)</f>
        <v xml:space="preserve"> </v>
      </c>
      <c r="AE56" s="1351"/>
      <c r="AF56" s="1351"/>
      <c r="AG56" s="1351" t="str">
        <f>PROPER('Team 9'!$I$45)</f>
        <v xml:space="preserve"> </v>
      </c>
      <c r="AH56" s="1351"/>
      <c r="AI56" s="1351"/>
      <c r="AJ56" s="1351" t="str">
        <f>PROPER('Team 10'!$I$45)</f>
        <v xml:space="preserve"> </v>
      </c>
      <c r="AK56" s="1351"/>
      <c r="AL56" s="1351"/>
      <c r="AM56" s="883"/>
      <c r="BL56" s="1033"/>
      <c r="BM56" s="1033"/>
      <c r="BN56" s="1033"/>
      <c r="BO56" s="1033"/>
      <c r="BP56" s="1033"/>
      <c r="BQ56" s="1033"/>
      <c r="BR56" s="1033"/>
      <c r="BS56" s="1033"/>
      <c r="BT56" s="1033"/>
      <c r="BU56" s="1033"/>
    </row>
    <row r="57" spans="2:73" ht="35.25" customHeight="1" x14ac:dyDescent="0.3">
      <c r="B57" s="1349"/>
      <c r="C57" s="1343"/>
      <c r="D57" s="1424"/>
      <c r="E57" s="888" t="s">
        <v>5108</v>
      </c>
      <c r="I57" s="1367" t="str">
        <f>Recording!D94</f>
        <v>DNS</v>
      </c>
      <c r="J57" s="1367"/>
      <c r="K57" s="1367"/>
      <c r="L57" s="1367">
        <f>Recording!E94</f>
        <v>0</v>
      </c>
      <c r="M57" s="1367"/>
      <c r="N57" s="1367"/>
      <c r="O57" s="1367">
        <f>Recording!F94</f>
        <v>0</v>
      </c>
      <c r="P57" s="1367"/>
      <c r="Q57" s="1367"/>
      <c r="R57" s="1367">
        <f>Recording!G94</f>
        <v>0</v>
      </c>
      <c r="S57" s="1367"/>
      <c r="T57" s="1367"/>
      <c r="U57" s="1367">
        <f>Recording!H94</f>
        <v>0</v>
      </c>
      <c r="V57" s="1367"/>
      <c r="W57" s="1367"/>
      <c r="X57" s="1367">
        <f>Recording!I94</f>
        <v>0</v>
      </c>
      <c r="Y57" s="1367"/>
      <c r="Z57" s="1367"/>
      <c r="AA57" s="1367">
        <f>Recording!J94</f>
        <v>0</v>
      </c>
      <c r="AB57" s="1367"/>
      <c r="AC57" s="1367"/>
      <c r="AD57" s="1367">
        <f>Recording!K94</f>
        <v>0</v>
      </c>
      <c r="AE57" s="1367"/>
      <c r="AF57" s="1367"/>
      <c r="AG57" s="1367">
        <f>Recording!L94</f>
        <v>0</v>
      </c>
      <c r="AH57" s="1367"/>
      <c r="AI57" s="1367"/>
      <c r="AJ57" s="1367">
        <f>Recording!M94</f>
        <v>0</v>
      </c>
      <c r="AK57" s="1367"/>
      <c r="AL57" s="1367"/>
      <c r="AM57" s="883"/>
      <c r="BL57" s="1033"/>
      <c r="BM57" s="1033"/>
      <c r="BN57" s="1033"/>
      <c r="BO57" s="1033"/>
      <c r="BP57" s="1033"/>
      <c r="BQ57" s="1033"/>
      <c r="BR57" s="1033"/>
      <c r="BS57" s="1033"/>
      <c r="BT57" s="1033"/>
      <c r="BU57" s="1033"/>
    </row>
    <row r="58" spans="2:73" ht="35.25" customHeight="1" x14ac:dyDescent="0.3">
      <c r="B58" s="1349">
        <v>19</v>
      </c>
      <c r="C58" s="1333" t="s">
        <v>5083</v>
      </c>
      <c r="D58" s="1429" t="s">
        <v>5094</v>
      </c>
      <c r="E58" s="1350" t="s">
        <v>5101</v>
      </c>
      <c r="I58" s="1030">
        <f>0+TEXT(Recording!D96,"00\:00\.00")</f>
        <v>4.4745370370370365E-4</v>
      </c>
      <c r="J58" s="879">
        <f>IF(I58=0,0,IF(I$6=0,0,IF(I58&lt;1,SUM((I58&gt;L58),(I58&gt;O58),(I58&gt;R58),(I58&gt;U58),(I58&gt;X58),(I58&gt;AA58),(I58&gt;AD58),(I58&gt;AG58),(I58&gt;AJ58),(I58&gt;BE58)))-$AM58))</f>
        <v>1</v>
      </c>
      <c r="K58" s="879">
        <f>IF(I58=0,0,IF(I$6=0,0,IF(J58=0,0,((11-J58)))-$B$6))</f>
        <v>7</v>
      </c>
      <c r="L58" s="878">
        <f>0+TEXT(Recording!E96,"00\:00\.00")</f>
        <v>5.0428240740740739E-4</v>
      </c>
      <c r="M58" s="879">
        <f>IF(L58=0,0,IF(L$6=0,0,IF(L58&lt;1,SUM((L58&gt;O58),(L58&gt;R58),(L58&gt;U58),(L58&gt;X58),(L58&gt;AA58),(L58&gt;AD58),(L58&gt;I58),(L58&gt;AG58),(L58&gt;AJ58),(L58&gt;BE58)))-$AM58))</f>
        <v>3</v>
      </c>
      <c r="N58" s="879">
        <f>IF(L58=0,0,IF(L$6=0,0,IF(M58=0,0,((11-M58)))-$B$6))</f>
        <v>5</v>
      </c>
      <c r="O58" s="878">
        <f>0+TEXT(Recording!F96,"00\:00\.00")</f>
        <v>4.9270833333333339E-4</v>
      </c>
      <c r="P58" s="879">
        <f>IF(O58=0,0,IF(O$6=0,0,IF(O58&lt;1,SUM((O58&gt;L58),(O58&gt;I58),(O58&gt;R58),(O58&gt;U58),(O58&gt;X58),(O58&gt;AA58),(O58&gt;AD58),(O58&gt;AG58),(O58&gt;AJ58),(O58&gt;BE58)))-$AM58))</f>
        <v>2</v>
      </c>
      <c r="Q58" s="879">
        <f>IF(O58=0,0,IF(O$6=0,0,IF(P58=0,0,((11-P58)))-$B$6))</f>
        <v>6</v>
      </c>
      <c r="R58" s="878">
        <f>0+TEXT(Recording!G96,"00\:00\.00")</f>
        <v>5.276620370370371E-4</v>
      </c>
      <c r="S58" s="879">
        <f>IF(R58=0,0,IF(R$6=0,0,IF(R58&lt;1,SUM((R58&gt;L58),(R58&gt;O58),(R58&gt;I58),(R58&gt;U58),(R58&gt;X58),(R58&gt;AA58),(R58&gt;AD58),(R58&gt;AG58),(R58&gt;AJ58),(R58&gt;BE58)))-$AM58))</f>
        <v>5</v>
      </c>
      <c r="T58" s="879">
        <f>IF(R58=0,0,IF(R$6=0,0,IF(S58=0,0,((11-S58)))-$B$6))</f>
        <v>3</v>
      </c>
      <c r="U58" s="878">
        <f>0+TEXT(Recording!H96,"00\:00\.00")</f>
        <v>5.4780092592592586E-4</v>
      </c>
      <c r="V58" s="879">
        <f>IF(U58=0,0,IF(U$6=0,0,IF(U58&lt;1,SUM((U58&gt;L58),(U58&gt;O58),(U58&gt;R58),(U58&gt;I58),(U58&gt;X58),(U58&gt;AA58),(U58&gt;AD58),(U58&gt;AG58),(U58&gt;AJ58),(U58&gt;BE58)))-$AM58))</f>
        <v>7</v>
      </c>
      <c r="W58" s="879">
        <f>IF(U58=0,0,IF(U$6=0,0,IF(V58=0,0,((11-V58)))-$B$6))</f>
        <v>1</v>
      </c>
      <c r="X58" s="878">
        <f>0+TEXT(Recording!I96,"00\:00\.00")</f>
        <v>5.398148148148148E-4</v>
      </c>
      <c r="Y58" s="879">
        <f>IF(X58=0,0,IF(X$6=0,0,IF(X58&lt;1,SUM((X58&gt;L58),(X58&gt;O58),(X58&gt;R58),(X58&gt;U58),(X58&gt;I58),(X58&gt;AA58),(X58&gt;AD58),(X58&gt;AG58),(X58&gt;AJ58),(X58&gt;BE58)))-$AM58))</f>
        <v>6</v>
      </c>
      <c r="Z58" s="879">
        <f>IF(X58=0,0,IF(X$6=0,0,IF(Y58=0,0,((11-Y58)))-$B$6))</f>
        <v>2</v>
      </c>
      <c r="AA58" s="878">
        <f>0+TEXT(Recording!J96,"00\:00\.00")</f>
        <v>5.0543981481481479E-4</v>
      </c>
      <c r="AB58" s="879">
        <f>IF(AA58=0,0,IF(AA$6=0,0,IF(AA58&lt;1,SUM((AA58&gt;L58),(AA58&gt;O58),(AA58&gt;R58),(AA58&gt;U58),(AA58&gt;X58),(AA58&gt;I58),(AA58&gt;AD58),(AA58&gt;AG58),(AA58&gt;AJ58),(AA58&gt;BE58))))-$AM58)</f>
        <v>4</v>
      </c>
      <c r="AC58" s="879">
        <f>IF(AA58=0,0,IF(AA$6=0,0,IF(AB58=0,0,((11-AB58)))-$B$6))</f>
        <v>4</v>
      </c>
      <c r="AD58" s="878">
        <f>0+TEXT(Recording!K96,"00\:00\.00")</f>
        <v>0</v>
      </c>
      <c r="AE58" s="879">
        <f>IF(AD58=0,0,IF(AD$6=0,0,IF(AD58&lt;1,SUM((AD58&gt;L58),(AD58&gt;O58),(AD58&gt;R58),(AD58&gt;U58),(AD58&gt;X58),(AD58&gt;AA58),(AD58&gt;AG58),(AD58&gt;AJ58),(AD58&gt;I58),(AD58&gt;BE58)))-$AM58))</f>
        <v>0</v>
      </c>
      <c r="AF58" s="879">
        <f>IF(AD58=0,0,IF(AD$6=0,0,IF(AE58=0,0,((11-AE58)))-$B$6))</f>
        <v>0</v>
      </c>
      <c r="AG58" s="878">
        <f>0+TEXT(Recording!L96,"00\:00\.00")</f>
        <v>0</v>
      </c>
      <c r="AH58" s="879">
        <f>IF(AG58=0,0,IF(AG$6=0,0,IF(AG58&lt;1,SUM((AG58&gt;I58),(AG58&gt;L58),(AG58&gt;O58),(AG58&gt;R58),(AG58&gt;U58),(AG58&gt;X58),(AG58&gt;AA58),(AG58&gt;AD58),(AG58&gt;AJ58),(AG58&gt;BE58)))-$AM58))</f>
        <v>0</v>
      </c>
      <c r="AI58" s="879">
        <f>IF(AG58=0,0,IF(AG$6=0,0,IF(AH58=0,0,((11-AH58)))-$B$6))</f>
        <v>0</v>
      </c>
      <c r="AJ58" s="878">
        <f>0+TEXT(Recording!M96,"00\:00\.00")</f>
        <v>0</v>
      </c>
      <c r="AK58" s="879">
        <f>IF(AJ58=0,0,IF(AJ$6=0,0,IF(AJ58&lt;1,SUM((AJ58&gt;I58),(AJ58&gt;L58),(AJ58&gt;O58),(AJ58&gt;R58),(AJ58&gt;U58),(AJ58&gt;X58),(AJ58&gt;AA58),(AJ58&gt;AD58),(AJ58&gt;AG58),(AJ58&gt;BE58)))-$AM58))</f>
        <v>0</v>
      </c>
      <c r="AL58" s="989">
        <f>IF(AJ58=0,0,IF(AJ$6=0,0,IF(AK58=0,0,((11-AK58)))-$B$6))</f>
        <v>0</v>
      </c>
      <c r="AM58" s="883">
        <f>COUNTBLANK(I612:R612)</f>
        <v>3</v>
      </c>
      <c r="BL58" s="1033"/>
      <c r="BM58" s="1033"/>
      <c r="BN58" s="1033"/>
      <c r="BO58" s="1033"/>
      <c r="BP58" s="1033"/>
      <c r="BQ58" s="1033"/>
      <c r="BR58" s="1033"/>
      <c r="BS58" s="1033"/>
      <c r="BT58" s="1033"/>
      <c r="BU58" s="1033"/>
    </row>
    <row r="59" spans="2:73" ht="35.25" customHeight="1" x14ac:dyDescent="0.3">
      <c r="B59" s="1349"/>
      <c r="C59" s="1333"/>
      <c r="D59" s="1429"/>
      <c r="E59" s="1350"/>
      <c r="I59" s="1351" t="str">
        <f>PROPER('Team 1'!$I$46)</f>
        <v>Claudia Savov</v>
      </c>
      <c r="J59" s="1351"/>
      <c r="K59" s="1351"/>
      <c r="L59" s="1351" t="str">
        <f>PROPER('Team 2'!$I$46)</f>
        <v>Maya Wegner</v>
      </c>
      <c r="M59" s="1351"/>
      <c r="N59" s="1351"/>
      <c r="O59" s="1351" t="str">
        <f>PROPER('Team 3'!$I$46)</f>
        <v>Scarlett Omand</v>
      </c>
      <c r="P59" s="1351"/>
      <c r="Q59" s="1351"/>
      <c r="R59" s="1351" t="str">
        <f>PROPER('Team 4'!$I$46)</f>
        <v>Willow Brownbridge</v>
      </c>
      <c r="S59" s="1351"/>
      <c r="T59" s="1351"/>
      <c r="U59" s="1351" t="str">
        <f>PROPER('Team 5'!$I$46)</f>
        <v>Caoife Long</v>
      </c>
      <c r="V59" s="1351"/>
      <c r="W59" s="1351"/>
      <c r="X59" s="1351" t="str">
        <f>PROPER('Team 6'!$I$46)</f>
        <v>Miraya  Patel</v>
      </c>
      <c r="Y59" s="1351"/>
      <c r="Z59" s="1351"/>
      <c r="AA59" s="1351" t="str">
        <f>PROPER('Team 7'!$I$46)</f>
        <v>Zara Jobanputra</v>
      </c>
      <c r="AB59" s="1351"/>
      <c r="AC59" s="1351"/>
      <c r="AD59" s="1351" t="str">
        <f>PROPER('Team 8'!$I$46)</f>
        <v xml:space="preserve"> </v>
      </c>
      <c r="AE59" s="1351"/>
      <c r="AF59" s="1351"/>
      <c r="AG59" s="1351" t="str">
        <f>PROPER('Team 9'!$I$46)</f>
        <v xml:space="preserve"> </v>
      </c>
      <c r="AH59" s="1351"/>
      <c r="AI59" s="1351"/>
      <c r="AJ59" s="1351" t="str">
        <f>PROPER('Team 10'!$I$46)</f>
        <v xml:space="preserve"> </v>
      </c>
      <c r="AK59" s="1351"/>
      <c r="AL59" s="1351"/>
      <c r="AM59" s="883"/>
      <c r="BL59" s="1033"/>
      <c r="BM59" s="1033"/>
      <c r="BN59" s="1033"/>
      <c r="BO59" s="1033"/>
      <c r="BP59" s="1033"/>
      <c r="BQ59" s="1033"/>
      <c r="BR59" s="1033"/>
      <c r="BS59" s="1033"/>
      <c r="BT59" s="1033"/>
      <c r="BU59" s="1033"/>
    </row>
    <row r="60" spans="2:73" ht="35.25" customHeight="1" x14ac:dyDescent="0.3">
      <c r="B60" s="1349"/>
      <c r="C60" s="1333"/>
      <c r="D60" s="1429"/>
      <c r="E60" s="888" t="s">
        <v>5108</v>
      </c>
      <c r="I60" s="1367">
        <f>Recording!D98</f>
        <v>0</v>
      </c>
      <c r="J60" s="1367"/>
      <c r="K60" s="1367"/>
      <c r="L60" s="1367">
        <f>Recording!E98</f>
        <v>0</v>
      </c>
      <c r="M60" s="1367"/>
      <c r="N60" s="1367"/>
      <c r="O60" s="1367">
        <f>Recording!F98</f>
        <v>0</v>
      </c>
      <c r="P60" s="1367"/>
      <c r="Q60" s="1367"/>
      <c r="R60" s="1367">
        <f>Recording!G98</f>
        <v>0</v>
      </c>
      <c r="S60" s="1367"/>
      <c r="T60" s="1367"/>
      <c r="U60" s="1367">
        <f>Recording!H98</f>
        <v>0</v>
      </c>
      <c r="V60" s="1367"/>
      <c r="W60" s="1367"/>
      <c r="X60" s="1367">
        <f>Recording!I98</f>
        <v>0</v>
      </c>
      <c r="Y60" s="1367"/>
      <c r="Z60" s="1367"/>
      <c r="AA60" s="1367">
        <f>Recording!J98</f>
        <v>0</v>
      </c>
      <c r="AB60" s="1367"/>
      <c r="AC60" s="1367"/>
      <c r="AD60" s="1367">
        <f>Recording!K98</f>
        <v>0</v>
      </c>
      <c r="AE60" s="1367"/>
      <c r="AF60" s="1367"/>
      <c r="AG60" s="1367">
        <f>Recording!L98</f>
        <v>0</v>
      </c>
      <c r="AH60" s="1367"/>
      <c r="AI60" s="1367"/>
      <c r="AJ60" s="1367">
        <f>Recording!M98</f>
        <v>0</v>
      </c>
      <c r="AK60" s="1367"/>
      <c r="AL60" s="1367"/>
      <c r="AM60" s="883"/>
      <c r="BL60" s="1033"/>
      <c r="BM60" s="1033"/>
      <c r="BN60" s="1033"/>
      <c r="BO60" s="1033"/>
      <c r="BP60" s="1033"/>
      <c r="BQ60" s="1033"/>
      <c r="BR60" s="1033"/>
      <c r="BS60" s="1033"/>
      <c r="BT60" s="1033"/>
      <c r="BU60" s="1033"/>
    </row>
    <row r="61" spans="2:73" ht="35.25" customHeight="1" x14ac:dyDescent="0.3">
      <c r="B61" s="1349">
        <v>20</v>
      </c>
      <c r="C61" s="1343" t="s">
        <v>5087</v>
      </c>
      <c r="D61" s="1429" t="s">
        <v>5094</v>
      </c>
      <c r="E61" s="1350" t="s">
        <v>5101</v>
      </c>
      <c r="I61" s="1030">
        <f>0+TEXT(Recording!D100,"00\:00\.00")</f>
        <v>6.6365740740740751E-4</v>
      </c>
      <c r="J61" s="879">
        <f>IF(I61=0,0,IF(I$6=0,0,IF(I61&lt;1,SUM((I61&gt;L61),(I61&gt;O61),(I61&gt;R61),(I61&gt;U61),(I61&gt;X61),(I61&gt;AA61),(I61&gt;AD61),(I61&gt;AG61),(I61&gt;AJ61),(I61&gt;BE61)))-$AM61))</f>
        <v>6</v>
      </c>
      <c r="K61" s="879">
        <f>IF(I61=0,0,IF(I$6=0,0,IF(J61=0,0,((11-J61)))-$B$6))</f>
        <v>2</v>
      </c>
      <c r="L61" s="878">
        <f>0+TEXT(Recording!E100,"00\:00\.00")</f>
        <v>4.5636574074074074E-4</v>
      </c>
      <c r="M61" s="879">
        <f>IF(L61=0,0,IF(L$6=0,0,IF(L61&lt;1,SUM((L61&gt;O61),(L61&gt;R61),(L61&gt;U61),(L61&gt;X61),(L61&gt;AA61),(L61&gt;AD61),(L61&gt;I61),(L61&gt;AG61),(L61&gt;AJ61),(L61&gt;BE61)))-$AM61))</f>
        <v>1</v>
      </c>
      <c r="N61" s="879">
        <f>IF(L61=0,0,IF(L$6=0,0,IF(M61=0,0,((11-M61)))-$B$6))</f>
        <v>7</v>
      </c>
      <c r="O61" s="878">
        <f>0+TEXT(Recording!F100,"00\:00\.00")</f>
        <v>5.5312500000000001E-4</v>
      </c>
      <c r="P61" s="879">
        <f>IF(O61=0,0,IF(O$6=0,0,IF(O61&lt;1,SUM((O61&gt;L61),(O61&gt;I61),(O61&gt;R61),(O61&gt;U61),(O61&gt;X61),(O61&gt;AA61),(O61&gt;AD61),(O61&gt;AG61),(O61&gt;AJ61),(O61&gt;BE61)))-$AM61))</f>
        <v>3</v>
      </c>
      <c r="Q61" s="879">
        <f>IF(O61=0,0,IF(O$6=0,0,IF(P61=0,0,((11-P61)))-$B$6))</f>
        <v>5</v>
      </c>
      <c r="R61" s="878">
        <f>0+TEXT(Recording!G100,"00\:00\.00")</f>
        <v>0</v>
      </c>
      <c r="S61" s="879">
        <f>IF(R61=0,0,IF(R$6=0,0,IF(R61&lt;1,SUM((R61&gt;L61),(R61&gt;O61),(R61&gt;I61),(R61&gt;U61),(R61&gt;X61),(R61&gt;AA61),(R61&gt;AD61),(R61&gt;AG61),(R61&gt;AJ61),(R61&gt;BE61)))-$AM61))</f>
        <v>0</v>
      </c>
      <c r="T61" s="879">
        <f>IF(R61=0,0,IF(R$6=0,0,IF(S61=0,0,((11-S61)))-$B$6))</f>
        <v>0</v>
      </c>
      <c r="U61" s="878">
        <f>0+TEXT(Recording!H100,"00\:00\.00")</f>
        <v>5.807870370370371E-4</v>
      </c>
      <c r="V61" s="879">
        <f>IF(U61=0,0,IF(U$6=0,0,IF(U61&lt;1,SUM((U61&gt;L61),(U61&gt;O61),(U61&gt;R61),(U61&gt;I61),(U61&gt;X61),(U61&gt;AA61),(U61&gt;AD61),(U61&gt;AG61),(U61&gt;AJ61),(U61&gt;BE61)))-$AM61))</f>
        <v>4</v>
      </c>
      <c r="W61" s="879">
        <f>IF(U61=0,0,IF(U$6=0,0,IF(V61=0,0,((11-V61)))-$B$6))</f>
        <v>4</v>
      </c>
      <c r="X61" s="878">
        <f>0+TEXT(Recording!I100,"00\:00\.00")</f>
        <v>4.7685185185185195E-4</v>
      </c>
      <c r="Y61" s="879">
        <f>IF(X61=0,0,IF(X$6=0,0,IF(X61&lt;1,SUM((X61&gt;L61),(X61&gt;O61),(X61&gt;R61),(X61&gt;U61),(X61&gt;I61),(X61&gt;AA61),(X61&gt;AD61),(X61&gt;AG61),(X61&gt;AJ61),(X61&gt;BE61)))-$AM61))</f>
        <v>2</v>
      </c>
      <c r="Z61" s="879">
        <f>IF(X61=0,0,IF(X$6=0,0,IF(Y61=0,0,((11-Y61)))-$B$6))</f>
        <v>6</v>
      </c>
      <c r="AA61" s="878">
        <f>0+TEXT(Recording!J100,"00\:00\.00")</f>
        <v>5.8124999999999995E-4</v>
      </c>
      <c r="AB61" s="879">
        <f>IF(AA61=0,0,IF(AA$6=0,0,IF(AA61&lt;1,SUM((AA61&gt;L61),(AA61&gt;O61),(AA61&gt;R61),(AA61&gt;U61),(AA61&gt;X61),(AA61&gt;I61),(AA61&gt;AD61),(AA61&gt;AG61),(AA61&gt;AJ61),(AA61&gt;BE61))))-$AM61)</f>
        <v>5</v>
      </c>
      <c r="AC61" s="879">
        <f>IF(AA61=0,0,IF(AA$6=0,0,IF(AB61=0,0,((11-AB61)))-$B$6))</f>
        <v>3</v>
      </c>
      <c r="AD61" s="878">
        <f>0+TEXT(Recording!K100,"00\:00\.00")</f>
        <v>0</v>
      </c>
      <c r="AE61" s="879">
        <f>IF(AD61=0,0,IF(AD$6=0,0,IF(AD61&lt;1,SUM((AD61&gt;L61),(AD61&gt;O61),(AD61&gt;R61),(AD61&gt;U61),(AD61&gt;X61),(AD61&gt;AA61),(AD61&gt;AG61),(AD61&gt;AJ61),(AD61&gt;I61),(AD61&gt;BE61)))-$AM61))</f>
        <v>0</v>
      </c>
      <c r="AF61" s="879">
        <f>IF(AD61=0,0,IF(AD$6=0,0,IF(AE61=0,0,((11-AE61)))-$B$6))</f>
        <v>0</v>
      </c>
      <c r="AG61" s="878">
        <f>0+TEXT(Recording!L100,"00\:00\.00")</f>
        <v>0</v>
      </c>
      <c r="AH61" s="879">
        <f>IF(AG61=0,0,IF(AG$6=0,0,IF(AG61&lt;1,SUM((AG61&gt;I61),(AG61&gt;L61),(AG61&gt;O61),(AG61&gt;R61),(AG61&gt;U61),(AG61&gt;X61),(AG61&gt;AA61),(AG61&gt;AD61),(AG61&gt;AJ61),(AG61&gt;BE61)))-$AM61))</f>
        <v>0</v>
      </c>
      <c r="AI61" s="879">
        <f>IF(AG61=0,0,IF(AG$6=0,0,IF(AH61=0,0,((11-AH61)))-$B$6))</f>
        <v>0</v>
      </c>
      <c r="AJ61" s="878">
        <f>0+TEXT(Recording!M100,"00\:00\.00")</f>
        <v>0</v>
      </c>
      <c r="AK61" s="879">
        <f>IF(AJ61=0,0,IF(AJ$6=0,0,IF(AJ61&lt;1,SUM((AJ61&gt;I61),(AJ61&gt;L61),(AJ61&gt;O61),(AJ61&gt;R61),(AJ61&gt;U61),(AJ61&gt;X61),(AJ61&gt;AA61),(AJ61&gt;AD61),(AJ61&gt;AG61),(AJ61&gt;BE61)))-$AM61))</f>
        <v>0</v>
      </c>
      <c r="AL61" s="989">
        <f>IF(AJ61=0,0,IF(AJ$6=0,0,IF(AK61=0,0,((11-AK61)))-$B$6))</f>
        <v>0</v>
      </c>
      <c r="AM61" s="883">
        <f>COUNTBLANK(I613:R613)</f>
        <v>4</v>
      </c>
      <c r="BL61" s="1033"/>
      <c r="BM61" s="1033"/>
      <c r="BN61" s="1033"/>
      <c r="BO61" s="1033"/>
      <c r="BP61" s="1033"/>
      <c r="BQ61" s="1033"/>
      <c r="BR61" s="1033"/>
      <c r="BS61" s="1033"/>
      <c r="BT61" s="1033"/>
      <c r="BU61" s="1033"/>
    </row>
    <row r="62" spans="2:73" ht="35.25" customHeight="1" x14ac:dyDescent="0.3">
      <c r="B62" s="1349"/>
      <c r="C62" s="1343"/>
      <c r="D62" s="1429"/>
      <c r="E62" s="1350"/>
      <c r="I62" s="1351" t="str">
        <f>PROPER('Team 1'!$I$47)</f>
        <v>Kornel Kern-Konyar</v>
      </c>
      <c r="J62" s="1351"/>
      <c r="K62" s="1351"/>
      <c r="L62" s="1351" t="str">
        <f>PROPER('Team 2'!$I$47)</f>
        <v>James Winter</v>
      </c>
      <c r="M62" s="1351"/>
      <c r="N62" s="1351"/>
      <c r="O62" s="1351" t="str">
        <f>PROPER('Team 3'!$I$47)</f>
        <v>Maxwell Croft</v>
      </c>
      <c r="P62" s="1351"/>
      <c r="Q62" s="1351"/>
      <c r="R62" s="1351" t="str">
        <f>PROPER('Team 4'!$I$47)</f>
        <v>Simon Rosa</v>
      </c>
      <c r="S62" s="1351"/>
      <c r="T62" s="1351"/>
      <c r="U62" s="1351" t="str">
        <f>PROPER('Team 5'!$I$47)</f>
        <v>Myron Young</v>
      </c>
      <c r="V62" s="1351"/>
      <c r="W62" s="1351"/>
      <c r="X62" s="1351" t="str">
        <f>PROPER('Team 6'!$I$47)</f>
        <v>Mikhail Fedorov</v>
      </c>
      <c r="Y62" s="1351"/>
      <c r="Z62" s="1351"/>
      <c r="AA62" s="1351" t="str">
        <f>PROPER('Team 7'!$I$47)</f>
        <v>Jai Bhuwania</v>
      </c>
      <c r="AB62" s="1351"/>
      <c r="AC62" s="1351"/>
      <c r="AD62" s="1351" t="str">
        <f>PROPER('Team 8'!$I$47)</f>
        <v xml:space="preserve"> </v>
      </c>
      <c r="AE62" s="1351"/>
      <c r="AF62" s="1351"/>
      <c r="AG62" s="1351" t="str">
        <f>PROPER('Team 9'!$I$47)</f>
        <v xml:space="preserve"> </v>
      </c>
      <c r="AH62" s="1351"/>
      <c r="AI62" s="1351"/>
      <c r="AJ62" s="1351" t="str">
        <f>PROPER('Team 10'!$I$47)</f>
        <v xml:space="preserve"> </v>
      </c>
      <c r="AK62" s="1351"/>
      <c r="AL62" s="1351"/>
      <c r="AM62" s="883"/>
      <c r="BL62" s="1033"/>
      <c r="BM62" s="1033"/>
      <c r="BN62" s="1033"/>
      <c r="BO62" s="1033"/>
      <c r="BP62" s="1033"/>
      <c r="BQ62" s="1033"/>
      <c r="BR62" s="1033"/>
      <c r="BS62" s="1033"/>
      <c r="BT62" s="1033"/>
      <c r="BU62" s="1033"/>
    </row>
    <row r="63" spans="2:73" ht="35.25" customHeight="1" x14ac:dyDescent="0.3">
      <c r="B63" s="1349"/>
      <c r="C63" s="1343"/>
      <c r="D63" s="1429"/>
      <c r="E63" s="888" t="s">
        <v>5108</v>
      </c>
      <c r="I63" s="1367">
        <f>Recording!D102</f>
        <v>0</v>
      </c>
      <c r="J63" s="1367"/>
      <c r="K63" s="1367"/>
      <c r="L63" s="1367">
        <f>Recording!E102</f>
        <v>0</v>
      </c>
      <c r="M63" s="1367"/>
      <c r="N63" s="1367"/>
      <c r="O63" s="1367">
        <f>Recording!F102</f>
        <v>0</v>
      </c>
      <c r="P63" s="1367"/>
      <c r="Q63" s="1367"/>
      <c r="R63" s="1367" t="str">
        <f>Recording!G102</f>
        <v>8.2 non simultaneous arms</v>
      </c>
      <c r="S63" s="1367"/>
      <c r="T63" s="1367"/>
      <c r="U63" s="1367">
        <f>Recording!H102</f>
        <v>0</v>
      </c>
      <c r="V63" s="1367"/>
      <c r="W63" s="1367"/>
      <c r="X63" s="1367">
        <f>Recording!I102</f>
        <v>0</v>
      </c>
      <c r="Y63" s="1367"/>
      <c r="Z63" s="1367"/>
      <c r="AA63" s="1367">
        <f>Recording!J102</f>
        <v>0</v>
      </c>
      <c r="AB63" s="1367"/>
      <c r="AC63" s="1367"/>
      <c r="AD63" s="1367">
        <f>Recording!K102</f>
        <v>0</v>
      </c>
      <c r="AE63" s="1367"/>
      <c r="AF63" s="1367"/>
      <c r="AG63" s="1367">
        <f>Recording!L102</f>
        <v>0</v>
      </c>
      <c r="AH63" s="1367"/>
      <c r="AI63" s="1367"/>
      <c r="AJ63" s="1367">
        <f>Recording!M102</f>
        <v>0</v>
      </c>
      <c r="AK63" s="1367"/>
      <c r="AL63" s="1367"/>
      <c r="AM63" s="883"/>
      <c r="BL63" s="1033"/>
      <c r="BM63" s="1033"/>
      <c r="BN63" s="1033"/>
      <c r="BO63" s="1033"/>
      <c r="BP63" s="1033"/>
      <c r="BQ63" s="1033"/>
      <c r="BR63" s="1033"/>
      <c r="BS63" s="1033"/>
      <c r="BT63" s="1033"/>
      <c r="BU63" s="1033"/>
    </row>
    <row r="64" spans="2:73" ht="35.25" customHeight="1" x14ac:dyDescent="0.3">
      <c r="B64" s="1349">
        <v>21</v>
      </c>
      <c r="C64" s="1333" t="s">
        <v>5083</v>
      </c>
      <c r="D64" s="1424" t="s">
        <v>5090</v>
      </c>
      <c r="E64" s="1350" t="s">
        <v>5099</v>
      </c>
      <c r="I64" s="1030">
        <f>0+TEXT(Recording!D104,"00\:00\.00")</f>
        <v>1.0196759259259258E-3</v>
      </c>
      <c r="J64" s="879">
        <f>IF(I64=0,0,IF(I$6=0,0,IF(I64&lt;1,SUM((I64&gt;L64),(I64&gt;O64),(I64&gt;R64),(I64&gt;U64),(I64&gt;X64),(I64&gt;AA64),(I64&gt;AD64),(I64&gt;AG64),(I64&gt;AJ64),(I64&gt;BE64)))-$AM64))</f>
        <v>6</v>
      </c>
      <c r="K64" s="879">
        <f>IF(I64=0,0,IF(I$6=0,0,IF(J64=0,0,((11-J64)))-$B$6))</f>
        <v>2</v>
      </c>
      <c r="L64" s="878">
        <f>0+TEXT(Recording!E104,"00\:00\.00")</f>
        <v>9.2986111111111101E-4</v>
      </c>
      <c r="M64" s="879">
        <f>IF(L64=0,0,IF(L$6=0,0,IF(L64&lt;1,SUM((L64&gt;O64),(L64&gt;R64),(L64&gt;U64),(L64&gt;X64),(L64&gt;AA64),(L64&gt;AD64),(L64&gt;I64),(L64&gt;AG64),(L64&gt;AJ64),(L64&gt;BE64)))-$AM64))</f>
        <v>4</v>
      </c>
      <c r="N64" s="879">
        <f>IF(L64=0,0,IF(L$6=0,0,IF(M64=0,0,((11-M64)))-$B$6))</f>
        <v>4</v>
      </c>
      <c r="O64" s="878">
        <f>0+TEXT(Recording!F104,"00\:00\.00")</f>
        <v>9.0185185185185192E-4</v>
      </c>
      <c r="P64" s="879">
        <f>IF(O64=0,0,IF(O$6=0,0,IF(O64&lt;1,SUM((O64&gt;L64),(O64&gt;I64),(O64&gt;R64),(O64&gt;U64),(O64&gt;X64),(O64&gt;AA64),(O64&gt;AD64),(O64&gt;AG64),(O64&gt;AJ64),(O64&gt;BE64)))-$AM64))</f>
        <v>2</v>
      </c>
      <c r="Q64" s="879">
        <f>IF(O64=0,0,IF(O$6=0,0,IF(P64=0,0,((11-P64)))-$B$6))</f>
        <v>6</v>
      </c>
      <c r="R64" s="878">
        <f>0+TEXT(Recording!G104,"00\:00\.00")</f>
        <v>8.8587962962962969E-4</v>
      </c>
      <c r="S64" s="879">
        <f>IF(R64=0,0,IF(R$6=0,0,IF(R64&lt;1,SUM((R64&gt;L64),(R64&gt;O64),(R64&gt;I64),(R64&gt;U64),(R64&gt;X64),(R64&gt;AA64),(R64&gt;AD64),(R64&gt;AG64),(R64&gt;AJ64),(R64&gt;BE64)))-$AM64))</f>
        <v>1</v>
      </c>
      <c r="T64" s="879">
        <f>IF(R64=0,0,IF(R$6=0,0,IF(S64=0,0,((11-S64)))-$B$6))</f>
        <v>7</v>
      </c>
      <c r="U64" s="878">
        <f>0+TEXT(Recording!H104,"00\:00\.00")</f>
        <v>9.4004629629629614E-4</v>
      </c>
      <c r="V64" s="879">
        <f>IF(U64=0,0,IF(U$6=0,0,IF(U64&lt;1,SUM((U64&gt;L64),(U64&gt;O64),(U64&gt;R64),(U64&gt;I64),(U64&gt;X64),(U64&gt;AA64),(U64&gt;AD64),(U64&gt;AG64),(U64&gt;AJ64),(U64&gt;BE64)))-$AM64))</f>
        <v>5</v>
      </c>
      <c r="W64" s="879">
        <f>IF(U64=0,0,IF(U$6=0,0,IF(V64=0,0,((11-V64)))-$B$6))</f>
        <v>3</v>
      </c>
      <c r="X64" s="878">
        <f>0+TEXT(Recording!I104,"00\:00\.00")</f>
        <v>9.2581018518518522E-4</v>
      </c>
      <c r="Y64" s="879">
        <f>IF(X64=0,0,IF(X$6=0,0,IF(X64&lt;1,SUM((X64&gt;L64),(X64&gt;O64),(X64&gt;R64),(X64&gt;U64),(X64&gt;I64),(X64&gt;AA64),(X64&gt;AD64),(X64&gt;AG64),(X64&gt;AJ64),(X64&gt;BE64)))-$AM64))</f>
        <v>3</v>
      </c>
      <c r="Z64" s="879">
        <f>IF(X64=0,0,IF(X$6=0,0,IF(Y64=0,0,((11-Y64)))-$B$6))</f>
        <v>5</v>
      </c>
      <c r="AA64" s="878">
        <f>0+TEXT(Recording!J104,"00\:00\.00")</f>
        <v>0</v>
      </c>
      <c r="AB64" s="879">
        <f>IF(AA64=0,0,IF(AA$6=0,0,IF(AA64&lt;1,SUM((AA64&gt;L64),(AA64&gt;O64),(AA64&gt;R64),(AA64&gt;U64),(AA64&gt;X64),(AA64&gt;I64),(AA64&gt;AD64),(AA64&gt;AG64),(AA64&gt;AJ64),(AA64&gt;BE64))))-$AM64)</f>
        <v>0</v>
      </c>
      <c r="AC64" s="879">
        <f>IF(AA64=0,0,IF(AA$6=0,0,IF(AB64=0,0,((11-AB64)))-$B$6))</f>
        <v>0</v>
      </c>
      <c r="AD64" s="878">
        <f>0+TEXT(Recording!K104,"00\:00\.00")</f>
        <v>0</v>
      </c>
      <c r="AE64" s="879">
        <f>IF(AD64=0,0,IF(AD$6=0,0,IF(AD64&lt;1,SUM((AD64&gt;L64),(AD64&gt;O64),(AD64&gt;R64),(AD64&gt;U64),(AD64&gt;X64),(AD64&gt;AA64),(AD64&gt;AG64),(AD64&gt;AJ64),(AD64&gt;I64),(AD64&gt;BE64)))-$AM64))</f>
        <v>0</v>
      </c>
      <c r="AF64" s="879">
        <f>IF(AD64=0,0,IF(AD$6=0,0,IF(AE64=0,0,((11-AE64)))-$B$6))</f>
        <v>0</v>
      </c>
      <c r="AG64" s="878">
        <f>0+TEXT(Recording!L104,"00\:00\.00")</f>
        <v>0</v>
      </c>
      <c r="AH64" s="879">
        <f>IF(AG64=0,0,IF(AG$6=0,0,IF(AG64&lt;1,SUM((AG64&gt;I64),(AG64&gt;L64),(AG64&gt;O64),(AG64&gt;R64),(AG64&gt;U64),(AG64&gt;X64),(AG64&gt;AA64),(AG64&gt;AD64),(AG64&gt;AJ64),(AG64&gt;BE64)))-$AM64))</f>
        <v>0</v>
      </c>
      <c r="AI64" s="879">
        <f>IF(AG64=0,0,IF(AG$6=0,0,IF(AH64=0,0,((11-AH64)))-$B$6))</f>
        <v>0</v>
      </c>
      <c r="AJ64" s="878">
        <f>0+TEXT(Recording!M104,"00\:00\.00")</f>
        <v>0</v>
      </c>
      <c r="AK64" s="879">
        <f>IF(AJ64=0,0,IF(AJ$6=0,0,IF(AJ64&lt;1,SUM((AJ64&gt;I64),(AJ64&gt;L64),(AJ64&gt;O64),(AJ64&gt;R64),(AJ64&gt;U64),(AJ64&gt;X64),(AJ64&gt;AA64),(AJ64&gt;AD64),(AJ64&gt;AG64),(AJ64&gt;BE64)))-$AM64))</f>
        <v>0</v>
      </c>
      <c r="AL64" s="989">
        <f>IF(AJ64=0,0,IF(AJ$6=0,0,IF(AK64=0,0,((11-AK64)))-$B$6))</f>
        <v>0</v>
      </c>
      <c r="AM64" s="883">
        <f>COUNTBLANK(I614:R614)</f>
        <v>4</v>
      </c>
      <c r="BL64" s="1033"/>
      <c r="BM64" s="1033"/>
      <c r="BN64" s="1033"/>
      <c r="BO64" s="1033"/>
      <c r="BP64" s="1033"/>
      <c r="BQ64" s="1033"/>
      <c r="BR64" s="1033"/>
      <c r="BS64" s="1033"/>
      <c r="BT64" s="1033"/>
      <c r="BU64" s="1033"/>
    </row>
    <row r="65" spans="2:73" ht="35.25" customHeight="1" x14ac:dyDescent="0.3">
      <c r="B65" s="1349"/>
      <c r="C65" s="1333"/>
      <c r="D65" s="1424"/>
      <c r="E65" s="1350"/>
      <c r="I65" s="1351" t="str">
        <f>PROPER('Team 1'!$I$48)</f>
        <v>Ane Pedraza-Eguia</v>
      </c>
      <c r="J65" s="1351"/>
      <c r="K65" s="1351"/>
      <c r="L65" s="1351" t="str">
        <f>PROPER('Team 2'!$I$48)</f>
        <v>Sophie Heraty</v>
      </c>
      <c r="M65" s="1351"/>
      <c r="N65" s="1351"/>
      <c r="O65" s="1351" t="str">
        <f>PROPER('Team 3'!$I$48)</f>
        <v>Maya Robu</v>
      </c>
      <c r="P65" s="1351"/>
      <c r="Q65" s="1351"/>
      <c r="R65" s="1351" t="str">
        <f>PROPER('Team 4'!$I$48)</f>
        <v>Frances Starsmore</v>
      </c>
      <c r="S65" s="1351"/>
      <c r="T65" s="1351"/>
      <c r="U65" s="1351" t="str">
        <f>PROPER('Team 5'!$I$48)</f>
        <v>Orlagh Northgrave</v>
      </c>
      <c r="V65" s="1351"/>
      <c r="W65" s="1351"/>
      <c r="X65" s="1351" t="str">
        <f>PROPER('Team 6'!$I$48)</f>
        <v>Polina  Fedorova</v>
      </c>
      <c r="Y65" s="1351"/>
      <c r="Z65" s="1351"/>
      <c r="AA65" s="1351" t="str">
        <f>PROPER('Team 7'!$I$48)</f>
        <v>Jessica Riach</v>
      </c>
      <c r="AB65" s="1351"/>
      <c r="AC65" s="1351"/>
      <c r="AD65" s="1351" t="str">
        <f>PROPER('Team 8'!$I$48)</f>
        <v xml:space="preserve"> </v>
      </c>
      <c r="AE65" s="1351"/>
      <c r="AF65" s="1351"/>
      <c r="AG65" s="1351" t="str">
        <f>PROPER('Team 9'!$I$48)</f>
        <v xml:space="preserve"> </v>
      </c>
      <c r="AH65" s="1351"/>
      <c r="AI65" s="1351"/>
      <c r="AJ65" s="1351" t="str">
        <f>PROPER('Team 10'!$I$48)</f>
        <v xml:space="preserve"> </v>
      </c>
      <c r="AK65" s="1351"/>
      <c r="AL65" s="1351"/>
      <c r="AM65" s="883"/>
      <c r="BL65" s="1033"/>
      <c r="BM65" s="1033"/>
      <c r="BN65" s="1033"/>
      <c r="BO65" s="1033"/>
      <c r="BP65" s="1033"/>
      <c r="BQ65" s="1033"/>
      <c r="BR65" s="1033"/>
      <c r="BS65" s="1033"/>
      <c r="BT65" s="1033"/>
      <c r="BU65" s="1033"/>
    </row>
    <row r="66" spans="2:73" ht="35.25" customHeight="1" x14ac:dyDescent="0.3">
      <c r="B66" s="1349"/>
      <c r="C66" s="1333"/>
      <c r="D66" s="1424"/>
      <c r="E66" s="888" t="s">
        <v>5108</v>
      </c>
      <c r="I66" s="1367">
        <f>Recording!D106</f>
        <v>0</v>
      </c>
      <c r="J66" s="1367"/>
      <c r="K66" s="1367"/>
      <c r="L66" s="1367">
        <f>Recording!E106</f>
        <v>0</v>
      </c>
      <c r="M66" s="1367"/>
      <c r="N66" s="1367"/>
      <c r="O66" s="1367">
        <f>Recording!F106</f>
        <v>0</v>
      </c>
      <c r="P66" s="1367"/>
      <c r="Q66" s="1367"/>
      <c r="R66" s="1367">
        <f>Recording!G106</f>
        <v>0</v>
      </c>
      <c r="S66" s="1367"/>
      <c r="T66" s="1367"/>
      <c r="U66" s="1367">
        <f>Recording!H106</f>
        <v>0</v>
      </c>
      <c r="V66" s="1367"/>
      <c r="W66" s="1367"/>
      <c r="X66" s="1367">
        <f>Recording!I106</f>
        <v>0</v>
      </c>
      <c r="Y66" s="1367"/>
      <c r="Z66" s="1367"/>
      <c r="AA66" s="1367" t="str">
        <f>Recording!J106</f>
        <v>6.4 didn't initiate turn straight away when turned onto front at turn</v>
      </c>
      <c r="AB66" s="1367"/>
      <c r="AC66" s="1367"/>
      <c r="AD66" s="1367">
        <f>Recording!K106</f>
        <v>0</v>
      </c>
      <c r="AE66" s="1367"/>
      <c r="AF66" s="1367"/>
      <c r="AG66" s="1367">
        <f>Recording!L106</f>
        <v>0</v>
      </c>
      <c r="AH66" s="1367"/>
      <c r="AI66" s="1367"/>
      <c r="AJ66" s="1367">
        <f>Recording!M106</f>
        <v>0</v>
      </c>
      <c r="AK66" s="1367"/>
      <c r="AL66" s="1367"/>
      <c r="AM66" s="883"/>
      <c r="BL66" s="1033"/>
      <c r="BM66" s="1033"/>
      <c r="BN66" s="1033"/>
      <c r="BO66" s="1033"/>
      <c r="BP66" s="1033"/>
      <c r="BQ66" s="1033"/>
      <c r="BR66" s="1033"/>
      <c r="BS66" s="1033"/>
      <c r="BT66" s="1033"/>
      <c r="BU66" s="1033"/>
    </row>
    <row r="67" spans="2:73" ht="35.25" customHeight="1" x14ac:dyDescent="0.3">
      <c r="B67" s="1349">
        <v>22</v>
      </c>
      <c r="C67" s="1343" t="s">
        <v>5087</v>
      </c>
      <c r="D67" s="1424" t="s">
        <v>5090</v>
      </c>
      <c r="E67" s="1350" t="s">
        <v>5099</v>
      </c>
      <c r="I67" s="1030">
        <f>0+TEXT(Recording!D108,"00\:00\.00")</f>
        <v>9.3923611111111117E-4</v>
      </c>
      <c r="J67" s="879">
        <f>IF(I67=0,0,IF(I$6=0,0,IF(I67&lt;1,SUM((I67&gt;L67),(I67&gt;O67),(I67&gt;R67),(I67&gt;U67),(I67&gt;X67),(I67&gt;AA67),(I67&gt;AD67),(I67&gt;AG67),(I67&gt;AJ67),(I67&gt;BE67)))-$AM67))</f>
        <v>5</v>
      </c>
      <c r="K67" s="879">
        <f>IF(I67=0,0,IF(I$6=0,0,IF(J67=0,0,((11-J67)))-$B$6))</f>
        <v>3</v>
      </c>
      <c r="L67" s="878">
        <f>0+TEXT(Recording!E108,"00\:00\.00")</f>
        <v>1.0121527777777778E-3</v>
      </c>
      <c r="M67" s="879">
        <f>IF(L67=0,0,IF(L$6=0,0,IF(L67&lt;1,SUM((L67&gt;O67),(L67&gt;R67),(L67&gt;U67),(L67&gt;X67),(L67&gt;AA67),(L67&gt;AD67),(L67&gt;I67),(L67&gt;AG67),(L67&gt;AJ67),(L67&gt;BE67)))-$AM67))</f>
        <v>6</v>
      </c>
      <c r="N67" s="879">
        <f>IF(L67=0,0,IF(L$6=0,0,IF(M67=0,0,((11-M67)))-$B$6))</f>
        <v>2</v>
      </c>
      <c r="O67" s="878">
        <f>0+TEXT(Recording!F108,"00\:00\.00")</f>
        <v>9.3715277777777775E-4</v>
      </c>
      <c r="P67" s="879">
        <f>IF(O67=0,0,IF(O$6=0,0,IF(O67&lt;1,SUM((O67&gt;L67),(O67&gt;I67),(O67&gt;R67),(O67&gt;U67),(O67&gt;X67),(O67&gt;AA67),(O67&gt;AD67),(O67&gt;AG67),(O67&gt;AJ67),(O67&gt;BE67)))-$AM67))</f>
        <v>4</v>
      </c>
      <c r="Q67" s="879">
        <f>IF(O67=0,0,IF(O$6=0,0,IF(P67=0,0,((11-P67)))-$B$6))</f>
        <v>4</v>
      </c>
      <c r="R67" s="878">
        <f>0+TEXT(Recording!G108,"00\:00\.00")</f>
        <v>1.0128472222222221E-3</v>
      </c>
      <c r="S67" s="879">
        <f>IF(R67=0,0,IF(R$6=0,0,IF(R67&lt;1,SUM((R67&gt;L67),(R67&gt;O67),(R67&gt;I67),(R67&gt;U67),(R67&gt;X67),(R67&gt;AA67),(R67&gt;AD67),(R67&gt;AG67),(R67&gt;AJ67),(R67&gt;BE67)))-$AM67))</f>
        <v>7</v>
      </c>
      <c r="T67" s="879">
        <f>IF(R67=0,0,IF(R$6=0,0,IF(S67=0,0,((11-S67)))-$B$6))</f>
        <v>1</v>
      </c>
      <c r="U67" s="878">
        <f>0+TEXT(Recording!H108,"00\:00\.00")</f>
        <v>9.032407407407408E-4</v>
      </c>
      <c r="V67" s="879">
        <f>IF(U67=0,0,IF(U$6=0,0,IF(U67&lt;1,SUM((U67&gt;L67),(U67&gt;O67),(U67&gt;R67),(U67&gt;I67),(U67&gt;X67),(U67&gt;AA67),(U67&gt;AD67),(U67&gt;AG67),(U67&gt;AJ67),(U67&gt;BE67)))-$AM67))</f>
        <v>3</v>
      </c>
      <c r="W67" s="879">
        <f>IF(U67=0,0,IF(U$6=0,0,IF(V67=0,0,((11-V67)))-$B$6))</f>
        <v>5</v>
      </c>
      <c r="X67" s="878">
        <f>0+TEXT(Recording!I108,"00\:00\.00")</f>
        <v>7.9201388888888898E-4</v>
      </c>
      <c r="Y67" s="879">
        <f>IF(X67=0,0,IF(X$6=0,0,IF(X67&lt;1,SUM((X67&gt;L67),(X67&gt;O67),(X67&gt;R67),(X67&gt;U67),(X67&gt;I67),(X67&gt;AA67),(X67&gt;AD67),(X67&gt;AG67),(X67&gt;AJ67),(X67&gt;BE67)))-$AM67))</f>
        <v>1</v>
      </c>
      <c r="Z67" s="879">
        <f>IF(X67=0,0,IF(X$6=0,0,IF(Y67=0,0,((11-Y67)))-$B$6))</f>
        <v>7</v>
      </c>
      <c r="AA67" s="878">
        <f>0+TEXT(Recording!J108,"00\:00\.00")</f>
        <v>7.9988425925925919E-4</v>
      </c>
      <c r="AB67" s="879">
        <f>IF(AA67=0,0,IF(AA$6=0,0,IF(AA67&lt;1,SUM((AA67&gt;L67),(AA67&gt;O67),(AA67&gt;R67),(AA67&gt;U67),(AA67&gt;X67),(AA67&gt;I67),(AA67&gt;AD67),(AA67&gt;AG67),(AA67&gt;AJ67),(AA67&gt;BE67))))-$AM67)</f>
        <v>2</v>
      </c>
      <c r="AC67" s="879">
        <f>IF(AA67=0,0,IF(AA$6=0,0,IF(AB67=0,0,((11-AB67)))-$B$6))</f>
        <v>6</v>
      </c>
      <c r="AD67" s="878">
        <f>0+TEXT(Recording!K108,"00\:00\.00")</f>
        <v>0</v>
      </c>
      <c r="AE67" s="879">
        <f>IF(AD67=0,0,IF(AD$6=0,0,IF(AD67&lt;1,SUM((AD67&gt;L67),(AD67&gt;O67),(AD67&gt;R67),(AD67&gt;U67),(AD67&gt;X67),(AD67&gt;AA67),(AD67&gt;AG67),(AD67&gt;AJ67),(AD67&gt;I67),(AD67&gt;BE67)))-$AM67))</f>
        <v>0</v>
      </c>
      <c r="AF67" s="879">
        <f>IF(AD67=0,0,IF(AD$6=0,0,IF(AE67=0,0,((11-AE67)))-$B$6))</f>
        <v>0</v>
      </c>
      <c r="AG67" s="878">
        <f>0+TEXT(Recording!L108,"00\:00\.00")</f>
        <v>0</v>
      </c>
      <c r="AH67" s="879">
        <f>IF(AG67=0,0,IF(AG$6=0,0,IF(AG67&lt;1,SUM((AG67&gt;I67),(AG67&gt;L67),(AG67&gt;O67),(AG67&gt;R67),(AG67&gt;U67),(AG67&gt;X67),(AG67&gt;AA67),(AG67&gt;AD67),(AG67&gt;AJ67),(AG67&gt;BE67)))-$AM67))</f>
        <v>0</v>
      </c>
      <c r="AI67" s="879">
        <f>IF(AG67=0,0,IF(AG$6=0,0,IF(AH67=0,0,((11-AH67)))-$B$6))</f>
        <v>0</v>
      </c>
      <c r="AJ67" s="878">
        <f>0+TEXT(Recording!M108,"00\:00\.00")</f>
        <v>0</v>
      </c>
      <c r="AK67" s="879">
        <f>IF(AJ67=0,0,IF(AJ$6=0,0,IF(AJ67&lt;1,SUM((AJ67&gt;I67),(AJ67&gt;L67),(AJ67&gt;O67),(AJ67&gt;R67),(AJ67&gt;U67),(AJ67&gt;X67),(AJ67&gt;AA67),(AJ67&gt;AD67),(AJ67&gt;AG67),(AJ67&gt;BE67)))-$AM67))</f>
        <v>0</v>
      </c>
      <c r="AL67" s="989">
        <f>IF(AJ67=0,0,IF(AJ$6=0,0,IF(AK67=0,0,((11-AK67)))-$B$6))</f>
        <v>0</v>
      </c>
      <c r="AM67" s="883">
        <f>COUNTBLANK(I615:R615)</f>
        <v>3</v>
      </c>
      <c r="BL67" s="1033"/>
      <c r="BM67" s="1033"/>
      <c r="BN67" s="1033"/>
      <c r="BO67" s="1033"/>
      <c r="BP67" s="1033"/>
      <c r="BQ67" s="1033"/>
      <c r="BR67" s="1033"/>
      <c r="BS67" s="1033"/>
      <c r="BT67" s="1033"/>
      <c r="BU67" s="1033"/>
    </row>
    <row r="68" spans="2:73" ht="35.25" customHeight="1" x14ac:dyDescent="0.3">
      <c r="B68" s="1349"/>
      <c r="C68" s="1343"/>
      <c r="D68" s="1424"/>
      <c r="E68" s="1350"/>
      <c r="I68" s="1351" t="str">
        <f>PROPER('Team 1'!$I$49)</f>
        <v>Yigit Ilhan</v>
      </c>
      <c r="J68" s="1351"/>
      <c r="K68" s="1351"/>
      <c r="L68" s="1351" t="str">
        <f>PROPER('Team 2'!$I$49)</f>
        <v>James Winter</v>
      </c>
      <c r="M68" s="1351"/>
      <c r="N68" s="1351"/>
      <c r="O68" s="1351" t="str">
        <f>PROPER('Team 3'!$I$49)</f>
        <v>Ryan Wimpenny</v>
      </c>
      <c r="P68" s="1351"/>
      <c r="Q68" s="1351"/>
      <c r="R68" s="1351" t="str">
        <f>PROPER('Team 4'!$I$49)</f>
        <v>Samuel Rosa</v>
      </c>
      <c r="S68" s="1351"/>
      <c r="T68" s="1351"/>
      <c r="U68" s="1351" t="str">
        <f>PROPER('Team 5'!$I$49)</f>
        <v>Liam Hurst</v>
      </c>
      <c r="V68" s="1351"/>
      <c r="W68" s="1351"/>
      <c r="X68" s="1351" t="str">
        <f>PROPER('Team 6'!$I$49)</f>
        <v>Gert Zeqiri</v>
      </c>
      <c r="Y68" s="1351"/>
      <c r="Z68" s="1351"/>
      <c r="AA68" s="1351" t="str">
        <f>PROPER('Team 7'!$I$49)</f>
        <v>Advay Bhatia</v>
      </c>
      <c r="AB68" s="1351"/>
      <c r="AC68" s="1351"/>
      <c r="AD68" s="1351" t="str">
        <f>PROPER('Team 8'!$I$49)</f>
        <v xml:space="preserve"> </v>
      </c>
      <c r="AE68" s="1351"/>
      <c r="AF68" s="1351"/>
      <c r="AG68" s="1351" t="str">
        <f>PROPER('Team 9'!$I$49)</f>
        <v xml:space="preserve"> </v>
      </c>
      <c r="AH68" s="1351"/>
      <c r="AI68" s="1351"/>
      <c r="AJ68" s="1351" t="str">
        <f>PROPER('Team 10'!$I$49)</f>
        <v xml:space="preserve"> </v>
      </c>
      <c r="AK68" s="1351"/>
      <c r="AL68" s="1351"/>
      <c r="AM68" s="883"/>
      <c r="BL68" s="1033"/>
      <c r="BM68" s="1033"/>
      <c r="BN68" s="1033"/>
      <c r="BO68" s="1033"/>
      <c r="BP68" s="1033"/>
      <c r="BQ68" s="1033"/>
      <c r="BR68" s="1033"/>
      <c r="BS68" s="1033"/>
      <c r="BT68" s="1033"/>
      <c r="BU68" s="1033"/>
    </row>
    <row r="69" spans="2:73" ht="35.25" customHeight="1" x14ac:dyDescent="0.3">
      <c r="B69" s="1349"/>
      <c r="C69" s="1343"/>
      <c r="D69" s="1424"/>
      <c r="E69" s="888" t="s">
        <v>5108</v>
      </c>
      <c r="I69" s="1367">
        <f>Recording!D110</f>
        <v>0</v>
      </c>
      <c r="J69" s="1367"/>
      <c r="K69" s="1367"/>
      <c r="L69" s="1367">
        <f>Recording!E110</f>
        <v>0</v>
      </c>
      <c r="M69" s="1367"/>
      <c r="N69" s="1367"/>
      <c r="O69" s="1367">
        <f>Recording!F110</f>
        <v>0</v>
      </c>
      <c r="P69" s="1367"/>
      <c r="Q69" s="1367"/>
      <c r="R69" s="1367">
        <f>Recording!G110</f>
        <v>0</v>
      </c>
      <c r="S69" s="1367"/>
      <c r="T69" s="1367"/>
      <c r="U69" s="1367">
        <f>Recording!H110</f>
        <v>0</v>
      </c>
      <c r="V69" s="1367"/>
      <c r="W69" s="1367"/>
      <c r="X69" s="1367">
        <f>Recording!I110</f>
        <v>0</v>
      </c>
      <c r="Y69" s="1367"/>
      <c r="Z69" s="1367"/>
      <c r="AA69" s="1367">
        <f>Recording!J110</f>
        <v>0</v>
      </c>
      <c r="AB69" s="1367"/>
      <c r="AC69" s="1367"/>
      <c r="AD69" s="1367">
        <f>Recording!K110</f>
        <v>0</v>
      </c>
      <c r="AE69" s="1367"/>
      <c r="AF69" s="1367"/>
      <c r="AG69" s="1367">
        <f>Recording!L110</f>
        <v>0</v>
      </c>
      <c r="AH69" s="1367"/>
      <c r="AI69" s="1367"/>
      <c r="AJ69" s="1367">
        <f>Recording!M110</f>
        <v>0</v>
      </c>
      <c r="AK69" s="1367"/>
      <c r="AL69" s="1367"/>
      <c r="AM69" s="883"/>
      <c r="BL69" s="1033"/>
      <c r="BM69" s="1033"/>
      <c r="BN69" s="1033"/>
      <c r="BO69" s="1033"/>
      <c r="BP69" s="1033"/>
      <c r="BQ69" s="1033"/>
      <c r="BR69" s="1033"/>
      <c r="BS69" s="1033"/>
      <c r="BT69" s="1033"/>
      <c r="BU69" s="1033"/>
    </row>
    <row r="70" spans="2:73" ht="35.25" customHeight="1" x14ac:dyDescent="0.3">
      <c r="B70" s="1349">
        <v>23</v>
      </c>
      <c r="C70" s="1333" t="s">
        <v>5083</v>
      </c>
      <c r="D70" s="1424" t="s">
        <v>5092</v>
      </c>
      <c r="E70" s="1350" t="s">
        <v>5100</v>
      </c>
      <c r="I70" s="1030">
        <f>0+TEXT(Recording!D112,"00\:00\.00")</f>
        <v>8.8113425925925913E-4</v>
      </c>
      <c r="J70" s="879">
        <f>IF(I70=0,0,IF(I$6=0,0,IF(I70&lt;1,SUM((I70&gt;L70),(I70&gt;O70),(I70&gt;R70),(I70&gt;U70),(I70&gt;X70),(I70&gt;AA70),(I70&gt;AD70),(I70&gt;AG70),(I70&gt;AJ70),(I70&gt;BE70)))-$AM70))</f>
        <v>4</v>
      </c>
      <c r="K70" s="879">
        <f>IF(I70=0,0,IF(I$6=0,0,IF(J70=0,0,((11-J70)))-$B$6))</f>
        <v>4</v>
      </c>
      <c r="L70" s="878">
        <f>0+TEXT(Recording!E112,"00\:00\.00")</f>
        <v>9.0543981481481476E-4</v>
      </c>
      <c r="M70" s="879">
        <f>IF(L70=0,0,IF(L$6=0,0,IF(L70&lt;1,SUM((L70&gt;O70),(L70&gt;R70),(L70&gt;U70),(L70&gt;X70),(L70&gt;AA70),(L70&gt;AD70),(L70&gt;I70),(L70&gt;AG70),(L70&gt;AJ70),(L70&gt;BE70)))-$AM70))</f>
        <v>5</v>
      </c>
      <c r="N70" s="879">
        <f>IF(L70=0,0,IF(L$6=0,0,IF(M70=0,0,((11-M70)))-$B$6))</f>
        <v>3</v>
      </c>
      <c r="O70" s="878">
        <f>0+TEXT(Recording!F112,"00\:00\.00")</f>
        <v>8.7824074074074063E-4</v>
      </c>
      <c r="P70" s="879">
        <f>IF(O70=0,0,IF(O$6=0,0,IF(O70&lt;1,SUM((O70&gt;L70),(O70&gt;I70),(O70&gt;R70),(O70&gt;U70),(O70&gt;X70),(O70&gt;AA70),(O70&gt;AD70),(O70&gt;AG70),(O70&gt;AJ70),(O70&gt;BE70)))-$AM70))</f>
        <v>3</v>
      </c>
      <c r="Q70" s="879">
        <f>IF(O70=0,0,IF(O$6=0,0,IF(P70=0,0,((11-P70)))-$B$6))</f>
        <v>5</v>
      </c>
      <c r="R70" s="878">
        <f>0+TEXT(Recording!G112,"00\:00\.00")</f>
        <v>9.1539351851851851E-4</v>
      </c>
      <c r="S70" s="879">
        <f>IF(R70=0,0,IF(R$6=0,0,IF(R70&lt;1,SUM((R70&gt;L70),(R70&gt;O70),(R70&gt;I70),(R70&gt;U70),(R70&gt;X70),(R70&gt;AA70),(R70&gt;AD70),(R70&gt;AG70),(R70&gt;AJ70),(R70&gt;BE70)))-$AM70))</f>
        <v>6</v>
      </c>
      <c r="T70" s="879">
        <f>IF(R70=0,0,IF(R$6=0,0,IF(S70=0,0,((11-S70)))-$B$6))</f>
        <v>2</v>
      </c>
      <c r="U70" s="878">
        <f>0+TEXT(Recording!H112,"00\:00\.00")</f>
        <v>8.155092592592592E-4</v>
      </c>
      <c r="V70" s="879">
        <f>IF(U70=0,0,IF(U$6=0,0,IF(U70&lt;1,SUM((U70&gt;L70),(U70&gt;O70),(U70&gt;R70),(U70&gt;I70),(U70&gt;X70),(U70&gt;AA70),(U70&gt;AD70),(U70&gt;AG70),(U70&gt;AJ70),(U70&gt;BE70)))-$AM70))</f>
        <v>1</v>
      </c>
      <c r="W70" s="879">
        <f>IF(U70=0,0,IF(U$6=0,0,IF(V70=0,0,((11-V70)))-$B$6))</f>
        <v>7</v>
      </c>
      <c r="X70" s="878">
        <f>0+TEXT(Recording!I112,"00\:00\.00")</f>
        <v>9.3287037037037036E-4</v>
      </c>
      <c r="Y70" s="879">
        <f>IF(X70=0,0,IF(X$6=0,0,IF(X70&lt;1,SUM((X70&gt;L70),(X70&gt;O70),(X70&gt;R70),(X70&gt;U70),(X70&gt;I70),(X70&gt;AA70),(X70&gt;AD70),(X70&gt;AG70),(X70&gt;AJ70),(X70&gt;BE70)))-$AM70))</f>
        <v>7</v>
      </c>
      <c r="Z70" s="879">
        <f>IF(X70=0,0,IF(X$6=0,0,IF(Y70=0,0,((11-Y70)))-$B$6))</f>
        <v>1</v>
      </c>
      <c r="AA70" s="878">
        <f>0+TEXT(Recording!J112,"00\:00\.00")</f>
        <v>8.5023148148148143E-4</v>
      </c>
      <c r="AB70" s="879">
        <f>IF(AA70=0,0,IF(AA$6=0,0,IF(AA70&lt;1,SUM((AA70&gt;L70),(AA70&gt;O70),(AA70&gt;R70),(AA70&gt;U70),(AA70&gt;X70),(AA70&gt;I70),(AA70&gt;AD70),(AA70&gt;AG70),(AA70&gt;AJ70),(AA70&gt;BE70))))-$AM70)</f>
        <v>2</v>
      </c>
      <c r="AC70" s="879">
        <f>IF(AA70=0,0,IF(AA$6=0,0,IF(AB70=0,0,((11-AB70)))-$B$6))</f>
        <v>6</v>
      </c>
      <c r="AD70" s="878">
        <f>0+TEXT(Recording!K112,"00\:00\.00")</f>
        <v>0</v>
      </c>
      <c r="AE70" s="879">
        <f>IF(AD70=0,0,IF(AD$6=0,0,IF(AD70&lt;1,SUM((AD70&gt;L70),(AD70&gt;O70),(AD70&gt;R70),(AD70&gt;U70),(AD70&gt;X70),(AD70&gt;AA70),(AD70&gt;AG70),(AD70&gt;AJ70),(AD70&gt;I70),(AD70&gt;BE70)))-$AM70))</f>
        <v>0</v>
      </c>
      <c r="AF70" s="879">
        <f>IF(AD70=0,0,IF(AD$6=0,0,IF(AE70=0,0,((11-AE70)))-$B$6))</f>
        <v>0</v>
      </c>
      <c r="AG70" s="878">
        <f>0+TEXT(Recording!L112,"00\:00\.00")</f>
        <v>0</v>
      </c>
      <c r="AH70" s="879">
        <f>IF(AG70=0,0,IF(AG$6=0,0,IF(AG70&lt;1,SUM((AG70&gt;I70),(AG70&gt;L70),(AG70&gt;O70),(AG70&gt;R70),(AG70&gt;U70),(AG70&gt;X70),(AG70&gt;AA70),(AG70&gt;AD70),(AG70&gt;AJ70),(AG70&gt;BE70)))-$AM70))</f>
        <v>0</v>
      </c>
      <c r="AI70" s="879">
        <f>IF(AG70=0,0,IF(AG$6=0,0,IF(AH70=0,0,((11-AH70)))-$B$6))</f>
        <v>0</v>
      </c>
      <c r="AJ70" s="878">
        <f>0+TEXT(Recording!M112,"00\:00\.00")</f>
        <v>0</v>
      </c>
      <c r="AK70" s="879">
        <f>IF(AJ70=0,0,IF(AJ$6=0,0,IF(AJ70&lt;1,SUM((AJ70&gt;I70),(AJ70&gt;L70),(AJ70&gt;O70),(AJ70&gt;R70),(AJ70&gt;U70),(AJ70&gt;X70),(AJ70&gt;AA70),(AJ70&gt;AD70),(AJ70&gt;AG70),(AJ70&gt;BE70)))-$AM70))</f>
        <v>0</v>
      </c>
      <c r="AL70" s="989">
        <f>IF(AJ70=0,0,IF(AJ$6=0,0,IF(AK70=0,0,((11-AK70)))-$B$6))</f>
        <v>0</v>
      </c>
      <c r="AM70" s="883">
        <f>COUNTBLANK(I616:R616)</f>
        <v>3</v>
      </c>
      <c r="BL70" s="1033"/>
      <c r="BM70" s="1033"/>
      <c r="BN70" s="1033"/>
      <c r="BO70" s="1033"/>
      <c r="BP70" s="1033"/>
      <c r="BQ70" s="1033"/>
      <c r="BR70" s="1033"/>
      <c r="BS70" s="1033"/>
      <c r="BT70" s="1033"/>
      <c r="BU70" s="1033"/>
    </row>
    <row r="71" spans="2:73" ht="35.25" customHeight="1" x14ac:dyDescent="0.3">
      <c r="B71" s="1349"/>
      <c r="C71" s="1333"/>
      <c r="D71" s="1424"/>
      <c r="E71" s="1350"/>
      <c r="I71" s="1351" t="str">
        <f>PROPER('Team 1'!$I$50)</f>
        <v>Zoe Panayi</v>
      </c>
      <c r="J71" s="1351"/>
      <c r="K71" s="1351"/>
      <c r="L71" s="1351" t="str">
        <f>PROPER('Team 2'!$I$50)</f>
        <v>Charlotte Lyon</v>
      </c>
      <c r="M71" s="1351"/>
      <c r="N71" s="1351"/>
      <c r="O71" s="1351" t="str">
        <f>PROPER('Team 3'!$I$50)</f>
        <v>Hannah Lovelock</v>
      </c>
      <c r="P71" s="1351"/>
      <c r="Q71" s="1351"/>
      <c r="R71" s="1351" t="str">
        <f>PROPER('Team 4'!$I$50)</f>
        <v>Annabella Cojeen</v>
      </c>
      <c r="S71" s="1351"/>
      <c r="T71" s="1351"/>
      <c r="U71" s="1351" t="str">
        <f>PROPER('Team 5'!$I$50)</f>
        <v>Mia Macklin</v>
      </c>
      <c r="V71" s="1351"/>
      <c r="W71" s="1351"/>
      <c r="X71" s="1351" t="str">
        <f>PROPER('Team 6'!$I$50)</f>
        <v>Crina Stefania  Bostan</v>
      </c>
      <c r="Y71" s="1351"/>
      <c r="Z71" s="1351"/>
      <c r="AA71" s="1351" t="str">
        <f>PROPER('Team 7'!$I$50)</f>
        <v>Keira Brannigan</v>
      </c>
      <c r="AB71" s="1351"/>
      <c r="AC71" s="1351"/>
      <c r="AD71" s="1351" t="str">
        <f>PROPER('Team 8'!$I$50)</f>
        <v xml:space="preserve"> </v>
      </c>
      <c r="AE71" s="1351"/>
      <c r="AF71" s="1351"/>
      <c r="AG71" s="1351" t="str">
        <f>PROPER('Team 9'!$I$50)</f>
        <v xml:space="preserve"> </v>
      </c>
      <c r="AH71" s="1351"/>
      <c r="AI71" s="1351"/>
      <c r="AJ71" s="1351" t="str">
        <f>PROPER('Team 10'!$I$50)</f>
        <v xml:space="preserve"> </v>
      </c>
      <c r="AK71" s="1351"/>
      <c r="AL71" s="1351"/>
      <c r="AM71" s="883"/>
      <c r="BL71" s="1033"/>
      <c r="BM71" s="1033"/>
      <c r="BN71" s="1033"/>
      <c r="BO71" s="1033"/>
      <c r="BP71" s="1033"/>
      <c r="BQ71" s="1033"/>
      <c r="BR71" s="1033"/>
      <c r="BS71" s="1033"/>
      <c r="BT71" s="1033"/>
      <c r="BU71" s="1033"/>
    </row>
    <row r="72" spans="2:73" ht="35.25" customHeight="1" x14ac:dyDescent="0.3">
      <c r="B72" s="1349"/>
      <c r="C72" s="1333"/>
      <c r="D72" s="1424"/>
      <c r="E72" s="888" t="s">
        <v>5108</v>
      </c>
      <c r="I72" s="1367">
        <f>Recording!D114</f>
        <v>0</v>
      </c>
      <c r="J72" s="1367"/>
      <c r="K72" s="1367"/>
      <c r="L72" s="1367">
        <f>Recording!E114</f>
        <v>0</v>
      </c>
      <c r="M72" s="1367"/>
      <c r="N72" s="1367"/>
      <c r="O72" s="1367">
        <f>Recording!F114</f>
        <v>0</v>
      </c>
      <c r="P72" s="1367"/>
      <c r="Q72" s="1367"/>
      <c r="R72" s="1367">
        <f>Recording!G114</f>
        <v>0</v>
      </c>
      <c r="S72" s="1367"/>
      <c r="T72" s="1367"/>
      <c r="U72" s="1367">
        <f>Recording!H114</f>
        <v>0</v>
      </c>
      <c r="V72" s="1367"/>
      <c r="W72" s="1367"/>
      <c r="X72" s="1367">
        <f>Recording!I114</f>
        <v>0</v>
      </c>
      <c r="Y72" s="1367"/>
      <c r="Z72" s="1367"/>
      <c r="AA72" s="1367">
        <f>Recording!J114</f>
        <v>0</v>
      </c>
      <c r="AB72" s="1367"/>
      <c r="AC72" s="1367"/>
      <c r="AD72" s="1367">
        <f>Recording!K114</f>
        <v>0</v>
      </c>
      <c r="AE72" s="1367"/>
      <c r="AF72" s="1367"/>
      <c r="AG72" s="1367">
        <f>Recording!L114</f>
        <v>0</v>
      </c>
      <c r="AH72" s="1367"/>
      <c r="AI72" s="1367"/>
      <c r="AJ72" s="1367">
        <f>Recording!M114</f>
        <v>0</v>
      </c>
      <c r="AK72" s="1367"/>
      <c r="AL72" s="1367"/>
      <c r="AM72" s="883"/>
      <c r="BL72" s="1033"/>
      <c r="BM72" s="1033"/>
      <c r="BN72" s="1033"/>
      <c r="BO72" s="1033"/>
      <c r="BP72" s="1033"/>
      <c r="BQ72" s="1033"/>
      <c r="BR72" s="1033"/>
      <c r="BS72" s="1033"/>
      <c r="BT72" s="1033"/>
      <c r="BU72" s="1033"/>
    </row>
    <row r="73" spans="2:73" ht="35.25" customHeight="1" x14ac:dyDescent="0.3">
      <c r="B73" s="1349">
        <v>24</v>
      </c>
      <c r="C73" s="1343" t="s">
        <v>5087</v>
      </c>
      <c r="D73" s="1424" t="s">
        <v>5092</v>
      </c>
      <c r="E73" s="1350" t="s">
        <v>5100</v>
      </c>
      <c r="I73" s="1030">
        <f>0+TEXT(Recording!D116,"00\:00\.00")</f>
        <v>0</v>
      </c>
      <c r="J73" s="879">
        <f>IF(I73=0,0,IF(I$6=0,0,IF(I73&lt;1,SUM((I73&gt;L73),(I73&gt;O73),(I73&gt;R73),(I73&gt;U73),(I73&gt;X73),(I73&gt;AA73),(I73&gt;AD73),(I73&gt;AG73),(I73&gt;AJ73),(I73&gt;BE73)))-$AM73))</f>
        <v>0</v>
      </c>
      <c r="K73" s="879">
        <f>IF(I73=0,0,IF(I$6=0,0,IF(J73=0,0,((11-J73)))-$B$6))</f>
        <v>0</v>
      </c>
      <c r="L73" s="878">
        <f>0+TEXT(Recording!E116,"00\:00\.00")</f>
        <v>9.9282407407407414E-4</v>
      </c>
      <c r="M73" s="879">
        <f>IF(L73=0,0,IF(L$6=0,0,IF(L73&lt;1,SUM((L73&gt;O73),(L73&gt;R73),(L73&gt;U73),(L73&gt;X73),(L73&gt;AA73),(L73&gt;AD73),(L73&gt;I73),(L73&gt;AG73),(L73&gt;AJ73),(L73&gt;BE73)))-$AM73))</f>
        <v>6</v>
      </c>
      <c r="N73" s="879">
        <f>IF(L73=0,0,IF(L$6=0,0,IF(M73=0,0,((11-M73)))-$B$6))</f>
        <v>2</v>
      </c>
      <c r="O73" s="878">
        <f>0+TEXT(Recording!F116,"00\:00\.00")</f>
        <v>8.9733796296296295E-4</v>
      </c>
      <c r="P73" s="879">
        <f>IF(O73=0,0,IF(O$6=0,0,IF(O73&lt;1,SUM((O73&gt;L73),(O73&gt;I73),(O73&gt;R73),(O73&gt;U73),(O73&gt;X73),(O73&gt;AA73),(O73&gt;AD73),(O73&gt;AG73),(O73&gt;AJ73),(O73&gt;BE73)))-$AM73))</f>
        <v>5</v>
      </c>
      <c r="Q73" s="879">
        <f>IF(O73=0,0,IF(O$6=0,0,IF(P73=0,0,((11-P73)))-$B$6))</f>
        <v>3</v>
      </c>
      <c r="R73" s="878">
        <f>0+TEXT(Recording!G116,"00\:00\.00")</f>
        <v>7.7939814814814809E-4</v>
      </c>
      <c r="S73" s="879">
        <f>IF(R73=0,0,IF(R$6=0,0,IF(R73&lt;1,SUM((R73&gt;L73),(R73&gt;O73),(R73&gt;I73),(R73&gt;U73),(R73&gt;X73),(R73&gt;AA73),(R73&gt;AD73),(R73&gt;AG73),(R73&gt;AJ73),(R73&gt;BE73)))-$AM73))</f>
        <v>3</v>
      </c>
      <c r="T73" s="879">
        <f>IF(R73=0,0,IF(R$6=0,0,IF(S73=0,0,((11-S73)))-$B$6))</f>
        <v>5</v>
      </c>
      <c r="U73" s="878">
        <f>0+TEXT(Recording!H116,"00\:00\.00")</f>
        <v>7.0729166666666672E-4</v>
      </c>
      <c r="V73" s="879">
        <f>IF(U73=0,0,IF(U$6=0,0,IF(U73&lt;1,SUM((U73&gt;L73),(U73&gt;O73),(U73&gt;R73),(U73&gt;I73),(U73&gt;X73),(U73&gt;AA73),(U73&gt;AD73),(U73&gt;AG73),(U73&gt;AJ73),(U73&gt;BE73)))-$AM73))</f>
        <v>1</v>
      </c>
      <c r="W73" s="879">
        <f>IF(U73=0,0,IF(U$6=0,0,IF(V73=0,0,((11-V73)))-$B$6))</f>
        <v>7</v>
      </c>
      <c r="X73" s="878">
        <f>0+TEXT(Recording!I116,"00\:00\.00")</f>
        <v>7.3865740740740749E-4</v>
      </c>
      <c r="Y73" s="879">
        <f>IF(X73=0,0,IF(X$6=0,0,IF(X73&lt;1,SUM((X73&gt;L73),(X73&gt;O73),(X73&gt;R73),(X73&gt;U73),(X73&gt;I73),(X73&gt;AA73),(X73&gt;AD73),(X73&gt;AG73),(X73&gt;AJ73),(X73&gt;BE73)))-$AM73))</f>
        <v>2</v>
      </c>
      <c r="Z73" s="879">
        <f>IF(X73=0,0,IF(X$6=0,0,IF(Y73=0,0,((11-Y73)))-$B$6))</f>
        <v>6</v>
      </c>
      <c r="AA73" s="878">
        <f>0+TEXT(Recording!J116,"00\:00\.00")</f>
        <v>7.9444444444444452E-4</v>
      </c>
      <c r="AB73" s="879">
        <f>IF(AA73=0,0,IF(AA$6=0,0,IF(AA73&lt;1,SUM((AA73&gt;L73),(AA73&gt;O73),(AA73&gt;R73),(AA73&gt;U73),(AA73&gt;X73),(AA73&gt;I73),(AA73&gt;AD73),(AA73&gt;AG73),(AA73&gt;AJ73),(AA73&gt;BE73))))-$AM73)</f>
        <v>4</v>
      </c>
      <c r="AC73" s="879">
        <f>IF(AA73=0,0,IF(AA$6=0,0,IF(AB73=0,0,((11-AB73)))-$B$6))</f>
        <v>4</v>
      </c>
      <c r="AD73" s="878">
        <f>0+TEXT(Recording!K116,"00\:00\.00")</f>
        <v>0</v>
      </c>
      <c r="AE73" s="879">
        <f>IF(AD73=0,0,IF(AD$6=0,0,IF(AD73&lt;1,SUM((AD73&gt;L73),(AD73&gt;O73),(AD73&gt;R73),(AD73&gt;U73),(AD73&gt;X73),(AD73&gt;AA73),(AD73&gt;AG73),(AD73&gt;AJ73),(AD73&gt;I73),(AD73&gt;BE73)))-$AM73))</f>
        <v>0</v>
      </c>
      <c r="AF73" s="879">
        <f>IF(AD73=0,0,IF(AD$6=0,0,IF(AE73=0,0,((11-AE73)))-$B$6))</f>
        <v>0</v>
      </c>
      <c r="AG73" s="878">
        <f>0+TEXT(Recording!L116,"00\:00\.00")</f>
        <v>0</v>
      </c>
      <c r="AH73" s="879">
        <f>IF(AG73=0,0,IF(AG$6=0,0,IF(AG73&lt;1,SUM((AG73&gt;I73),(AG73&gt;L73),(AG73&gt;O73),(AG73&gt;R73),(AG73&gt;U73),(AG73&gt;X73),(AG73&gt;AA73),(AG73&gt;AD73),(AG73&gt;AJ73),(AG73&gt;BE73)))-$AM73))</f>
        <v>0</v>
      </c>
      <c r="AI73" s="879">
        <f>IF(AG73=0,0,IF(AG$6=0,0,IF(AH73=0,0,((11-AH73)))-$B$6))</f>
        <v>0</v>
      </c>
      <c r="AJ73" s="878">
        <f>0+TEXT(Recording!M116,"00\:00\.00")</f>
        <v>0</v>
      </c>
      <c r="AK73" s="879">
        <f>IF(AJ73=0,0,IF(AJ$6=0,0,IF(AJ73&lt;1,SUM((AJ73&gt;I73),(AJ73&gt;L73),(AJ73&gt;O73),(AJ73&gt;R73),(AJ73&gt;U73),(AJ73&gt;X73),(AJ73&gt;AA73),(AJ73&gt;AD73),(AJ73&gt;AG73),(AJ73&gt;BE73)))-$AM73))</f>
        <v>0</v>
      </c>
      <c r="AL73" s="989">
        <f>IF(AJ73=0,0,IF(AJ$6=0,0,IF(AK73=0,0,((11-AK73)))-$B$6))</f>
        <v>0</v>
      </c>
      <c r="AM73" s="883">
        <f>COUNTBLANK(I617:R617)</f>
        <v>4</v>
      </c>
      <c r="BL73" s="1033"/>
      <c r="BM73" s="1033"/>
      <c r="BN73" s="1033"/>
      <c r="BO73" s="1033"/>
      <c r="BP73" s="1033"/>
      <c r="BQ73" s="1033"/>
      <c r="BR73" s="1033"/>
      <c r="BS73" s="1033"/>
      <c r="BT73" s="1033"/>
      <c r="BU73" s="1033"/>
    </row>
    <row r="74" spans="2:73" ht="35.25" customHeight="1" x14ac:dyDescent="0.3">
      <c r="B74" s="1349"/>
      <c r="C74" s="1343"/>
      <c r="D74" s="1424"/>
      <c r="E74" s="1350"/>
      <c r="I74" s="1351" t="str">
        <f>PROPER('Team 1'!$I$51)</f>
        <v xml:space="preserve"> </v>
      </c>
      <c r="J74" s="1351"/>
      <c r="K74" s="1351"/>
      <c r="L74" s="1351" t="str">
        <f>PROPER('Team 2'!$I$51)</f>
        <v>Oliver Tubridy</v>
      </c>
      <c r="M74" s="1351"/>
      <c r="N74" s="1351"/>
      <c r="O74" s="1351" t="str">
        <f>PROPER('Team 3'!$I$51)</f>
        <v>Alfie Bullock</v>
      </c>
      <c r="P74" s="1351"/>
      <c r="Q74" s="1351"/>
      <c r="R74" s="1351" t="str">
        <f>PROPER('Team 4'!$I$51)</f>
        <v>Rafi Gibson</v>
      </c>
      <c r="S74" s="1351"/>
      <c r="T74" s="1351"/>
      <c r="U74" s="1351" t="str">
        <f>PROPER('Team 5'!$I$51)</f>
        <v>Joshua Parker</v>
      </c>
      <c r="V74" s="1351"/>
      <c r="W74" s="1351"/>
      <c r="X74" s="1351" t="str">
        <f>PROPER('Team 6'!$I$51)</f>
        <v xml:space="preserve">Owen  Roberts </v>
      </c>
      <c r="Y74" s="1351"/>
      <c r="Z74" s="1351"/>
      <c r="AA74" s="1351" t="str">
        <f>PROPER('Team 7'!$I$51)</f>
        <v>Aaran Parmar</v>
      </c>
      <c r="AB74" s="1351"/>
      <c r="AC74" s="1351"/>
      <c r="AD74" s="1351" t="str">
        <f>PROPER('Team 8'!$I$51)</f>
        <v xml:space="preserve"> </v>
      </c>
      <c r="AE74" s="1351"/>
      <c r="AF74" s="1351"/>
      <c r="AG74" s="1351" t="str">
        <f>PROPER('Team 9'!$I$51)</f>
        <v xml:space="preserve"> </v>
      </c>
      <c r="AH74" s="1351"/>
      <c r="AI74" s="1351"/>
      <c r="AJ74" s="1351" t="str">
        <f>PROPER('Team 10'!$I$51)</f>
        <v xml:space="preserve"> </v>
      </c>
      <c r="AK74" s="1351"/>
      <c r="AL74" s="1351"/>
      <c r="AM74" s="883"/>
      <c r="BL74" s="1033"/>
      <c r="BM74" s="1033"/>
      <c r="BN74" s="1033"/>
      <c r="BO74" s="1033"/>
      <c r="BP74" s="1033"/>
      <c r="BQ74" s="1033"/>
      <c r="BR74" s="1033"/>
      <c r="BS74" s="1033"/>
      <c r="BT74" s="1033"/>
      <c r="BU74" s="1033"/>
    </row>
    <row r="75" spans="2:73" ht="35.25" customHeight="1" x14ac:dyDescent="0.3">
      <c r="B75" s="1349"/>
      <c r="C75" s="1343"/>
      <c r="D75" s="1424"/>
      <c r="E75" s="888" t="s">
        <v>5108</v>
      </c>
      <c r="I75" s="1367" t="str">
        <f>Recording!D118</f>
        <v>dns</v>
      </c>
      <c r="J75" s="1367"/>
      <c r="K75" s="1367"/>
      <c r="L75" s="1367">
        <f>Recording!E118</f>
        <v>0</v>
      </c>
      <c r="M75" s="1367"/>
      <c r="N75" s="1367"/>
      <c r="O75" s="1367">
        <f>Recording!F118</f>
        <v>0</v>
      </c>
      <c r="P75" s="1367"/>
      <c r="Q75" s="1367"/>
      <c r="R75" s="1367">
        <f>Recording!G118</f>
        <v>0</v>
      </c>
      <c r="S75" s="1367"/>
      <c r="T75" s="1367"/>
      <c r="U75" s="1367">
        <f>Recording!H118</f>
        <v>0</v>
      </c>
      <c r="V75" s="1367"/>
      <c r="W75" s="1367"/>
      <c r="X75" s="1367">
        <f>Recording!I118</f>
        <v>0</v>
      </c>
      <c r="Y75" s="1367"/>
      <c r="Z75" s="1367"/>
      <c r="AA75" s="1367">
        <f>Recording!J118</f>
        <v>0</v>
      </c>
      <c r="AB75" s="1367"/>
      <c r="AC75" s="1367"/>
      <c r="AD75" s="1367">
        <f>Recording!K118</f>
        <v>0</v>
      </c>
      <c r="AE75" s="1367"/>
      <c r="AF75" s="1367"/>
      <c r="AG75" s="1367">
        <f>Recording!L118</f>
        <v>0</v>
      </c>
      <c r="AH75" s="1367"/>
      <c r="AI75" s="1367"/>
      <c r="AJ75" s="1367">
        <f>Recording!M118</f>
        <v>0</v>
      </c>
      <c r="AK75" s="1367"/>
      <c r="AL75" s="1367"/>
      <c r="AM75" s="883"/>
      <c r="BL75" s="1033"/>
      <c r="BM75" s="1033"/>
      <c r="BN75" s="1033"/>
      <c r="BO75" s="1033"/>
      <c r="BP75" s="1033"/>
      <c r="BQ75" s="1033"/>
      <c r="BR75" s="1033"/>
      <c r="BS75" s="1033"/>
      <c r="BT75" s="1033"/>
      <c r="BU75" s="1033"/>
    </row>
    <row r="76" spans="2:73" ht="35.25" customHeight="1" x14ac:dyDescent="0.3">
      <c r="B76" s="1349">
        <v>25</v>
      </c>
      <c r="C76" s="1333" t="s">
        <v>5083</v>
      </c>
      <c r="D76" s="1424" t="s">
        <v>5093</v>
      </c>
      <c r="E76" s="1350" t="s">
        <v>5099</v>
      </c>
      <c r="I76" s="1030">
        <f>0+TEXT(Recording!D120,"00\:00\.00")</f>
        <v>9.5601851851851848E-4</v>
      </c>
      <c r="J76" s="879">
        <f>IF(I76=0,0,IF(I$6=0,0,IF(I76&lt;1,SUM((I76&gt;L76),(I76&gt;O76),(I76&gt;R76),(I76&gt;U76),(I76&gt;X76),(I76&gt;AA76),(I76&gt;AD76),(I76&gt;AG76),(I76&gt;AJ76),(I76&gt;BE76)))-$AM76))</f>
        <v>7</v>
      </c>
      <c r="K76" s="879">
        <f>IF(I76=0,0,IF(I$6=0,0,IF(J76=0,0,((11-J76)))-$B$6))</f>
        <v>1</v>
      </c>
      <c r="L76" s="878">
        <f>0+TEXT(Recording!E120,"00\:00\.00")</f>
        <v>8.688657407407408E-4</v>
      </c>
      <c r="M76" s="879">
        <f>IF(L76=0,0,IF(L$6=0,0,IF(L76&lt;1,SUM((L76&gt;O76),(L76&gt;R76),(L76&gt;U76),(L76&gt;X76),(L76&gt;AA76),(L76&gt;AD76),(L76&gt;I76),(L76&gt;AG76),(L76&gt;AJ76),(L76&gt;BE76)))-$AM76))</f>
        <v>4</v>
      </c>
      <c r="N76" s="879">
        <f>IF(L76=0,0,IF(L$6=0,0,IF(M76=0,0,((11-M76)))-$B$6))</f>
        <v>4</v>
      </c>
      <c r="O76" s="878">
        <f>0+TEXT(Recording!F120,"00\:00\.00")</f>
        <v>8.9016203703703707E-4</v>
      </c>
      <c r="P76" s="879">
        <f>IF(O76=0,0,IF(O$6=0,0,IF(O76&lt;1,SUM((O76&gt;L76),(O76&gt;I76),(O76&gt;R76),(O76&gt;U76),(O76&gt;X76),(O76&gt;AA76),(O76&gt;AD76),(O76&gt;AG76),(O76&gt;AJ76),(O76&gt;BE76)))-$AM76))</f>
        <v>5</v>
      </c>
      <c r="Q76" s="879">
        <f>IF(O76=0,0,IF(O$6=0,0,IF(P76=0,0,((11-P76)))-$B$6))</f>
        <v>3</v>
      </c>
      <c r="R76" s="878">
        <f>0+TEXT(Recording!G120,"00\:00\.00")</f>
        <v>7.8784722222222233E-4</v>
      </c>
      <c r="S76" s="879">
        <f>IF(R76=0,0,IF(R$6=0,0,IF(R76&lt;1,SUM((R76&gt;L76),(R76&gt;O76),(R76&gt;I76),(R76&gt;U76),(R76&gt;X76),(R76&gt;AA76),(R76&gt;AD76),(R76&gt;AG76),(R76&gt;AJ76),(R76&gt;BE76)))-$AM76))</f>
        <v>1</v>
      </c>
      <c r="T76" s="879">
        <f>IF(R76=0,0,IF(R$6=0,0,IF(S76=0,0,((11-S76)))-$B$6))</f>
        <v>7</v>
      </c>
      <c r="U76" s="878">
        <f>0+TEXT(Recording!H120,"00\:00\.00")</f>
        <v>8.3194444444444451E-4</v>
      </c>
      <c r="V76" s="879">
        <f>IF(U76=0,0,IF(U$6=0,0,IF(U76&lt;1,SUM((U76&gt;L76),(U76&gt;O76),(U76&gt;R76),(U76&gt;I76),(U76&gt;X76),(U76&gt;AA76),(U76&gt;AD76),(U76&gt;AG76),(U76&gt;AJ76),(U76&gt;BE76)))-$AM76))</f>
        <v>2</v>
      </c>
      <c r="W76" s="879">
        <f>IF(U76=0,0,IF(U$6=0,0,IF(V76=0,0,((11-V76)))-$B$6))</f>
        <v>6</v>
      </c>
      <c r="X76" s="878">
        <f>0+TEXT(Recording!I120,"00\:00\.00")</f>
        <v>9.0694444444444449E-4</v>
      </c>
      <c r="Y76" s="879">
        <f>IF(X76=0,0,IF(X$6=0,0,IF(X76&lt;1,SUM((X76&gt;L76),(X76&gt;O76),(X76&gt;R76),(X76&gt;U76),(X76&gt;I76),(X76&gt;AA76),(X76&gt;AD76),(X76&gt;AG76),(X76&gt;AJ76),(X76&gt;BE76)))-$AM76))</f>
        <v>6</v>
      </c>
      <c r="Z76" s="879">
        <f>IF(X76=0,0,IF(X$6=0,0,IF(Y76=0,0,((11-Y76)))-$B$6))</f>
        <v>2</v>
      </c>
      <c r="AA76" s="878">
        <f>0+TEXT(Recording!J120,"00\:00\.00")</f>
        <v>8.4166666666666667E-4</v>
      </c>
      <c r="AB76" s="879">
        <f>IF(AA76=0,0,IF(AA$6=0,0,IF(AA76&lt;1,SUM((AA76&gt;L76),(AA76&gt;O76),(AA76&gt;R76),(AA76&gt;U76),(AA76&gt;X76),(AA76&gt;I76),(AA76&gt;AD76),(AA76&gt;AG76),(AA76&gt;AJ76),(AA76&gt;BE76))))-$AM76)</f>
        <v>3</v>
      </c>
      <c r="AC76" s="879">
        <f>IF(AA76=0,0,IF(AA$6=0,0,IF(AB76=0,0,((11-AB76)))-$B$6))</f>
        <v>5</v>
      </c>
      <c r="AD76" s="878">
        <f>0+TEXT(Recording!K120,"00\:00\.00")</f>
        <v>0</v>
      </c>
      <c r="AE76" s="879">
        <f>IF(AD76=0,0,IF(AD$6=0,0,IF(AD76&lt;1,SUM((AD76&gt;L76),(AD76&gt;O76),(AD76&gt;R76),(AD76&gt;U76),(AD76&gt;X76),(AD76&gt;AA76),(AD76&gt;AG76),(AD76&gt;AJ76),(AD76&gt;I76),(AD76&gt;BE76)))-$AM76))</f>
        <v>0</v>
      </c>
      <c r="AF76" s="879">
        <f>IF(AD76=0,0,IF(AD$6=0,0,IF(AE76=0,0,((11-AE76)))-$B$6))</f>
        <v>0</v>
      </c>
      <c r="AG76" s="878">
        <f>0+TEXT(Recording!L120,"00\:00\.00")</f>
        <v>0</v>
      </c>
      <c r="AH76" s="879">
        <f>IF(AG76=0,0,IF(AG$6=0,0,IF(AG76&lt;1,SUM((AG76&gt;I76),(AG76&gt;L76),(AG76&gt;O76),(AG76&gt;R76),(AG76&gt;U76),(AG76&gt;X76),(AG76&gt;AA76),(AG76&gt;AD76),(AG76&gt;AJ76),(AG76&gt;BE76)))-$AM76))</f>
        <v>0</v>
      </c>
      <c r="AI76" s="879">
        <f>IF(AG76=0,0,IF(AG$6=0,0,IF(AH76=0,0,((11-AH76)))-$B$6))</f>
        <v>0</v>
      </c>
      <c r="AJ76" s="878">
        <f>0+TEXT(Recording!M120,"00\:00\.00")</f>
        <v>0</v>
      </c>
      <c r="AK76" s="879">
        <f>IF(AJ76=0,0,IF(AJ$6=0,0,IF(AJ76&lt;1,SUM((AJ76&gt;I76),(AJ76&gt;L76),(AJ76&gt;O76),(AJ76&gt;R76),(AJ76&gt;U76),(AJ76&gt;X76),(AJ76&gt;AA76),(AJ76&gt;AD76),(AJ76&gt;AG76),(AJ76&gt;BE76)))-$AM76))</f>
        <v>0</v>
      </c>
      <c r="AL76" s="989">
        <f>IF(AJ76=0,0,IF(AJ$6=0,0,IF(AK76=0,0,((11-AK76)))-$B$6))</f>
        <v>0</v>
      </c>
      <c r="AM76" s="883">
        <f>COUNTBLANK(I618:R618)</f>
        <v>3</v>
      </c>
      <c r="BL76" s="1033"/>
      <c r="BM76" s="1033"/>
      <c r="BN76" s="1033"/>
      <c r="BO76" s="1033"/>
      <c r="BP76" s="1033"/>
      <c r="BQ76" s="1033"/>
      <c r="BR76" s="1033"/>
      <c r="BS76" s="1033"/>
      <c r="BT76" s="1033"/>
      <c r="BU76" s="1033"/>
    </row>
    <row r="77" spans="2:73" ht="35.25" customHeight="1" x14ac:dyDescent="0.3">
      <c r="B77" s="1349"/>
      <c r="C77" s="1333"/>
      <c r="D77" s="1424"/>
      <c r="E77" s="1350"/>
      <c r="I77" s="1351" t="str">
        <f>PROPER('Team 1'!$I$52)</f>
        <v>Isabel Spyrou</v>
      </c>
      <c r="J77" s="1351"/>
      <c r="K77" s="1351"/>
      <c r="L77" s="1351" t="str">
        <f>PROPER('Team 2'!$I$52)</f>
        <v>Sophie Lyon</v>
      </c>
      <c r="M77" s="1351"/>
      <c r="N77" s="1351"/>
      <c r="O77" s="1351" t="str">
        <f>PROPER('Team 3'!$I$52)</f>
        <v>Grace Sofokleous-Ames</v>
      </c>
      <c r="P77" s="1351"/>
      <c r="Q77" s="1351"/>
      <c r="R77" s="1351" t="str">
        <f>PROPER('Team 4'!$I$52)</f>
        <v>Megan Johnson</v>
      </c>
      <c r="S77" s="1351"/>
      <c r="T77" s="1351"/>
      <c r="U77" s="1351" t="str">
        <f>PROPER('Team 5'!$I$52)</f>
        <v>Isabelle Talbot</v>
      </c>
      <c r="V77" s="1351"/>
      <c r="W77" s="1351"/>
      <c r="X77" s="1351" t="str">
        <f>PROPER('Team 6'!$I$52)</f>
        <v>Hannah Barrios</v>
      </c>
      <c r="Y77" s="1351"/>
      <c r="Z77" s="1351"/>
      <c r="AA77" s="1351" t="str">
        <f>PROPER('Team 7'!$I$52)</f>
        <v>Kayla Van Zyl</v>
      </c>
      <c r="AB77" s="1351"/>
      <c r="AC77" s="1351"/>
      <c r="AD77" s="1351" t="str">
        <f>PROPER('Team 8'!$I$52)</f>
        <v xml:space="preserve"> </v>
      </c>
      <c r="AE77" s="1351"/>
      <c r="AF77" s="1351"/>
      <c r="AG77" s="1351" t="str">
        <f>PROPER('Team 9'!$I$52)</f>
        <v xml:space="preserve"> </v>
      </c>
      <c r="AH77" s="1351"/>
      <c r="AI77" s="1351"/>
      <c r="AJ77" s="1351" t="str">
        <f>PROPER('Team 10'!$I$52)</f>
        <v xml:space="preserve"> </v>
      </c>
      <c r="AK77" s="1351"/>
      <c r="AL77" s="1351"/>
      <c r="AM77" s="883"/>
      <c r="BL77" s="1033"/>
      <c r="BM77" s="1033"/>
      <c r="BN77" s="1033"/>
      <c r="BO77" s="1033"/>
      <c r="BP77" s="1033"/>
      <c r="BQ77" s="1033"/>
      <c r="BR77" s="1033"/>
      <c r="BS77" s="1033"/>
      <c r="BT77" s="1033"/>
      <c r="BU77" s="1033"/>
    </row>
    <row r="78" spans="2:73" ht="35.25" customHeight="1" x14ac:dyDescent="0.3">
      <c r="B78" s="1349"/>
      <c r="C78" s="1333"/>
      <c r="D78" s="1424"/>
      <c r="E78" s="888" t="s">
        <v>5108</v>
      </c>
      <c r="I78" s="1367">
        <f>Recording!D122</f>
        <v>0</v>
      </c>
      <c r="J78" s="1367"/>
      <c r="K78" s="1367"/>
      <c r="L78" s="1367">
        <f>Recording!E122</f>
        <v>0</v>
      </c>
      <c r="M78" s="1367"/>
      <c r="N78" s="1367"/>
      <c r="O78" s="1367">
        <f>Recording!F122</f>
        <v>0</v>
      </c>
      <c r="P78" s="1367"/>
      <c r="Q78" s="1367"/>
      <c r="R78" s="1367">
        <f>Recording!G122</f>
        <v>0</v>
      </c>
      <c r="S78" s="1367"/>
      <c r="T78" s="1367"/>
      <c r="U78" s="1367">
        <f>Recording!H122</f>
        <v>0</v>
      </c>
      <c r="V78" s="1367"/>
      <c r="W78" s="1367"/>
      <c r="X78" s="1367">
        <f>Recording!I122</f>
        <v>0</v>
      </c>
      <c r="Y78" s="1367"/>
      <c r="Z78" s="1367"/>
      <c r="AA78" s="1367">
        <f>Recording!J122</f>
        <v>0</v>
      </c>
      <c r="AB78" s="1367"/>
      <c r="AC78" s="1367"/>
      <c r="AD78" s="1367">
        <f>Recording!K122</f>
        <v>0</v>
      </c>
      <c r="AE78" s="1367"/>
      <c r="AF78" s="1367"/>
      <c r="AG78" s="1367">
        <f>Recording!L122</f>
        <v>0</v>
      </c>
      <c r="AH78" s="1367"/>
      <c r="AI78" s="1367"/>
      <c r="AJ78" s="1367">
        <f>Recording!M122</f>
        <v>0</v>
      </c>
      <c r="AK78" s="1367"/>
      <c r="AL78" s="1367"/>
      <c r="AM78" s="883"/>
      <c r="BL78" s="1033"/>
      <c r="BM78" s="1033"/>
      <c r="BN78" s="1033"/>
      <c r="BO78" s="1033"/>
      <c r="BP78" s="1033"/>
      <c r="BQ78" s="1033"/>
      <c r="BR78" s="1033"/>
      <c r="BS78" s="1033"/>
      <c r="BT78" s="1033"/>
      <c r="BU78" s="1033"/>
    </row>
    <row r="79" spans="2:73" ht="35.25" customHeight="1" x14ac:dyDescent="0.3">
      <c r="B79" s="1349">
        <v>26</v>
      </c>
      <c r="C79" s="1343" t="s">
        <v>5087</v>
      </c>
      <c r="D79" s="1424" t="s">
        <v>5093</v>
      </c>
      <c r="E79" s="1350" t="s">
        <v>5099</v>
      </c>
      <c r="I79" s="1030">
        <f>0+TEXT(Recording!D124,"00\:00\.00")</f>
        <v>8.2303240740740741E-4</v>
      </c>
      <c r="J79" s="879">
        <f>IF(I79=0,0,IF(I$6=0,0,IF(I79&lt;1,SUM((I79&gt;L79),(I79&gt;O79),(I79&gt;R79),(I79&gt;U79),(I79&gt;X79),(I79&gt;AA79),(I79&gt;AD79),(I79&gt;AG79),(I79&gt;AJ79),(I79&gt;BE79)))-$AM79))</f>
        <v>6</v>
      </c>
      <c r="K79" s="879">
        <f>IF(I79=0,0,IF(I$6=0,0,IF(J79=0,0,((11-J79)))-$B$6))</f>
        <v>2</v>
      </c>
      <c r="L79" s="878">
        <f>0+TEXT(Recording!E124,"00\:00\.00")</f>
        <v>7.9606481481481466E-4</v>
      </c>
      <c r="M79" s="879">
        <f>IF(L79=0,0,IF(L$6=0,0,IF(L79&lt;1,SUM((L79&gt;O79),(L79&gt;R79),(L79&gt;U79),(L79&gt;X79),(L79&gt;AA79),(L79&gt;AD79),(L79&gt;I79),(L79&gt;AG79),(L79&gt;AJ79),(L79&gt;BE79)))-$AM79))</f>
        <v>4</v>
      </c>
      <c r="N79" s="879">
        <f>IF(L79=0,0,IF(L$6=0,0,IF(M79=0,0,((11-M79)))-$B$6))</f>
        <v>4</v>
      </c>
      <c r="O79" s="878">
        <f>0+TEXT(Recording!F124,"00\:00\.00")</f>
        <v>0</v>
      </c>
      <c r="P79" s="879">
        <f>IF(O79=0,0,IF(O$6=0,0,IF(O79&lt;1,SUM((O79&gt;L79),(O79&gt;I79),(O79&gt;R79),(O79&gt;U79),(O79&gt;X79),(O79&gt;AA79),(O79&gt;AD79),(O79&gt;AG79),(O79&gt;AJ79),(O79&gt;BE79)))-$AM79))</f>
        <v>0</v>
      </c>
      <c r="Q79" s="879">
        <f>IF(O79=0,0,IF(O$6=0,0,IF(P79=0,0,((11-P79)))-$B$6))</f>
        <v>0</v>
      </c>
      <c r="R79" s="878">
        <f>0+TEXT(Recording!G124,"00\:00\.00")</f>
        <v>7.1481481481481483E-4</v>
      </c>
      <c r="S79" s="879">
        <f>IF(R79=0,0,IF(R$6=0,0,IF(R79&lt;1,SUM((R79&gt;L79),(R79&gt;O79),(R79&gt;I79),(R79&gt;U79),(R79&gt;X79),(R79&gt;AA79),(R79&gt;AD79),(R79&gt;AG79),(R79&gt;AJ79),(R79&gt;BE79)))-$AM79))</f>
        <v>1</v>
      </c>
      <c r="T79" s="879">
        <f>IF(R79=0,0,IF(R$6=0,0,IF(S79=0,0,((11-S79)))-$B$6))</f>
        <v>7</v>
      </c>
      <c r="U79" s="878">
        <f>0+TEXT(Recording!H124,"00\:00\.00")</f>
        <v>7.6111111111111117E-4</v>
      </c>
      <c r="V79" s="879">
        <f>IF(U79=0,0,IF(U$6=0,0,IF(U79&lt;1,SUM((U79&gt;L79),(U79&gt;O79),(U79&gt;R79),(U79&gt;I79),(U79&gt;X79),(U79&gt;AA79),(U79&gt;AD79),(U79&gt;AG79),(U79&gt;AJ79),(U79&gt;BE79)))-$AM79))</f>
        <v>2</v>
      </c>
      <c r="W79" s="879">
        <f>IF(U79=0,0,IF(U$6=0,0,IF(V79=0,0,((11-V79)))-$B$6))</f>
        <v>6</v>
      </c>
      <c r="X79" s="878">
        <f>0+TEXT(Recording!I124,"00\:00\.00")</f>
        <v>7.7326388888888887E-4</v>
      </c>
      <c r="Y79" s="879">
        <f>IF(X79=0,0,IF(X$6=0,0,IF(X79&lt;1,SUM((X79&gt;L79),(X79&gt;O79),(X79&gt;R79),(X79&gt;U79),(X79&gt;I79),(X79&gt;AA79),(X79&gt;AD79),(X79&gt;AG79),(X79&gt;AJ79),(X79&gt;BE79)))-$AM79))</f>
        <v>3</v>
      </c>
      <c r="Z79" s="879">
        <f>IF(X79=0,0,IF(X$6=0,0,IF(Y79=0,0,((11-Y79)))-$B$6))</f>
        <v>5</v>
      </c>
      <c r="AA79" s="878">
        <f>0+TEXT(Recording!J124,"00\:00\.00")</f>
        <v>8.189814814814814E-4</v>
      </c>
      <c r="AB79" s="879">
        <f>IF(AA79=0,0,IF(AA$6=0,0,IF(AA79&lt;1,SUM((AA79&gt;L79),(AA79&gt;O79),(AA79&gt;R79),(AA79&gt;U79),(AA79&gt;X79),(AA79&gt;I79),(AA79&gt;AD79),(AA79&gt;AG79),(AA79&gt;AJ79),(AA79&gt;BE79))))-$AM79)</f>
        <v>5</v>
      </c>
      <c r="AC79" s="879">
        <f>IF(AA79=0,0,IF(AA$6=0,0,IF(AB79=0,0,((11-AB79)))-$B$6))</f>
        <v>3</v>
      </c>
      <c r="AD79" s="878">
        <f>0+TEXT(Recording!K124,"00\:00\.00")</f>
        <v>0</v>
      </c>
      <c r="AE79" s="879">
        <f>IF(AD79=0,0,IF(AD$6=0,0,IF(AD79&lt;1,SUM((AD79&gt;L79),(AD79&gt;O79),(AD79&gt;R79),(AD79&gt;U79),(AD79&gt;X79),(AD79&gt;AA79),(AD79&gt;AG79),(AD79&gt;AJ79),(AD79&gt;I79),(AD79&gt;BE79)))-$AM79))</f>
        <v>0</v>
      </c>
      <c r="AF79" s="879">
        <f>IF(AD79=0,0,IF(AD$6=0,0,IF(AE79=0,0,((11-AE79)))-$B$6))</f>
        <v>0</v>
      </c>
      <c r="AG79" s="878">
        <f>0+TEXT(Recording!L124,"00\:00\.00")</f>
        <v>0</v>
      </c>
      <c r="AH79" s="879">
        <f>IF(AG79=0,0,IF(AG$6=0,0,IF(AG79&lt;1,SUM((AG79&gt;I79),(AG79&gt;L79),(AG79&gt;O79),(AG79&gt;R79),(AG79&gt;U79),(AG79&gt;X79),(AG79&gt;AA79),(AG79&gt;AD79),(AG79&gt;AJ79),(AG79&gt;BE79)))-$AM79))</f>
        <v>0</v>
      </c>
      <c r="AI79" s="879">
        <f>IF(AG79=0,0,IF(AG$6=0,0,IF(AH79=0,0,((11-AH79)))-$B$6))</f>
        <v>0</v>
      </c>
      <c r="AJ79" s="878">
        <f>0+TEXT(Recording!M124,"00\:00\.00")</f>
        <v>0</v>
      </c>
      <c r="AK79" s="879">
        <f>IF(AJ79=0,0,IF(AJ$6=0,0,IF(AJ79&lt;1,SUM((AJ79&gt;I79),(AJ79&gt;L79),(AJ79&gt;O79),(AJ79&gt;R79),(AJ79&gt;U79),(AJ79&gt;X79),(AJ79&gt;AA79),(AJ79&gt;AD79),(AJ79&gt;AG79),(AJ79&gt;BE79)))-$AM79))</f>
        <v>0</v>
      </c>
      <c r="AL79" s="989">
        <f>IF(AJ79=0,0,IF(AJ$6=0,0,IF(AK79=0,0,((11-AK79)))-$B$6))</f>
        <v>0</v>
      </c>
      <c r="AM79" s="883">
        <f>COUNTBLANK(I619:R619)</f>
        <v>4</v>
      </c>
      <c r="BL79" s="1033"/>
      <c r="BM79" s="1033"/>
      <c r="BN79" s="1033"/>
      <c r="BO79" s="1033"/>
      <c r="BP79" s="1033"/>
      <c r="BQ79" s="1033"/>
      <c r="BR79" s="1033"/>
      <c r="BS79" s="1033"/>
      <c r="BT79" s="1033"/>
      <c r="BU79" s="1033"/>
    </row>
    <row r="80" spans="2:73" ht="35.25" customHeight="1" x14ac:dyDescent="0.3">
      <c r="B80" s="1349"/>
      <c r="C80" s="1343"/>
      <c r="D80" s="1424"/>
      <c r="E80" s="1350"/>
      <c r="I80" s="1351" t="str">
        <f>PROPER('Team 1'!$I$53)</f>
        <v>James Smeaton</v>
      </c>
      <c r="J80" s="1351"/>
      <c r="K80" s="1351"/>
      <c r="L80" s="1351" t="str">
        <f>PROPER('Team 2'!$I$53)</f>
        <v>Matthew Costello</v>
      </c>
      <c r="M80" s="1351"/>
      <c r="N80" s="1351"/>
      <c r="O80" s="1351" t="str">
        <f>PROPER('Team 3'!$I$53)</f>
        <v>Charlie Cropley</v>
      </c>
      <c r="P80" s="1351"/>
      <c r="Q80" s="1351"/>
      <c r="R80" s="1351" t="str">
        <f>PROPER('Team 4'!$I$53)</f>
        <v>Matthew Masters</v>
      </c>
      <c r="S80" s="1351"/>
      <c r="T80" s="1351"/>
      <c r="U80" s="1351" t="str">
        <f>PROPER('Team 5'!$I$53)</f>
        <v>Jamie Hartnup</v>
      </c>
      <c r="V80" s="1351"/>
      <c r="W80" s="1351"/>
      <c r="X80" s="1351" t="str">
        <f>PROPER('Team 6'!$I$53)</f>
        <v>Owen Roberts</v>
      </c>
      <c r="Y80" s="1351"/>
      <c r="Z80" s="1351"/>
      <c r="AA80" s="1351" t="str">
        <f>PROPER('Team 7'!$I$53)</f>
        <v>Tsz Kwai Chan</v>
      </c>
      <c r="AB80" s="1351"/>
      <c r="AC80" s="1351"/>
      <c r="AD80" s="1351" t="str">
        <f>PROPER('Team 8'!$I$53)</f>
        <v xml:space="preserve"> </v>
      </c>
      <c r="AE80" s="1351"/>
      <c r="AF80" s="1351"/>
      <c r="AG80" s="1351" t="str">
        <f>PROPER('Team 9'!$I$53)</f>
        <v xml:space="preserve"> </v>
      </c>
      <c r="AH80" s="1351"/>
      <c r="AI80" s="1351"/>
      <c r="AJ80" s="1351" t="str">
        <f>PROPER('Team 10'!$I$53)</f>
        <v xml:space="preserve"> </v>
      </c>
      <c r="AK80" s="1351"/>
      <c r="AL80" s="1351"/>
      <c r="AM80" s="883"/>
      <c r="BL80" s="1033"/>
      <c r="BM80" s="1033"/>
      <c r="BN80" s="1033"/>
      <c r="BO80" s="1033"/>
      <c r="BP80" s="1033"/>
      <c r="BQ80" s="1033"/>
      <c r="BR80" s="1033"/>
      <c r="BS80" s="1033"/>
      <c r="BT80" s="1033"/>
      <c r="BU80" s="1033"/>
    </row>
    <row r="81" spans="2:73" ht="35.25" customHeight="1" x14ac:dyDescent="0.3">
      <c r="B81" s="1349"/>
      <c r="C81" s="1343"/>
      <c r="D81" s="1424"/>
      <c r="E81" s="888" t="s">
        <v>5108</v>
      </c>
      <c r="I81" s="1367">
        <f>Recording!D126</f>
        <v>0</v>
      </c>
      <c r="J81" s="1367"/>
      <c r="K81" s="1367"/>
      <c r="L81" s="1367">
        <f>Recording!E126</f>
        <v>0</v>
      </c>
      <c r="M81" s="1367"/>
      <c r="N81" s="1367"/>
      <c r="O81" s="1367" t="str">
        <f>Recording!F126</f>
        <v>6.4 did not immediately initiate turn</v>
      </c>
      <c r="P81" s="1367"/>
      <c r="Q81" s="1367"/>
      <c r="R81" s="1367">
        <f>Recording!G126</f>
        <v>0</v>
      </c>
      <c r="S81" s="1367"/>
      <c r="T81" s="1367"/>
      <c r="U81" s="1367">
        <f>Recording!H126</f>
        <v>0</v>
      </c>
      <c r="V81" s="1367"/>
      <c r="W81" s="1367"/>
      <c r="X81" s="1367">
        <f>Recording!I126</f>
        <v>0</v>
      </c>
      <c r="Y81" s="1367"/>
      <c r="Z81" s="1367"/>
      <c r="AA81" s="1367">
        <f>Recording!J126</f>
        <v>0</v>
      </c>
      <c r="AB81" s="1367"/>
      <c r="AC81" s="1367"/>
      <c r="AD81" s="1367">
        <f>Recording!K126</f>
        <v>0</v>
      </c>
      <c r="AE81" s="1367"/>
      <c r="AF81" s="1367"/>
      <c r="AG81" s="1367">
        <f>Recording!L126</f>
        <v>0</v>
      </c>
      <c r="AH81" s="1367"/>
      <c r="AI81" s="1367"/>
      <c r="AJ81" s="1367">
        <f>Recording!M126</f>
        <v>0</v>
      </c>
      <c r="AK81" s="1367"/>
      <c r="AL81" s="1367"/>
      <c r="AM81" s="883"/>
      <c r="BL81" s="1033"/>
      <c r="BM81" s="1033"/>
      <c r="BN81" s="1033"/>
      <c r="BO81" s="1033"/>
      <c r="BP81" s="1033"/>
      <c r="BQ81" s="1033"/>
      <c r="BR81" s="1033"/>
      <c r="BS81" s="1033"/>
      <c r="BT81" s="1033"/>
      <c r="BU81" s="1033"/>
    </row>
    <row r="82" spans="2:73" ht="35.25" customHeight="1" x14ac:dyDescent="0.3">
      <c r="B82" s="1349">
        <v>27</v>
      </c>
      <c r="C82" s="1333" t="s">
        <v>5083</v>
      </c>
      <c r="D82" s="1429" t="s">
        <v>5094</v>
      </c>
      <c r="E82" s="1350" t="s">
        <v>5102</v>
      </c>
      <c r="I82" s="1030">
        <f>0+TEXT(Recording!D128,"00\:00\.00")</f>
        <v>5.8287037037037042E-4</v>
      </c>
      <c r="J82" s="879">
        <f>IF(I82=0,0,IF(I$6=0,0,IF(I82&lt;1,SUM((I82&gt;L82),(I82&gt;O82),(I82&gt;R82),(I82&gt;U82),(I82&gt;X82),(I82&gt;AA82),(I82&gt;AD82),(I82&gt;AG82),(I82&gt;AJ82),(I82&gt;BE82)))-$AM82))</f>
        <v>5</v>
      </c>
      <c r="K82" s="879">
        <f>IF(I82=0,0,IF(I$6=0,0,IF(J82=0,0,((11-J82)))-$B$6))</f>
        <v>3</v>
      </c>
      <c r="L82" s="878">
        <f>0+TEXT(Recording!E128,"00\:00\.00")</f>
        <v>6.0682870370370372E-4</v>
      </c>
      <c r="M82" s="879">
        <f>IF(L82=0,0,IF(L$6=0,0,IF(L82&lt;1,SUM((L82&gt;O82),(L82&gt;R82),(L82&gt;U82),(L82&gt;X82),(L82&gt;AA82),(L82&gt;AD82),(L82&gt;I82),(L82&gt;AG82),(L82&gt;AJ82),(L82&gt;BE82)))-$AM82))</f>
        <v>6</v>
      </c>
      <c r="N82" s="879">
        <f>IF(L82=0,0,IF(L$6=0,0,IF(M82=0,0,((11-M82)))-$B$6))</f>
        <v>2</v>
      </c>
      <c r="O82" s="878">
        <f>0+TEXT(Recording!F128,"00\:00\.00")</f>
        <v>0</v>
      </c>
      <c r="P82" s="879">
        <f>IF(O82=0,0,IF(O$6=0,0,IF(O82&lt;1,SUM((O82&gt;L82),(O82&gt;I82),(O82&gt;R82),(O82&gt;U82),(O82&gt;X82),(O82&gt;AA82),(O82&gt;AD82),(O82&gt;AG82),(O82&gt;AJ82),(O82&gt;BE82)))-$AM82))</f>
        <v>0</v>
      </c>
      <c r="Q82" s="879">
        <f>IF(O82=0,0,IF(O$6=0,0,IF(P82=0,0,((11-P82)))-$B$6))</f>
        <v>0</v>
      </c>
      <c r="R82" s="878">
        <f>0+TEXT(Recording!G128,"00\:00\.00")</f>
        <v>5.7696759259259257E-4</v>
      </c>
      <c r="S82" s="879">
        <f>IF(R82=0,0,IF(R$6=0,0,IF(R82&lt;1,SUM((R82&gt;L82),(R82&gt;O82),(R82&gt;I82),(R82&gt;U82),(R82&gt;X82),(R82&gt;AA82),(R82&gt;AD82),(R82&gt;AG82),(R82&gt;AJ82),(R82&gt;BE82)))-$AM82))</f>
        <v>1</v>
      </c>
      <c r="T82" s="879">
        <f>IF(R82=0,0,IF(R$6=0,0,IF(S82=0,0,((11-S82)))-$B$6))</f>
        <v>7</v>
      </c>
      <c r="U82" s="878">
        <f>0+TEXT(Recording!H128,"00\:00\.00")</f>
        <v>5.8101851851851858E-4</v>
      </c>
      <c r="V82" s="879">
        <f>IF(U82=0,0,IF(U$6=0,0,IF(U82&lt;1,SUM((U82&gt;L82),(U82&gt;O82),(U82&gt;R82),(U82&gt;I82),(U82&gt;X82),(U82&gt;AA82),(U82&gt;AD82),(U82&gt;AG82),(U82&gt;AJ82),(U82&gt;BE82)))-$AM82))</f>
        <v>4</v>
      </c>
      <c r="W82" s="879">
        <f>IF(U82=0,0,IF(U$6=0,0,IF(V82=0,0,((11-V82)))-$B$6))</f>
        <v>4</v>
      </c>
      <c r="X82" s="878">
        <f>0+TEXT(Recording!I128,"00\:00\.00")</f>
        <v>5.8090277777777773E-4</v>
      </c>
      <c r="Y82" s="879">
        <f>IF(X82=0,0,IF(X$6=0,0,IF(X82&lt;1,SUM((X82&gt;L82),(X82&gt;O82),(X82&gt;R82),(X82&gt;U82),(X82&gt;I82),(X82&gt;AA82),(X82&gt;AD82),(X82&gt;AG82),(X82&gt;AJ82),(X82&gt;BE82)))-$AM82))</f>
        <v>3</v>
      </c>
      <c r="Z82" s="879">
        <f>IF(X82=0,0,IF(X$6=0,0,IF(Y82=0,0,((11-Y82)))-$B$6))</f>
        <v>5</v>
      </c>
      <c r="AA82" s="878">
        <f>0+TEXT(Recording!J128,"00\:00\.00")</f>
        <v>5.8032407407407414E-4</v>
      </c>
      <c r="AB82" s="879">
        <f>IF(AA82=0,0,IF(AA$6=0,0,IF(AA82&lt;1,SUM((AA82&gt;L82),(AA82&gt;O82),(AA82&gt;R82),(AA82&gt;U82),(AA82&gt;X82),(AA82&gt;I82),(AA82&gt;AD82),(AA82&gt;AG82),(AA82&gt;AJ82),(AA82&gt;BE82))))-$AM82)</f>
        <v>2</v>
      </c>
      <c r="AC82" s="879">
        <f>IF(AA82=0,0,IF(AA$6=0,0,IF(AB82=0,0,((11-AB82)))-$B$6))</f>
        <v>6</v>
      </c>
      <c r="AD82" s="878">
        <f>0+TEXT(Recording!K128,"00\:00\.00")</f>
        <v>0</v>
      </c>
      <c r="AE82" s="879">
        <f>IF(AD82=0,0,IF(AD$6=0,0,IF(AD82&lt;1,SUM((AD82&gt;L82),(AD82&gt;O82),(AD82&gt;R82),(AD82&gt;U82),(AD82&gt;X82),(AD82&gt;AA82),(AD82&gt;AG82),(AD82&gt;AJ82),(AD82&gt;I82),(AD82&gt;BE82)))-$AM82))</f>
        <v>0</v>
      </c>
      <c r="AF82" s="879">
        <f>IF(AD82=0,0,IF(AD$6=0,0,IF(AE82=0,0,((11-AE82)))-$B$6))</f>
        <v>0</v>
      </c>
      <c r="AG82" s="878">
        <f>0+TEXT(Recording!L128,"00\:00\.00")</f>
        <v>0</v>
      </c>
      <c r="AH82" s="879">
        <f>IF(AG82=0,0,IF(AG$6=0,0,IF(AG82&lt;1,SUM((AG82&gt;I82),(AG82&gt;L82),(AG82&gt;O82),(AG82&gt;R82),(AG82&gt;U82),(AG82&gt;X82),(AG82&gt;AA82),(AG82&gt;AD82),(AG82&gt;AJ82),(AG82&gt;BE82)))-$AM82))</f>
        <v>0</v>
      </c>
      <c r="AI82" s="879">
        <f>IF(AG82=0,0,IF(AG$6=0,0,IF(AH82=0,0,((11-AH82)))-$B$6))</f>
        <v>0</v>
      </c>
      <c r="AJ82" s="878">
        <f>0+TEXT(Recording!M128,"00\:00\.00")</f>
        <v>0</v>
      </c>
      <c r="AK82" s="879">
        <f>IF(AJ82=0,0,IF(AJ$6=0,0,IF(AJ82&lt;1,SUM((AJ82&gt;I82),(AJ82&gt;L82),(AJ82&gt;O82),(AJ82&gt;R82),(AJ82&gt;U82),(AJ82&gt;X82),(AJ82&gt;AA82),(AJ82&gt;AD82),(AJ82&gt;AG82),(AJ82&gt;BE82)))-$AM82))</f>
        <v>0</v>
      </c>
      <c r="AL82" s="989">
        <f>IF(AJ82=0,0,IF(AJ$6=0,0,IF(AK82=0,0,((11-AK82)))-$B$6))</f>
        <v>0</v>
      </c>
      <c r="AM82" s="883">
        <f>COUNTBLANK(I620:R620)</f>
        <v>4</v>
      </c>
      <c r="BL82" s="1033"/>
      <c r="BM82" s="1033"/>
      <c r="BN82" s="1033"/>
      <c r="BO82" s="1033"/>
      <c r="BP82" s="1033"/>
      <c r="BQ82" s="1033"/>
      <c r="BR82" s="1033"/>
      <c r="BS82" s="1033"/>
      <c r="BT82" s="1033"/>
      <c r="BU82" s="1033"/>
    </row>
    <row r="83" spans="2:73" ht="35.25" customHeight="1" x14ac:dyDescent="0.3">
      <c r="B83" s="1349"/>
      <c r="C83" s="1333"/>
      <c r="D83" s="1429"/>
      <c r="E83" s="1350"/>
      <c r="I83" s="1351" t="str">
        <f>PROPER('Team 1'!$I$54)</f>
        <v>Ines Puente</v>
      </c>
      <c r="J83" s="1351"/>
      <c r="K83" s="1351"/>
      <c r="L83" s="1351" t="str">
        <f>PROPER('Team 2'!$I$54)</f>
        <v>Seren Cooper</v>
      </c>
      <c r="M83" s="1351"/>
      <c r="N83" s="1351"/>
      <c r="O83" s="1351" t="str">
        <f>PROPER('Team 3'!$I$54)</f>
        <v>Hannah Jounor</v>
      </c>
      <c r="P83" s="1351"/>
      <c r="Q83" s="1351"/>
      <c r="R83" s="1351" t="str">
        <f>PROPER('Team 4'!$I$54)</f>
        <v>Mia Zubcevic</v>
      </c>
      <c r="S83" s="1351"/>
      <c r="T83" s="1351"/>
      <c r="U83" s="1351" t="str">
        <f>PROPER('Team 5'!$I$54)</f>
        <v>Caoife Long</v>
      </c>
      <c r="V83" s="1351"/>
      <c r="W83" s="1351"/>
      <c r="X83" s="1351" t="str">
        <f>PROPER('Team 6'!$I$54)</f>
        <v>Miraya  Patel</v>
      </c>
      <c r="Y83" s="1351"/>
      <c r="Z83" s="1351"/>
      <c r="AA83" s="1351" t="str">
        <f>PROPER('Team 7'!$I$54)</f>
        <v>Lara Shah</v>
      </c>
      <c r="AB83" s="1351"/>
      <c r="AC83" s="1351"/>
      <c r="AD83" s="1351" t="str">
        <f>PROPER('Team 8'!$I$54)</f>
        <v xml:space="preserve"> </v>
      </c>
      <c r="AE83" s="1351"/>
      <c r="AF83" s="1351"/>
      <c r="AG83" s="1351" t="str">
        <f>PROPER('Team 9'!$I$54)</f>
        <v xml:space="preserve"> </v>
      </c>
      <c r="AH83" s="1351"/>
      <c r="AI83" s="1351"/>
      <c r="AJ83" s="1351" t="str">
        <f>PROPER('Team 10'!$I$54)</f>
        <v xml:space="preserve"> </v>
      </c>
      <c r="AK83" s="1351"/>
      <c r="AL83" s="1351"/>
      <c r="AM83" s="883"/>
      <c r="BL83" s="1033"/>
      <c r="BM83" s="1033"/>
      <c r="BN83" s="1033"/>
      <c r="BO83" s="1033"/>
      <c r="BP83" s="1033"/>
      <c r="BQ83" s="1033"/>
      <c r="BR83" s="1033"/>
      <c r="BS83" s="1033"/>
      <c r="BT83" s="1033"/>
      <c r="BU83" s="1033"/>
    </row>
    <row r="84" spans="2:73" ht="35.25" customHeight="1" x14ac:dyDescent="0.3">
      <c r="B84" s="1349"/>
      <c r="C84" s="1333"/>
      <c r="D84" s="1429"/>
      <c r="E84" s="888" t="s">
        <v>5108</v>
      </c>
      <c r="I84" s="1367">
        <f>Recording!D130</f>
        <v>0</v>
      </c>
      <c r="J84" s="1367"/>
      <c r="K84" s="1367"/>
      <c r="L84" s="1367">
        <f>Recording!E130</f>
        <v>0</v>
      </c>
      <c r="M84" s="1367"/>
      <c r="N84" s="1367"/>
      <c r="O84" s="1367">
        <f>Recording!F130</f>
        <v>0</v>
      </c>
      <c r="P84" s="1367"/>
      <c r="Q84" s="1367"/>
      <c r="R84" s="1367">
        <f>Recording!G130</f>
        <v>0</v>
      </c>
      <c r="S84" s="1367"/>
      <c r="T84" s="1367"/>
      <c r="U84" s="1367">
        <f>Recording!H130</f>
        <v>0</v>
      </c>
      <c r="V84" s="1367"/>
      <c r="W84" s="1367"/>
      <c r="X84" s="1367">
        <f>Recording!I130</f>
        <v>0</v>
      </c>
      <c r="Y84" s="1367"/>
      <c r="Z84" s="1367"/>
      <c r="AA84" s="1367">
        <f>Recording!J130</f>
        <v>0</v>
      </c>
      <c r="AB84" s="1367"/>
      <c r="AC84" s="1367"/>
      <c r="AD84" s="1367">
        <f>Recording!K130</f>
        <v>0</v>
      </c>
      <c r="AE84" s="1367"/>
      <c r="AF84" s="1367"/>
      <c r="AG84" s="1367">
        <f>Recording!L130</f>
        <v>0</v>
      </c>
      <c r="AH84" s="1367"/>
      <c r="AI84" s="1367"/>
      <c r="AJ84" s="1367">
        <f>Recording!M130</f>
        <v>0</v>
      </c>
      <c r="AK84" s="1367"/>
      <c r="AL84" s="1367"/>
      <c r="AM84" s="883"/>
      <c r="BL84" s="1033"/>
      <c r="BM84" s="1033"/>
      <c r="BN84" s="1033"/>
      <c r="BO84" s="1033"/>
      <c r="BP84" s="1033"/>
      <c r="BQ84" s="1033"/>
      <c r="BR84" s="1033"/>
      <c r="BS84" s="1033"/>
      <c r="BT84" s="1033"/>
      <c r="BU84" s="1033"/>
    </row>
    <row r="85" spans="2:73" ht="35.25" customHeight="1" x14ac:dyDescent="0.3">
      <c r="B85" s="1349">
        <v>28</v>
      </c>
      <c r="C85" s="1343" t="s">
        <v>5087</v>
      </c>
      <c r="D85" s="1429" t="s">
        <v>5094</v>
      </c>
      <c r="E85" s="1350" t="s">
        <v>5102</v>
      </c>
      <c r="I85" s="1030">
        <f>0+TEXT(Recording!D132,"00\:00\.00")</f>
        <v>0</v>
      </c>
      <c r="J85" s="879">
        <f>IF(I85=0,0,IF(I$6=0,0,IF(I85&lt;1,SUM((I85&gt;L85),(I85&gt;O85),(I85&gt;R85),(I85&gt;U85),(I85&gt;X85),(I85&gt;AA85),(I85&gt;AD85),(I85&gt;AG85),(I85&gt;AJ85),(I85&gt;BE85)))-$AM85))</f>
        <v>0</v>
      </c>
      <c r="K85" s="879">
        <f>IF(I85=0,0,IF(I$6=0,0,IF(J85=0,0,((11-J85)))-$B$6))</f>
        <v>0</v>
      </c>
      <c r="L85" s="878">
        <f>0+TEXT(Recording!E132,"00\:00\.00")</f>
        <v>4.9606481481481485E-4</v>
      </c>
      <c r="M85" s="879">
        <f>IF(L85=0,0,IF(L$6=0,0,IF(L85&lt;1,SUM((L85&gt;O85),(L85&gt;R85),(L85&gt;U85),(L85&gt;X85),(L85&gt;AA85),(L85&gt;AD85),(L85&gt;I85),(L85&gt;AG85),(L85&gt;AJ85),(L85&gt;BE85)))-$AM85))</f>
        <v>1</v>
      </c>
      <c r="N85" s="879">
        <f>IF(L85=0,0,IF(L$6=0,0,IF(M85=0,0,((11-M85)))-$B$6))</f>
        <v>7</v>
      </c>
      <c r="O85" s="878">
        <f>0+TEXT(Recording!F132,"00\:00\.00")</f>
        <v>6.1481481481481478E-4</v>
      </c>
      <c r="P85" s="879">
        <f>IF(O85=0,0,IF(O$6=0,0,IF(O85&lt;1,SUM((O85&gt;L85),(O85&gt;I85),(O85&gt;R85),(O85&gt;U85),(O85&gt;X85),(O85&gt;AA85),(O85&gt;AD85),(O85&gt;AG85),(O85&gt;AJ85),(O85&gt;BE85)))-$AM85))</f>
        <v>5</v>
      </c>
      <c r="Q85" s="879">
        <f>IF(O85=0,0,IF(O$6=0,0,IF(P85=0,0,((11-P85)))-$B$6))</f>
        <v>3</v>
      </c>
      <c r="R85" s="878">
        <f>0+TEXT(Recording!G132,"00\:00\.00")</f>
        <v>5.7210648148148149E-4</v>
      </c>
      <c r="S85" s="879">
        <f>IF(R85=0,0,IF(R$6=0,0,IF(R85&lt;1,SUM((R85&gt;L85),(R85&gt;O85),(R85&gt;I85),(R85&gt;U85),(R85&gt;X85),(R85&gt;AA85),(R85&gt;AD85),(R85&gt;AG85),(R85&gt;AJ85),(R85&gt;BE85)))-$AM85))</f>
        <v>4</v>
      </c>
      <c r="T85" s="879">
        <f>IF(R85=0,0,IF(R$6=0,0,IF(S85=0,0,((11-S85)))-$B$6))</f>
        <v>4</v>
      </c>
      <c r="U85" s="878">
        <f>0+TEXT(Recording!H132,"00\:00\.00")</f>
        <v>5.1655092592592594E-4</v>
      </c>
      <c r="V85" s="879">
        <f>IF(U85=0,0,IF(U$6=0,0,IF(U85&lt;1,SUM((U85&gt;L85),(U85&gt;O85),(U85&gt;R85),(U85&gt;I85),(U85&gt;X85),(U85&gt;AA85),(U85&gt;AD85),(U85&gt;AG85),(U85&gt;AJ85),(U85&gt;BE85)))-$AM85))</f>
        <v>2</v>
      </c>
      <c r="W85" s="879">
        <f>IF(U85=0,0,IF(U$6=0,0,IF(V85=0,0,((11-V85)))-$B$6))</f>
        <v>6</v>
      </c>
      <c r="X85" s="878">
        <f>0+TEXT(Recording!I132,"00\:00\.00")</f>
        <v>5.7083333333333324E-4</v>
      </c>
      <c r="Y85" s="879">
        <f>IF(X85=0,0,IF(X$6=0,0,IF(X85&lt;1,SUM((X85&gt;L85),(X85&gt;O85),(X85&gt;R85),(X85&gt;U85),(X85&gt;I85),(X85&gt;AA85),(X85&gt;AD85),(X85&gt;AG85),(X85&gt;AJ85),(X85&gt;BE85)))-$AM85))</f>
        <v>3</v>
      </c>
      <c r="Z85" s="879">
        <f>IF(X85=0,0,IF(X$6=0,0,IF(Y85=0,0,((11-Y85)))-$B$6))</f>
        <v>5</v>
      </c>
      <c r="AA85" s="878">
        <f>0+TEXT(Recording!J132,"00\:00\.00")</f>
        <v>6.1990740740740745E-4</v>
      </c>
      <c r="AB85" s="879">
        <f>IF(AA85=0,0,IF(AA$6=0,0,IF(AA85&lt;1,SUM((AA85&gt;L85),(AA85&gt;O85),(AA85&gt;R85),(AA85&gt;U85),(AA85&gt;X85),(AA85&gt;I85),(AA85&gt;AD85),(AA85&gt;AG85),(AA85&gt;AJ85),(AA85&gt;BE85))))-$AM85)</f>
        <v>6</v>
      </c>
      <c r="AC85" s="879">
        <f>IF(AA85=0,0,IF(AA$6=0,0,IF(AB85=0,0,((11-AB85)))-$B$6))</f>
        <v>2</v>
      </c>
      <c r="AD85" s="878">
        <f>0+TEXT(Recording!K132,"00\:00\.00")</f>
        <v>0</v>
      </c>
      <c r="AE85" s="879">
        <f>IF(AD85=0,0,IF(AD$6=0,0,IF(AD85&lt;1,SUM((AD85&gt;L85),(AD85&gt;O85),(AD85&gt;R85),(AD85&gt;U85),(AD85&gt;X85),(AD85&gt;AA85),(AD85&gt;AG85),(AD85&gt;AJ85),(AD85&gt;I85),(AD85&gt;BE85)))-$AM85))</f>
        <v>0</v>
      </c>
      <c r="AF85" s="879">
        <f>IF(AD85=0,0,IF(AD$6=0,0,IF(AE85=0,0,((11-AE85)))-$B$6))</f>
        <v>0</v>
      </c>
      <c r="AG85" s="878">
        <f>0+TEXT(Recording!L132,"00\:00\.00")</f>
        <v>0</v>
      </c>
      <c r="AH85" s="879">
        <f>IF(AG85=0,0,IF(AG$6=0,0,IF(AG85&lt;1,SUM((AG85&gt;I85),(AG85&gt;L85),(AG85&gt;O85),(AG85&gt;R85),(AG85&gt;U85),(AG85&gt;X85),(AG85&gt;AA85),(AG85&gt;AD85),(AG85&gt;AJ85),(AG85&gt;BE85)))-$AM85))</f>
        <v>0</v>
      </c>
      <c r="AI85" s="879">
        <f>IF(AG85=0,0,IF(AG$6=0,0,IF(AH85=0,0,((11-AH85)))-$B$6))</f>
        <v>0</v>
      </c>
      <c r="AJ85" s="878">
        <f>0+TEXT(Recording!M132,"00\:00\.00")</f>
        <v>0</v>
      </c>
      <c r="AK85" s="879">
        <f>IF(AJ85=0,0,IF(AJ$6=0,0,IF(AJ85&lt;1,SUM((AJ85&gt;I85),(AJ85&gt;L85),(AJ85&gt;O85),(AJ85&gt;R85),(AJ85&gt;U85),(AJ85&gt;X85),(AJ85&gt;AA85),(AJ85&gt;AD85),(AJ85&gt;AG85),(AJ85&gt;BE85)))-$AM85))</f>
        <v>0</v>
      </c>
      <c r="AL85" s="989">
        <f>IF(AJ85=0,0,IF(AJ$6=0,0,IF(AK85=0,0,((11-AK85)))-$B$6))</f>
        <v>0</v>
      </c>
      <c r="AM85" s="883">
        <f>COUNTBLANK(I621:R621)</f>
        <v>4</v>
      </c>
      <c r="BL85" s="1033"/>
      <c r="BM85" s="1033"/>
      <c r="BN85" s="1033"/>
      <c r="BO85" s="1033"/>
      <c r="BP85" s="1033"/>
      <c r="BQ85" s="1033"/>
      <c r="BR85" s="1033"/>
      <c r="BS85" s="1033"/>
      <c r="BT85" s="1033"/>
      <c r="BU85" s="1033"/>
    </row>
    <row r="86" spans="2:73" ht="35.25" customHeight="1" x14ac:dyDescent="0.3">
      <c r="B86" s="1349"/>
      <c r="C86" s="1343"/>
      <c r="D86" s="1429"/>
      <c r="E86" s="1350"/>
      <c r="I86" s="1351" t="str">
        <f>PROPER('Team 1'!$I$55)</f>
        <v>Leonardo Goad</v>
      </c>
      <c r="J86" s="1351"/>
      <c r="K86" s="1351"/>
      <c r="L86" s="1351" t="str">
        <f>PROPER('Team 2'!$I$55)</f>
        <v>Kai Jun Wai Cheung</v>
      </c>
      <c r="M86" s="1351"/>
      <c r="N86" s="1351"/>
      <c r="O86" s="1351" t="str">
        <f>PROPER('Team 3'!$I$55)</f>
        <v>Harry Lythgoe</v>
      </c>
      <c r="P86" s="1351"/>
      <c r="Q86" s="1351"/>
      <c r="R86" s="1351" t="str">
        <f>PROPER('Team 4'!$I$55)</f>
        <v>James Mohammed</v>
      </c>
      <c r="S86" s="1351"/>
      <c r="T86" s="1351"/>
      <c r="U86" s="1351" t="str">
        <f>PROPER('Team 5'!$I$55)</f>
        <v>Braden Barnacle</v>
      </c>
      <c r="V86" s="1351"/>
      <c r="W86" s="1351"/>
      <c r="X86" s="1351" t="str">
        <f>PROPER('Team 6'!$I$55)</f>
        <v>Macsen Roberts</v>
      </c>
      <c r="Y86" s="1351"/>
      <c r="Z86" s="1351"/>
      <c r="AA86" s="1351" t="str">
        <f>PROPER('Team 7'!$I$55)</f>
        <v>Christopher Li Mow Ching</v>
      </c>
      <c r="AB86" s="1351"/>
      <c r="AC86" s="1351"/>
      <c r="AD86" s="1351" t="str">
        <f>PROPER('Team 8'!$I$55)</f>
        <v xml:space="preserve"> </v>
      </c>
      <c r="AE86" s="1351"/>
      <c r="AF86" s="1351"/>
      <c r="AG86" s="1351" t="str">
        <f>PROPER('Team 9'!$I$55)</f>
        <v xml:space="preserve"> </v>
      </c>
      <c r="AH86" s="1351"/>
      <c r="AI86" s="1351"/>
      <c r="AJ86" s="1351" t="str">
        <f>PROPER('Team 10'!$I$55)</f>
        <v xml:space="preserve"> </v>
      </c>
      <c r="AK86" s="1351"/>
      <c r="AL86" s="1351"/>
      <c r="AM86" s="883"/>
      <c r="BL86" s="1033"/>
      <c r="BM86" s="1033"/>
      <c r="BN86" s="1033"/>
      <c r="BO86" s="1033"/>
      <c r="BP86" s="1033"/>
      <c r="BQ86" s="1033"/>
      <c r="BR86" s="1033"/>
      <c r="BS86" s="1033"/>
      <c r="BT86" s="1033"/>
      <c r="BU86" s="1033"/>
    </row>
    <row r="87" spans="2:73" ht="35.25" customHeight="1" x14ac:dyDescent="0.3">
      <c r="B87" s="1349"/>
      <c r="C87" s="1343"/>
      <c r="D87" s="1429"/>
      <c r="E87" s="899" t="s">
        <v>5108</v>
      </c>
      <c r="I87" s="1367" t="str">
        <f>Recording!D134</f>
        <v>7.2 arms not simultaneuous</v>
      </c>
      <c r="J87" s="1367"/>
      <c r="K87" s="1367"/>
      <c r="L87" s="1367">
        <f>Recording!E134</f>
        <v>0</v>
      </c>
      <c r="M87" s="1367"/>
      <c r="N87" s="1367"/>
      <c r="O87" s="1367">
        <f>Recording!F134</f>
        <v>0</v>
      </c>
      <c r="P87" s="1367"/>
      <c r="Q87" s="1367"/>
      <c r="R87" s="1367">
        <f>Recording!G134</f>
        <v>0</v>
      </c>
      <c r="S87" s="1367"/>
      <c r="T87" s="1367"/>
      <c r="U87" s="1367">
        <f>Recording!H134</f>
        <v>0</v>
      </c>
      <c r="V87" s="1367"/>
      <c r="W87" s="1367"/>
      <c r="X87" s="1367">
        <f>Recording!I134</f>
        <v>0</v>
      </c>
      <c r="Y87" s="1367"/>
      <c r="Z87" s="1367"/>
      <c r="AA87" s="1367">
        <f>Recording!J134</f>
        <v>0</v>
      </c>
      <c r="AB87" s="1367"/>
      <c r="AC87" s="1367"/>
      <c r="AD87" s="1367">
        <f>Recording!K134</f>
        <v>0</v>
      </c>
      <c r="AE87" s="1367"/>
      <c r="AF87" s="1367"/>
      <c r="AG87" s="1367">
        <f>Recording!L134</f>
        <v>0</v>
      </c>
      <c r="AH87" s="1367"/>
      <c r="AI87" s="1367"/>
      <c r="AJ87" s="1367">
        <f>Recording!M134</f>
        <v>0</v>
      </c>
      <c r="AK87" s="1367"/>
      <c r="AL87" s="1367"/>
      <c r="AM87" s="883"/>
      <c r="BL87" s="1033"/>
      <c r="BM87" s="1033"/>
      <c r="BN87" s="1033"/>
      <c r="BO87" s="1033"/>
      <c r="BP87" s="1033"/>
      <c r="BQ87" s="1033"/>
      <c r="BR87" s="1033"/>
      <c r="BS87" s="1033"/>
      <c r="BT87" s="1033"/>
      <c r="BU87" s="1033"/>
    </row>
    <row r="88" spans="2:73" ht="35.25" customHeight="1" x14ac:dyDescent="0.3">
      <c r="B88" s="1349">
        <v>29</v>
      </c>
      <c r="C88" s="1333" t="s">
        <v>5083</v>
      </c>
      <c r="D88" s="1424" t="s">
        <v>5090</v>
      </c>
      <c r="E88" s="1350" t="s">
        <v>5100</v>
      </c>
      <c r="I88" s="1030">
        <f>0+TEXT(Recording!D136,"00\:00\.00")</f>
        <v>9.662037037037036E-4</v>
      </c>
      <c r="J88" s="879">
        <f>IF(I88=0,0,IF(I$6=0,0,IF(I88&lt;1,SUM((I88&gt;L88),(I88&gt;O88),(I88&gt;R88),(I88&gt;U88),(I88&gt;X88),(I88&gt;AA88),(I88&gt;AD88),(I88&gt;AG88),(I88&gt;AJ88),(I88&gt;BE88)))-$AM88))</f>
        <v>4</v>
      </c>
      <c r="K88" s="879">
        <f>IF(I88=0,0,IF(I$6=0,0,IF(J88=0,0,((11-J88)))-$B$6))</f>
        <v>4</v>
      </c>
      <c r="L88" s="878">
        <f>0+TEXT(Recording!E136,"00\:00\.00")</f>
        <v>1.0836805555555556E-3</v>
      </c>
      <c r="M88" s="879">
        <f>IF(L88=0,0,IF(L$6=0,0,IF(L88&lt;1,SUM((L88&gt;O88),(L88&gt;R88),(L88&gt;U88),(L88&gt;X88),(L88&gt;AA88),(L88&gt;AD88),(L88&gt;I88),(L88&gt;AG88),(L88&gt;AJ88),(L88&gt;BE88)))-$AM88))</f>
        <v>7</v>
      </c>
      <c r="N88" s="879">
        <f>IF(L88=0,0,IF(L$6=0,0,IF(M88=0,0,((11-M88)))-$B$6))</f>
        <v>1</v>
      </c>
      <c r="O88" s="878">
        <f>0+TEXT(Recording!F136,"00\:00\.00")</f>
        <v>9.8414351851851853E-4</v>
      </c>
      <c r="P88" s="879">
        <f>IF(O88=0,0,IF(O$6=0,0,IF(O88&lt;1,SUM((O88&gt;L88),(O88&gt;I88),(O88&gt;R88),(O88&gt;U88),(O88&gt;X88),(O88&gt;AA88),(O88&gt;AD88),(O88&gt;AG88),(O88&gt;AJ88),(O88&gt;BE88)))-$AM88))</f>
        <v>5</v>
      </c>
      <c r="Q88" s="879">
        <f>IF(O88=0,0,IF(O$6=0,0,IF(P88=0,0,((11-P88)))-$B$6))</f>
        <v>3</v>
      </c>
      <c r="R88" s="878">
        <f>0+TEXT(Recording!G136,"00\:00\.00")</f>
        <v>9.0659722222222216E-4</v>
      </c>
      <c r="S88" s="879">
        <f>IF(R88=0,0,IF(R$6=0,0,IF(R88&lt;1,SUM((R88&gt;L88),(R88&gt;O88),(R88&gt;I88),(R88&gt;U88),(R88&gt;X88),(R88&gt;AA88),(R88&gt;AD88),(R88&gt;AG88),(R88&gt;AJ88),(R88&gt;BE88)))-$AM88))</f>
        <v>1</v>
      </c>
      <c r="T88" s="879">
        <f>IF(R88=0,0,IF(R$6=0,0,IF(S88=0,0,((11-S88)))-$B$6))</f>
        <v>7</v>
      </c>
      <c r="U88" s="878">
        <f>0+TEXT(Recording!H136,"00\:00\.00")</f>
        <v>9.0937499999999992E-4</v>
      </c>
      <c r="V88" s="879">
        <f>IF(U88=0,0,IF(U$6=0,0,IF(U88&lt;1,SUM((U88&gt;L88),(U88&gt;O88),(U88&gt;R88),(U88&gt;I88),(U88&gt;X88),(U88&gt;AA88),(U88&gt;AD88),(U88&gt;AG88),(U88&gt;AJ88),(U88&gt;BE88)))-$AM88))</f>
        <v>2</v>
      </c>
      <c r="W88" s="879">
        <f>IF(U88=0,0,IF(U$6=0,0,IF(V88=0,0,((11-V88)))-$B$6))</f>
        <v>6</v>
      </c>
      <c r="X88" s="878">
        <f>0+TEXT(Recording!I136,"00\:00\.00")</f>
        <v>9.300925925925926E-4</v>
      </c>
      <c r="Y88" s="879">
        <f>IF(X88=0,0,IF(X$6=0,0,IF(X88&lt;1,SUM((X88&gt;L88),(X88&gt;O88),(X88&gt;R88),(X88&gt;U88),(X88&gt;I88),(X88&gt;AA88),(X88&gt;AD88),(X88&gt;AG88),(X88&gt;AJ88),(X88&gt;BE88)))-$AM88))</f>
        <v>3</v>
      </c>
      <c r="Z88" s="879">
        <f>IF(X88=0,0,IF(X$6=0,0,IF(Y88=0,0,((11-Y88)))-$B$6))</f>
        <v>5</v>
      </c>
      <c r="AA88" s="878">
        <f>0+TEXT(Recording!J136,"00\:00\.00")</f>
        <v>1.016087962962963E-3</v>
      </c>
      <c r="AB88" s="879">
        <f>IF(AA88=0,0,IF(AA$6=0,0,IF(AA88&lt;1,SUM((AA88&gt;L88),(AA88&gt;O88),(AA88&gt;R88),(AA88&gt;U88),(AA88&gt;X88),(AA88&gt;I88),(AA88&gt;AD88),(AA88&gt;AG88),(AA88&gt;AJ88),(AA88&gt;BE88))))-$AM88)</f>
        <v>6</v>
      </c>
      <c r="AC88" s="879">
        <f>IF(AA88=0,0,IF(AA$6=0,0,IF(AB88=0,0,((11-AB88)))-$B$6))</f>
        <v>2</v>
      </c>
      <c r="AD88" s="878">
        <f>0+TEXT(Recording!K136,"00\:00\.00")</f>
        <v>0</v>
      </c>
      <c r="AE88" s="879">
        <f>IF(AD88=0,0,IF(AD$6=0,0,IF(AD88&lt;1,SUM((AD88&gt;L88),(AD88&gt;O88),(AD88&gt;R88),(AD88&gt;U88),(AD88&gt;X88),(AD88&gt;AA88),(AD88&gt;AG88),(AD88&gt;AJ88),(AD88&gt;I88),(AD88&gt;BE88)))-$AM88))</f>
        <v>0</v>
      </c>
      <c r="AF88" s="879">
        <f>IF(AD88=0,0,IF(AD$6=0,0,IF(AE88=0,0,((11-AE88)))-$B$6))</f>
        <v>0</v>
      </c>
      <c r="AG88" s="878">
        <f>0+TEXT(Recording!L136,"00\:00\.00")</f>
        <v>0</v>
      </c>
      <c r="AH88" s="879">
        <f>IF(AG88=0,0,IF(AG$6=0,0,IF(AG88&lt;1,SUM((AG88&gt;I88),(AG88&gt;L88),(AG88&gt;O88),(AG88&gt;R88),(AG88&gt;U88),(AG88&gt;X88),(AG88&gt;AA88),(AG88&gt;AD88),(AG88&gt;AJ88),(AG88&gt;BE88)))-$AM88))</f>
        <v>0</v>
      </c>
      <c r="AI88" s="879">
        <f>IF(AG88=0,0,IF(AG$6=0,0,IF(AH88=0,0,((11-AH88)))-$B$6))</f>
        <v>0</v>
      </c>
      <c r="AJ88" s="878">
        <f>0+TEXT(Recording!M136,"00\:00\.00")</f>
        <v>0</v>
      </c>
      <c r="AK88" s="879">
        <f>IF(AJ88=0,0,IF(AJ$6=0,0,IF(AJ88&lt;1,SUM((AJ88&gt;I88),(AJ88&gt;L88),(AJ88&gt;O88),(AJ88&gt;R88),(AJ88&gt;U88),(AJ88&gt;X88),(AJ88&gt;AA88),(AJ88&gt;AD88),(AJ88&gt;AG88),(AJ88&gt;BE88)))-$AM88))</f>
        <v>0</v>
      </c>
      <c r="AL88" s="989">
        <f>IF(AJ88=0,0,IF(AJ$6=0,0,IF(AK88=0,0,((11-AK88)))-$B$6))</f>
        <v>0</v>
      </c>
      <c r="AM88" s="883">
        <f>COUNTBLANK(I622:R622)</f>
        <v>3</v>
      </c>
      <c r="BL88" s="1033"/>
      <c r="BM88" s="1033"/>
      <c r="BN88" s="1033"/>
      <c r="BO88" s="1033"/>
      <c r="BP88" s="1033"/>
      <c r="BQ88" s="1033"/>
      <c r="BR88" s="1033"/>
      <c r="BS88" s="1033"/>
      <c r="BT88" s="1033"/>
      <c r="BU88" s="1033"/>
    </row>
    <row r="89" spans="2:73" ht="35.25" customHeight="1" x14ac:dyDescent="0.3">
      <c r="B89" s="1349"/>
      <c r="C89" s="1333"/>
      <c r="D89" s="1424"/>
      <c r="E89" s="1350"/>
      <c r="I89" s="1351" t="str">
        <f>PROPER('Team 1'!$I$56)</f>
        <v>Edanur Yigit</v>
      </c>
      <c r="J89" s="1351"/>
      <c r="K89" s="1351"/>
      <c r="L89" s="1351" t="str">
        <f>PROPER('Team 2'!$I$56)</f>
        <v>Jasmin Hunt</v>
      </c>
      <c r="M89" s="1351"/>
      <c r="N89" s="1351"/>
      <c r="O89" s="1351" t="str">
        <f>PROPER('Team 3'!$I$56)</f>
        <v>Niamh Holland</v>
      </c>
      <c r="P89" s="1351"/>
      <c r="Q89" s="1351"/>
      <c r="R89" s="1351" t="str">
        <f>PROPER('Team 4'!$I$56)</f>
        <v>Isla Mohammed</v>
      </c>
      <c r="S89" s="1351"/>
      <c r="T89" s="1351"/>
      <c r="U89" s="1351" t="str">
        <f>PROPER('Team 5'!$I$56)</f>
        <v>Aimee Baker</v>
      </c>
      <c r="V89" s="1351"/>
      <c r="W89" s="1351"/>
      <c r="X89" s="1351" t="str">
        <f>PROPER('Team 6'!$I$56)</f>
        <v>Emma Sum</v>
      </c>
      <c r="Y89" s="1351"/>
      <c r="Z89" s="1351"/>
      <c r="AA89" s="1351" t="str">
        <f>PROPER('Team 7'!$I$56)</f>
        <v>Mia Curle</v>
      </c>
      <c r="AB89" s="1351"/>
      <c r="AC89" s="1351"/>
      <c r="AD89" s="1351" t="str">
        <f>PROPER('Team 8'!$I$56)</f>
        <v xml:space="preserve"> </v>
      </c>
      <c r="AE89" s="1351"/>
      <c r="AF89" s="1351"/>
      <c r="AG89" s="1351" t="str">
        <f>PROPER('Team 9'!$I$56)</f>
        <v xml:space="preserve"> </v>
      </c>
      <c r="AH89" s="1351"/>
      <c r="AI89" s="1351"/>
      <c r="AJ89" s="1351" t="str">
        <f>PROPER('Team 10'!$I$56)</f>
        <v xml:space="preserve"> </v>
      </c>
      <c r="AK89" s="1351"/>
      <c r="AL89" s="1351"/>
      <c r="AM89" s="883"/>
      <c r="BL89" s="1033"/>
      <c r="BM89" s="1033"/>
      <c r="BN89" s="1033"/>
      <c r="BO89" s="1033"/>
      <c r="BP89" s="1033"/>
      <c r="BQ89" s="1033"/>
      <c r="BR89" s="1033"/>
      <c r="BS89" s="1033"/>
      <c r="BT89" s="1033"/>
      <c r="BU89" s="1033"/>
    </row>
    <row r="90" spans="2:73" ht="35.25" customHeight="1" x14ac:dyDescent="0.3">
      <c r="B90" s="1349"/>
      <c r="C90" s="1333"/>
      <c r="D90" s="1424"/>
      <c r="E90" s="899" t="s">
        <v>5108</v>
      </c>
      <c r="I90" s="1367">
        <f>Recording!D138</f>
        <v>0</v>
      </c>
      <c r="J90" s="1367"/>
      <c r="K90" s="1367"/>
      <c r="L90" s="1367">
        <f>Recording!E138</f>
        <v>0</v>
      </c>
      <c r="M90" s="1367"/>
      <c r="N90" s="1367"/>
      <c r="O90" s="1367">
        <f>Recording!F138</f>
        <v>0</v>
      </c>
      <c r="P90" s="1367"/>
      <c r="Q90" s="1367"/>
      <c r="R90" s="1367">
        <f>Recording!G138</f>
        <v>0</v>
      </c>
      <c r="S90" s="1367"/>
      <c r="T90" s="1367"/>
      <c r="U90" s="1367">
        <f>Recording!H138</f>
        <v>0</v>
      </c>
      <c r="V90" s="1367"/>
      <c r="W90" s="1367"/>
      <c r="X90" s="1367">
        <f>Recording!I138</f>
        <v>0</v>
      </c>
      <c r="Y90" s="1367"/>
      <c r="Z90" s="1367"/>
      <c r="AA90" s="1367">
        <f>Recording!J138</f>
        <v>0</v>
      </c>
      <c r="AB90" s="1367"/>
      <c r="AC90" s="1367"/>
      <c r="AD90" s="1367">
        <f>Recording!K138</f>
        <v>0</v>
      </c>
      <c r="AE90" s="1367"/>
      <c r="AF90" s="1367"/>
      <c r="AG90" s="1367">
        <f>Recording!L138</f>
        <v>0</v>
      </c>
      <c r="AH90" s="1367"/>
      <c r="AI90" s="1367"/>
      <c r="AJ90" s="1367">
        <f>Recording!M138</f>
        <v>0</v>
      </c>
      <c r="AK90" s="1367"/>
      <c r="AL90" s="1367"/>
      <c r="AM90" s="883"/>
      <c r="BL90" s="1033"/>
      <c r="BM90" s="1033"/>
      <c r="BN90" s="1033"/>
      <c r="BO90" s="1033"/>
      <c r="BP90" s="1033"/>
      <c r="BQ90" s="1033"/>
      <c r="BR90" s="1033"/>
      <c r="BS90" s="1033"/>
      <c r="BT90" s="1033"/>
      <c r="BU90" s="1033"/>
    </row>
    <row r="91" spans="2:73" ht="35.25" customHeight="1" x14ac:dyDescent="0.3">
      <c r="B91" s="1349">
        <v>30</v>
      </c>
      <c r="C91" s="1343" t="s">
        <v>5087</v>
      </c>
      <c r="D91" s="1424" t="s">
        <v>5090</v>
      </c>
      <c r="E91" s="1350" t="s">
        <v>5100</v>
      </c>
      <c r="I91" s="1030">
        <f>0+TEXT(Recording!D140,"00\:00\.00")</f>
        <v>9.8692129629629629E-4</v>
      </c>
      <c r="J91" s="879">
        <f>IF(I91=0,0,IF(I$6=0,0,IF(I91&lt;1,SUM((I91&gt;L91),(I91&gt;O91),(I91&gt;R91),(I91&gt;U91),(I91&gt;X91),(I91&gt;AA91),(I91&gt;AD91),(I91&gt;AG91),(I91&gt;AJ91),(I91&gt;BE91)))-$AM91))</f>
        <v>4</v>
      </c>
      <c r="K91" s="879">
        <f>IF(I91=0,0,IF(I$6=0,0,IF(J91=0,0,((11-J91)))-$B$6))</f>
        <v>4</v>
      </c>
      <c r="L91" s="878">
        <f>0+TEXT(Recording!E140,"00\:00\.00")</f>
        <v>1.004976851851852E-3</v>
      </c>
      <c r="M91" s="879">
        <f>IF(L91=0,0,IF(L$6=0,0,IF(L91&lt;1,SUM((L91&gt;O91),(L91&gt;R91),(L91&gt;U91),(L91&gt;X91),(L91&gt;AA91),(L91&gt;AD91),(L91&gt;I91),(L91&gt;AG91),(L91&gt;AJ91),(L91&gt;BE91)))-$AM91))</f>
        <v>5</v>
      </c>
      <c r="N91" s="879">
        <f>IF(L91=0,0,IF(L$6=0,0,IF(M91=0,0,((11-M91)))-$B$6))</f>
        <v>3</v>
      </c>
      <c r="O91" s="878">
        <f>0+TEXT(Recording!F140,"00\:00\.00")</f>
        <v>9.1284722222222212E-4</v>
      </c>
      <c r="P91" s="879">
        <f>IF(O91=0,0,IF(O$6=0,0,IF(O91&lt;1,SUM((O91&gt;L91),(O91&gt;I91),(O91&gt;R91),(O91&gt;U91),(O91&gt;X91),(O91&gt;AA91),(O91&gt;AD91),(O91&gt;AG91),(O91&gt;AJ91),(O91&gt;BE91)))-$AM91))</f>
        <v>2</v>
      </c>
      <c r="Q91" s="879">
        <f>IF(O91=0,0,IF(O$6=0,0,IF(P91=0,0,((11-P91)))-$B$6))</f>
        <v>6</v>
      </c>
      <c r="R91" s="878">
        <f>0+TEXT(Recording!G140,"00\:00\.00")</f>
        <v>1.0731481481481479E-3</v>
      </c>
      <c r="S91" s="879">
        <f>IF(R91=0,0,IF(R$6=0,0,IF(R91&lt;1,SUM((R91&gt;L91),(R91&gt;O91),(R91&gt;I91),(R91&gt;U91),(R91&gt;X91),(R91&gt;AA91),(R91&gt;AD91),(R91&gt;AG91),(R91&gt;AJ91),(R91&gt;BE91)))-$AM91))</f>
        <v>6</v>
      </c>
      <c r="T91" s="879">
        <f>IF(R91=0,0,IF(R$6=0,0,IF(S91=0,0,((11-S91)))-$B$6))</f>
        <v>2</v>
      </c>
      <c r="U91" s="878">
        <f>0+TEXT(Recording!H140,"00\:00\.00")</f>
        <v>1.2238425925925926E-3</v>
      </c>
      <c r="V91" s="879">
        <f>IF(U91=0,0,IF(U$6=0,0,IF(U91&lt;1,SUM((U91&gt;L91),(U91&gt;O91),(U91&gt;R91),(U91&gt;I91),(U91&gt;X91),(U91&gt;AA91),(U91&gt;AD91),(U91&gt;AG91),(U91&gt;AJ91),(U91&gt;BE91)))-$AM91))</f>
        <v>7</v>
      </c>
      <c r="W91" s="879">
        <f>IF(U91=0,0,IF(U$6=0,0,IF(V91=0,0,((11-V91)))-$B$6))</f>
        <v>1</v>
      </c>
      <c r="X91" s="878">
        <f>0+TEXT(Recording!I140,"00\:00\.00")</f>
        <v>9.4016203703703699E-4</v>
      </c>
      <c r="Y91" s="879">
        <f>IF(X91=0,0,IF(X$6=0,0,IF(X91&lt;1,SUM((X91&gt;L91),(X91&gt;O91),(X91&gt;R91),(X91&gt;U91),(X91&gt;I91),(X91&gt;AA91),(X91&gt;AD91),(X91&gt;AG91),(X91&gt;AJ91),(X91&gt;BE91)))-$AM91))</f>
        <v>3</v>
      </c>
      <c r="Z91" s="879">
        <f>IF(X91=0,0,IF(X$6=0,0,IF(Y91=0,0,((11-Y91)))-$B$6))</f>
        <v>5</v>
      </c>
      <c r="AA91" s="878">
        <f>0+TEXT(Recording!J140,"00\:00\.00")</f>
        <v>8.3668981481481474E-4</v>
      </c>
      <c r="AB91" s="879">
        <f>IF(AA91=0,0,IF(AA$6=0,0,IF(AA91&lt;1,SUM((AA91&gt;L91),(AA91&gt;O91),(AA91&gt;R91),(AA91&gt;U91),(AA91&gt;X91),(AA91&gt;I91),(AA91&gt;AD91),(AA91&gt;AG91),(AA91&gt;AJ91),(AA91&gt;BE91))))-$AM91)</f>
        <v>1</v>
      </c>
      <c r="AC91" s="879">
        <f>IF(AA91=0,0,IF(AA$6=0,0,IF(AB91=0,0,((11-AB91)))-$B$6))</f>
        <v>7</v>
      </c>
      <c r="AD91" s="878">
        <f>0+TEXT(Recording!K140,"00\:00\.00")</f>
        <v>0</v>
      </c>
      <c r="AE91" s="879">
        <f>IF(AD91=0,0,IF(AD$6=0,0,IF(AD91&lt;1,SUM((AD91&gt;L91),(AD91&gt;O91),(AD91&gt;R91),(AD91&gt;U91),(AD91&gt;X91),(AD91&gt;AA91),(AD91&gt;AG91),(AD91&gt;AJ91),(AD91&gt;I91),(AD91&gt;BE91)))-$AM91))</f>
        <v>0</v>
      </c>
      <c r="AF91" s="879">
        <f>IF(AD91=0,0,IF(AD$6=0,0,IF(AE91=0,0,((11-AE91)))-$B$6))</f>
        <v>0</v>
      </c>
      <c r="AG91" s="878">
        <f>0+TEXT(Recording!L140,"00\:00\.00")</f>
        <v>0</v>
      </c>
      <c r="AH91" s="879">
        <f>IF(AG91=0,0,IF(AG$6=0,0,IF(AG91&lt;1,SUM((AG91&gt;I91),(AG91&gt;L91),(AG91&gt;O91),(AG91&gt;R91),(AG91&gt;U91),(AG91&gt;X91),(AG91&gt;AA91),(AG91&gt;AD91),(AG91&gt;AJ91),(AG91&gt;BE91)))-$AM91))</f>
        <v>0</v>
      </c>
      <c r="AI91" s="879">
        <f>IF(AG91=0,0,IF(AG$6=0,0,IF(AH91=0,0,((11-AH91)))-$B$6))</f>
        <v>0</v>
      </c>
      <c r="AJ91" s="878">
        <f>0+TEXT(Recording!M140,"00\:00\.00")</f>
        <v>0</v>
      </c>
      <c r="AK91" s="879">
        <f>IF(AJ91=0,0,IF(AJ$6=0,0,IF(AJ91&lt;1,SUM((AJ91&gt;I91),(AJ91&gt;L91),(AJ91&gt;O91),(AJ91&gt;R91),(AJ91&gt;U91),(AJ91&gt;X91),(AJ91&gt;AA91),(AJ91&gt;AD91),(AJ91&gt;AG91),(AJ91&gt;BE91)))-$AM91))</f>
        <v>0</v>
      </c>
      <c r="AL91" s="989">
        <f>IF(AJ91=0,0,IF(AJ$6=0,0,IF(AK91=0,0,((11-AK91)))-$B$6))</f>
        <v>0</v>
      </c>
      <c r="AM91" s="883">
        <f>COUNTBLANK(I623:R623)</f>
        <v>3</v>
      </c>
      <c r="BL91" s="1033"/>
      <c r="BM91" s="1033"/>
      <c r="BN91" s="1033"/>
      <c r="BO91" s="1033"/>
      <c r="BP91" s="1033"/>
      <c r="BQ91" s="1033"/>
      <c r="BR91" s="1033"/>
      <c r="BS91" s="1033"/>
      <c r="BT91" s="1033"/>
      <c r="BU91" s="1033"/>
    </row>
    <row r="92" spans="2:73" ht="35.25" customHeight="1" x14ac:dyDescent="0.3">
      <c r="B92" s="1349"/>
      <c r="C92" s="1343"/>
      <c r="D92" s="1424"/>
      <c r="E92" s="1350"/>
      <c r="I92" s="1351" t="str">
        <f>PROPER('Team 1'!$I$57)</f>
        <v>Ned Peter Andrews</v>
      </c>
      <c r="J92" s="1351"/>
      <c r="K92" s="1351"/>
      <c r="L92" s="1351" t="str">
        <f>PROPER('Team 2'!$I$57)</f>
        <v>Oliver Tubridy</v>
      </c>
      <c r="M92" s="1351"/>
      <c r="N92" s="1351"/>
      <c r="O92" s="1351" t="str">
        <f>PROPER('Team 3'!$I$57)</f>
        <v>Mikhail Zharinov</v>
      </c>
      <c r="P92" s="1351"/>
      <c r="Q92" s="1351"/>
      <c r="R92" s="1351" t="str">
        <f>PROPER('Team 4'!$I$57)</f>
        <v>Riley Bunce</v>
      </c>
      <c r="S92" s="1351"/>
      <c r="T92" s="1351"/>
      <c r="U92" s="1351" t="str">
        <f>PROPER('Team 5'!$I$57)</f>
        <v>Poyraz Akbiyik</v>
      </c>
      <c r="V92" s="1351"/>
      <c r="W92" s="1351"/>
      <c r="X92" s="1351" t="str">
        <f>PROPER('Team 6'!$I$57)</f>
        <v>Cosmin Ioan  Iojan</v>
      </c>
      <c r="Y92" s="1351"/>
      <c r="Z92" s="1351"/>
      <c r="AA92" s="1351" t="str">
        <f>PROPER('Team 7'!$I$57)</f>
        <v>Daniel Celi</v>
      </c>
      <c r="AB92" s="1351"/>
      <c r="AC92" s="1351"/>
      <c r="AD92" s="1351" t="str">
        <f>PROPER('Team 8'!$I$57)</f>
        <v xml:space="preserve"> </v>
      </c>
      <c r="AE92" s="1351"/>
      <c r="AF92" s="1351"/>
      <c r="AG92" s="1351" t="str">
        <f>PROPER('Team 9'!$I$57)</f>
        <v xml:space="preserve"> </v>
      </c>
      <c r="AH92" s="1351"/>
      <c r="AI92" s="1351"/>
      <c r="AJ92" s="1351" t="str">
        <f>PROPER('Team 10'!$I$57)</f>
        <v xml:space="preserve"> </v>
      </c>
      <c r="AK92" s="1351"/>
      <c r="AL92" s="1351"/>
      <c r="AM92" s="883"/>
      <c r="BL92" s="1033"/>
      <c r="BM92" s="1033"/>
      <c r="BN92" s="1033"/>
      <c r="BO92" s="1033"/>
      <c r="BP92" s="1033"/>
      <c r="BQ92" s="1033"/>
      <c r="BR92" s="1033"/>
      <c r="BS92" s="1033"/>
      <c r="BT92" s="1033"/>
      <c r="BU92" s="1033"/>
    </row>
    <row r="93" spans="2:73" ht="35.25" customHeight="1" x14ac:dyDescent="0.3">
      <c r="B93" s="1349"/>
      <c r="C93" s="1343"/>
      <c r="D93" s="1424"/>
      <c r="E93" s="899" t="s">
        <v>5108</v>
      </c>
      <c r="I93" s="1367">
        <f>Recording!D142</f>
        <v>0</v>
      </c>
      <c r="J93" s="1367"/>
      <c r="K93" s="1367"/>
      <c r="L93" s="1367">
        <f>Recording!E142</f>
        <v>0</v>
      </c>
      <c r="M93" s="1367"/>
      <c r="N93" s="1367"/>
      <c r="O93" s="1367">
        <f>Recording!F142</f>
        <v>0</v>
      </c>
      <c r="P93" s="1367"/>
      <c r="Q93" s="1367"/>
      <c r="R93" s="1367">
        <f>Recording!G142</f>
        <v>0</v>
      </c>
      <c r="S93" s="1367"/>
      <c r="T93" s="1367"/>
      <c r="U93" s="1367">
        <f>Recording!H142</f>
        <v>0</v>
      </c>
      <c r="V93" s="1367"/>
      <c r="W93" s="1367"/>
      <c r="X93" s="1367">
        <f>Recording!I142</f>
        <v>0</v>
      </c>
      <c r="Y93" s="1367"/>
      <c r="Z93" s="1367"/>
      <c r="AA93" s="1367">
        <f>Recording!J142</f>
        <v>0</v>
      </c>
      <c r="AB93" s="1367"/>
      <c r="AC93" s="1367"/>
      <c r="AD93" s="1367">
        <f>Recording!K142</f>
        <v>0</v>
      </c>
      <c r="AE93" s="1367"/>
      <c r="AF93" s="1367"/>
      <c r="AG93" s="1367">
        <f>Recording!L142</f>
        <v>0</v>
      </c>
      <c r="AH93" s="1367"/>
      <c r="AI93" s="1367"/>
      <c r="AJ93" s="1367">
        <f>Recording!M142</f>
        <v>0</v>
      </c>
      <c r="AK93" s="1367"/>
      <c r="AL93" s="1367"/>
      <c r="AM93" s="883"/>
      <c r="BL93" s="1033"/>
      <c r="BM93" s="1033"/>
      <c r="BN93" s="1033"/>
      <c r="BO93" s="1033"/>
      <c r="BP93" s="1033"/>
      <c r="BQ93" s="1033"/>
      <c r="BR93" s="1033"/>
      <c r="BS93" s="1033"/>
      <c r="BT93" s="1033"/>
      <c r="BU93" s="1033"/>
    </row>
    <row r="94" spans="2:73" ht="35.25" customHeight="1" x14ac:dyDescent="0.3">
      <c r="B94" s="1349">
        <v>31</v>
      </c>
      <c r="C94" s="1333" t="s">
        <v>5083</v>
      </c>
      <c r="D94" s="1424" t="s">
        <v>5092</v>
      </c>
      <c r="E94" s="1350" t="s">
        <v>5103</v>
      </c>
      <c r="I94" s="1030">
        <f>0+TEXT(Recording!D144,"00\:00\.00")</f>
        <v>8.273148148148149E-4</v>
      </c>
      <c r="J94" s="879">
        <f>IF(I94=0,0,IF(I$6=0,0,IF(I94&lt;1,SUM((I94&gt;L94),(I94&gt;O94),(I94&gt;R94),(I94&gt;U94),(I94&gt;X94),(I94&gt;AA94),(I94&gt;AD94),(I94&gt;AG94),(I94&gt;AJ94),(I94&gt;BE94)))-$AM94))</f>
        <v>7</v>
      </c>
      <c r="K94" s="879">
        <f>IF(I94=0,0,IF(I$6=0,0,IF(J94=0,0,((11-J94)))-$B$6))</f>
        <v>1</v>
      </c>
      <c r="L94" s="878">
        <f>0+TEXT(Recording!E144,"00\:00\.00")</f>
        <v>7.3935185185185182E-4</v>
      </c>
      <c r="M94" s="879">
        <f>IF(L94=0,0,IF(L$6=0,0,IF(L94&lt;1,SUM((L94&gt;O94),(L94&gt;R94),(L94&gt;U94),(L94&gt;X94),(L94&gt;AA94),(L94&gt;AD94),(L94&gt;I94),(L94&gt;AG94),(L94&gt;AJ94),(L94&gt;BE94)))-$AM94))</f>
        <v>2</v>
      </c>
      <c r="N94" s="879">
        <f>IF(L94=0,0,IF(L$6=0,0,IF(M94=0,0,((11-M94)))-$B$6))</f>
        <v>6</v>
      </c>
      <c r="O94" s="878">
        <f>0+TEXT(Recording!F144,"00\:00\.00")</f>
        <v>7.7731481481481477E-4</v>
      </c>
      <c r="P94" s="879">
        <f>IF(O94=0,0,IF(O$6=0,0,IF(O94&lt;1,SUM((O94&gt;L94),(O94&gt;I94),(O94&gt;R94),(O94&gt;U94),(O94&gt;X94),(O94&gt;AA94),(O94&gt;AD94),(O94&gt;AG94),(O94&gt;AJ94),(O94&gt;BE94)))-$AM94))</f>
        <v>5</v>
      </c>
      <c r="Q94" s="879">
        <f>IF(O94=0,0,IF(O$6=0,0,IF(P94=0,0,((11-P94)))-$B$6))</f>
        <v>3</v>
      </c>
      <c r="R94" s="878">
        <f>0+TEXT(Recording!G144,"00\:00\.00")</f>
        <v>7.6041666666666662E-4</v>
      </c>
      <c r="S94" s="879">
        <f>IF(R94=0,0,IF(R$6=0,0,IF(R94&lt;1,SUM((R94&gt;L94),(R94&gt;O94),(R94&gt;I94),(R94&gt;U94),(R94&gt;X94),(R94&gt;AA94),(R94&gt;AD94),(R94&gt;AG94),(R94&gt;AJ94),(R94&gt;BE94)))-$AM94))</f>
        <v>4</v>
      </c>
      <c r="T94" s="879">
        <f>IF(R94=0,0,IF(R$6=0,0,IF(S94=0,0,((11-S94)))-$B$6))</f>
        <v>4</v>
      </c>
      <c r="U94" s="878">
        <f>0+TEXT(Recording!H144,"00\:00\.00")</f>
        <v>7.3888888888888886E-4</v>
      </c>
      <c r="V94" s="879">
        <f>IF(U94=0,0,IF(U$6=0,0,IF(U94&lt;1,SUM((U94&gt;L94),(U94&gt;O94),(U94&gt;R94),(U94&gt;I94),(U94&gt;X94),(U94&gt;AA94),(U94&gt;AD94),(U94&gt;AG94),(U94&gt;AJ94),(U94&gt;BE94)))-$AM94))</f>
        <v>1</v>
      </c>
      <c r="W94" s="879">
        <f>IF(U94=0,0,IF(U$6=0,0,IF(V94=0,0,((11-V94)))-$B$6))</f>
        <v>7</v>
      </c>
      <c r="X94" s="878">
        <f>0+TEXT(Recording!I144,"00\:00\.00")</f>
        <v>7.5868055555555552E-4</v>
      </c>
      <c r="Y94" s="879">
        <f>IF(X94=0,0,IF(X$6=0,0,IF(X94&lt;1,SUM((X94&gt;L94),(X94&gt;O94),(X94&gt;R94),(X94&gt;U94),(X94&gt;I94),(X94&gt;AA94),(X94&gt;AD94),(X94&gt;AG94),(X94&gt;AJ94),(X94&gt;BE94)))-$AM94))</f>
        <v>3</v>
      </c>
      <c r="Z94" s="879">
        <f>IF(X94=0,0,IF(X$6=0,0,IF(Y94=0,0,((11-Y94)))-$B$6))</f>
        <v>5</v>
      </c>
      <c r="AA94" s="878">
        <f>0+TEXT(Recording!J144,"00\:00\.00")</f>
        <v>8.0636574074074074E-4</v>
      </c>
      <c r="AB94" s="879">
        <f>IF(AA94=0,0,IF(AA$6=0,0,IF(AA94&lt;1,SUM((AA94&gt;L94),(AA94&gt;O94),(AA94&gt;R94),(AA94&gt;U94),(AA94&gt;X94),(AA94&gt;I94),(AA94&gt;AD94),(AA94&gt;AG94),(AA94&gt;AJ94),(AA94&gt;BE94))))-$AM94)</f>
        <v>6</v>
      </c>
      <c r="AC94" s="879">
        <f>IF(AA94=0,0,IF(AA$6=0,0,IF(AB94=0,0,((11-AB94)))-$B$6))</f>
        <v>2</v>
      </c>
      <c r="AD94" s="878">
        <f>0+TEXT(Recording!K144,"00\:00\.00")</f>
        <v>0</v>
      </c>
      <c r="AE94" s="879">
        <f>IF(AD94=0,0,IF(AD$6=0,0,IF(AD94&lt;1,SUM((AD94&gt;L94),(AD94&gt;O94),(AD94&gt;R94),(AD94&gt;U94),(AD94&gt;X94),(AD94&gt;AA94),(AD94&gt;AG94),(AD94&gt;AJ94),(AD94&gt;I94),(AD94&gt;BE94)))-$AM94))</f>
        <v>0</v>
      </c>
      <c r="AF94" s="879">
        <f>IF(AD94=0,0,IF(AD$6=0,0,IF(AE94=0,0,((11-AE94)))-$B$6))</f>
        <v>0</v>
      </c>
      <c r="AG94" s="878">
        <f>0+TEXT(Recording!L144,"00\:00\.00")</f>
        <v>0</v>
      </c>
      <c r="AH94" s="879">
        <f>IF(AG94=0,0,IF(AG$6=0,0,IF(AG94&lt;1,SUM((AG94&gt;I94),(AG94&gt;L94),(AG94&gt;O94),(AG94&gt;R94),(AG94&gt;U94),(AG94&gt;X94),(AG94&gt;AA94),(AG94&gt;AD94),(AG94&gt;AJ94),(AG94&gt;BE94)))-$AM94))</f>
        <v>0</v>
      </c>
      <c r="AI94" s="879">
        <f>IF(AG94=0,0,IF(AG$6=0,0,IF(AH94=0,0,((11-AH94)))-$B$6))</f>
        <v>0</v>
      </c>
      <c r="AJ94" s="878">
        <f>0+TEXT(Recording!M144,"00\:00\.00")</f>
        <v>0</v>
      </c>
      <c r="AK94" s="879">
        <f>IF(AJ94=0,0,IF(AJ$6=0,0,IF(AJ94&lt;1,SUM((AJ94&gt;I94),(AJ94&gt;L94),(AJ94&gt;O94),(AJ94&gt;R94),(AJ94&gt;U94),(AJ94&gt;X94),(AJ94&gt;AA94),(AJ94&gt;AD94),(AJ94&gt;AG94),(AJ94&gt;BE94)))-$AM94))</f>
        <v>0</v>
      </c>
      <c r="AL94" s="989">
        <f>IF(AJ94=0,0,IF(AJ$6=0,0,IF(AK94=0,0,((11-AK94)))-$B$6))</f>
        <v>0</v>
      </c>
      <c r="AM94" s="883">
        <f>COUNTBLANK(I624:R624)</f>
        <v>3</v>
      </c>
      <c r="BL94" s="1033"/>
      <c r="BM94" s="1033"/>
      <c r="BN94" s="1033"/>
      <c r="BO94" s="1033"/>
      <c r="BP94" s="1033"/>
      <c r="BQ94" s="1033"/>
      <c r="BR94" s="1033"/>
      <c r="BS94" s="1033"/>
      <c r="BT94" s="1033"/>
      <c r="BU94" s="1033"/>
    </row>
    <row r="95" spans="2:73" ht="35.25" customHeight="1" x14ac:dyDescent="0.3">
      <c r="B95" s="1349"/>
      <c r="C95" s="1333"/>
      <c r="D95" s="1424"/>
      <c r="E95" s="1350"/>
      <c r="I95" s="1351" t="str">
        <f>PROPER('Team 1'!$I$58)</f>
        <v>Emily Hudszky</v>
      </c>
      <c r="J95" s="1351"/>
      <c r="K95" s="1351"/>
      <c r="L95" s="1351" t="str">
        <f>PROPER('Team 2'!$I$58)</f>
        <v>Sophie Stelmach</v>
      </c>
      <c r="M95" s="1351"/>
      <c r="N95" s="1351"/>
      <c r="O95" s="1351" t="str">
        <f>PROPER('Team 3'!$I$58)</f>
        <v>Isabel Mullings</v>
      </c>
      <c r="P95" s="1351"/>
      <c r="Q95" s="1351"/>
      <c r="R95" s="1351" t="str">
        <f>PROPER('Team 4'!$I$58)</f>
        <v>Abigail Johnson</v>
      </c>
      <c r="S95" s="1351"/>
      <c r="T95" s="1351"/>
      <c r="U95" s="1351" t="str">
        <f>PROPER('Team 5'!$I$58)</f>
        <v>Mia Macklin</v>
      </c>
      <c r="V95" s="1351"/>
      <c r="W95" s="1351"/>
      <c r="X95" s="1351" t="str">
        <f>PROPER('Team 6'!$I$58)</f>
        <v>Alice  Sharrock</v>
      </c>
      <c r="Y95" s="1351"/>
      <c r="Z95" s="1351"/>
      <c r="AA95" s="1351" t="str">
        <f>PROPER('Team 7'!$I$58)</f>
        <v>Jessica Sharp</v>
      </c>
      <c r="AB95" s="1351"/>
      <c r="AC95" s="1351"/>
      <c r="AD95" s="1351" t="str">
        <f>PROPER('Team 8'!$I$58)</f>
        <v xml:space="preserve"> </v>
      </c>
      <c r="AE95" s="1351"/>
      <c r="AF95" s="1351"/>
      <c r="AG95" s="1351" t="str">
        <f>PROPER('Team 9'!$I$58)</f>
        <v xml:space="preserve"> </v>
      </c>
      <c r="AH95" s="1351"/>
      <c r="AI95" s="1351"/>
      <c r="AJ95" s="1351" t="str">
        <f>PROPER('Team 10'!$I$58)</f>
        <v xml:space="preserve"> </v>
      </c>
      <c r="AK95" s="1351"/>
      <c r="AL95" s="1351"/>
      <c r="AM95" s="883"/>
      <c r="BL95" s="1033"/>
      <c r="BM95" s="1033"/>
      <c r="BN95" s="1033"/>
      <c r="BO95" s="1033"/>
      <c r="BP95" s="1033"/>
      <c r="BQ95" s="1033"/>
      <c r="BR95" s="1033"/>
      <c r="BS95" s="1033"/>
      <c r="BT95" s="1033"/>
      <c r="BU95" s="1033"/>
    </row>
    <row r="96" spans="2:73" ht="35.25" customHeight="1" x14ac:dyDescent="0.3">
      <c r="B96" s="1349"/>
      <c r="C96" s="1333"/>
      <c r="D96" s="1424"/>
      <c r="E96" s="899" t="s">
        <v>5108</v>
      </c>
      <c r="I96" s="1367">
        <f>Recording!D146</f>
        <v>0</v>
      </c>
      <c r="J96" s="1367"/>
      <c r="K96" s="1367"/>
      <c r="L96" s="1367">
        <f>Recording!E146</f>
        <v>0</v>
      </c>
      <c r="M96" s="1367"/>
      <c r="N96" s="1367"/>
      <c r="O96" s="1367">
        <f>Recording!F146</f>
        <v>0</v>
      </c>
      <c r="P96" s="1367"/>
      <c r="Q96" s="1367"/>
      <c r="R96" s="1367">
        <f>Recording!G146</f>
        <v>0</v>
      </c>
      <c r="S96" s="1367"/>
      <c r="T96" s="1367"/>
      <c r="U96" s="1367">
        <f>Recording!H146</f>
        <v>0</v>
      </c>
      <c r="V96" s="1367"/>
      <c r="W96" s="1367"/>
      <c r="X96" s="1367">
        <f>Recording!I146</f>
        <v>0</v>
      </c>
      <c r="Y96" s="1367"/>
      <c r="Z96" s="1367"/>
      <c r="AA96" s="1367">
        <f>Recording!J146</f>
        <v>0</v>
      </c>
      <c r="AB96" s="1367"/>
      <c r="AC96" s="1367"/>
      <c r="AD96" s="1367">
        <f>Recording!K146</f>
        <v>0</v>
      </c>
      <c r="AE96" s="1367"/>
      <c r="AF96" s="1367"/>
      <c r="AG96" s="1367">
        <f>Recording!L146</f>
        <v>0</v>
      </c>
      <c r="AH96" s="1367"/>
      <c r="AI96" s="1367"/>
      <c r="AJ96" s="1367">
        <f>Recording!M146</f>
        <v>0</v>
      </c>
      <c r="AK96" s="1367"/>
      <c r="AL96" s="1367"/>
      <c r="AM96" s="883"/>
      <c r="BL96" s="1033"/>
      <c r="BM96" s="1033"/>
      <c r="BN96" s="1033"/>
      <c r="BO96" s="1033"/>
      <c r="BP96" s="1033"/>
      <c r="BQ96" s="1033"/>
      <c r="BR96" s="1033"/>
      <c r="BS96" s="1033"/>
      <c r="BT96" s="1033"/>
      <c r="BU96" s="1033"/>
    </row>
    <row r="97" spans="2:80" ht="35.25" customHeight="1" x14ac:dyDescent="0.3">
      <c r="B97" s="1349">
        <v>32</v>
      </c>
      <c r="C97" s="1343" t="s">
        <v>5087</v>
      </c>
      <c r="D97" s="1424" t="s">
        <v>5092</v>
      </c>
      <c r="E97" s="1350" t="s">
        <v>5103</v>
      </c>
      <c r="I97" s="1030">
        <f>0+TEXT(Recording!D148,"00\:00\.00")</f>
        <v>7.817129629629629E-4</v>
      </c>
      <c r="J97" s="879">
        <f>IF(I97=0,0,IF(I$6=0,0,IF(I97&lt;1,SUM((I97&gt;L97),(I97&gt;O97),(I97&gt;R97),(I97&gt;U97),(I97&gt;X97),(I97&gt;AA97),(I97&gt;AD97),(I97&gt;AG97),(I97&gt;AJ97),(I97&gt;BE97)))-$AM97))</f>
        <v>6</v>
      </c>
      <c r="K97" s="879">
        <f>IF(I97=0,0,IF(I$6=0,0,IF(J97=0,0,((11-J97)))-$B$6))</f>
        <v>2</v>
      </c>
      <c r="L97" s="878">
        <f>0+TEXT(Recording!E148,"00\:00\.00")</f>
        <v>7.4780092592592595E-4</v>
      </c>
      <c r="M97" s="879">
        <f>IF(L97=0,0,IF(L$6=0,0,IF(L97&lt;1,SUM((L97&gt;O97),(L97&gt;R97),(L97&gt;U97),(L97&gt;X97),(L97&gt;AA97),(L97&gt;AD97),(L97&gt;I97),(L97&gt;AG97),(L97&gt;AJ97),(L97&gt;BE97)))-$AM97))</f>
        <v>4</v>
      </c>
      <c r="N97" s="879">
        <f>IF(L97=0,0,IF(L$6=0,0,IF(M97=0,0,((11-M97)))-$B$6))</f>
        <v>4</v>
      </c>
      <c r="O97" s="878">
        <f>0+TEXT(Recording!F148,"00\:00\.00")</f>
        <v>7.6770833333333335E-4</v>
      </c>
      <c r="P97" s="879">
        <f>IF(O97=0,0,IF(O$6=0,0,IF(O97&lt;1,SUM((O97&gt;L97),(O97&gt;I97),(O97&gt;R97),(O97&gt;U97),(O97&gt;X97),(O97&gt;AA97),(O97&gt;AD97),(O97&gt;AG97),(O97&gt;AJ97),(O97&gt;BE97)))-$AM97))</f>
        <v>5</v>
      </c>
      <c r="Q97" s="879">
        <f>IF(O97=0,0,IF(O$6=0,0,IF(P97=0,0,((11-P97)))-$B$6))</f>
        <v>3</v>
      </c>
      <c r="R97" s="878">
        <f>0+TEXT(Recording!G148,"00\:00\.00")</f>
        <v>6.8576388888888897E-4</v>
      </c>
      <c r="S97" s="879">
        <f>IF(R97=0,0,IF(R$6=0,0,IF(R97&lt;1,SUM((R97&gt;L97),(R97&gt;O97),(R97&gt;I97),(R97&gt;U97),(R97&gt;X97),(R97&gt;AA97),(R97&gt;AD97),(R97&gt;AG97),(R97&gt;AJ97),(R97&gt;BE97)))-$AM97))</f>
        <v>2</v>
      </c>
      <c r="T97" s="879">
        <f>IF(R97=0,0,IF(R$6=0,0,IF(S97=0,0,((11-S97)))-$B$6))</f>
        <v>6</v>
      </c>
      <c r="U97" s="878">
        <f>0+TEXT(Recording!H148,"00\:00\.00")</f>
        <v>6.3321759259259266E-4</v>
      </c>
      <c r="V97" s="879">
        <f>IF(U97=0,0,IF(U$6=0,0,IF(U97&lt;1,SUM((U97&gt;L97),(U97&gt;O97),(U97&gt;R97),(U97&gt;I97),(U97&gt;X97),(U97&gt;AA97),(U97&gt;AD97),(U97&gt;AG97),(U97&gt;AJ97),(U97&gt;BE97)))-$AM97))</f>
        <v>1</v>
      </c>
      <c r="W97" s="879">
        <f>IF(U97=0,0,IF(U$6=0,0,IF(V97=0,0,((11-V97)))-$B$6))</f>
        <v>7</v>
      </c>
      <c r="X97" s="878">
        <f>0+TEXT(Recording!I148,"00\:00\.00")</f>
        <v>0</v>
      </c>
      <c r="Y97" s="879">
        <f>IF(X97=0,0,IF(X$6=0,0,IF(X97&lt;1,SUM((X97&gt;L97),(X97&gt;O97),(X97&gt;R97),(X97&gt;U97),(X97&gt;I97),(X97&gt;AA97),(X97&gt;AD97),(X97&gt;AG97),(X97&gt;AJ97),(X97&gt;BE97)))-$AM97))</f>
        <v>0</v>
      </c>
      <c r="Z97" s="879">
        <f>IF(X97=0,0,IF(X$6=0,0,IF(Y97=0,0,((11-Y97)))-$B$6))</f>
        <v>0</v>
      </c>
      <c r="AA97" s="878">
        <f>0+TEXT(Recording!J148,"00\:00\.00")</f>
        <v>7.2546296296296291E-4</v>
      </c>
      <c r="AB97" s="879">
        <f>IF(AA97=0,0,IF(AA$6=0,0,IF(AA97&lt;1,SUM((AA97&gt;L97),(AA97&gt;O97),(AA97&gt;R97),(AA97&gt;U97),(AA97&gt;X97),(AA97&gt;I97),(AA97&gt;AD97),(AA97&gt;AG97),(AA97&gt;AJ97),(AA97&gt;BE97))))-$AM97)</f>
        <v>3</v>
      </c>
      <c r="AC97" s="879">
        <f>IF(AA97=0,0,IF(AA$6=0,0,IF(AB97=0,0,((11-AB97)))-$B$6))</f>
        <v>5</v>
      </c>
      <c r="AD97" s="878">
        <f>0+TEXT(Recording!K148,"00\:00\.00")</f>
        <v>0</v>
      </c>
      <c r="AE97" s="879">
        <f>IF(AD97=0,0,IF(AD$6=0,0,IF(AD97&lt;1,SUM((AD97&gt;L97),(AD97&gt;O97),(AD97&gt;R97),(AD97&gt;U97),(AD97&gt;X97),(AD97&gt;AA97),(AD97&gt;AG97),(AD97&gt;AJ97),(AD97&gt;I97),(AD97&gt;BE97)))-$AM97))</f>
        <v>0</v>
      </c>
      <c r="AF97" s="879">
        <f>IF(AD97=0,0,IF(AD$6=0,0,IF(AE97=0,0,((11-AE97)))-$B$6))</f>
        <v>0</v>
      </c>
      <c r="AG97" s="878">
        <f>0+TEXT(Recording!L148,"00\:00\.00")</f>
        <v>0</v>
      </c>
      <c r="AH97" s="879">
        <f>IF(AG97=0,0,IF(AG$6=0,0,IF(AG97&lt;1,SUM((AG97&gt;I97),(AG97&gt;L97),(AG97&gt;O97),(AG97&gt;R97),(AG97&gt;U97),(AG97&gt;X97),(AG97&gt;AA97),(AG97&gt;AD97),(AG97&gt;AJ97),(AG97&gt;BE97)))-$AM97))</f>
        <v>0</v>
      </c>
      <c r="AI97" s="879">
        <f>IF(AG97=0,0,IF(AG$6=0,0,IF(AH97=0,0,((11-AH97)))-$B$6))</f>
        <v>0</v>
      </c>
      <c r="AJ97" s="878">
        <f>0+TEXT(Recording!M148,"00\:00\.00")</f>
        <v>0</v>
      </c>
      <c r="AK97" s="879">
        <f>IF(AJ97=0,0,IF(AJ$6=0,0,IF(AJ97&lt;1,SUM((AJ97&gt;I97),(AJ97&gt;L97),(AJ97&gt;O97),(AJ97&gt;R97),(AJ97&gt;U97),(AJ97&gt;X97),(AJ97&gt;AA97),(AJ97&gt;AD97),(AJ97&gt;AG97),(AJ97&gt;BE97)))-$AM97))</f>
        <v>0</v>
      </c>
      <c r="AL97" s="989">
        <f>IF(AJ97=0,0,IF(AJ$6=0,0,IF(AK97=0,0,((11-AK97)))-$B$6))</f>
        <v>0</v>
      </c>
      <c r="AM97" s="883">
        <f>COUNTBLANK(I625:R625)</f>
        <v>4</v>
      </c>
      <c r="BL97" s="1033"/>
      <c r="BM97" s="1033"/>
      <c r="BN97" s="1033"/>
      <c r="BO97" s="1033"/>
      <c r="BP97" s="1033"/>
      <c r="BQ97" s="1033"/>
      <c r="BR97" s="1033"/>
      <c r="BS97" s="1033"/>
      <c r="BT97" s="1033"/>
      <c r="BU97" s="1033"/>
    </row>
    <row r="98" spans="2:80" ht="35.25" customHeight="1" x14ac:dyDescent="0.3">
      <c r="B98" s="1349"/>
      <c r="C98" s="1343"/>
      <c r="D98" s="1424"/>
      <c r="E98" s="1350"/>
      <c r="I98" s="1351" t="str">
        <f>PROPER('Team 1'!$I$59)</f>
        <v>Zalan Tornay</v>
      </c>
      <c r="J98" s="1351"/>
      <c r="K98" s="1351"/>
      <c r="L98" s="1351" t="str">
        <f>PROPER('Team 2'!$I$59)</f>
        <v>Daniel Humphreys</v>
      </c>
      <c r="M98" s="1351"/>
      <c r="N98" s="1351"/>
      <c r="O98" s="1351" t="str">
        <f>PROPER('Team 3'!$I$59)</f>
        <v>Ewan Thompson</v>
      </c>
      <c r="P98" s="1351"/>
      <c r="Q98" s="1351"/>
      <c r="R98" s="1351" t="str">
        <f>PROPER('Team 4'!$I$59)</f>
        <v>Charles Raines</v>
      </c>
      <c r="S98" s="1351"/>
      <c r="T98" s="1351"/>
      <c r="U98" s="1351" t="str">
        <f>PROPER('Team 5'!$I$59)</f>
        <v>Joshua Parker</v>
      </c>
      <c r="V98" s="1351"/>
      <c r="W98" s="1351"/>
      <c r="X98" s="1351" t="str">
        <f>PROPER('Team 6'!$I$59)</f>
        <v xml:space="preserve"> </v>
      </c>
      <c r="Y98" s="1351"/>
      <c r="Z98" s="1351"/>
      <c r="AA98" s="1351" t="str">
        <f>PROPER('Team 7'!$I$59)</f>
        <v>Aaran Parmar</v>
      </c>
      <c r="AB98" s="1351"/>
      <c r="AC98" s="1351"/>
      <c r="AD98" s="1351" t="str">
        <f>PROPER('Team 8'!$I$59)</f>
        <v xml:space="preserve"> </v>
      </c>
      <c r="AE98" s="1351"/>
      <c r="AF98" s="1351"/>
      <c r="AG98" s="1351" t="str">
        <f>PROPER('Team 9'!$I$59)</f>
        <v xml:space="preserve"> </v>
      </c>
      <c r="AH98" s="1351"/>
      <c r="AI98" s="1351"/>
      <c r="AJ98" s="1351" t="str">
        <f>PROPER('Team 10'!$I$59)</f>
        <v xml:space="preserve"> </v>
      </c>
      <c r="AK98" s="1351"/>
      <c r="AL98" s="1351"/>
      <c r="AM98" s="883"/>
      <c r="BL98" s="1033"/>
      <c r="BM98" s="1033"/>
      <c r="BN98" s="1033"/>
      <c r="BO98" s="1033"/>
      <c r="BP98" s="1033"/>
      <c r="BQ98" s="1033"/>
      <c r="BR98" s="1033"/>
      <c r="BS98" s="1033"/>
      <c r="BT98" s="1033"/>
      <c r="BU98" s="1033"/>
    </row>
    <row r="99" spans="2:80" ht="35.25" customHeight="1" x14ac:dyDescent="0.3">
      <c r="B99" s="1349"/>
      <c r="C99" s="1343"/>
      <c r="D99" s="1424"/>
      <c r="E99" s="899" t="s">
        <v>5108</v>
      </c>
      <c r="I99" s="1367">
        <f>Recording!D150</f>
        <v>0</v>
      </c>
      <c r="J99" s="1367"/>
      <c r="K99" s="1367"/>
      <c r="L99" s="1367">
        <f>Recording!E150</f>
        <v>0</v>
      </c>
      <c r="M99" s="1367"/>
      <c r="N99" s="1367"/>
      <c r="O99" s="1367">
        <f>Recording!F150</f>
        <v>0</v>
      </c>
      <c r="P99" s="1367"/>
      <c r="Q99" s="1367"/>
      <c r="R99" s="1367">
        <f>Recording!G150</f>
        <v>0</v>
      </c>
      <c r="S99" s="1367"/>
      <c r="T99" s="1367"/>
      <c r="U99" s="1367">
        <f>Recording!H150</f>
        <v>0</v>
      </c>
      <c r="V99" s="1367"/>
      <c r="W99" s="1367"/>
      <c r="X99" s="1367" t="str">
        <f>Recording!I150</f>
        <v>ns</v>
      </c>
      <c r="Y99" s="1367"/>
      <c r="Z99" s="1367"/>
      <c r="AA99" s="1367">
        <f>Recording!J150</f>
        <v>0</v>
      </c>
      <c r="AB99" s="1367"/>
      <c r="AC99" s="1367"/>
      <c r="AD99" s="1367">
        <f>Recording!K150</f>
        <v>0</v>
      </c>
      <c r="AE99" s="1367"/>
      <c r="AF99" s="1367"/>
      <c r="AG99" s="1367">
        <f>Recording!L150</f>
        <v>0</v>
      </c>
      <c r="AH99" s="1367"/>
      <c r="AI99" s="1367"/>
      <c r="AJ99" s="1367">
        <f>Recording!M150</f>
        <v>0</v>
      </c>
      <c r="AK99" s="1367"/>
      <c r="AL99" s="1367"/>
      <c r="AM99" s="883"/>
      <c r="BL99" s="1033"/>
      <c r="BM99" s="1033"/>
      <c r="BN99" s="1033"/>
      <c r="BO99" s="1033"/>
      <c r="BP99" s="1033"/>
      <c r="BQ99" s="1033"/>
      <c r="BR99" s="1033"/>
      <c r="BS99" s="1033"/>
      <c r="BT99" s="1033"/>
      <c r="BU99" s="1033"/>
    </row>
    <row r="100" spans="2:80" ht="35.25" customHeight="1" x14ac:dyDescent="0.3">
      <c r="B100" s="1349">
        <v>33</v>
      </c>
      <c r="C100" s="1333" t="s">
        <v>5083</v>
      </c>
      <c r="D100" s="1424" t="s">
        <v>5093</v>
      </c>
      <c r="E100" s="1350" t="s">
        <v>5097</v>
      </c>
      <c r="I100" s="1030">
        <f>0+TEXT(Recording!D152,"00\:00\.00")</f>
        <v>9.0185185185185192E-4</v>
      </c>
      <c r="J100" s="879">
        <f>IF(I100=0,0,IF(I$6=0,0,IF(I100&lt;1,SUM((I100&gt;L100),(I100&gt;O100),(I100&gt;R100),(I100&gt;U100),(I100&gt;X100),(I100&gt;AA100),(I100&gt;AD100),(I100&gt;AG100),(I100&gt;AJ100),(I100&gt;BE100)))-$AM100))</f>
        <v>1</v>
      </c>
      <c r="K100" s="879">
        <f>IF(I100=0,0,IF(I$6=0,0,IF(J100=0,0,((11-J100)))-$B$6))</f>
        <v>7</v>
      </c>
      <c r="L100" s="878">
        <f>0+TEXT(Recording!E152,"00\:00\.00")</f>
        <v>1.0266203703703702E-3</v>
      </c>
      <c r="M100" s="879">
        <f>IF(L100=0,0,IF(L$6=0,0,IF(L100&lt;1,SUM((L100&gt;O100),(L100&gt;R100),(L100&gt;U100),(L100&gt;X100),(L100&gt;AA100),(L100&gt;AD100),(L100&gt;I100),(L100&gt;AG100),(L100&gt;AJ100),(L100&gt;BE100)))-$AM100))</f>
        <v>6</v>
      </c>
      <c r="N100" s="879">
        <f>IF(L100=0,0,IF(L$6=0,0,IF(M100=0,0,((11-M100)))-$B$6))</f>
        <v>2</v>
      </c>
      <c r="O100" s="878">
        <f>0+TEXT(Recording!F152,"00\:00\.00")</f>
        <v>9.638888888888888E-4</v>
      </c>
      <c r="P100" s="879">
        <f>IF(O100=0,0,IF(O$6=0,0,IF(O100&lt;1,SUM((O100&gt;L100),(O100&gt;I100),(O100&gt;R100),(O100&gt;U100),(O100&gt;X100),(O100&gt;AA100),(O100&gt;AD100),(O100&gt;AG100),(O100&gt;AJ100),(O100&gt;BE100)))-$AM100))</f>
        <v>3</v>
      </c>
      <c r="Q100" s="879">
        <f>IF(O100=0,0,IF(O$6=0,0,IF(P100=0,0,((11-P100)))-$B$6))</f>
        <v>5</v>
      </c>
      <c r="R100" s="878">
        <f>0+TEXT(Recording!G152,"00\:00\.00")</f>
        <v>9.4085648148148143E-4</v>
      </c>
      <c r="S100" s="879">
        <f>IF(R100=0,0,IF(R$6=0,0,IF(R100&lt;1,SUM((R100&gt;L100),(R100&gt;O100),(R100&gt;I100),(R100&gt;U100),(R100&gt;X100),(R100&gt;AA100),(R100&gt;AD100),(R100&gt;AG100),(R100&gt;AJ100),(R100&gt;BE100)))-$AM100))</f>
        <v>2</v>
      </c>
      <c r="T100" s="879">
        <f>IF(R100=0,0,IF(R$6=0,0,IF(S100=0,0,((11-S100)))-$B$6))</f>
        <v>6</v>
      </c>
      <c r="U100" s="878">
        <f>0+TEXT(Recording!H152,"00\:00\.00")</f>
        <v>9.7719907407407412E-4</v>
      </c>
      <c r="V100" s="879">
        <f>IF(U100=0,0,IF(U$6=0,0,IF(U100&lt;1,SUM((U100&gt;L100),(U100&gt;O100),(U100&gt;R100),(U100&gt;I100),(U100&gt;X100),(U100&gt;AA100),(U100&gt;AD100),(U100&gt;AG100),(U100&gt;AJ100),(U100&gt;BE100)))-$AM100))</f>
        <v>4</v>
      </c>
      <c r="W100" s="879">
        <f>IF(U100=0,0,IF(U$6=0,0,IF(V100=0,0,((11-V100)))-$B$6))</f>
        <v>4</v>
      </c>
      <c r="X100" s="878">
        <f>0+TEXT(Recording!I152,"00\:00\.00")</f>
        <v>9.8564814814814804E-4</v>
      </c>
      <c r="Y100" s="879">
        <f>IF(X100=0,0,IF(X$6=0,0,IF(X100&lt;1,SUM((X100&gt;L100),(X100&gt;O100),(X100&gt;R100),(X100&gt;U100),(X100&gt;I100),(X100&gt;AA100),(X100&gt;AD100),(X100&gt;AG100),(X100&gt;AJ100),(X100&gt;BE100)))-$AM100))</f>
        <v>5</v>
      </c>
      <c r="Z100" s="879">
        <f>IF(X100=0,0,IF(X$6=0,0,IF(Y100=0,0,((11-Y100)))-$B$6))</f>
        <v>3</v>
      </c>
      <c r="AA100" s="878">
        <f>0+TEXT(Recording!J152,"00\:00\.00")</f>
        <v>1.0487268518518519E-3</v>
      </c>
      <c r="AB100" s="879">
        <f>IF(AA100=0,0,IF(AA$6=0,0,IF(AA100&lt;1,SUM((AA100&gt;L100),(AA100&gt;O100),(AA100&gt;R100),(AA100&gt;U100),(AA100&gt;X100),(AA100&gt;I100),(AA100&gt;AD100),(AA100&gt;AG100),(AA100&gt;AJ100),(AA100&gt;BE100))))-$AM100)</f>
        <v>7</v>
      </c>
      <c r="AC100" s="879">
        <f>IF(AA100=0,0,IF(AA$6=0,0,IF(AB100=0,0,((11-AB100)))-$B$6))</f>
        <v>1</v>
      </c>
      <c r="AD100" s="878">
        <f>0+TEXT(Recording!K152,"00\:00\.00")</f>
        <v>0</v>
      </c>
      <c r="AE100" s="879">
        <f>IF(AD100=0,0,IF(AD$6=0,0,IF(AD100&lt;1,SUM((AD100&gt;L100),(AD100&gt;O100),(AD100&gt;R100),(AD100&gt;U100),(AD100&gt;X100),(AD100&gt;AA100),(AD100&gt;AG100),(AD100&gt;AJ100),(AD100&gt;I100),(AD100&gt;BE100)))-$AM100))</f>
        <v>0</v>
      </c>
      <c r="AF100" s="879">
        <f>IF(AD100=0,0,IF(AD$6=0,0,IF(AE100=0,0,((11-AE100)))-$B$6))</f>
        <v>0</v>
      </c>
      <c r="AG100" s="878">
        <f>0+TEXT(Recording!L152,"00\:00\.00")</f>
        <v>0</v>
      </c>
      <c r="AH100" s="879">
        <f>IF(AG100=0,0,IF(AG$6=0,0,IF(AG100&lt;1,SUM((AG100&gt;I100),(AG100&gt;L100),(AG100&gt;O100),(AG100&gt;R100),(AG100&gt;U100),(AG100&gt;X100),(AG100&gt;AA100),(AG100&gt;AD100),(AG100&gt;AJ100),(AG100&gt;BE100)))-$AM100))</f>
        <v>0</v>
      </c>
      <c r="AI100" s="879">
        <f>IF(AG100=0,0,IF(AG$6=0,0,IF(AH100=0,0,((11-AH100)))-$B$6))</f>
        <v>0</v>
      </c>
      <c r="AJ100" s="878">
        <f>0+TEXT(Recording!M152,"00\:00\.00")</f>
        <v>0</v>
      </c>
      <c r="AK100" s="879">
        <f>IF(AJ100=0,0,IF(AJ$6=0,0,IF(AJ100&lt;1,SUM((AJ100&gt;I100),(AJ100&gt;L100),(AJ100&gt;O100),(AJ100&gt;R100),(AJ100&gt;U100),(AJ100&gt;X100),(AJ100&gt;AA100),(AJ100&gt;AD100),(AJ100&gt;AG100),(AJ100&gt;BE100)))-$AM100))</f>
        <v>0</v>
      </c>
      <c r="AL100" s="989">
        <f>IF(AJ100=0,0,IF(AJ$6=0,0,IF(AK100=0,0,((11-AK100)))-$B$6))</f>
        <v>0</v>
      </c>
      <c r="AM100" s="883">
        <f>COUNTBLANK(I626:R626)</f>
        <v>3</v>
      </c>
      <c r="BL100" s="1033"/>
      <c r="BM100" s="1033"/>
      <c r="BN100" s="1033"/>
      <c r="BO100" s="1033"/>
      <c r="BP100" s="1033"/>
      <c r="BQ100" s="1033"/>
      <c r="BR100" s="1033"/>
      <c r="BS100" s="1033"/>
      <c r="BT100" s="1033"/>
      <c r="BU100" s="1033"/>
    </row>
    <row r="101" spans="2:80" ht="35.25" customHeight="1" x14ac:dyDescent="0.3">
      <c r="B101" s="1349"/>
      <c r="C101" s="1333"/>
      <c r="D101" s="1424"/>
      <c r="E101" s="1350"/>
      <c r="I101" s="1351" t="str">
        <f>PROPER('Team 1'!$I$60)</f>
        <v>Bianca Gomez-Velasco</v>
      </c>
      <c r="J101" s="1351"/>
      <c r="K101" s="1351"/>
      <c r="L101" s="1351" t="str">
        <f>PROPER('Team 2'!$I$60)</f>
        <v>Sophie Lyon</v>
      </c>
      <c r="M101" s="1351"/>
      <c r="N101" s="1351"/>
      <c r="O101" s="1351" t="str">
        <f>PROPER('Team 3'!$I$60)</f>
        <v>Mia Nelson</v>
      </c>
      <c r="P101" s="1351"/>
      <c r="Q101" s="1351"/>
      <c r="R101" s="1351" t="str">
        <f>PROPER('Team 4'!$I$60)</f>
        <v>Amber Curtis</v>
      </c>
      <c r="S101" s="1351"/>
      <c r="T101" s="1351"/>
      <c r="U101" s="1351" t="str">
        <f>PROPER('Team 5'!$I$60)</f>
        <v>Marcie Aley</v>
      </c>
      <c r="V101" s="1351"/>
      <c r="W101" s="1351"/>
      <c r="X101" s="1351" t="str">
        <f>PROPER('Team 6'!$I$60)</f>
        <v>Mina  Safahe</v>
      </c>
      <c r="Y101" s="1351"/>
      <c r="Z101" s="1351"/>
      <c r="AA101" s="1351" t="str">
        <f>PROPER('Team 7'!$I$60)</f>
        <v>Julia Ozen</v>
      </c>
      <c r="AB101" s="1351"/>
      <c r="AC101" s="1351"/>
      <c r="AD101" s="1351" t="str">
        <f>PROPER('Team 8'!$I$60)</f>
        <v xml:space="preserve"> </v>
      </c>
      <c r="AE101" s="1351"/>
      <c r="AF101" s="1351"/>
      <c r="AG101" s="1351" t="str">
        <f>PROPER('Team 9'!$I$60)</f>
        <v xml:space="preserve"> </v>
      </c>
      <c r="AH101" s="1351"/>
      <c r="AI101" s="1351"/>
      <c r="AJ101" s="1351" t="str">
        <f>PROPER('Team 10'!$I$60)</f>
        <v xml:space="preserve"> </v>
      </c>
      <c r="AK101" s="1351"/>
      <c r="AL101" s="1351"/>
      <c r="AM101" s="883"/>
      <c r="BL101" s="1033"/>
      <c r="BM101" s="1033"/>
      <c r="BN101" s="1033"/>
      <c r="BO101" s="1033"/>
      <c r="BP101" s="1033"/>
      <c r="BQ101" s="1033"/>
      <c r="BR101" s="1033"/>
      <c r="BS101" s="1033"/>
      <c r="BT101" s="1033"/>
      <c r="BU101" s="1033"/>
    </row>
    <row r="102" spans="2:80" ht="35.25" customHeight="1" x14ac:dyDescent="0.3">
      <c r="B102" s="1349"/>
      <c r="C102" s="1333"/>
      <c r="D102" s="1424"/>
      <c r="E102" s="899" t="s">
        <v>5108</v>
      </c>
      <c r="I102" s="1367">
        <f>Recording!D154</f>
        <v>0</v>
      </c>
      <c r="J102" s="1367"/>
      <c r="K102" s="1367"/>
      <c r="L102" s="1367">
        <f>Recording!E154</f>
        <v>0</v>
      </c>
      <c r="M102" s="1367"/>
      <c r="N102" s="1367"/>
      <c r="O102" s="1367">
        <f>Recording!F154</f>
        <v>0</v>
      </c>
      <c r="P102" s="1367"/>
      <c r="Q102" s="1367"/>
      <c r="R102" s="1367">
        <f>Recording!G154</f>
        <v>0</v>
      </c>
      <c r="S102" s="1367"/>
      <c r="T102" s="1367"/>
      <c r="U102" s="1367">
        <f>Recording!H154</f>
        <v>0</v>
      </c>
      <c r="V102" s="1367"/>
      <c r="W102" s="1367"/>
      <c r="X102" s="1367">
        <f>Recording!I154</f>
        <v>0</v>
      </c>
      <c r="Y102" s="1367"/>
      <c r="Z102" s="1367"/>
      <c r="AA102" s="1367">
        <f>Recording!J154</f>
        <v>0</v>
      </c>
      <c r="AB102" s="1367"/>
      <c r="AC102" s="1367"/>
      <c r="AD102" s="1367">
        <f>Recording!K154</f>
        <v>0</v>
      </c>
      <c r="AE102" s="1367"/>
      <c r="AF102" s="1367"/>
      <c r="AG102" s="1367">
        <f>Recording!L154</f>
        <v>0</v>
      </c>
      <c r="AH102" s="1367"/>
      <c r="AI102" s="1367"/>
      <c r="AJ102" s="1367">
        <f>Recording!M154</f>
        <v>0</v>
      </c>
      <c r="AK102" s="1367"/>
      <c r="AL102" s="1367"/>
      <c r="AM102" s="883"/>
      <c r="BL102" s="1033"/>
      <c r="BM102" s="1033"/>
      <c r="BN102" s="1033"/>
      <c r="BO102" s="1033"/>
      <c r="BP102" s="1033"/>
      <c r="BQ102" s="1033"/>
      <c r="BR102" s="1033"/>
      <c r="BS102" s="1033"/>
      <c r="BT102" s="1033"/>
      <c r="BU102" s="1033"/>
    </row>
    <row r="103" spans="2:80" ht="35.25" customHeight="1" x14ac:dyDescent="0.3">
      <c r="B103" s="1349">
        <v>34</v>
      </c>
      <c r="C103" s="1343" t="s">
        <v>5087</v>
      </c>
      <c r="D103" s="1424" t="s">
        <v>5093</v>
      </c>
      <c r="E103" s="1350" t="s">
        <v>5097</v>
      </c>
      <c r="I103" s="1030">
        <f>0+TEXT(Recording!D156,"00\:00\.00")</f>
        <v>9.3692129629629627E-4</v>
      </c>
      <c r="J103" s="879">
        <f>IF(I103=0,0,IF(I$6=0,0,IF(I103&lt;1,SUM((I103&gt;L103),(I103&gt;O103),(I103&gt;R103),(I103&gt;U103),(I103&gt;X103),(I103&gt;AA103),(I103&gt;AD103),(I103&gt;AG103),(I103&gt;AJ103),(I103&gt;BE103)))-$AM103))</f>
        <v>6</v>
      </c>
      <c r="K103" s="879">
        <f>IF(I103=0,0,IF(I$6=0,0,IF(J103=0,0,((11-J103)))-$B$6))</f>
        <v>2</v>
      </c>
      <c r="L103" s="878">
        <f>0+TEXT(Recording!E156,"00\:00\.00")</f>
        <v>1.0325231481481481E-3</v>
      </c>
      <c r="M103" s="879">
        <f>IF(L103=0,0,IF(L$6=0,0,IF(L103&lt;1,SUM((L103&gt;O103),(L103&gt;R103),(L103&gt;U103),(L103&gt;X103),(L103&gt;AA103),(L103&gt;AD103),(L103&gt;I103),(L103&gt;AG103),(L103&gt;AJ103),(L103&gt;BE103)))-$AM103))</f>
        <v>7</v>
      </c>
      <c r="N103" s="879">
        <f>IF(L103=0,0,IF(L$6=0,0,IF(M103=0,0,((11-M103)))-$B$6))</f>
        <v>1</v>
      </c>
      <c r="O103" s="878">
        <f>0+TEXT(Recording!F156,"00\:00\.00")</f>
        <v>8.0763888888888888E-4</v>
      </c>
      <c r="P103" s="879">
        <f>IF(O103=0,0,IF(O$6=0,0,IF(O103&lt;1,SUM((O103&gt;L103),(O103&gt;I103),(O103&gt;R103),(O103&gt;U103),(O103&gt;X103),(O103&gt;AA103),(O103&gt;AD103),(O103&gt;AG103),(O103&gt;AJ103),(O103&gt;BE103)))-$AM103))</f>
        <v>1</v>
      </c>
      <c r="Q103" s="879">
        <f>IF(O103=0,0,IF(O$6=0,0,IF(P103=0,0,((11-P103)))-$B$6))</f>
        <v>7</v>
      </c>
      <c r="R103" s="878">
        <f>0+TEXT(Recording!G156,"00\:00\.00")</f>
        <v>8.902777777777777E-4</v>
      </c>
      <c r="S103" s="879">
        <f>IF(R103=0,0,IF(R$6=0,0,IF(R103&lt;1,SUM((R103&gt;L103),(R103&gt;O103),(R103&gt;I103),(R103&gt;U103),(R103&gt;X103),(R103&gt;AA103),(R103&gt;AD103),(R103&gt;AG103),(R103&gt;AJ103),(R103&gt;BE103)))-$AM103))</f>
        <v>4</v>
      </c>
      <c r="T103" s="879">
        <f>IF(R103=0,0,IF(R$6=0,0,IF(S103=0,0,((11-S103)))-$B$6))</f>
        <v>4</v>
      </c>
      <c r="U103" s="878">
        <f>0+TEXT(Recording!H156,"00\:00\.00")</f>
        <v>8.2581018518518518E-4</v>
      </c>
      <c r="V103" s="879">
        <f>IF(U103=0,0,IF(U$6=0,0,IF(U103&lt;1,SUM((U103&gt;L103),(U103&gt;O103),(U103&gt;R103),(U103&gt;I103),(U103&gt;X103),(U103&gt;AA103),(U103&gt;AD103),(U103&gt;AG103),(U103&gt;AJ103),(U103&gt;BE103)))-$AM103))</f>
        <v>2</v>
      </c>
      <c r="W103" s="879">
        <f>IF(U103=0,0,IF(U$6=0,0,IF(V103=0,0,((11-V103)))-$B$6))</f>
        <v>6</v>
      </c>
      <c r="X103" s="878">
        <f>0+TEXT(Recording!I156,"00\:00\.00")</f>
        <v>8.2638888888888877E-4</v>
      </c>
      <c r="Y103" s="879">
        <f>IF(X103=0,0,IF(X$6=0,0,IF(X103&lt;1,SUM((X103&gt;L103),(X103&gt;O103),(X103&gt;R103),(X103&gt;U103),(X103&gt;I103),(X103&gt;AA103),(X103&gt;AD103),(X103&gt;AG103),(X103&gt;AJ103),(X103&gt;BE103)))-$AM103))</f>
        <v>3</v>
      </c>
      <c r="Z103" s="879">
        <f>IF(X103=0,0,IF(X$6=0,0,IF(Y103=0,0,((11-Y103)))-$B$6))</f>
        <v>5</v>
      </c>
      <c r="AA103" s="878">
        <f>0+TEXT(Recording!J156,"00\:00\.00")</f>
        <v>9.0115740740740748E-4</v>
      </c>
      <c r="AB103" s="879">
        <f>IF(AA103=0,0,IF(AA$6=0,0,IF(AA103&lt;1,SUM((AA103&gt;L103),(AA103&gt;O103),(AA103&gt;R103),(AA103&gt;U103),(AA103&gt;X103),(AA103&gt;I103),(AA103&gt;AD103),(AA103&gt;AG103),(AA103&gt;AJ103),(AA103&gt;BE103))))-$AM103)</f>
        <v>5</v>
      </c>
      <c r="AC103" s="879">
        <f>IF(AA103=0,0,IF(AA$6=0,0,IF(AB103=0,0,((11-AB103)))-$B$6))</f>
        <v>3</v>
      </c>
      <c r="AD103" s="878">
        <f>0+TEXT(Recording!K156,"00\:00\.00")</f>
        <v>0</v>
      </c>
      <c r="AE103" s="879">
        <f>IF(AD103=0,0,IF(AD$6=0,0,IF(AD103&lt;1,SUM((AD103&gt;L103),(AD103&gt;O103),(AD103&gt;R103),(AD103&gt;U103),(AD103&gt;X103),(AD103&gt;AA103),(AD103&gt;AG103),(AD103&gt;AJ103),(AD103&gt;I103),(AD103&gt;BE103)))-$AM103))</f>
        <v>0</v>
      </c>
      <c r="AF103" s="879">
        <f>IF(AD103=0,0,IF(AD$6=0,0,IF(AE103=0,0,((11-AE103)))-$B$6))</f>
        <v>0</v>
      </c>
      <c r="AG103" s="878">
        <f>0+TEXT(Recording!L156,"00\:00\.00")</f>
        <v>0</v>
      </c>
      <c r="AH103" s="879">
        <f>IF(AG103=0,0,IF(AG$6=0,0,IF(AG103&lt;1,SUM((AG103&gt;I103),(AG103&gt;L103),(AG103&gt;O103),(AG103&gt;R103),(AG103&gt;U103),(AG103&gt;X103),(AG103&gt;AA103),(AG103&gt;AD103),(AG103&gt;AJ103),(AG103&gt;BE103)))-$AM103))</f>
        <v>0</v>
      </c>
      <c r="AI103" s="879">
        <f>IF(AG103=0,0,IF(AG$6=0,0,IF(AH103=0,0,((11-AH103)))-$B$6))</f>
        <v>0</v>
      </c>
      <c r="AJ103" s="878">
        <f>0+TEXT(Recording!M156,"00\:00\.00")</f>
        <v>0</v>
      </c>
      <c r="AK103" s="879">
        <f>IF(AJ103=0,0,IF(AJ$6=0,0,IF(AJ103&lt;1,SUM((AJ103&gt;I103),(AJ103&gt;L103),(AJ103&gt;O103),(AJ103&gt;R103),(AJ103&gt;U103),(AJ103&gt;X103),(AJ103&gt;AA103),(AJ103&gt;AD103),(AJ103&gt;AG103),(AJ103&gt;BE103)))-$AM103))</f>
        <v>0</v>
      </c>
      <c r="AL103" s="989">
        <f>IF(AJ103=0,0,IF(AJ$6=0,0,IF(AK103=0,0,((11-AK103)))-$B$6))</f>
        <v>0</v>
      </c>
      <c r="AM103" s="883">
        <f>COUNTBLANK(I627:R627)</f>
        <v>3</v>
      </c>
      <c r="BL103" s="1033"/>
      <c r="BM103" s="1033"/>
      <c r="BN103" s="1033"/>
      <c r="BO103" s="1033"/>
      <c r="BP103" s="1033"/>
      <c r="BQ103" s="1033"/>
      <c r="BR103" s="1033"/>
      <c r="BS103" s="1033"/>
      <c r="BT103" s="1033"/>
      <c r="BU103" s="1033"/>
    </row>
    <row r="104" spans="2:80" s="897" customFormat="1" ht="35.25" customHeight="1" x14ac:dyDescent="0.3">
      <c r="B104" s="1349"/>
      <c r="C104" s="1343"/>
      <c r="D104" s="1424"/>
      <c r="E104" s="1350"/>
      <c r="I104" s="1351" t="str">
        <f>PROPER('Team 1'!$I$61)</f>
        <v>Gabriel Bhonsle</v>
      </c>
      <c r="J104" s="1351"/>
      <c r="K104" s="1351"/>
      <c r="L104" s="1351" t="str">
        <f>PROPER('Team 2'!$I$61)</f>
        <v>Daniel Humphreys</v>
      </c>
      <c r="M104" s="1351"/>
      <c r="N104" s="1351"/>
      <c r="O104" s="1351" t="str">
        <f>PROPER('Team 3'!$I$61)</f>
        <v>George Lovelock</v>
      </c>
      <c r="P104" s="1351"/>
      <c r="Q104" s="1351"/>
      <c r="R104" s="1351" t="str">
        <f>PROPER('Team 4'!$I$61)</f>
        <v>Max Waller</v>
      </c>
      <c r="S104" s="1351"/>
      <c r="T104" s="1351"/>
      <c r="U104" s="1351" t="str">
        <f>PROPER('Team 5'!$I$61)</f>
        <v>Robert Elliston</v>
      </c>
      <c r="V104" s="1351"/>
      <c r="W104" s="1351"/>
      <c r="X104" s="1351" t="str">
        <f>PROPER('Team 6'!$I$61)</f>
        <v>Wiktor  Brejnak</v>
      </c>
      <c r="Y104" s="1351"/>
      <c r="Z104" s="1351"/>
      <c r="AA104" s="1351" t="str">
        <f>PROPER('Team 7'!$I$61)</f>
        <v>Andrew May</v>
      </c>
      <c r="AB104" s="1351"/>
      <c r="AC104" s="1351"/>
      <c r="AD104" s="1351" t="str">
        <f>PROPER('Team 8'!$I$61)</f>
        <v xml:space="preserve"> </v>
      </c>
      <c r="AE104" s="1351"/>
      <c r="AF104" s="1351"/>
      <c r="AG104" s="1351" t="str">
        <f>PROPER('Team 9'!$I$61)</f>
        <v xml:space="preserve"> </v>
      </c>
      <c r="AH104" s="1351"/>
      <c r="AI104" s="1351"/>
      <c r="AJ104" s="1351" t="str">
        <f>PROPER('Team 10'!$I$61)</f>
        <v xml:space="preserve"> </v>
      </c>
      <c r="AK104" s="1351"/>
      <c r="AL104" s="1351"/>
      <c r="AM104" s="883"/>
      <c r="BG104" s="1034"/>
      <c r="BH104" s="1034"/>
      <c r="BI104" s="1034"/>
      <c r="BJ104" s="1034"/>
      <c r="BK104" s="1034"/>
      <c r="BL104" s="1033"/>
      <c r="BM104" s="1033"/>
      <c r="BN104" s="1033"/>
      <c r="BO104" s="1033"/>
      <c r="BP104" s="1033"/>
      <c r="BQ104" s="1033"/>
      <c r="BR104" s="1033"/>
      <c r="BS104" s="1033"/>
      <c r="BT104" s="1033"/>
      <c r="BU104" s="1033"/>
      <c r="BV104" s="1034"/>
      <c r="BW104" s="1034"/>
      <c r="BX104" s="1034"/>
      <c r="BY104" s="1034"/>
      <c r="BZ104" s="1034"/>
      <c r="CA104" s="1034"/>
      <c r="CB104" s="1034"/>
    </row>
    <row r="105" spans="2:80" s="897" customFormat="1" ht="35.25" customHeight="1" x14ac:dyDescent="0.3">
      <c r="B105" s="1349"/>
      <c r="C105" s="1343"/>
      <c r="D105" s="1424"/>
      <c r="E105" s="899" t="s">
        <v>5108</v>
      </c>
      <c r="I105" s="1367">
        <f>Recording!D158</f>
        <v>0</v>
      </c>
      <c r="J105" s="1367"/>
      <c r="K105" s="1367"/>
      <c r="L105" s="1367">
        <f>Recording!E158</f>
        <v>0</v>
      </c>
      <c r="M105" s="1367"/>
      <c r="N105" s="1367"/>
      <c r="O105" s="1367">
        <f>Recording!F158</f>
        <v>0</v>
      </c>
      <c r="P105" s="1367"/>
      <c r="Q105" s="1367"/>
      <c r="R105" s="1367">
        <f>Recording!G158</f>
        <v>0</v>
      </c>
      <c r="S105" s="1367"/>
      <c r="T105" s="1367"/>
      <c r="U105" s="1367">
        <f>Recording!H158</f>
        <v>0</v>
      </c>
      <c r="V105" s="1367"/>
      <c r="W105" s="1367"/>
      <c r="X105" s="1367">
        <f>Recording!I158</f>
        <v>0</v>
      </c>
      <c r="Y105" s="1367"/>
      <c r="Z105" s="1367"/>
      <c r="AA105" s="1367">
        <f>Recording!J158</f>
        <v>0</v>
      </c>
      <c r="AB105" s="1367"/>
      <c r="AC105" s="1367"/>
      <c r="AD105" s="1367">
        <f>Recording!K158</f>
        <v>0</v>
      </c>
      <c r="AE105" s="1367"/>
      <c r="AF105" s="1367"/>
      <c r="AG105" s="1367">
        <f>Recording!L158</f>
        <v>0</v>
      </c>
      <c r="AH105" s="1367"/>
      <c r="AI105" s="1367"/>
      <c r="AJ105" s="1367">
        <f>Recording!M158</f>
        <v>0</v>
      </c>
      <c r="AK105" s="1367"/>
      <c r="AL105" s="1367"/>
      <c r="AM105" s="883"/>
      <c r="BG105" s="1034"/>
      <c r="BH105" s="1034"/>
      <c r="BI105" s="1034"/>
      <c r="BJ105" s="1034"/>
      <c r="BK105" s="1034"/>
      <c r="BL105" s="1033"/>
      <c r="BM105" s="1033"/>
      <c r="BN105" s="1033"/>
      <c r="BO105" s="1033"/>
      <c r="BP105" s="1033"/>
      <c r="BQ105" s="1033"/>
      <c r="BR105" s="1033"/>
      <c r="BS105" s="1033"/>
      <c r="BT105" s="1033"/>
      <c r="BU105" s="1033"/>
      <c r="BV105" s="1034"/>
      <c r="BW105" s="1034"/>
      <c r="BX105" s="1034"/>
      <c r="BY105" s="1034"/>
      <c r="BZ105" s="1034"/>
      <c r="CA105" s="1034"/>
      <c r="CB105" s="1034"/>
    </row>
    <row r="106" spans="2:80" ht="35.25" customHeight="1" x14ac:dyDescent="0.3">
      <c r="B106" s="1349">
        <v>35</v>
      </c>
      <c r="C106" s="1333" t="s">
        <v>5083</v>
      </c>
      <c r="D106" s="1429" t="s">
        <v>5094</v>
      </c>
      <c r="E106" s="1350" t="s">
        <v>5104</v>
      </c>
      <c r="I106" s="1030">
        <f>0+TEXT(Recording!D160,"00\:00\.00")</f>
        <v>3.996527777777778E-4</v>
      </c>
      <c r="J106" s="879">
        <f>IF(I106=0,0,IF(I$6=0,0,IF(I106&lt;1,SUM((I106&gt;L106),(I106&gt;O106),(I106&gt;R106),(I106&gt;U106),(I106&gt;X106),(I106&gt;AA106),(I106&gt;AD106),(I106&gt;AG106),(I106&gt;AJ106),(I106&gt;BE106)))-$AM106))</f>
        <v>1</v>
      </c>
      <c r="K106" s="879">
        <f>IF(I106=0,0,IF(I$6=0,0,IF(J106=0,0,((11-J106)))-$B$6))</f>
        <v>7</v>
      </c>
      <c r="L106" s="878">
        <f>0+TEXT(Recording!E160,"00\:00\.00")</f>
        <v>4.4780092592592587E-4</v>
      </c>
      <c r="M106" s="879">
        <f>IF(L106=0,0,IF(L$6=0,0,IF(L106&lt;1,SUM((L106&gt;O106),(L106&gt;R106),(L106&gt;U106),(L106&gt;X106),(L106&gt;AA106),(L106&gt;AD106),(L106&gt;I106),(L106&gt;AG106),(L106&gt;AJ106),(L106&gt;BE106)))-$AM106))</f>
        <v>6</v>
      </c>
      <c r="N106" s="879">
        <f>IF(L106=0,0,IF(L$6=0,0,IF(M106=0,0,((11-M106)))-$B$6))</f>
        <v>2</v>
      </c>
      <c r="O106" s="878">
        <f>0+TEXT(Recording!F160,"00\:00\.00")</f>
        <v>4.3414351851851855E-4</v>
      </c>
      <c r="P106" s="879">
        <f>IF(O106=0,0,IF(O$6=0,0,IF(O106&lt;1,SUM((O106&gt;L106),(O106&gt;I106),(O106&gt;R106),(O106&gt;U106),(O106&gt;X106),(O106&gt;AA106),(O106&gt;AD106),(O106&gt;AG106),(O106&gt;AJ106),(O106&gt;BE106)))-$AM106))</f>
        <v>4</v>
      </c>
      <c r="Q106" s="879">
        <f>IF(O106=0,0,IF(O$6=0,0,IF(P106=0,0,((11-P106)))-$B$6))</f>
        <v>4</v>
      </c>
      <c r="R106" s="878">
        <f>0+TEXT(Recording!G160,"00\:00\.00")</f>
        <v>4.1967592592592593E-4</v>
      </c>
      <c r="S106" s="879">
        <f>IF(R106=0,0,IF(R$6=0,0,IF(R106&lt;1,SUM((R106&gt;L106),(R106&gt;O106),(R106&gt;I106),(R106&gt;U106),(R106&gt;X106),(R106&gt;AA106),(R106&gt;AD106),(R106&gt;AG106),(R106&gt;AJ106),(R106&gt;BE106)))-$AM106))</f>
        <v>2</v>
      </c>
      <c r="T106" s="879">
        <f>IF(R106=0,0,IF(R$6=0,0,IF(S106=0,0,((11-S106)))-$B$6))</f>
        <v>6</v>
      </c>
      <c r="U106" s="878">
        <f>0+TEXT(Recording!H160,"00\:00\.00")</f>
        <v>4.2754629629629626E-4</v>
      </c>
      <c r="V106" s="879">
        <f>IF(U106=0,0,IF(U$6=0,0,IF(U106&lt;1,SUM((U106&gt;L106),(U106&gt;O106),(U106&gt;R106),(U106&gt;I106),(U106&gt;X106),(U106&gt;AA106),(U106&gt;AD106),(U106&gt;AG106),(U106&gt;AJ106),(U106&gt;BE106)))-$AM106))</f>
        <v>3</v>
      </c>
      <c r="W106" s="879">
        <f>IF(U106=0,0,IF(U$6=0,0,IF(V106=0,0,((11-V106)))-$B$6))</f>
        <v>5</v>
      </c>
      <c r="X106" s="878">
        <f>0+TEXT(Recording!I160,"00\:00\.00")</f>
        <v>4.7604166666666666E-4</v>
      </c>
      <c r="Y106" s="879">
        <f>IF(X106=0,0,IF(X$6=0,0,IF(X106&lt;1,SUM((X106&gt;L106),(X106&gt;O106),(X106&gt;R106),(X106&gt;U106),(X106&gt;I106),(X106&gt;AA106),(X106&gt;AD106),(X106&gt;AG106),(X106&gt;AJ106),(X106&gt;BE106)))-$AM106))</f>
        <v>7</v>
      </c>
      <c r="Z106" s="879">
        <f>IF(X106=0,0,IF(X$6=0,0,IF(Y106=0,0,((11-Y106)))-$B$6))</f>
        <v>1</v>
      </c>
      <c r="AA106" s="878">
        <f>0+TEXT(Recording!J160,"00\:00\.00")</f>
        <v>4.4502314814814817E-4</v>
      </c>
      <c r="AB106" s="879">
        <f>IF(AA106=0,0,IF(AA$6=0,0,IF(AA106&lt;1,SUM((AA106&gt;L106),(AA106&gt;O106),(AA106&gt;R106),(AA106&gt;U106),(AA106&gt;X106),(AA106&gt;I106),(AA106&gt;AD106),(AA106&gt;AG106),(AA106&gt;AJ106),(AA106&gt;BE106))))-$AM106)</f>
        <v>5</v>
      </c>
      <c r="AC106" s="879">
        <f>IF(AA106=0,0,IF(AA$6=0,0,IF(AB106=0,0,((11-AB106)))-$B$6))</f>
        <v>3</v>
      </c>
      <c r="AD106" s="878">
        <f>0+TEXT(Recording!K160,"00\:00\.00")</f>
        <v>0</v>
      </c>
      <c r="AE106" s="879">
        <f>IF(AD106=0,0,IF(AD$6=0,0,IF(AD106&lt;1,SUM((AD106&gt;L106),(AD106&gt;O106),(AD106&gt;R106),(AD106&gt;U106),(AD106&gt;X106),(AD106&gt;AA106),(AD106&gt;AG106),(AD106&gt;AJ106),(AD106&gt;I106),(AD106&gt;BE106)))-$AM106))</f>
        <v>0</v>
      </c>
      <c r="AF106" s="879">
        <f>IF(AD106=0,0,IF(AD$6=0,0,IF(AE106=0,0,((11-AE106)))-$B$6))</f>
        <v>0</v>
      </c>
      <c r="AG106" s="878">
        <f>0+TEXT(Recording!L160,"00\:00\.00")</f>
        <v>0</v>
      </c>
      <c r="AH106" s="879">
        <f>IF(AG106=0,0,IF(AG$6=0,0,IF(AG106&lt;1,SUM((AG106&gt;I106),(AG106&gt;L106),(AG106&gt;O106),(AG106&gt;R106),(AG106&gt;U106),(AG106&gt;X106),(AG106&gt;AA106),(AG106&gt;AD106),(AG106&gt;AJ106),(AG106&gt;BE106)))-$AM106))</f>
        <v>0</v>
      </c>
      <c r="AI106" s="879">
        <f>IF(AG106=0,0,IF(AG$6=0,0,IF(AH106=0,0,((11-AH106)))-$B$6))</f>
        <v>0</v>
      </c>
      <c r="AJ106" s="878">
        <f>0+TEXT(Recording!M160,"00\:00\.00")</f>
        <v>0</v>
      </c>
      <c r="AK106" s="879">
        <f>IF(AJ106=0,0,IF(AJ$6=0,0,IF(AJ106&lt;1,SUM((AJ106&gt;I106),(AJ106&gt;L106),(AJ106&gt;O106),(AJ106&gt;R106),(AJ106&gt;U106),(AJ106&gt;X106),(AJ106&gt;AA106),(AJ106&gt;AD106),(AJ106&gt;AG106),(AJ106&gt;BE106)))-$AM106))</f>
        <v>0</v>
      </c>
      <c r="AL106" s="989">
        <f>IF(AJ106=0,0,IF(AJ$6=0,0,IF(AK106=0,0,((11-AK106)))-$B$6))</f>
        <v>0</v>
      </c>
      <c r="AM106" s="883">
        <f>COUNTBLANK(I628:R628)</f>
        <v>3</v>
      </c>
      <c r="BL106" s="1033"/>
      <c r="BM106" s="1033"/>
      <c r="BN106" s="1033"/>
      <c r="BO106" s="1033"/>
      <c r="BP106" s="1033"/>
      <c r="BQ106" s="1033"/>
      <c r="BR106" s="1033"/>
      <c r="BS106" s="1033"/>
      <c r="BT106" s="1033"/>
      <c r="BU106" s="1033"/>
    </row>
    <row r="107" spans="2:80" ht="35.25" customHeight="1" x14ac:dyDescent="0.3">
      <c r="B107" s="1349"/>
      <c r="C107" s="1333"/>
      <c r="D107" s="1429"/>
      <c r="E107" s="1350"/>
      <c r="I107" s="1351" t="str">
        <f>PROPER('Team 1'!$I$62)</f>
        <v>Claudia Savov</v>
      </c>
      <c r="J107" s="1351"/>
      <c r="K107" s="1351"/>
      <c r="L107" s="1351" t="str">
        <f>PROPER('Team 2'!$I$62)</f>
        <v>Annabelle Harris</v>
      </c>
      <c r="M107" s="1351"/>
      <c r="N107" s="1351"/>
      <c r="O107" s="1351" t="str">
        <f>PROPER('Team 3'!$I$62)</f>
        <v>Scarlett Omand</v>
      </c>
      <c r="P107" s="1351"/>
      <c r="Q107" s="1351"/>
      <c r="R107" s="1351" t="str">
        <f>PROPER('Team 4'!$I$62)</f>
        <v>Chelsea Dare</v>
      </c>
      <c r="S107" s="1351"/>
      <c r="T107" s="1351"/>
      <c r="U107" s="1351" t="str">
        <f>PROPER('Team 5'!$I$62)</f>
        <v>Maisie Cooper</v>
      </c>
      <c r="V107" s="1351"/>
      <c r="W107" s="1351"/>
      <c r="X107" s="1351" t="str">
        <f>PROPER('Team 6'!$I$62)</f>
        <v>Mahika Chandrashekar</v>
      </c>
      <c r="Y107" s="1351"/>
      <c r="Z107" s="1351"/>
      <c r="AA107" s="1351" t="str">
        <f>PROPER('Team 7'!$I$62)</f>
        <v>Arabella Connick</v>
      </c>
      <c r="AB107" s="1351"/>
      <c r="AC107" s="1351"/>
      <c r="AD107" s="1351" t="str">
        <f>PROPER('Team 8'!$I$62)</f>
        <v xml:space="preserve"> </v>
      </c>
      <c r="AE107" s="1351"/>
      <c r="AF107" s="1351"/>
      <c r="AG107" s="1351" t="str">
        <f>PROPER('Team 9'!$I$62)</f>
        <v xml:space="preserve"> </v>
      </c>
      <c r="AH107" s="1351"/>
      <c r="AI107" s="1351"/>
      <c r="AJ107" s="1351" t="str">
        <f>PROPER('Team 10'!$I$62)</f>
        <v xml:space="preserve"> </v>
      </c>
      <c r="AK107" s="1351"/>
      <c r="AL107" s="1351"/>
      <c r="AM107" s="883"/>
      <c r="BL107" s="1033"/>
      <c r="BM107" s="1033"/>
      <c r="BN107" s="1033"/>
      <c r="BO107" s="1033"/>
      <c r="BP107" s="1033"/>
      <c r="BQ107" s="1033"/>
      <c r="BR107" s="1033"/>
      <c r="BS107" s="1033"/>
      <c r="BT107" s="1033"/>
      <c r="BU107" s="1033"/>
    </row>
    <row r="108" spans="2:80" ht="35.25" customHeight="1" x14ac:dyDescent="0.3">
      <c r="B108" s="1349"/>
      <c r="C108" s="1333"/>
      <c r="D108" s="1429"/>
      <c r="E108" s="899" t="s">
        <v>5108</v>
      </c>
      <c r="I108" s="1367">
        <f>Recording!D162</f>
        <v>0</v>
      </c>
      <c r="J108" s="1367"/>
      <c r="K108" s="1367"/>
      <c r="L108" s="1367">
        <f>Recording!E162</f>
        <v>0</v>
      </c>
      <c r="M108" s="1367"/>
      <c r="N108" s="1367"/>
      <c r="O108" s="1367">
        <f>Recording!F162</f>
        <v>0</v>
      </c>
      <c r="P108" s="1367"/>
      <c r="Q108" s="1367"/>
      <c r="R108" s="1367">
        <f>Recording!G162</f>
        <v>0</v>
      </c>
      <c r="S108" s="1367"/>
      <c r="T108" s="1367"/>
      <c r="U108" s="1367">
        <f>Recording!H162</f>
        <v>0</v>
      </c>
      <c r="V108" s="1367"/>
      <c r="W108" s="1367"/>
      <c r="X108" s="1367">
        <f>Recording!I162</f>
        <v>0</v>
      </c>
      <c r="Y108" s="1367"/>
      <c r="Z108" s="1367"/>
      <c r="AA108" s="1367">
        <f>Recording!J162</f>
        <v>0</v>
      </c>
      <c r="AB108" s="1367"/>
      <c r="AC108" s="1367"/>
      <c r="AD108" s="1367">
        <f>Recording!K162</f>
        <v>0</v>
      </c>
      <c r="AE108" s="1367"/>
      <c r="AF108" s="1367"/>
      <c r="AG108" s="1367">
        <f>Recording!L162</f>
        <v>0</v>
      </c>
      <c r="AH108" s="1367"/>
      <c r="AI108" s="1367"/>
      <c r="AJ108" s="1367">
        <f>Recording!M162</f>
        <v>0</v>
      </c>
      <c r="AK108" s="1367"/>
      <c r="AL108" s="1367"/>
      <c r="AM108" s="883"/>
      <c r="BL108" s="1033"/>
      <c r="BM108" s="1033"/>
      <c r="BN108" s="1033"/>
      <c r="BO108" s="1033"/>
      <c r="BP108" s="1033"/>
      <c r="BQ108" s="1033"/>
      <c r="BR108" s="1033"/>
      <c r="BS108" s="1033"/>
      <c r="BT108" s="1033"/>
      <c r="BU108" s="1033"/>
    </row>
    <row r="109" spans="2:80" ht="35.25" customHeight="1" x14ac:dyDescent="0.3">
      <c r="B109" s="1349">
        <v>36</v>
      </c>
      <c r="C109" s="1343" t="s">
        <v>5087</v>
      </c>
      <c r="D109" s="1429" t="s">
        <v>5094</v>
      </c>
      <c r="E109" s="1350" t="s">
        <v>5104</v>
      </c>
      <c r="I109" s="1030">
        <f>0+TEXT(Recording!D164,"00\:00\.00")</f>
        <v>5.3078703703703697E-4</v>
      </c>
      <c r="J109" s="879">
        <f>IF(I109=0,0,IF(I$6=0,0,IF(I109&lt;1,SUM((I109&gt;L109),(I109&gt;O109),(I109&gt;R109),(I109&gt;U109),(I109&gt;X109),(I109&gt;AA109),(I109&gt;AD109),(I109&gt;AG109),(I109&gt;AJ109),(I109&gt;BE109)))-$AM109))</f>
        <v>7</v>
      </c>
      <c r="K109" s="879">
        <f>IF(I109=0,0,IF(I$6=0,0,IF(J109=0,0,((11-J109)))-$B$6))</f>
        <v>1</v>
      </c>
      <c r="L109" s="878">
        <f>0+TEXT(Recording!E164,"00\:00\.00")</f>
        <v>4.4502314814814817E-4</v>
      </c>
      <c r="M109" s="879">
        <f>IF(L109=0,0,IF(L$6=0,0,IF(L109&lt;1,SUM((L109&gt;O109),(L109&gt;R109),(L109&gt;U109),(L109&gt;X109),(L109&gt;AA109),(L109&gt;AD109),(L109&gt;I109),(L109&gt;AG109),(L109&gt;AJ109),(L109&gt;BE109)))-$AM109))</f>
        <v>5</v>
      </c>
      <c r="N109" s="879">
        <f>IF(L109=0,0,IF(L$6=0,0,IF(M109=0,0,((11-M109)))-$B$6))</f>
        <v>3</v>
      </c>
      <c r="O109" s="878">
        <f>0+TEXT(Recording!F164,"00\:00\.00")</f>
        <v>4.4016203703703708E-4</v>
      </c>
      <c r="P109" s="879">
        <f>IF(O109=0,0,IF(O$6=0,0,IF(O109&lt;1,SUM((O109&gt;L109),(O109&gt;I109),(O109&gt;R109),(O109&gt;U109),(O109&gt;X109),(O109&gt;AA109),(O109&gt;AD109),(O109&gt;AG109),(O109&gt;AJ109),(O109&gt;BE109)))-$AM109))</f>
        <v>4</v>
      </c>
      <c r="Q109" s="879">
        <f>IF(O109=0,0,IF(O$6=0,0,IF(P109=0,0,((11-P109)))-$B$6))</f>
        <v>4</v>
      </c>
      <c r="R109" s="878">
        <f>0+TEXT(Recording!G164,"00\:00\.00")</f>
        <v>4.2395833333333332E-4</v>
      </c>
      <c r="S109" s="879">
        <f>IF(R109=0,0,IF(R$6=0,0,IF(R109&lt;1,SUM((R109&gt;L109),(R109&gt;O109),(R109&gt;I109),(R109&gt;U109),(R109&gt;X109),(R109&gt;AA109),(R109&gt;AD109),(R109&gt;AG109),(R109&gt;AJ109),(R109&gt;BE109)))-$AM109))</f>
        <v>3</v>
      </c>
      <c r="T109" s="879">
        <f>IF(R109=0,0,IF(R$6=0,0,IF(S109=0,0,((11-S109)))-$B$6))</f>
        <v>5</v>
      </c>
      <c r="U109" s="878">
        <f>0+TEXT(Recording!H164,"00\:00\.00")</f>
        <v>4.096064814814815E-4</v>
      </c>
      <c r="V109" s="879">
        <f>IF(U109=0,0,IF(U$6=0,0,IF(U109&lt;1,SUM((U109&gt;L109),(U109&gt;O109),(U109&gt;R109),(U109&gt;I109),(U109&gt;X109),(U109&gt;AA109),(U109&gt;AD109),(U109&gt;AG109),(U109&gt;AJ109),(U109&gt;BE109)))-$AM109))</f>
        <v>1</v>
      </c>
      <c r="W109" s="879">
        <f>IF(U109=0,0,IF(U$6=0,0,IF(V109=0,0,((11-V109)))-$B$6))</f>
        <v>7</v>
      </c>
      <c r="X109" s="878">
        <f>0+TEXT(Recording!I164,"00\:00\.00")</f>
        <v>4.0983796296296292E-4</v>
      </c>
      <c r="Y109" s="879">
        <f>IF(X109=0,0,IF(X$6=0,0,IF(X109&lt;1,SUM((X109&gt;L109),(X109&gt;O109),(X109&gt;R109),(X109&gt;U109),(X109&gt;I109),(X109&gt;AA109),(X109&gt;AD109),(X109&gt;AG109),(X109&gt;AJ109),(X109&gt;BE109)))-$AM109))</f>
        <v>2</v>
      </c>
      <c r="Z109" s="879">
        <f>IF(X109=0,0,IF(X$6=0,0,IF(Y109=0,0,((11-Y109)))-$B$6))</f>
        <v>6</v>
      </c>
      <c r="AA109" s="878">
        <f>0+TEXT(Recording!J164,"00\:00\.00")</f>
        <v>5.0486111111111109E-4</v>
      </c>
      <c r="AB109" s="879">
        <f>IF(AA109=0,0,IF(AA$6=0,0,IF(AA109&lt;1,SUM((AA109&gt;L109),(AA109&gt;O109),(AA109&gt;R109),(AA109&gt;U109),(AA109&gt;X109),(AA109&gt;I109),(AA109&gt;AD109),(AA109&gt;AG109),(AA109&gt;AJ109),(AA109&gt;BE109))))-$AM109)</f>
        <v>6</v>
      </c>
      <c r="AC109" s="879">
        <f>IF(AA109=0,0,IF(AA$6=0,0,IF(AB109=0,0,((11-AB109)))-$B$6))</f>
        <v>2</v>
      </c>
      <c r="AD109" s="878">
        <f>0+TEXT(Recording!K164,"00\:00\.00")</f>
        <v>0</v>
      </c>
      <c r="AE109" s="879">
        <f>IF(AD109=0,0,IF(AD$6=0,0,IF(AD109&lt;1,SUM((AD109&gt;L109),(AD109&gt;O109),(AD109&gt;R109),(AD109&gt;U109),(AD109&gt;X109),(AD109&gt;AA109),(AD109&gt;AG109),(AD109&gt;AJ109),(AD109&gt;I109),(AD109&gt;BE109)))-$AM109))</f>
        <v>0</v>
      </c>
      <c r="AF109" s="879">
        <f>IF(AD109=0,0,IF(AD$6=0,0,IF(AE109=0,0,((11-AE109)))-$B$6))</f>
        <v>0</v>
      </c>
      <c r="AG109" s="878">
        <f>0+TEXT(Recording!L164,"00\:00\.00")</f>
        <v>0</v>
      </c>
      <c r="AH109" s="879">
        <f>IF(AG109=0,0,IF(AG$6=0,0,IF(AG109&lt;1,SUM((AG109&gt;I109),(AG109&gt;L109),(AG109&gt;O109),(AG109&gt;R109),(AG109&gt;U109),(AG109&gt;X109),(AG109&gt;AA109),(AG109&gt;AD109),(AG109&gt;AJ109),(AG109&gt;BE109)))-$AM109))</f>
        <v>0</v>
      </c>
      <c r="AI109" s="879">
        <f>IF(AG109=0,0,IF(AG$6=0,0,IF(AH109=0,0,((11-AH109)))-$B$6))</f>
        <v>0</v>
      </c>
      <c r="AJ109" s="878">
        <f>0+TEXT(Recording!M164,"00\:00\.00")</f>
        <v>0</v>
      </c>
      <c r="AK109" s="879">
        <f>IF(AJ109=0,0,IF(AJ$6=0,0,IF(AJ109&lt;1,SUM((AJ109&gt;I109),(AJ109&gt;L109),(AJ109&gt;O109),(AJ109&gt;R109),(AJ109&gt;U109),(AJ109&gt;X109),(AJ109&gt;AA109),(AJ109&gt;AD109),(AJ109&gt;AG109),(AJ109&gt;BE109)))-$AM109))</f>
        <v>0</v>
      </c>
      <c r="AL109" s="989">
        <f>IF(AJ109=0,0,IF(AJ$6=0,0,IF(AK109=0,0,((11-AK109)))-$B$6))</f>
        <v>0</v>
      </c>
      <c r="AM109" s="883">
        <f>COUNTBLANK(I629:R629)</f>
        <v>3</v>
      </c>
      <c r="BL109" s="1033"/>
      <c r="BM109" s="1033"/>
      <c r="BN109" s="1033"/>
      <c r="BO109" s="1033"/>
      <c r="BP109" s="1033"/>
      <c r="BQ109" s="1033"/>
      <c r="BR109" s="1033"/>
      <c r="BS109" s="1033"/>
      <c r="BT109" s="1033"/>
      <c r="BU109" s="1033"/>
    </row>
    <row r="110" spans="2:80" ht="35.25" customHeight="1" x14ac:dyDescent="0.3">
      <c r="B110" s="1349"/>
      <c r="C110" s="1343"/>
      <c r="D110" s="1429"/>
      <c r="E110" s="1350"/>
      <c r="I110" s="1351" t="str">
        <f>PROPER('Team 1'!$I$63)</f>
        <v>Kornel Kern-Konyar</v>
      </c>
      <c r="J110" s="1351"/>
      <c r="K110" s="1351"/>
      <c r="L110" s="1351" t="str">
        <f>PROPER('Team 2'!$I$63)</f>
        <v>Alex Cash</v>
      </c>
      <c r="M110" s="1351"/>
      <c r="N110" s="1351"/>
      <c r="O110" s="1351" t="str">
        <f>PROPER('Team 3'!$I$63)</f>
        <v>Fabio Giambrone</v>
      </c>
      <c r="P110" s="1351"/>
      <c r="Q110" s="1351"/>
      <c r="R110" s="1351" t="str">
        <f>PROPER('Team 4'!$I$63)</f>
        <v>James Mohammed</v>
      </c>
      <c r="S110" s="1351"/>
      <c r="T110" s="1351"/>
      <c r="U110" s="1351" t="str">
        <f>PROPER('Team 5'!$I$63)</f>
        <v>Braden Barnacle</v>
      </c>
      <c r="V110" s="1351"/>
      <c r="W110" s="1351"/>
      <c r="X110" s="1351" t="str">
        <f>PROPER('Team 6'!$I$63)</f>
        <v>Mikhail Fedorov</v>
      </c>
      <c r="Y110" s="1351"/>
      <c r="Z110" s="1351"/>
      <c r="AA110" s="1351" t="str">
        <f>PROPER('Team 7'!$I$63)</f>
        <v>Arush Agarwal</v>
      </c>
      <c r="AB110" s="1351"/>
      <c r="AC110" s="1351"/>
      <c r="AD110" s="1351" t="str">
        <f>PROPER('Team 8'!$I$63)</f>
        <v xml:space="preserve"> </v>
      </c>
      <c r="AE110" s="1351"/>
      <c r="AF110" s="1351"/>
      <c r="AG110" s="1351" t="str">
        <f>PROPER('Team 9'!$I$63)</f>
        <v xml:space="preserve"> </v>
      </c>
      <c r="AH110" s="1351"/>
      <c r="AI110" s="1351"/>
      <c r="AJ110" s="1351" t="str">
        <f>PROPER('Team 10'!$I$63)</f>
        <v xml:space="preserve"> </v>
      </c>
      <c r="AK110" s="1351"/>
      <c r="AL110" s="1351"/>
      <c r="AM110" s="883"/>
      <c r="BL110" s="1033"/>
      <c r="BM110" s="1033"/>
      <c r="BN110" s="1033"/>
      <c r="BO110" s="1033"/>
      <c r="BP110" s="1033"/>
      <c r="BQ110" s="1033"/>
      <c r="BR110" s="1033"/>
      <c r="BS110" s="1033"/>
      <c r="BT110" s="1033"/>
      <c r="BU110" s="1033"/>
    </row>
    <row r="111" spans="2:80" ht="35.25" customHeight="1" x14ac:dyDescent="0.3">
      <c r="B111" s="1349"/>
      <c r="C111" s="1343"/>
      <c r="D111" s="1429"/>
      <c r="E111" s="899" t="s">
        <v>5108</v>
      </c>
      <c r="I111" s="1367">
        <f>Recording!D166</f>
        <v>0</v>
      </c>
      <c r="J111" s="1367"/>
      <c r="K111" s="1367"/>
      <c r="L111" s="1367">
        <f>Recording!E166</f>
        <v>0</v>
      </c>
      <c r="M111" s="1367"/>
      <c r="N111" s="1367"/>
      <c r="O111" s="1367">
        <f>Recording!F166</f>
        <v>0</v>
      </c>
      <c r="P111" s="1367"/>
      <c r="Q111" s="1367"/>
      <c r="R111" s="1367">
        <f>Recording!G166</f>
        <v>0</v>
      </c>
      <c r="S111" s="1367"/>
      <c r="T111" s="1367"/>
      <c r="U111" s="1367">
        <f>Recording!H166</f>
        <v>0</v>
      </c>
      <c r="V111" s="1367"/>
      <c r="W111" s="1367"/>
      <c r="X111" s="1367">
        <f>Recording!I166</f>
        <v>0</v>
      </c>
      <c r="Y111" s="1367"/>
      <c r="Z111" s="1367"/>
      <c r="AA111" s="1367">
        <f>Recording!J166</f>
        <v>0</v>
      </c>
      <c r="AB111" s="1367"/>
      <c r="AC111" s="1367"/>
      <c r="AD111" s="1367">
        <f>Recording!K166</f>
        <v>0</v>
      </c>
      <c r="AE111" s="1367"/>
      <c r="AF111" s="1367"/>
      <c r="AG111" s="1367">
        <f>Recording!L166</f>
        <v>0</v>
      </c>
      <c r="AH111" s="1367"/>
      <c r="AI111" s="1367"/>
      <c r="AJ111" s="1367">
        <f>Recording!M166</f>
        <v>0</v>
      </c>
      <c r="AK111" s="1367"/>
      <c r="AL111" s="1367"/>
      <c r="AM111" s="883"/>
      <c r="BL111" s="1033"/>
      <c r="BM111" s="1033"/>
      <c r="BN111" s="1033"/>
      <c r="BO111" s="1033"/>
      <c r="BP111" s="1033"/>
      <c r="BQ111" s="1033"/>
      <c r="BR111" s="1033"/>
      <c r="BS111" s="1033"/>
      <c r="BT111" s="1033"/>
      <c r="BU111" s="1033"/>
    </row>
    <row r="112" spans="2:80" ht="35.25" customHeight="1" x14ac:dyDescent="0.3">
      <c r="B112" s="1349">
        <v>37</v>
      </c>
      <c r="C112" s="1333" t="s">
        <v>5083</v>
      </c>
      <c r="D112" s="1424" t="s">
        <v>5090</v>
      </c>
      <c r="E112" s="1350" t="s">
        <v>5103</v>
      </c>
      <c r="I112" s="1030">
        <f>0+TEXT(Recording!D168,"00\:00\.00")</f>
        <v>8.0532407407407408E-4</v>
      </c>
      <c r="J112" s="879">
        <f>IF(I112=0,0,IF(I$6=0,0,IF(I112&lt;1,SUM((I112&gt;L112),(I112&gt;O112),(I112&gt;R112),(I112&gt;U112),(I112&gt;X112),(I112&gt;AA112),(I112&gt;AD112),(I112&gt;AG112),(I112&gt;AJ112),(I112&gt;BE112)))-$AM112))</f>
        <v>3</v>
      </c>
      <c r="K112" s="879">
        <f>IF(I112=0,0,IF(I$6=0,0,IF(J112=0,0,((11-J112)))-$B$6))</f>
        <v>5</v>
      </c>
      <c r="L112" s="878">
        <f>0+TEXT(Recording!E168,"00\:00\.00")</f>
        <v>8.2650462962962962E-4</v>
      </c>
      <c r="M112" s="879">
        <f>IF(L112=0,0,IF(L$6=0,0,IF(L112&lt;1,SUM((L112&gt;O112),(L112&gt;R112),(L112&gt;U112),(L112&gt;X112),(L112&gt;AA112),(L112&gt;AD112),(L112&gt;I112),(L112&gt;AG112),(L112&gt;AJ112),(L112&gt;BE112)))-$AM112))</f>
        <v>7</v>
      </c>
      <c r="N112" s="879">
        <f>IF(L112=0,0,IF(L$6=0,0,IF(M112=0,0,((11-M112)))-$B$6))</f>
        <v>1</v>
      </c>
      <c r="O112" s="878">
        <f>0+TEXT(Recording!F168,"00\:00\.00")</f>
        <v>7.6724537037037039E-4</v>
      </c>
      <c r="P112" s="879">
        <f>IF(O112=0,0,IF(O$6=0,0,IF(O112&lt;1,SUM((O112&gt;L112),(O112&gt;I112),(O112&gt;R112),(O112&gt;U112),(O112&gt;X112),(O112&gt;AA112),(O112&gt;AD112),(O112&gt;AG112),(O112&gt;AJ112),(O112&gt;BE112)))-$AM112))</f>
        <v>2</v>
      </c>
      <c r="Q112" s="879">
        <f>IF(O112=0,0,IF(O$6=0,0,IF(P112=0,0,((11-P112)))-$B$6))</f>
        <v>6</v>
      </c>
      <c r="R112" s="878">
        <f>0+TEXT(Recording!G168,"00\:00\.00")</f>
        <v>7.6041666666666662E-4</v>
      </c>
      <c r="S112" s="879">
        <f>IF(R112=0,0,IF(R$6=0,0,IF(R112&lt;1,SUM((R112&gt;L112),(R112&gt;O112),(R112&gt;I112),(R112&gt;U112),(R112&gt;X112),(R112&gt;AA112),(R112&gt;AD112),(R112&gt;AG112),(R112&gt;AJ112),(R112&gt;BE112)))-$AM112))</f>
        <v>1</v>
      </c>
      <c r="T112" s="879">
        <f>IF(R112=0,0,IF(R$6=0,0,IF(S112=0,0,((11-S112)))-$B$6))</f>
        <v>7</v>
      </c>
      <c r="U112" s="878">
        <f>0+TEXT(Recording!H168,"00\:00\.00")</f>
        <v>8.0844907407407395E-4</v>
      </c>
      <c r="V112" s="879">
        <f>IF(U112=0,0,IF(U$6=0,0,IF(U112&lt;1,SUM((U112&gt;L112),(U112&gt;O112),(U112&gt;R112),(U112&gt;I112),(U112&gt;X112),(U112&gt;AA112),(U112&gt;AD112),(U112&gt;AG112),(U112&gt;AJ112),(U112&gt;BE112)))-$AM112))</f>
        <v>5</v>
      </c>
      <c r="W112" s="879">
        <f>IF(U112=0,0,IF(U$6=0,0,IF(V112=0,0,((11-V112)))-$B$6))</f>
        <v>3</v>
      </c>
      <c r="X112" s="878">
        <f>0+TEXT(Recording!I168,"00\:00\.00")</f>
        <v>8.0833333333333321E-4</v>
      </c>
      <c r="Y112" s="879">
        <f>IF(X112=0,0,IF(X$6=0,0,IF(X112&lt;1,SUM((X112&gt;L112),(X112&gt;O112),(X112&gt;R112),(X112&gt;U112),(X112&gt;I112),(X112&gt;AA112),(X112&gt;AD112),(X112&gt;AG112),(X112&gt;AJ112),(X112&gt;BE112)))-$AM112))</f>
        <v>4</v>
      </c>
      <c r="Z112" s="879">
        <f>IF(X112=0,0,IF(X$6=0,0,IF(Y112=0,0,((11-Y112)))-$B$6))</f>
        <v>4</v>
      </c>
      <c r="AA112" s="878">
        <f>0+TEXT(Recording!J168,"00\:00\.00")</f>
        <v>8.1724537037037041E-4</v>
      </c>
      <c r="AB112" s="879">
        <f>IF(AA112=0,0,IF(AA$6=0,0,IF(AA112&lt;1,SUM((AA112&gt;L112),(AA112&gt;O112),(AA112&gt;R112),(AA112&gt;U112),(AA112&gt;X112),(AA112&gt;I112),(AA112&gt;AD112),(AA112&gt;AG112),(AA112&gt;AJ112),(AA112&gt;BE112))))-$AM112)</f>
        <v>6</v>
      </c>
      <c r="AC112" s="879">
        <f>IF(AA112=0,0,IF(AA$6=0,0,IF(AB112=0,0,((11-AB112)))-$B$6))</f>
        <v>2</v>
      </c>
      <c r="AD112" s="878">
        <f>0+TEXT(Recording!K168,"00\:00\.00")</f>
        <v>0</v>
      </c>
      <c r="AE112" s="879">
        <f>IF(AD112=0,0,IF(AD$6=0,0,IF(AD112&lt;1,SUM((AD112&gt;L112),(AD112&gt;O112),(AD112&gt;R112),(AD112&gt;U112),(AD112&gt;X112),(AD112&gt;AA112),(AD112&gt;AG112),(AD112&gt;AJ112),(AD112&gt;I112),(AD112&gt;BE112)))-$AM112))</f>
        <v>0</v>
      </c>
      <c r="AF112" s="879">
        <f>IF(AD112=0,0,IF(AD$6=0,0,IF(AE112=0,0,((11-AE112)))-$B$6))</f>
        <v>0</v>
      </c>
      <c r="AG112" s="878">
        <f>0+TEXT(Recording!L168,"00\:00\.00")</f>
        <v>0</v>
      </c>
      <c r="AH112" s="879">
        <f>IF(AG112=0,0,IF(AG$6=0,0,IF(AG112&lt;1,SUM((AG112&gt;I112),(AG112&gt;L112),(AG112&gt;O112),(AG112&gt;R112),(AG112&gt;U112),(AG112&gt;X112),(AG112&gt;AA112),(AG112&gt;AD112),(AG112&gt;AJ112),(AG112&gt;BE112)))-$AM112))</f>
        <v>0</v>
      </c>
      <c r="AI112" s="879">
        <f>IF(AG112=0,0,IF(AG$6=0,0,IF(AH112=0,0,((11-AH112)))-$B$6))</f>
        <v>0</v>
      </c>
      <c r="AJ112" s="878">
        <f>0+TEXT(Recording!M168,"00\:00\.00")</f>
        <v>0</v>
      </c>
      <c r="AK112" s="879">
        <f>IF(AJ112=0,0,IF(AJ$6=0,0,IF(AJ112&lt;1,SUM((AJ112&gt;I112),(AJ112&gt;L112),(AJ112&gt;O112),(AJ112&gt;R112),(AJ112&gt;U112),(AJ112&gt;X112),(AJ112&gt;AA112),(AJ112&gt;AD112),(AJ112&gt;AG112),(AJ112&gt;BE112)))-$AM112))</f>
        <v>0</v>
      </c>
      <c r="AL112" s="989">
        <f>IF(AJ112=0,0,IF(AJ$6=0,0,IF(AK112=0,0,((11-AK112)))-$B$6))</f>
        <v>0</v>
      </c>
      <c r="AM112" s="883">
        <f>COUNTBLANK(I630:R630)</f>
        <v>3</v>
      </c>
      <c r="BL112" s="1033"/>
      <c r="BM112" s="1033"/>
      <c r="BN112" s="1033"/>
      <c r="BO112" s="1033"/>
      <c r="BP112" s="1033"/>
      <c r="BQ112" s="1033"/>
      <c r="BR112" s="1033"/>
      <c r="BS112" s="1033"/>
      <c r="BT112" s="1033"/>
      <c r="BU112" s="1033"/>
    </row>
    <row r="113" spans="2:73" ht="35.25" customHeight="1" x14ac:dyDescent="0.3">
      <c r="B113" s="1349"/>
      <c r="C113" s="1333"/>
      <c r="D113" s="1424"/>
      <c r="E113" s="1350"/>
      <c r="I113" s="1351" t="str">
        <f>PROPER('Team 1'!$I$64)</f>
        <v>Amy Hanson</v>
      </c>
      <c r="J113" s="1351"/>
      <c r="K113" s="1351"/>
      <c r="L113" s="1351" t="str">
        <f>PROPER('Team 2'!$I$64)</f>
        <v>Gracie Fleming-Jacobs</v>
      </c>
      <c r="M113" s="1351"/>
      <c r="N113" s="1351"/>
      <c r="O113" s="1351" t="str">
        <f>PROPER('Team 3'!$I$64)</f>
        <v>Mia Nelson</v>
      </c>
      <c r="P113" s="1351"/>
      <c r="Q113" s="1351"/>
      <c r="R113" s="1351" t="str">
        <f>PROPER('Team 4'!$I$64)</f>
        <v>Annabella Cojeen</v>
      </c>
      <c r="S113" s="1351"/>
      <c r="T113" s="1351"/>
      <c r="U113" s="1351" t="str">
        <f>PROPER('Team 5'!$I$64)</f>
        <v>Aimee Baker</v>
      </c>
      <c r="V113" s="1351"/>
      <c r="W113" s="1351"/>
      <c r="X113" s="1351" t="str">
        <f>PROPER('Team 6'!$I$64)</f>
        <v>Polina Fedorova</v>
      </c>
      <c r="Y113" s="1351"/>
      <c r="Z113" s="1351"/>
      <c r="AA113" s="1351" t="str">
        <f>PROPER('Team 7'!$I$64)</f>
        <v>Vaari Mepani</v>
      </c>
      <c r="AB113" s="1351"/>
      <c r="AC113" s="1351"/>
      <c r="AD113" s="1351" t="str">
        <f>PROPER('Team 8'!$I$64)</f>
        <v xml:space="preserve"> </v>
      </c>
      <c r="AE113" s="1351"/>
      <c r="AF113" s="1351"/>
      <c r="AG113" s="1351" t="str">
        <f>PROPER('Team 9'!$I$64)</f>
        <v xml:space="preserve"> </v>
      </c>
      <c r="AH113" s="1351"/>
      <c r="AI113" s="1351"/>
      <c r="AJ113" s="1351" t="str">
        <f>PROPER('Team 10'!$I$64)</f>
        <v xml:space="preserve"> </v>
      </c>
      <c r="AK113" s="1351"/>
      <c r="AL113" s="1351"/>
      <c r="AM113" s="883"/>
      <c r="BL113" s="1033"/>
      <c r="BM113" s="1033"/>
      <c r="BN113" s="1033"/>
      <c r="BO113" s="1033"/>
      <c r="BP113" s="1033"/>
      <c r="BQ113" s="1033"/>
      <c r="BR113" s="1033"/>
      <c r="BS113" s="1033"/>
      <c r="BT113" s="1033"/>
      <c r="BU113" s="1033"/>
    </row>
    <row r="114" spans="2:73" ht="35.25" customHeight="1" x14ac:dyDescent="0.3">
      <c r="B114" s="1349"/>
      <c r="C114" s="1333"/>
      <c r="D114" s="1424"/>
      <c r="E114" s="899" t="s">
        <v>5108</v>
      </c>
      <c r="I114" s="1367">
        <f>Recording!D170</f>
        <v>0</v>
      </c>
      <c r="J114" s="1367"/>
      <c r="K114" s="1367"/>
      <c r="L114" s="1367">
        <f>Recording!E170</f>
        <v>0</v>
      </c>
      <c r="M114" s="1367"/>
      <c r="N114" s="1367"/>
      <c r="O114" s="1367">
        <f>Recording!F170</f>
        <v>0</v>
      </c>
      <c r="P114" s="1367"/>
      <c r="Q114" s="1367"/>
      <c r="R114" s="1367">
        <f>Recording!G170</f>
        <v>0</v>
      </c>
      <c r="S114" s="1367"/>
      <c r="T114" s="1367"/>
      <c r="U114" s="1367">
        <f>Recording!H170</f>
        <v>0</v>
      </c>
      <c r="V114" s="1367"/>
      <c r="W114" s="1367"/>
      <c r="X114" s="1367">
        <f>Recording!I170</f>
        <v>0</v>
      </c>
      <c r="Y114" s="1367"/>
      <c r="Z114" s="1367"/>
      <c r="AA114" s="1367">
        <f>Recording!J170</f>
        <v>0</v>
      </c>
      <c r="AB114" s="1367"/>
      <c r="AC114" s="1367"/>
      <c r="AD114" s="1367">
        <f>Recording!K170</f>
        <v>0</v>
      </c>
      <c r="AE114" s="1367"/>
      <c r="AF114" s="1367"/>
      <c r="AG114" s="1367">
        <f>Recording!L170</f>
        <v>0</v>
      </c>
      <c r="AH114" s="1367"/>
      <c r="AI114" s="1367"/>
      <c r="AJ114" s="1367">
        <f>Recording!M170</f>
        <v>0</v>
      </c>
      <c r="AK114" s="1367"/>
      <c r="AL114" s="1367"/>
      <c r="AM114" s="883"/>
      <c r="BL114" s="1033"/>
      <c r="BM114" s="1033"/>
      <c r="BN114" s="1033"/>
      <c r="BO114" s="1033"/>
      <c r="BP114" s="1033"/>
      <c r="BQ114" s="1033"/>
      <c r="BR114" s="1033"/>
      <c r="BS114" s="1033"/>
      <c r="BT114" s="1033"/>
      <c r="BU114" s="1033"/>
    </row>
    <row r="115" spans="2:73" ht="35.25" customHeight="1" x14ac:dyDescent="0.3">
      <c r="B115" s="1349">
        <v>38</v>
      </c>
      <c r="C115" s="1343" t="s">
        <v>5087</v>
      </c>
      <c r="D115" s="1424" t="s">
        <v>5090</v>
      </c>
      <c r="E115" s="1350" t="s">
        <v>5103</v>
      </c>
      <c r="I115" s="1030">
        <f>0+TEXT(Recording!D172,"00\:00\.00")</f>
        <v>7.5578703703703702E-4</v>
      </c>
      <c r="J115" s="879">
        <f>IF(I115=0,0,IF(I$6=0,0,IF(I115&lt;1,SUM((I115&gt;L115),(I115&gt;O115),(I115&gt;R115),(I115&gt;U115),(I115&gt;X115),(I115&gt;AA115),(I115&gt;AD115),(I115&gt;AG115),(I115&gt;AJ115),(I115&gt;BE115)))-$AM115))</f>
        <v>3</v>
      </c>
      <c r="K115" s="879">
        <f>IF(I115=0,0,IF(I$6=0,0,IF(J115=0,0,((11-J115)))-$B$6))</f>
        <v>5</v>
      </c>
      <c r="L115" s="878">
        <f>0+TEXT(Recording!E172,"00\:00\.00")</f>
        <v>7.6261574074074079E-4</v>
      </c>
      <c r="M115" s="879">
        <f>IF(L115=0,0,IF(L$6=0,0,IF(L115&lt;1,SUM((L115&gt;O115),(L115&gt;R115),(L115&gt;U115),(L115&gt;X115),(L115&gt;AA115),(L115&gt;AD115),(L115&gt;I115),(L115&gt;AG115),(L115&gt;AJ115),(L115&gt;BE115)))-$AM115))</f>
        <v>4</v>
      </c>
      <c r="N115" s="879">
        <f>IF(L115=0,0,IF(L$6=0,0,IF(M115=0,0,((11-M115)))-$B$6))</f>
        <v>4</v>
      </c>
      <c r="O115" s="878">
        <f>0+TEXT(Recording!F172,"00\:00\.00")</f>
        <v>7.693287037037036E-4</v>
      </c>
      <c r="P115" s="879">
        <f>IF(O115=0,0,IF(O$6=0,0,IF(O115&lt;1,SUM((O115&gt;L115),(O115&gt;I115),(O115&gt;R115),(O115&gt;U115),(O115&gt;X115),(O115&gt;AA115),(O115&gt;AD115),(O115&gt;AG115),(O115&gt;AJ115),(O115&gt;BE115)))-$AM115))</f>
        <v>5</v>
      </c>
      <c r="Q115" s="879">
        <f>IF(O115=0,0,IF(O$6=0,0,IF(P115=0,0,((11-P115)))-$B$6))</f>
        <v>3</v>
      </c>
      <c r="R115" s="878">
        <f>0+TEXT(Recording!G172,"00\:00\.00")</f>
        <v>8.0902777777777787E-4</v>
      </c>
      <c r="S115" s="879">
        <f>IF(R115=0,0,IF(R$6=0,0,IF(R115&lt;1,SUM((R115&gt;L115),(R115&gt;O115),(R115&gt;I115),(R115&gt;U115),(R115&gt;X115),(R115&gt;AA115),(R115&gt;AD115),(R115&gt;AG115),(R115&gt;AJ115),(R115&gt;BE115)))-$AM115))</f>
        <v>6</v>
      </c>
      <c r="T115" s="879">
        <f>IF(R115=0,0,IF(R$6=0,0,IF(S115=0,0,((11-S115)))-$B$6))</f>
        <v>2</v>
      </c>
      <c r="U115" s="878">
        <f>0+TEXT(Recording!H172,"00\:00\.00")</f>
        <v>9.4976851851851852E-4</v>
      </c>
      <c r="V115" s="879">
        <f>IF(U115=0,0,IF(U$6=0,0,IF(U115&lt;1,SUM((U115&gt;L115),(U115&gt;O115),(U115&gt;R115),(U115&gt;I115),(U115&gt;X115),(U115&gt;AA115),(U115&gt;AD115),(U115&gt;AG115),(U115&gt;AJ115),(U115&gt;BE115)))-$AM115))</f>
        <v>7</v>
      </c>
      <c r="W115" s="879">
        <f>IF(U115=0,0,IF(U$6=0,0,IF(V115=0,0,((11-V115)))-$B$6))</f>
        <v>1</v>
      </c>
      <c r="X115" s="878">
        <f>0+TEXT(Recording!I172,"00\:00\.00")</f>
        <v>7.1898148148148158E-4</v>
      </c>
      <c r="Y115" s="879">
        <f>IF(X115=0,0,IF(X$6=0,0,IF(X115&lt;1,SUM((X115&gt;L115),(X115&gt;O115),(X115&gt;R115),(X115&gt;U115),(X115&gt;I115),(X115&gt;AA115),(X115&gt;AD115),(X115&gt;AG115),(X115&gt;AJ115),(X115&gt;BE115)))-$AM115))</f>
        <v>1</v>
      </c>
      <c r="Z115" s="879">
        <f>IF(X115=0,0,IF(X$6=0,0,IF(Y115=0,0,((11-Y115)))-$B$6))</f>
        <v>7</v>
      </c>
      <c r="AA115" s="878">
        <f>0+TEXT(Recording!J172,"00\:00\.00")</f>
        <v>7.4050925925925933E-4</v>
      </c>
      <c r="AB115" s="879">
        <f>IF(AA115=0,0,IF(AA$6=0,0,IF(AA115&lt;1,SUM((AA115&gt;L115),(AA115&gt;O115),(AA115&gt;R115),(AA115&gt;U115),(AA115&gt;X115),(AA115&gt;I115),(AA115&gt;AD115),(AA115&gt;AG115),(AA115&gt;AJ115),(AA115&gt;BE115))))-$AM115)</f>
        <v>2</v>
      </c>
      <c r="AC115" s="879">
        <f>IF(AA115=0,0,IF(AA$6=0,0,IF(AB115=0,0,((11-AB115)))-$B$6))</f>
        <v>6</v>
      </c>
      <c r="AD115" s="878">
        <f>0+TEXT(Recording!K172,"00\:00\.00")</f>
        <v>0</v>
      </c>
      <c r="AE115" s="879">
        <f>IF(AD115=0,0,IF(AD$6=0,0,IF(AD115&lt;1,SUM((AD115&gt;L115),(AD115&gt;O115),(AD115&gt;R115),(AD115&gt;U115),(AD115&gt;X115),(AD115&gt;AA115),(AD115&gt;AG115),(AD115&gt;AJ115),(AD115&gt;I115),(AD115&gt;BE115)))-$AM115))</f>
        <v>0</v>
      </c>
      <c r="AF115" s="879">
        <f>IF(AD115=0,0,IF(AD$6=0,0,IF(AE115=0,0,((11-AE115)))-$B$6))</f>
        <v>0</v>
      </c>
      <c r="AG115" s="878">
        <f>0+TEXT(Recording!L172,"00\:00\.00")</f>
        <v>0</v>
      </c>
      <c r="AH115" s="879">
        <f>IF(AG115=0,0,IF(AG$6=0,0,IF(AG115&lt;1,SUM((AG115&gt;I115),(AG115&gt;L115),(AG115&gt;O115),(AG115&gt;R115),(AG115&gt;U115),(AG115&gt;X115),(AG115&gt;AA115),(AG115&gt;AD115),(AG115&gt;AJ115),(AG115&gt;BE115)))-$AM115))</f>
        <v>0</v>
      </c>
      <c r="AI115" s="879">
        <f>IF(AG115=0,0,IF(AG$6=0,0,IF(AH115=0,0,((11-AH115)))-$B$6))</f>
        <v>0</v>
      </c>
      <c r="AJ115" s="878">
        <f>0+TEXT(Recording!M172,"00\:00\.00")</f>
        <v>0</v>
      </c>
      <c r="AK115" s="879">
        <f>IF(AJ115=0,0,IF(AJ$6=0,0,IF(AJ115&lt;1,SUM((AJ115&gt;I115),(AJ115&gt;L115),(AJ115&gt;O115),(AJ115&gt;R115),(AJ115&gt;U115),(AJ115&gt;X115),(AJ115&gt;AA115),(AJ115&gt;AD115),(AJ115&gt;AG115),(AJ115&gt;BE115)))-$AM115))</f>
        <v>0</v>
      </c>
      <c r="AL115" s="989">
        <f>IF(AJ115=0,0,IF(AJ$6=0,0,IF(AK115=0,0,((11-AK115)))-$B$6))</f>
        <v>0</v>
      </c>
      <c r="AM115" s="883">
        <f>COUNTBLANK(I631:R631)</f>
        <v>3</v>
      </c>
      <c r="BL115" s="1033"/>
      <c r="BM115" s="1033"/>
      <c r="BN115" s="1033"/>
      <c r="BO115" s="1033"/>
      <c r="BP115" s="1033"/>
      <c r="BQ115" s="1033"/>
      <c r="BR115" s="1033"/>
      <c r="BS115" s="1033"/>
      <c r="BT115" s="1033"/>
      <c r="BU115" s="1033"/>
    </row>
    <row r="116" spans="2:73" ht="35.25" customHeight="1" x14ac:dyDescent="0.3">
      <c r="B116" s="1349"/>
      <c r="C116" s="1343"/>
      <c r="D116" s="1424"/>
      <c r="E116" s="1350"/>
      <c r="I116" s="1351" t="str">
        <f>PROPER('Team 1'!$I$65)</f>
        <v>Yigit Ilhan</v>
      </c>
      <c r="J116" s="1351"/>
      <c r="K116" s="1351"/>
      <c r="L116" s="1351" t="str">
        <f>PROPER('Team 2'!$I$65)</f>
        <v>Joseph Bagshaw</v>
      </c>
      <c r="M116" s="1351"/>
      <c r="N116" s="1351"/>
      <c r="O116" s="1351" t="str">
        <f>PROPER('Team 3'!$I$65)</f>
        <v>Mikhail Zharinov</v>
      </c>
      <c r="P116" s="1351"/>
      <c r="Q116" s="1351"/>
      <c r="R116" s="1351" t="str">
        <f>PROPER('Team 4'!$I$65)</f>
        <v>Riley Bunce</v>
      </c>
      <c r="S116" s="1351"/>
      <c r="T116" s="1351"/>
      <c r="U116" s="1351" t="str">
        <f>PROPER('Team 5'!$I$65)</f>
        <v>Mohammed Malek</v>
      </c>
      <c r="V116" s="1351"/>
      <c r="W116" s="1351"/>
      <c r="X116" s="1351" t="str">
        <f>PROPER('Team 6'!$I$65)</f>
        <v>Gert  Zeqiri</v>
      </c>
      <c r="Y116" s="1351"/>
      <c r="Z116" s="1351"/>
      <c r="AA116" s="1351" t="str">
        <f>PROPER('Team 7'!$I$65)</f>
        <v>Daniel Celi</v>
      </c>
      <c r="AB116" s="1351"/>
      <c r="AC116" s="1351"/>
      <c r="AD116" s="1351" t="str">
        <f>PROPER('Team 8'!$I$65)</f>
        <v xml:space="preserve"> </v>
      </c>
      <c r="AE116" s="1351"/>
      <c r="AF116" s="1351"/>
      <c r="AG116" s="1351" t="str">
        <f>PROPER('Team 9'!$I$65)</f>
        <v xml:space="preserve"> </v>
      </c>
      <c r="AH116" s="1351"/>
      <c r="AI116" s="1351"/>
      <c r="AJ116" s="1351" t="str">
        <f>PROPER('Team 10'!$I$65)</f>
        <v xml:space="preserve"> </v>
      </c>
      <c r="AK116" s="1351"/>
      <c r="AL116" s="1351"/>
      <c r="AM116" s="883"/>
      <c r="BL116" s="1033"/>
      <c r="BM116" s="1033"/>
      <c r="BN116" s="1033"/>
      <c r="BO116" s="1033"/>
      <c r="BP116" s="1033"/>
      <c r="BQ116" s="1033"/>
      <c r="BR116" s="1033"/>
      <c r="BS116" s="1033"/>
      <c r="BT116" s="1033"/>
      <c r="BU116" s="1033"/>
    </row>
    <row r="117" spans="2:73" ht="35.25" customHeight="1" x14ac:dyDescent="0.3">
      <c r="B117" s="1349"/>
      <c r="C117" s="1343"/>
      <c r="D117" s="1424"/>
      <c r="E117" s="899" t="s">
        <v>5108</v>
      </c>
      <c r="I117" s="1367">
        <f>Recording!D174</f>
        <v>0</v>
      </c>
      <c r="J117" s="1367"/>
      <c r="K117" s="1367"/>
      <c r="L117" s="1367">
        <f>Recording!E174</f>
        <v>0</v>
      </c>
      <c r="M117" s="1367"/>
      <c r="N117" s="1367"/>
      <c r="O117" s="1367">
        <f>Recording!F174</f>
        <v>0</v>
      </c>
      <c r="P117" s="1367"/>
      <c r="Q117" s="1367"/>
      <c r="R117" s="1367">
        <f>Recording!G174</f>
        <v>0</v>
      </c>
      <c r="S117" s="1367"/>
      <c r="T117" s="1367"/>
      <c r="U117" s="1367">
        <f>Recording!H174</f>
        <v>0</v>
      </c>
      <c r="V117" s="1367"/>
      <c r="W117" s="1367"/>
      <c r="X117" s="1367">
        <f>Recording!I174</f>
        <v>0</v>
      </c>
      <c r="Y117" s="1367"/>
      <c r="Z117" s="1367"/>
      <c r="AA117" s="1367">
        <f>Recording!J174</f>
        <v>0</v>
      </c>
      <c r="AB117" s="1367"/>
      <c r="AC117" s="1367"/>
      <c r="AD117" s="1367">
        <f>Recording!K174</f>
        <v>0</v>
      </c>
      <c r="AE117" s="1367"/>
      <c r="AF117" s="1367"/>
      <c r="AG117" s="1367">
        <f>Recording!L174</f>
        <v>0</v>
      </c>
      <c r="AH117" s="1367"/>
      <c r="AI117" s="1367"/>
      <c r="AJ117" s="1367">
        <f>Recording!M174</f>
        <v>0</v>
      </c>
      <c r="AK117" s="1367"/>
      <c r="AL117" s="1367"/>
      <c r="AM117" s="883"/>
      <c r="BL117" s="1033"/>
      <c r="BM117" s="1033"/>
      <c r="BN117" s="1033"/>
      <c r="BO117" s="1033"/>
      <c r="BP117" s="1033"/>
      <c r="BQ117" s="1033"/>
      <c r="BR117" s="1033"/>
      <c r="BS117" s="1033"/>
      <c r="BT117" s="1033"/>
      <c r="BU117" s="1033"/>
    </row>
    <row r="118" spans="2:73" ht="35.25" customHeight="1" x14ac:dyDescent="0.3">
      <c r="B118" s="1349">
        <v>39</v>
      </c>
      <c r="C118" s="1333" t="s">
        <v>5083</v>
      </c>
      <c r="D118" s="1424" t="s">
        <v>5092</v>
      </c>
      <c r="E118" s="1350" t="s">
        <v>5097</v>
      </c>
      <c r="I118" s="1030">
        <f>0+TEXT(Recording!D176,"00\:00\.00")</f>
        <v>1.0129629629629631E-3</v>
      </c>
      <c r="J118" s="879">
        <f>IF(I118=0,0,IF(I$6=0,0,IF(I118&lt;1,SUM((I118&gt;L118),(I118&gt;O118),(I118&gt;R118),(I118&gt;U118),(I118&gt;X118),(I118&gt;AA118),(I118&gt;AD118),(I118&gt;AG118),(I118&gt;AJ118),(I118&gt;BE118)))-$AM118))</f>
        <v>5</v>
      </c>
      <c r="K118" s="879">
        <f>IF(I118=0,0,IF(I$6=0,0,IF(J118=0,0,((11-J118)))-$B$6))</f>
        <v>3</v>
      </c>
      <c r="L118" s="878">
        <f>0+TEXT(Recording!E176,"00\:00\.00")</f>
        <v>1.0931712962962963E-3</v>
      </c>
      <c r="M118" s="879">
        <f>IF(L118=0,0,IF(L$6=0,0,IF(L118&lt;1,SUM((L118&gt;O118),(L118&gt;R118),(L118&gt;U118),(L118&gt;X118),(L118&gt;AA118),(L118&gt;AD118),(L118&gt;I118),(L118&gt;AG118),(L118&gt;AJ118),(L118&gt;BE118)))-$AM118))</f>
        <v>7</v>
      </c>
      <c r="N118" s="879">
        <f>IF(L118=0,0,IF(L$6=0,0,IF(M118=0,0,((11-M118)))-$B$6))</f>
        <v>1</v>
      </c>
      <c r="O118" s="878">
        <f>0+TEXT(Recording!F176,"00\:00\.00")</f>
        <v>9.5104166666666655E-4</v>
      </c>
      <c r="P118" s="879">
        <f>IF(O118=0,0,IF(O$6=0,0,IF(O118&lt;1,SUM((O118&gt;L118),(O118&gt;I118),(O118&gt;R118),(O118&gt;U118),(O118&gt;X118),(O118&gt;AA118),(O118&gt;AD118),(O118&gt;AG118),(O118&gt;AJ118),(O118&gt;BE118)))-$AM118))</f>
        <v>2</v>
      </c>
      <c r="Q118" s="879">
        <f>IF(O118=0,0,IF(O$6=0,0,IF(P118=0,0,((11-P118)))-$B$6))</f>
        <v>6</v>
      </c>
      <c r="R118" s="878">
        <f>0+TEXT(Recording!G176,"00\:00\.00")</f>
        <v>1.0902777777777779E-3</v>
      </c>
      <c r="S118" s="879">
        <f>IF(R118=0,0,IF(R$6=0,0,IF(R118&lt;1,SUM((R118&gt;L118),(R118&gt;O118),(R118&gt;I118),(R118&gt;U118),(R118&gt;X118),(R118&gt;AA118),(R118&gt;AD118),(R118&gt;AG118),(R118&gt;AJ118),(R118&gt;BE118)))-$AM118))</f>
        <v>6</v>
      </c>
      <c r="T118" s="879">
        <f>IF(R118=0,0,IF(R$6=0,0,IF(S118=0,0,((11-S118)))-$B$6))</f>
        <v>2</v>
      </c>
      <c r="U118" s="878">
        <f>0+TEXT(Recording!H176,"00\:00\.00")</f>
        <v>9.3217592592592603E-4</v>
      </c>
      <c r="V118" s="879">
        <f>IF(U118=0,0,IF(U$6=0,0,IF(U118&lt;1,SUM((U118&gt;L118),(U118&gt;O118),(U118&gt;R118),(U118&gt;I118),(U118&gt;X118),(U118&gt;AA118),(U118&gt;AD118),(U118&gt;AG118),(U118&gt;AJ118),(U118&gt;BE118)))-$AM118))</f>
        <v>1</v>
      </c>
      <c r="W118" s="879">
        <f>IF(U118=0,0,IF(U$6=0,0,IF(V118=0,0,((11-V118)))-$B$6))</f>
        <v>7</v>
      </c>
      <c r="X118" s="878">
        <f>0+TEXT(Recording!I176,"00\:00\.00")</f>
        <v>9.9178240740740759E-4</v>
      </c>
      <c r="Y118" s="879">
        <f>IF(X118=0,0,IF(X$6=0,0,IF(X118&lt;1,SUM((X118&gt;L118),(X118&gt;O118),(X118&gt;R118),(X118&gt;U118),(X118&gt;I118),(X118&gt;AA118),(X118&gt;AD118),(X118&gt;AG118),(X118&gt;AJ118),(X118&gt;BE118)))-$AM118))</f>
        <v>4</v>
      </c>
      <c r="Z118" s="879">
        <f>IF(X118=0,0,IF(X$6=0,0,IF(Y118=0,0,((11-Y118)))-$B$6))</f>
        <v>4</v>
      </c>
      <c r="AA118" s="878">
        <f>0+TEXT(Recording!J176,"00\:00\.00")</f>
        <v>9.6168981481481485E-4</v>
      </c>
      <c r="AB118" s="879">
        <f>IF(AA118=0,0,IF(AA$6=0,0,IF(AA118&lt;1,SUM((AA118&gt;L118),(AA118&gt;O118),(AA118&gt;R118),(AA118&gt;U118),(AA118&gt;X118),(AA118&gt;I118),(AA118&gt;AD118),(AA118&gt;AG118),(AA118&gt;AJ118),(AA118&gt;BE118))))-$AM118)</f>
        <v>3</v>
      </c>
      <c r="AC118" s="879">
        <f>IF(AA118=0,0,IF(AA$6=0,0,IF(AB118=0,0,((11-AB118)))-$B$6))</f>
        <v>5</v>
      </c>
      <c r="AD118" s="878">
        <f>0+TEXT(Recording!K176,"00\:00\.00")</f>
        <v>0</v>
      </c>
      <c r="AE118" s="879">
        <f>IF(AD118=0,0,IF(AD$6=0,0,IF(AD118&lt;1,SUM((AD118&gt;L118),(AD118&gt;O118),(AD118&gt;R118),(AD118&gt;U118),(AD118&gt;X118),(AD118&gt;AA118),(AD118&gt;AG118),(AD118&gt;AJ118),(AD118&gt;I118),(AD118&gt;BE118)))-$AM118))</f>
        <v>0</v>
      </c>
      <c r="AF118" s="879">
        <f>IF(AD118=0,0,IF(AD$6=0,0,IF(AE118=0,0,((11-AE118)))-$B$6))</f>
        <v>0</v>
      </c>
      <c r="AG118" s="878">
        <f>0+TEXT(Recording!L176,"00\:00\.00")</f>
        <v>0</v>
      </c>
      <c r="AH118" s="879">
        <f>IF(AG118=0,0,IF(AG$6=0,0,IF(AG118&lt;1,SUM((AG118&gt;I118),(AG118&gt;L118),(AG118&gt;O118),(AG118&gt;R118),(AG118&gt;U118),(AG118&gt;X118),(AG118&gt;AA118),(AG118&gt;AD118),(AG118&gt;AJ118),(AG118&gt;BE118)))-$AM118))</f>
        <v>0</v>
      </c>
      <c r="AI118" s="879">
        <f>IF(AG118=0,0,IF(AG$6=0,0,IF(AH118=0,0,((11-AH118)))-$B$6))</f>
        <v>0</v>
      </c>
      <c r="AJ118" s="878">
        <f>0+TEXT(Recording!M176,"00\:00\.00")</f>
        <v>0</v>
      </c>
      <c r="AK118" s="879">
        <f>IF(AJ118=0,0,IF(AJ$6=0,0,IF(AJ118&lt;1,SUM((AJ118&gt;I118),(AJ118&gt;L118),(AJ118&gt;O118),(AJ118&gt;R118),(AJ118&gt;U118),(AJ118&gt;X118),(AJ118&gt;AA118),(AJ118&gt;AD118),(AJ118&gt;AG118),(AJ118&gt;BE118)))-$AM118))</f>
        <v>0</v>
      </c>
      <c r="AL118" s="989">
        <f>IF(AJ118=0,0,IF(AJ$6=0,0,IF(AK118=0,0,((11-AK118)))-$B$6))</f>
        <v>0</v>
      </c>
      <c r="AM118" s="883">
        <f>COUNTBLANK(I632:R632)</f>
        <v>3</v>
      </c>
      <c r="BL118" s="1033"/>
      <c r="BM118" s="1033"/>
      <c r="BN118" s="1033"/>
      <c r="BO118" s="1033"/>
      <c r="BP118" s="1033"/>
      <c r="BQ118" s="1033"/>
      <c r="BR118" s="1033"/>
      <c r="BS118" s="1033"/>
      <c r="BT118" s="1033"/>
      <c r="BU118" s="1033"/>
    </row>
    <row r="119" spans="2:73" ht="35.25" customHeight="1" x14ac:dyDescent="0.3">
      <c r="B119" s="1349"/>
      <c r="C119" s="1333"/>
      <c r="D119" s="1424"/>
      <c r="E119" s="1350"/>
      <c r="I119" s="1351" t="str">
        <f>PROPER('Team 1'!$I$66)</f>
        <v>Taisia Flury</v>
      </c>
      <c r="J119" s="1351"/>
      <c r="K119" s="1351"/>
      <c r="L119" s="1351" t="str">
        <f>PROPER('Team 2'!$I$66)</f>
        <v>Daisy Harradine</v>
      </c>
      <c r="M119" s="1351"/>
      <c r="N119" s="1351"/>
      <c r="O119" s="1351" t="str">
        <f>PROPER('Team 3'!$I$66)</f>
        <v>Molly Bartup</v>
      </c>
      <c r="P119" s="1351"/>
      <c r="Q119" s="1351"/>
      <c r="R119" s="1351" t="str">
        <f>PROPER('Team 4'!$I$66)</f>
        <v>Zahra Waller</v>
      </c>
      <c r="S119" s="1351"/>
      <c r="T119" s="1351"/>
      <c r="U119" s="1351" t="str">
        <f>PROPER('Team 5'!$I$66)</f>
        <v>Hollie Heighes</v>
      </c>
      <c r="V119" s="1351"/>
      <c r="W119" s="1351"/>
      <c r="X119" s="1351" t="str">
        <f>PROPER('Team 6'!$I$66)</f>
        <v>Mina Safahe</v>
      </c>
      <c r="Y119" s="1351"/>
      <c r="Z119" s="1351"/>
      <c r="AA119" s="1351" t="str">
        <f>PROPER('Team 7'!$I$66)</f>
        <v>Keira Brannigan</v>
      </c>
      <c r="AB119" s="1351"/>
      <c r="AC119" s="1351"/>
      <c r="AD119" s="1351" t="str">
        <f>PROPER('Team 8'!$I$66)</f>
        <v xml:space="preserve"> </v>
      </c>
      <c r="AE119" s="1351"/>
      <c r="AF119" s="1351"/>
      <c r="AG119" s="1351" t="str">
        <f>PROPER('Team 9'!$I$66)</f>
        <v xml:space="preserve"> </v>
      </c>
      <c r="AH119" s="1351"/>
      <c r="AI119" s="1351"/>
      <c r="AJ119" s="1351" t="str">
        <f>PROPER('Team 10'!$I$66)</f>
        <v xml:space="preserve"> </v>
      </c>
      <c r="AK119" s="1351"/>
      <c r="AL119" s="1351"/>
      <c r="AM119" s="883"/>
      <c r="BL119" s="1033"/>
      <c r="BM119" s="1033"/>
      <c r="BN119" s="1033"/>
      <c r="BO119" s="1033"/>
      <c r="BP119" s="1033"/>
      <c r="BQ119" s="1033"/>
      <c r="BR119" s="1033"/>
      <c r="BS119" s="1033"/>
      <c r="BT119" s="1033"/>
      <c r="BU119" s="1033"/>
    </row>
    <row r="120" spans="2:73" ht="35.25" customHeight="1" x14ac:dyDescent="0.3">
      <c r="B120" s="1349"/>
      <c r="C120" s="1333"/>
      <c r="D120" s="1424"/>
      <c r="E120" s="899" t="s">
        <v>5108</v>
      </c>
      <c r="I120" s="1367">
        <f>Recording!D178</f>
        <v>0</v>
      </c>
      <c r="J120" s="1367"/>
      <c r="K120" s="1367"/>
      <c r="L120" s="1367">
        <f>Recording!E178</f>
        <v>0</v>
      </c>
      <c r="M120" s="1367"/>
      <c r="N120" s="1367"/>
      <c r="O120" s="1367">
        <f>Recording!F178</f>
        <v>0</v>
      </c>
      <c r="P120" s="1367"/>
      <c r="Q120" s="1367"/>
      <c r="R120" s="1367">
        <f>Recording!G178</f>
        <v>0</v>
      </c>
      <c r="S120" s="1367"/>
      <c r="T120" s="1367"/>
      <c r="U120" s="1367">
        <f>Recording!H178</f>
        <v>0</v>
      </c>
      <c r="V120" s="1367"/>
      <c r="W120" s="1367"/>
      <c r="X120" s="1367">
        <f>Recording!I178</f>
        <v>0</v>
      </c>
      <c r="Y120" s="1367"/>
      <c r="Z120" s="1367"/>
      <c r="AA120" s="1367">
        <f>Recording!J178</f>
        <v>0</v>
      </c>
      <c r="AB120" s="1367"/>
      <c r="AC120" s="1367"/>
      <c r="AD120" s="1367">
        <f>Recording!K178</f>
        <v>0</v>
      </c>
      <c r="AE120" s="1367"/>
      <c r="AF120" s="1367"/>
      <c r="AG120" s="1367">
        <f>Recording!L178</f>
        <v>0</v>
      </c>
      <c r="AH120" s="1367"/>
      <c r="AI120" s="1367"/>
      <c r="AJ120" s="1367">
        <f>Recording!M178</f>
        <v>0</v>
      </c>
      <c r="AK120" s="1367"/>
      <c r="AL120" s="1367"/>
      <c r="AM120" s="883"/>
      <c r="BL120" s="1033"/>
      <c r="BM120" s="1033"/>
      <c r="BN120" s="1033"/>
      <c r="BO120" s="1033"/>
      <c r="BP120" s="1033"/>
      <c r="BQ120" s="1033"/>
      <c r="BR120" s="1033"/>
      <c r="BS120" s="1033"/>
      <c r="BT120" s="1033"/>
      <c r="BU120" s="1033"/>
    </row>
    <row r="121" spans="2:73" ht="35.25" customHeight="1" x14ac:dyDescent="0.3">
      <c r="B121" s="1349">
        <v>40</v>
      </c>
      <c r="C121" s="1343" t="s">
        <v>5087</v>
      </c>
      <c r="D121" s="1424" t="s">
        <v>5092</v>
      </c>
      <c r="E121" s="1350" t="s">
        <v>5097</v>
      </c>
      <c r="I121" s="1030">
        <f>0+TEXT(Recording!D180,"00\:00\.00")</f>
        <v>1.0069444444444444E-3</v>
      </c>
      <c r="J121" s="879">
        <f>IF(I121=0,0,IF(I$6=0,0,IF(I121&lt;1,SUM((I121&gt;L121),(I121&gt;O121),(I121&gt;R121),(I121&gt;U121),(I121&gt;X121),(I121&gt;AA121),(I121&gt;AD121),(I121&gt;AG121),(I121&gt;AJ121),(I121&gt;BE121)))-$AM121))</f>
        <v>7</v>
      </c>
      <c r="K121" s="879">
        <f>IF(I121=0,0,IF(I$6=0,0,IF(J121=0,0,((11-J121)))-$B$6))</f>
        <v>1</v>
      </c>
      <c r="L121" s="878">
        <f>0+TEXT(Recording!E180,"00\:00\.00")</f>
        <v>9.3819444444444451E-4</v>
      </c>
      <c r="M121" s="879">
        <f>IF(L121=0,0,IF(L$6=0,0,IF(L121&lt;1,SUM((L121&gt;O121),(L121&gt;R121),(L121&gt;U121),(L121&gt;X121),(L121&gt;AA121),(L121&gt;AD121),(L121&gt;I121),(L121&gt;AG121),(L121&gt;AJ121),(L121&gt;BE121)))-$AM121))</f>
        <v>6</v>
      </c>
      <c r="N121" s="879">
        <f>IF(L121=0,0,IF(L$6=0,0,IF(M121=0,0,((11-M121)))-$B$6))</f>
        <v>2</v>
      </c>
      <c r="O121" s="878">
        <f>0+TEXT(Recording!F180,"00\:00\.00")</f>
        <v>9.0844907407407411E-4</v>
      </c>
      <c r="P121" s="879">
        <f>IF(O121=0,0,IF(O$6=0,0,IF(O121&lt;1,SUM((O121&gt;L121),(O121&gt;I121),(O121&gt;R121),(O121&gt;U121),(O121&gt;X121),(O121&gt;AA121),(O121&gt;AD121),(O121&gt;AG121),(O121&gt;AJ121),(O121&gt;BE121)))-$AM121))</f>
        <v>3</v>
      </c>
      <c r="Q121" s="879">
        <f>IF(O121=0,0,IF(O$6=0,0,IF(P121=0,0,((11-P121)))-$B$6))</f>
        <v>5</v>
      </c>
      <c r="R121" s="878">
        <f>0+TEXT(Recording!G180,"00\:00\.00")</f>
        <v>9.0567129629629635E-4</v>
      </c>
      <c r="S121" s="879">
        <f>IF(R121=0,0,IF(R$6=0,0,IF(R121&lt;1,SUM((R121&gt;L121),(R121&gt;O121),(R121&gt;I121),(R121&gt;U121),(R121&gt;X121),(R121&gt;AA121),(R121&gt;AD121),(R121&gt;AG121),(R121&gt;AJ121),(R121&gt;BE121)))-$AM121))</f>
        <v>1</v>
      </c>
      <c r="T121" s="879">
        <f>IF(R121=0,0,IF(R$6=0,0,IF(S121=0,0,((11-S121)))-$B$6))</f>
        <v>7</v>
      </c>
      <c r="U121" s="878">
        <f>0+TEXT(Recording!H180,"00\:00\.00")</f>
        <v>9.0636574074074068E-4</v>
      </c>
      <c r="V121" s="879">
        <f>IF(U121=0,0,IF(U$6=0,0,IF(U121&lt;1,SUM((U121&gt;L121),(U121&gt;O121),(U121&gt;R121),(U121&gt;I121),(U121&gt;X121),(U121&gt;AA121),(U121&gt;AD121),(U121&gt;AG121),(U121&gt;AJ121),(U121&gt;BE121)))-$AM121))</f>
        <v>2</v>
      </c>
      <c r="W121" s="879">
        <f>IF(U121=0,0,IF(U$6=0,0,IF(V121=0,0,((11-V121)))-$B$6))</f>
        <v>6</v>
      </c>
      <c r="X121" s="878">
        <f>0+TEXT(Recording!I180,"00\:00\.00")</f>
        <v>9.1944444444444452E-4</v>
      </c>
      <c r="Y121" s="879">
        <f>IF(X121=0,0,IF(X$6=0,0,IF(X121&lt;1,SUM((X121&gt;L121),(X121&gt;O121),(X121&gt;R121),(X121&gt;U121),(X121&gt;I121),(X121&gt;AA121),(X121&gt;AD121),(X121&gt;AG121),(X121&gt;AJ121),(X121&gt;BE121)))-$AM121))</f>
        <v>5</v>
      </c>
      <c r="Z121" s="879">
        <f>IF(X121=0,0,IF(X$6=0,0,IF(Y121=0,0,((11-Y121)))-$B$6))</f>
        <v>3</v>
      </c>
      <c r="AA121" s="878">
        <f>0+TEXT(Recording!J180,"00\:00\.00")</f>
        <v>9.109953703703705E-4</v>
      </c>
      <c r="AB121" s="879">
        <f>IF(AA121=0,0,IF(AA$6=0,0,IF(AA121&lt;1,SUM((AA121&gt;L121),(AA121&gt;O121),(AA121&gt;R121),(AA121&gt;U121),(AA121&gt;X121),(AA121&gt;I121),(AA121&gt;AD121),(AA121&gt;AG121),(AA121&gt;AJ121),(AA121&gt;BE121))))-$AM121)</f>
        <v>4</v>
      </c>
      <c r="AC121" s="879">
        <f>IF(AA121=0,0,IF(AA$6=0,0,IF(AB121=0,0,((11-AB121)))-$B$6))</f>
        <v>4</v>
      </c>
      <c r="AD121" s="878">
        <f>0+TEXT(Recording!K180,"00\:00\.00")</f>
        <v>0</v>
      </c>
      <c r="AE121" s="879">
        <f>IF(AD121=0,0,IF(AD$6=0,0,IF(AD121&lt;1,SUM((AD121&gt;L121),(AD121&gt;O121),(AD121&gt;R121),(AD121&gt;U121),(AD121&gt;X121),(AD121&gt;AA121),(AD121&gt;AG121),(AD121&gt;AJ121),(AD121&gt;I121),(AD121&gt;BE121)))-$AM121))</f>
        <v>0</v>
      </c>
      <c r="AF121" s="879">
        <f>IF(AD121=0,0,IF(AD$6=0,0,IF(AE121=0,0,((11-AE121)))-$B$6))</f>
        <v>0</v>
      </c>
      <c r="AG121" s="878">
        <f>0+TEXT(Recording!L180,"00\:00\.00")</f>
        <v>0</v>
      </c>
      <c r="AH121" s="879">
        <f>IF(AG121=0,0,IF(AG$6=0,0,IF(AG121&lt;1,SUM((AG121&gt;I121),(AG121&gt;L121),(AG121&gt;O121),(AG121&gt;R121),(AG121&gt;U121),(AG121&gt;X121),(AG121&gt;AA121),(AG121&gt;AD121),(AG121&gt;AJ121),(AG121&gt;BE121)))-$AM121))</f>
        <v>0</v>
      </c>
      <c r="AI121" s="879">
        <f>IF(AG121=0,0,IF(AG$6=0,0,IF(AH121=0,0,((11-AH121)))-$B$6))</f>
        <v>0</v>
      </c>
      <c r="AJ121" s="878">
        <f>0+TEXT(Recording!M180,"00\:00\.00")</f>
        <v>0</v>
      </c>
      <c r="AK121" s="879">
        <f>IF(AJ121=0,0,IF(AJ$6=0,0,IF(AJ121&lt;1,SUM((AJ121&gt;I121),(AJ121&gt;L121),(AJ121&gt;O121),(AJ121&gt;R121),(AJ121&gt;U121),(AJ121&gt;X121),(AJ121&gt;AA121),(AJ121&gt;AD121),(AJ121&gt;AG121),(AJ121&gt;BE121)))-$AM121))</f>
        <v>0</v>
      </c>
      <c r="AL121" s="989">
        <f>IF(AJ121=0,0,IF(AJ$6=0,0,IF(AK121=0,0,((11-AK121)))-$B$6))</f>
        <v>0</v>
      </c>
      <c r="AM121" s="883">
        <f>COUNTBLANK(I633:R633)</f>
        <v>3</v>
      </c>
      <c r="BL121" s="1033"/>
      <c r="BM121" s="1033"/>
      <c r="BN121" s="1033"/>
      <c r="BO121" s="1033"/>
      <c r="BP121" s="1033"/>
      <c r="BQ121" s="1033"/>
      <c r="BR121" s="1033"/>
      <c r="BS121" s="1033"/>
      <c r="BT121" s="1033"/>
      <c r="BU121" s="1033"/>
    </row>
    <row r="122" spans="2:73" ht="35.25" customHeight="1" x14ac:dyDescent="0.3">
      <c r="B122" s="1349"/>
      <c r="C122" s="1343"/>
      <c r="D122" s="1424"/>
      <c r="E122" s="1350"/>
      <c r="I122" s="1351" t="str">
        <f>PROPER('Team 1'!$I$67)</f>
        <v>Michael Manassero</v>
      </c>
      <c r="J122" s="1351"/>
      <c r="K122" s="1351"/>
      <c r="L122" s="1351" t="str">
        <f>PROPER('Team 2'!$I$67)</f>
        <v>Samuel Heraty</v>
      </c>
      <c r="M122" s="1351"/>
      <c r="N122" s="1351"/>
      <c r="O122" s="1351" t="str">
        <f>PROPER('Team 3'!$I$67)</f>
        <v>Theo Smith</v>
      </c>
      <c r="P122" s="1351"/>
      <c r="Q122" s="1351"/>
      <c r="R122" s="1351" t="str">
        <f>PROPER('Team 4'!$I$67)</f>
        <v>Rafi Gibson</v>
      </c>
      <c r="S122" s="1351"/>
      <c r="T122" s="1351"/>
      <c r="U122" s="1351" t="str">
        <f>PROPER('Team 5'!$I$67)</f>
        <v>Nathaniel Coburn</v>
      </c>
      <c r="V122" s="1351"/>
      <c r="W122" s="1351"/>
      <c r="X122" s="1351" t="str">
        <f>PROPER('Team 6'!$I$67)</f>
        <v>Gabriel Rebelo</v>
      </c>
      <c r="Y122" s="1351"/>
      <c r="Z122" s="1351"/>
      <c r="AA122" s="1351" t="str">
        <f>PROPER('Team 7'!$I$67)</f>
        <v>Advay Bhatia</v>
      </c>
      <c r="AB122" s="1351"/>
      <c r="AC122" s="1351"/>
      <c r="AD122" s="1351" t="str">
        <f>PROPER('Team 8'!$I$67)</f>
        <v xml:space="preserve"> </v>
      </c>
      <c r="AE122" s="1351"/>
      <c r="AF122" s="1351"/>
      <c r="AG122" s="1351" t="str">
        <f>PROPER('Team 9'!$I$67)</f>
        <v xml:space="preserve"> </v>
      </c>
      <c r="AH122" s="1351"/>
      <c r="AI122" s="1351"/>
      <c r="AJ122" s="1351" t="str">
        <f>PROPER('Team 10'!$I$67)</f>
        <v xml:space="preserve"> </v>
      </c>
      <c r="AK122" s="1351"/>
      <c r="AL122" s="1351"/>
      <c r="AM122" s="883"/>
      <c r="BL122" s="1033"/>
      <c r="BM122" s="1033"/>
      <c r="BN122" s="1033"/>
      <c r="BO122" s="1033"/>
      <c r="BP122" s="1033"/>
      <c r="BQ122" s="1033"/>
      <c r="BR122" s="1033"/>
      <c r="BS122" s="1033"/>
      <c r="BT122" s="1033"/>
      <c r="BU122" s="1033"/>
    </row>
    <row r="123" spans="2:73" ht="35.25" customHeight="1" x14ac:dyDescent="0.3">
      <c r="B123" s="1349"/>
      <c r="C123" s="1343"/>
      <c r="D123" s="1424"/>
      <c r="E123" s="899" t="s">
        <v>5108</v>
      </c>
      <c r="I123" s="1367">
        <f>Recording!D182</f>
        <v>0</v>
      </c>
      <c r="J123" s="1367"/>
      <c r="K123" s="1367"/>
      <c r="L123" s="1367">
        <f>Recording!E182</f>
        <v>0</v>
      </c>
      <c r="M123" s="1367"/>
      <c r="N123" s="1367"/>
      <c r="O123" s="1367">
        <f>Recording!F182</f>
        <v>0</v>
      </c>
      <c r="P123" s="1367"/>
      <c r="Q123" s="1367"/>
      <c r="R123" s="1367">
        <f>Recording!G182</f>
        <v>0</v>
      </c>
      <c r="S123" s="1367"/>
      <c r="T123" s="1367"/>
      <c r="U123" s="1367">
        <f>Recording!H182</f>
        <v>0</v>
      </c>
      <c r="V123" s="1367"/>
      <c r="W123" s="1367"/>
      <c r="X123" s="1367">
        <f>Recording!I182</f>
        <v>0</v>
      </c>
      <c r="Y123" s="1367"/>
      <c r="Z123" s="1367"/>
      <c r="AA123" s="1367">
        <f>Recording!J182</f>
        <v>0</v>
      </c>
      <c r="AB123" s="1367"/>
      <c r="AC123" s="1367"/>
      <c r="AD123" s="1367">
        <f>Recording!K182</f>
        <v>0</v>
      </c>
      <c r="AE123" s="1367"/>
      <c r="AF123" s="1367"/>
      <c r="AG123" s="1367">
        <f>Recording!L182</f>
        <v>0</v>
      </c>
      <c r="AH123" s="1367"/>
      <c r="AI123" s="1367"/>
      <c r="AJ123" s="1367">
        <f>Recording!M182</f>
        <v>0</v>
      </c>
      <c r="AK123" s="1367"/>
      <c r="AL123" s="1367"/>
      <c r="AM123" s="883"/>
      <c r="BL123" s="1033"/>
      <c r="BM123" s="1033"/>
      <c r="BN123" s="1033"/>
      <c r="BO123" s="1033"/>
      <c r="BP123" s="1033"/>
      <c r="BQ123" s="1033"/>
      <c r="BR123" s="1033"/>
      <c r="BS123" s="1033"/>
      <c r="BT123" s="1033"/>
      <c r="BU123" s="1033"/>
    </row>
    <row r="124" spans="2:73" ht="35.25" customHeight="1" x14ac:dyDescent="0.3">
      <c r="B124" s="1349">
        <v>41</v>
      </c>
      <c r="C124" s="1333" t="s">
        <v>5083</v>
      </c>
      <c r="D124" s="1424" t="s">
        <v>5093</v>
      </c>
      <c r="E124" s="1350" t="s">
        <v>5103</v>
      </c>
      <c r="I124" s="1030">
        <f>0+TEXT(Recording!D184,"00\:00\.00")</f>
        <v>7.4201388888888884E-4</v>
      </c>
      <c r="J124" s="879">
        <f>IF(I124=0,0,IF(I$6=0,0,IF(I124&lt;1,SUM((I124&gt;L124),(I124&gt;O124),(I124&gt;R124),(I124&gt;U124),(I124&gt;X124),(I124&gt;AA124),(I124&gt;AD124),(I124&gt;AG124),(I124&gt;AJ124),(I124&gt;BE124)))-$AM124))</f>
        <v>2</v>
      </c>
      <c r="K124" s="879">
        <f>IF(I124=0,0,IF(I$6=0,0,IF(J124=0,0,((11-J124)))-$B$6))</f>
        <v>6</v>
      </c>
      <c r="L124" s="878">
        <f>0+TEXT(Recording!E184,"00\:00\.00")</f>
        <v>7.799768518518519E-4</v>
      </c>
      <c r="M124" s="879">
        <f>IF(L124=0,0,IF(L$6=0,0,IF(L124&lt;1,SUM((L124&gt;O124),(L124&gt;R124),(L124&gt;U124),(L124&gt;X124),(L124&gt;AA124),(L124&gt;AD124),(L124&gt;I124),(L124&gt;AG124),(L124&gt;AJ124),(L124&gt;BE124)))-$AM124))</f>
        <v>7</v>
      </c>
      <c r="N124" s="879">
        <f>IF(L124=0,0,IF(L$6=0,0,IF(M124=0,0,((11-M124)))-$B$6))</f>
        <v>1</v>
      </c>
      <c r="O124" s="878">
        <f>0+TEXT(Recording!F184,"00\:00\.00")</f>
        <v>7.7418981481481479E-4</v>
      </c>
      <c r="P124" s="879">
        <f>IF(O124=0,0,IF(O$6=0,0,IF(O124&lt;1,SUM((O124&gt;L124),(O124&gt;I124),(O124&gt;R124),(O124&gt;U124),(O124&gt;X124),(O124&gt;AA124),(O124&gt;AD124),(O124&gt;AG124),(O124&gt;AJ124),(O124&gt;BE124)))-$AM124))</f>
        <v>6</v>
      </c>
      <c r="Q124" s="879">
        <f>IF(O124=0,0,IF(O$6=0,0,IF(P124=0,0,((11-P124)))-$B$6))</f>
        <v>2</v>
      </c>
      <c r="R124" s="878">
        <f>0+TEXT(Recording!G184,"00\:00\.00")</f>
        <v>7.6076388888888884E-4</v>
      </c>
      <c r="S124" s="879">
        <f>IF(R124=0,0,IF(R$6=0,0,IF(R124&lt;1,SUM((R124&gt;L124),(R124&gt;O124),(R124&gt;I124),(R124&gt;U124),(R124&gt;X124),(R124&gt;AA124),(R124&gt;AD124),(R124&gt;AG124),(R124&gt;AJ124),(R124&gt;BE124)))-$AM124))</f>
        <v>3</v>
      </c>
      <c r="T124" s="879">
        <f>IF(R124=0,0,IF(R$6=0,0,IF(S124=0,0,((11-S124)))-$B$6))</f>
        <v>5</v>
      </c>
      <c r="U124" s="878">
        <f>0+TEXT(Recording!H184,"00\:00\.00")</f>
        <v>7.618055555555555E-4</v>
      </c>
      <c r="V124" s="879">
        <f>IF(U124=0,0,IF(U$6=0,0,IF(U124&lt;1,SUM((U124&gt;L124),(U124&gt;O124),(U124&gt;R124),(U124&gt;I124),(U124&gt;X124),(U124&gt;AA124),(U124&gt;AD124),(U124&gt;AG124),(U124&gt;AJ124),(U124&gt;BE124)))-$AM124))</f>
        <v>4</v>
      </c>
      <c r="W124" s="879">
        <f>IF(U124=0,0,IF(U$6=0,0,IF(V124=0,0,((11-V124)))-$B$6))</f>
        <v>4</v>
      </c>
      <c r="X124" s="878">
        <f>0+TEXT(Recording!I184,"00\:00\.00")</f>
        <v>7.6412037037037041E-4</v>
      </c>
      <c r="Y124" s="879">
        <f>IF(X124=0,0,IF(X$6=0,0,IF(X124&lt;1,SUM((X124&gt;L124),(X124&gt;O124),(X124&gt;R124),(X124&gt;U124),(X124&gt;I124),(X124&gt;AA124),(X124&gt;AD124),(X124&gt;AG124),(X124&gt;AJ124),(X124&gt;BE124)))-$AM124))</f>
        <v>5</v>
      </c>
      <c r="Z124" s="879">
        <f>IF(X124=0,0,IF(X$6=0,0,IF(Y124=0,0,((11-Y124)))-$B$6))</f>
        <v>3</v>
      </c>
      <c r="AA124" s="878">
        <f>0+TEXT(Recording!J184,"00\:00\.00")</f>
        <v>7.361111111111111E-4</v>
      </c>
      <c r="AB124" s="879">
        <f>IF(AA124=0,0,IF(AA$6=0,0,IF(AA124&lt;1,SUM((AA124&gt;L124),(AA124&gt;O124),(AA124&gt;R124),(AA124&gt;U124),(AA124&gt;X124),(AA124&gt;I124),(AA124&gt;AD124),(AA124&gt;AG124),(AA124&gt;AJ124),(AA124&gt;BE124))))-$AM124)</f>
        <v>1</v>
      </c>
      <c r="AC124" s="879">
        <f>IF(AA124=0,0,IF(AA$6=0,0,IF(AB124=0,0,((11-AB124)))-$B$6))</f>
        <v>7</v>
      </c>
      <c r="AD124" s="878">
        <f>0+TEXT(Recording!K184,"00\:00\.00")</f>
        <v>0</v>
      </c>
      <c r="AE124" s="879">
        <f>IF(AD124=0,0,IF(AD$6=0,0,IF(AD124&lt;1,SUM((AD124&gt;L124),(AD124&gt;O124),(AD124&gt;R124),(AD124&gt;U124),(AD124&gt;X124),(AD124&gt;AA124),(AD124&gt;AG124),(AD124&gt;AJ124),(AD124&gt;I124),(AD124&gt;BE124)))-$AM124))</f>
        <v>0</v>
      </c>
      <c r="AF124" s="879">
        <f>IF(AD124=0,0,IF(AD$6=0,0,IF(AE124=0,0,((11-AE124)))-$B$6))</f>
        <v>0</v>
      </c>
      <c r="AG124" s="878">
        <f>0+TEXT(Recording!L184,"00\:00\.00")</f>
        <v>0</v>
      </c>
      <c r="AH124" s="879">
        <f>IF(AG124=0,0,IF(AG$6=0,0,IF(AG124&lt;1,SUM((AG124&gt;I124),(AG124&gt;L124),(AG124&gt;O124),(AG124&gt;R124),(AG124&gt;U124),(AG124&gt;X124),(AG124&gt;AA124),(AG124&gt;AD124),(AG124&gt;AJ124),(AG124&gt;BE124)))-$AM124))</f>
        <v>0</v>
      </c>
      <c r="AI124" s="879">
        <f>IF(AG124=0,0,IF(AG$6=0,0,IF(AH124=0,0,((11-AH124)))-$B$6))</f>
        <v>0</v>
      </c>
      <c r="AJ124" s="878">
        <f>0+TEXT(Recording!M184,"00\:00\.00")</f>
        <v>0</v>
      </c>
      <c r="AK124" s="879">
        <f>IF(AJ124=0,0,IF(AJ$6=0,0,IF(AJ124&lt;1,SUM((AJ124&gt;I124),(AJ124&gt;L124),(AJ124&gt;O124),(AJ124&gt;R124),(AJ124&gt;U124),(AJ124&gt;X124),(AJ124&gt;AA124),(AJ124&gt;AD124),(AJ124&gt;AG124),(AJ124&gt;BE124)))-$AM124))</f>
        <v>0</v>
      </c>
      <c r="AL124" s="989">
        <f>IF(AJ124=0,0,IF(AJ$6=0,0,IF(AK124=0,0,((11-AK124)))-$B$6))</f>
        <v>0</v>
      </c>
      <c r="AM124" s="883">
        <f>COUNTBLANK(I634:R634)</f>
        <v>3</v>
      </c>
      <c r="BL124" s="1033"/>
      <c r="BM124" s="1033"/>
      <c r="BN124" s="1033"/>
      <c r="BO124" s="1033"/>
      <c r="BP124" s="1033"/>
      <c r="BQ124" s="1033"/>
      <c r="BR124" s="1033"/>
      <c r="BS124" s="1033"/>
      <c r="BT124" s="1033"/>
      <c r="BU124" s="1033"/>
    </row>
    <row r="125" spans="2:73" ht="35.25" customHeight="1" x14ac:dyDescent="0.3">
      <c r="B125" s="1349"/>
      <c r="C125" s="1333"/>
      <c r="D125" s="1424"/>
      <c r="E125" s="1350"/>
      <c r="I125" s="1351" t="str">
        <f>PROPER('Team 1'!$I$68)</f>
        <v>Maja Grzybek</v>
      </c>
      <c r="J125" s="1351"/>
      <c r="K125" s="1351"/>
      <c r="L125" s="1351" t="str">
        <f>PROPER('Team 2'!$I$68)</f>
        <v>Madeleine Bailiss</v>
      </c>
      <c r="M125" s="1351"/>
      <c r="N125" s="1351"/>
      <c r="O125" s="1351" t="str">
        <f>PROPER('Team 3'!$I$68)</f>
        <v>Charlotte Brakenbury</v>
      </c>
      <c r="P125" s="1351"/>
      <c r="Q125" s="1351"/>
      <c r="R125" s="1351" t="str">
        <f>PROPER('Team 4'!$I$68)</f>
        <v>Lucy Burnham</v>
      </c>
      <c r="S125" s="1351"/>
      <c r="T125" s="1351"/>
      <c r="U125" s="1351" t="str">
        <f>PROPER('Team 5'!$I$68)</f>
        <v>Lily Threadgold</v>
      </c>
      <c r="V125" s="1351"/>
      <c r="W125" s="1351"/>
      <c r="X125" s="1351" t="str">
        <f>PROPER('Team 6'!$I$68)</f>
        <v>Alice  Sharrock</v>
      </c>
      <c r="Y125" s="1351"/>
      <c r="Z125" s="1351"/>
      <c r="AA125" s="1351" t="str">
        <f>PROPER('Team 7'!$I$68)</f>
        <v>Laura Hibberd</v>
      </c>
      <c r="AB125" s="1351"/>
      <c r="AC125" s="1351"/>
      <c r="AD125" s="1351" t="str">
        <f>PROPER('Team 8'!$I$68)</f>
        <v xml:space="preserve"> </v>
      </c>
      <c r="AE125" s="1351"/>
      <c r="AF125" s="1351"/>
      <c r="AG125" s="1351" t="str">
        <f>PROPER('Team 9'!$I$68)</f>
        <v xml:space="preserve"> </v>
      </c>
      <c r="AH125" s="1351"/>
      <c r="AI125" s="1351"/>
      <c r="AJ125" s="1351" t="str">
        <f>PROPER('Team 10'!$I$68)</f>
        <v xml:space="preserve"> </v>
      </c>
      <c r="AK125" s="1351"/>
      <c r="AL125" s="1351"/>
      <c r="AM125" s="883"/>
      <c r="BL125" s="1033"/>
      <c r="BM125" s="1033"/>
      <c r="BN125" s="1033"/>
      <c r="BO125" s="1033"/>
      <c r="BP125" s="1033"/>
      <c r="BQ125" s="1033"/>
      <c r="BR125" s="1033"/>
      <c r="BS125" s="1033"/>
      <c r="BT125" s="1033"/>
      <c r="BU125" s="1033"/>
    </row>
    <row r="126" spans="2:73" ht="35.25" customHeight="1" x14ac:dyDescent="0.3">
      <c r="B126" s="1349"/>
      <c r="C126" s="1333"/>
      <c r="D126" s="1424"/>
      <c r="E126" s="899" t="s">
        <v>5108</v>
      </c>
      <c r="I126" s="1367">
        <f>Recording!D186</f>
        <v>0</v>
      </c>
      <c r="J126" s="1367"/>
      <c r="K126" s="1367"/>
      <c r="L126" s="1367">
        <f>Recording!E186</f>
        <v>0</v>
      </c>
      <c r="M126" s="1367"/>
      <c r="N126" s="1367"/>
      <c r="O126" s="1367">
        <f>Recording!F186</f>
        <v>0</v>
      </c>
      <c r="P126" s="1367"/>
      <c r="Q126" s="1367"/>
      <c r="R126" s="1367">
        <f>Recording!G186</f>
        <v>0</v>
      </c>
      <c r="S126" s="1367"/>
      <c r="T126" s="1367"/>
      <c r="U126" s="1367">
        <f>Recording!H186</f>
        <v>0</v>
      </c>
      <c r="V126" s="1367"/>
      <c r="W126" s="1367"/>
      <c r="X126" s="1367">
        <f>Recording!I186</f>
        <v>0</v>
      </c>
      <c r="Y126" s="1367"/>
      <c r="Z126" s="1367"/>
      <c r="AA126" s="1367">
        <f>Recording!J186</f>
        <v>0</v>
      </c>
      <c r="AB126" s="1367"/>
      <c r="AC126" s="1367"/>
      <c r="AD126" s="1367">
        <f>Recording!K186</f>
        <v>0</v>
      </c>
      <c r="AE126" s="1367"/>
      <c r="AF126" s="1367"/>
      <c r="AG126" s="1367">
        <f>Recording!L186</f>
        <v>0</v>
      </c>
      <c r="AH126" s="1367"/>
      <c r="AI126" s="1367"/>
      <c r="AJ126" s="1367">
        <f>Recording!M186</f>
        <v>0</v>
      </c>
      <c r="AK126" s="1367"/>
      <c r="AL126" s="1367"/>
      <c r="AM126" s="883"/>
      <c r="BL126" s="1033"/>
      <c r="BM126" s="1033"/>
      <c r="BN126" s="1033"/>
      <c r="BO126" s="1033"/>
      <c r="BP126" s="1033"/>
      <c r="BQ126" s="1033"/>
      <c r="BR126" s="1033"/>
      <c r="BS126" s="1033"/>
      <c r="BT126" s="1033"/>
      <c r="BU126" s="1033"/>
    </row>
    <row r="127" spans="2:73" ht="35.25" customHeight="1" x14ac:dyDescent="0.3">
      <c r="B127" s="1349">
        <v>42</v>
      </c>
      <c r="C127" s="1343" t="s">
        <v>5087</v>
      </c>
      <c r="D127" s="1424" t="s">
        <v>5093</v>
      </c>
      <c r="E127" s="1350" t="s">
        <v>5103</v>
      </c>
      <c r="I127" s="1030">
        <f>0+TEXT(Recording!D188,"00\:00\.00")</f>
        <v>7.2094907407407405E-4</v>
      </c>
      <c r="J127" s="879">
        <f>IF(I127=0,0,IF(I$6=0,0,IF(I127&lt;1,SUM((I127&gt;L127),(I127&gt;O127),(I127&gt;R127),(I127&gt;U127),(I127&gt;X127),(I127&gt;AA127),(I127&gt;AD127),(I127&gt;AG127),(I127&gt;AJ127),(I127&gt;BE127)))-$AM127))</f>
        <v>7</v>
      </c>
      <c r="K127" s="879">
        <f>IF(I127=0,0,IF(I$6=0,0,IF(J127=0,0,((11-J127)))-$B$6))</f>
        <v>1</v>
      </c>
      <c r="L127" s="878">
        <f>0+TEXT(Recording!E188,"00\:00\.00")</f>
        <v>7.1099537037037041E-4</v>
      </c>
      <c r="M127" s="879">
        <f>IF(L127=0,0,IF(L$6=0,0,IF(L127&lt;1,SUM((L127&gt;O127),(L127&gt;R127),(L127&gt;U127),(L127&gt;X127),(L127&gt;AA127),(L127&gt;AD127),(L127&gt;I127),(L127&gt;AG127),(L127&gt;AJ127),(L127&gt;BE127)))-$AM127))</f>
        <v>6</v>
      </c>
      <c r="N127" s="879">
        <f>IF(L127=0,0,IF(L$6=0,0,IF(M127=0,0,((11-M127)))-$B$6))</f>
        <v>2</v>
      </c>
      <c r="O127" s="878">
        <f>0+TEXT(Recording!F188,"00\:00\.00")</f>
        <v>7.0335648148148145E-4</v>
      </c>
      <c r="P127" s="879">
        <f>IF(O127=0,0,IF(O$6=0,0,IF(O127&lt;1,SUM((O127&gt;L127),(O127&gt;I127),(O127&gt;R127),(O127&gt;U127),(O127&gt;X127),(O127&gt;AA127),(O127&gt;AD127),(O127&gt;AG127),(O127&gt;AJ127),(O127&gt;BE127)))-$AM127))</f>
        <v>5</v>
      </c>
      <c r="Q127" s="879">
        <f>IF(O127=0,0,IF(O$6=0,0,IF(P127=0,0,((11-P127)))-$B$6))</f>
        <v>3</v>
      </c>
      <c r="R127" s="878">
        <f>0+TEXT(Recording!G188,"00\:00\.00")</f>
        <v>6.5474537037037031E-4</v>
      </c>
      <c r="S127" s="879">
        <f>IF(R127=0,0,IF(R$6=0,0,IF(R127&lt;1,SUM((R127&gt;L127),(R127&gt;O127),(R127&gt;I127),(R127&gt;U127),(R127&gt;X127),(R127&gt;AA127),(R127&gt;AD127),(R127&gt;AG127),(R127&gt;AJ127),(R127&gt;BE127)))-$AM127))</f>
        <v>2</v>
      </c>
      <c r="T127" s="879">
        <f>IF(R127=0,0,IF(R$6=0,0,IF(S127=0,0,((11-S127)))-$B$6))</f>
        <v>6</v>
      </c>
      <c r="U127" s="878">
        <f>0+TEXT(Recording!H188,"00\:00\.00")</f>
        <v>6.7881944444444446E-4</v>
      </c>
      <c r="V127" s="879">
        <f>IF(U127=0,0,IF(U$6=0,0,IF(U127&lt;1,SUM((U127&gt;L127),(U127&gt;O127),(U127&gt;R127),(U127&gt;I127),(U127&gt;X127),(U127&gt;AA127),(U127&gt;AD127),(U127&gt;AG127),(U127&gt;AJ127),(U127&gt;BE127)))-$AM127))</f>
        <v>3</v>
      </c>
      <c r="W127" s="879">
        <f>IF(U127=0,0,IF(U$6=0,0,IF(V127=0,0,((11-V127)))-$B$6))</f>
        <v>5</v>
      </c>
      <c r="X127" s="878">
        <f>0+TEXT(Recording!I188,"00\:00\.00")</f>
        <v>6.4444444444444445E-4</v>
      </c>
      <c r="Y127" s="879">
        <f>IF(X127=0,0,IF(X$6=0,0,IF(X127&lt;1,SUM((X127&gt;L127),(X127&gt;O127),(X127&gt;R127),(X127&gt;U127),(X127&gt;I127),(X127&gt;AA127),(X127&gt;AD127),(X127&gt;AG127),(X127&gt;AJ127),(X127&gt;BE127)))-$AM127))</f>
        <v>1</v>
      </c>
      <c r="Z127" s="879">
        <f>IF(X127=0,0,IF(X$6=0,0,IF(Y127=0,0,((11-Y127)))-$B$6))</f>
        <v>7</v>
      </c>
      <c r="AA127" s="878">
        <f>0+TEXT(Recording!J188,"00\:00\.00")</f>
        <v>6.8449074074074072E-4</v>
      </c>
      <c r="AB127" s="879">
        <f>IF(AA127=0,0,IF(AA$6=0,0,IF(AA127&lt;1,SUM((AA127&gt;L127),(AA127&gt;O127),(AA127&gt;R127),(AA127&gt;U127),(AA127&gt;X127),(AA127&gt;I127),(AA127&gt;AD127),(AA127&gt;AG127),(AA127&gt;AJ127),(AA127&gt;BE127))))-$AM127)</f>
        <v>4</v>
      </c>
      <c r="AC127" s="879">
        <f>IF(AA127=0,0,IF(AA$6=0,0,IF(AB127=0,0,((11-AB127)))-$B$6))</f>
        <v>4</v>
      </c>
      <c r="AD127" s="878">
        <f>0+TEXT(Recording!K188,"00\:00\.00")</f>
        <v>0</v>
      </c>
      <c r="AE127" s="879">
        <f>IF(AD127=0,0,IF(AD$6=0,0,IF(AD127&lt;1,SUM((AD127&gt;L127),(AD127&gt;O127),(AD127&gt;R127),(AD127&gt;U127),(AD127&gt;X127),(AD127&gt;AA127),(AD127&gt;AG127),(AD127&gt;AJ127),(AD127&gt;I127),(AD127&gt;BE127)))-$AM127))</f>
        <v>0</v>
      </c>
      <c r="AF127" s="879">
        <f>IF(AD127=0,0,IF(AD$6=0,0,IF(AE127=0,0,((11-AE127)))-$B$6))</f>
        <v>0</v>
      </c>
      <c r="AG127" s="878">
        <f>0+TEXT(Recording!L188,"00\:00\.00")</f>
        <v>0</v>
      </c>
      <c r="AH127" s="879">
        <f>IF(AG127=0,0,IF(AG$6=0,0,IF(AG127&lt;1,SUM((AG127&gt;I127),(AG127&gt;L127),(AG127&gt;O127),(AG127&gt;R127),(AG127&gt;U127),(AG127&gt;X127),(AG127&gt;AA127),(AG127&gt;AD127),(AG127&gt;AJ127),(AG127&gt;BE127)))-$AM127))</f>
        <v>0</v>
      </c>
      <c r="AI127" s="879">
        <f>IF(AG127=0,0,IF(AG$6=0,0,IF(AH127=0,0,((11-AH127)))-$B$6))</f>
        <v>0</v>
      </c>
      <c r="AJ127" s="878">
        <f>0+TEXT(Recording!M188,"00\:00\.00")</f>
        <v>0</v>
      </c>
      <c r="AK127" s="879">
        <f>IF(AJ127=0,0,IF(AJ$6=0,0,IF(AJ127&lt;1,SUM((AJ127&gt;I127),(AJ127&gt;L127),(AJ127&gt;O127),(AJ127&gt;R127),(AJ127&gt;U127),(AJ127&gt;X127),(AJ127&gt;AA127),(AJ127&gt;AD127),(AJ127&gt;AG127),(AJ127&gt;BE127)))-$AM127))</f>
        <v>0</v>
      </c>
      <c r="AL127" s="989">
        <f>IF(AJ127=0,0,IF(AJ$6=0,0,IF(AK127=0,0,((11-AK127)))-$B$6))</f>
        <v>0</v>
      </c>
      <c r="AM127" s="883">
        <f>COUNTBLANK(I635:R635)</f>
        <v>3</v>
      </c>
      <c r="BL127" s="1033"/>
      <c r="BM127" s="1033"/>
      <c r="BN127" s="1033"/>
      <c r="BO127" s="1033"/>
      <c r="BP127" s="1033"/>
      <c r="BQ127" s="1033"/>
      <c r="BR127" s="1033"/>
      <c r="BS127" s="1033"/>
      <c r="BT127" s="1033"/>
      <c r="BU127" s="1033"/>
    </row>
    <row r="128" spans="2:73" ht="35.25" customHeight="1" x14ac:dyDescent="0.3">
      <c r="B128" s="1349"/>
      <c r="C128" s="1343"/>
      <c r="D128" s="1424"/>
      <c r="E128" s="1350"/>
      <c r="I128" s="1351" t="str">
        <f>PROPER('Team 1'!$I$69)</f>
        <v>James Smeaton</v>
      </c>
      <c r="J128" s="1351"/>
      <c r="K128" s="1351"/>
      <c r="L128" s="1351" t="str">
        <f>PROPER('Team 2'!$I$69)</f>
        <v>Harry Chapman</v>
      </c>
      <c r="M128" s="1351"/>
      <c r="N128" s="1351"/>
      <c r="O128" s="1351" t="str">
        <f>PROPER('Team 3'!$I$69)</f>
        <v>Luke Morley</v>
      </c>
      <c r="P128" s="1351"/>
      <c r="Q128" s="1351"/>
      <c r="R128" s="1351" t="str">
        <f>PROPER('Team 4'!$I$69)</f>
        <v>Matthew Masters</v>
      </c>
      <c r="S128" s="1351"/>
      <c r="T128" s="1351"/>
      <c r="U128" s="1351" t="str">
        <f>PROPER('Team 5'!$I$69)</f>
        <v>Robert Elliston</v>
      </c>
      <c r="V128" s="1351"/>
      <c r="W128" s="1351"/>
      <c r="X128" s="1351" t="str">
        <f>PROPER('Team 6'!$I$69)</f>
        <v>Razvan Lembac</v>
      </c>
      <c r="Y128" s="1351"/>
      <c r="Z128" s="1351"/>
      <c r="AA128" s="1351" t="str">
        <f>PROPER('Team 7'!$I$69)</f>
        <v>Liam Treanor</v>
      </c>
      <c r="AB128" s="1351"/>
      <c r="AC128" s="1351"/>
      <c r="AD128" s="1351" t="str">
        <f>PROPER('Team 8'!$I$69)</f>
        <v xml:space="preserve"> </v>
      </c>
      <c r="AE128" s="1351"/>
      <c r="AF128" s="1351"/>
      <c r="AG128" s="1351" t="str">
        <f>PROPER('Team 9'!$I$69)</f>
        <v xml:space="preserve"> </v>
      </c>
      <c r="AH128" s="1351"/>
      <c r="AI128" s="1351"/>
      <c r="AJ128" s="1351" t="str">
        <f>PROPER('Team 10'!$I$69)</f>
        <v xml:space="preserve"> </v>
      </c>
      <c r="AK128" s="1351"/>
      <c r="AL128" s="1351"/>
      <c r="AM128" s="883"/>
      <c r="BL128" s="1033"/>
      <c r="BM128" s="1033"/>
      <c r="BN128" s="1033"/>
      <c r="BO128" s="1033"/>
      <c r="BP128" s="1033"/>
      <c r="BQ128" s="1033"/>
      <c r="BR128" s="1033"/>
      <c r="BS128" s="1033"/>
      <c r="BT128" s="1033"/>
      <c r="BU128" s="1033"/>
    </row>
    <row r="129" spans="2:73" ht="35.25" customHeight="1" x14ac:dyDescent="0.3">
      <c r="B129" s="1349"/>
      <c r="C129" s="1343"/>
      <c r="D129" s="1424"/>
      <c r="E129" s="899" t="s">
        <v>5108</v>
      </c>
      <c r="I129" s="1367">
        <f>Recording!D190</f>
        <v>0</v>
      </c>
      <c r="J129" s="1367"/>
      <c r="K129" s="1367"/>
      <c r="L129" s="1367">
        <f>Recording!E190</f>
        <v>0</v>
      </c>
      <c r="M129" s="1367"/>
      <c r="N129" s="1367"/>
      <c r="O129" s="1367">
        <f>Recording!F190</f>
        <v>0</v>
      </c>
      <c r="P129" s="1367"/>
      <c r="Q129" s="1367"/>
      <c r="R129" s="1367">
        <f>Recording!G190</f>
        <v>0</v>
      </c>
      <c r="S129" s="1367"/>
      <c r="T129" s="1367"/>
      <c r="U129" s="1367">
        <f>Recording!H190</f>
        <v>0</v>
      </c>
      <c r="V129" s="1367"/>
      <c r="W129" s="1367"/>
      <c r="X129" s="1367">
        <f>Recording!I190</f>
        <v>0</v>
      </c>
      <c r="Y129" s="1367"/>
      <c r="Z129" s="1367"/>
      <c r="AA129" s="1367">
        <f>Recording!J190</f>
        <v>0</v>
      </c>
      <c r="AB129" s="1367"/>
      <c r="AC129" s="1367"/>
      <c r="AD129" s="1367">
        <f>Recording!K190</f>
        <v>0</v>
      </c>
      <c r="AE129" s="1367"/>
      <c r="AF129" s="1367"/>
      <c r="AG129" s="1367">
        <f>Recording!L190</f>
        <v>0</v>
      </c>
      <c r="AH129" s="1367"/>
      <c r="AI129" s="1367"/>
      <c r="AJ129" s="1367">
        <f>Recording!M190</f>
        <v>0</v>
      </c>
      <c r="AK129" s="1367"/>
      <c r="AL129" s="1367"/>
      <c r="AM129" s="883"/>
      <c r="BL129" s="1033"/>
      <c r="BM129" s="1033"/>
      <c r="BN129" s="1033"/>
      <c r="BO129" s="1033"/>
      <c r="BP129" s="1033"/>
      <c r="BQ129" s="1033"/>
      <c r="BR129" s="1033"/>
      <c r="BS129" s="1033"/>
      <c r="BT129" s="1033"/>
      <c r="BU129" s="1033"/>
    </row>
    <row r="130" spans="2:73" ht="35.25" customHeight="1" x14ac:dyDescent="0.3">
      <c r="B130" s="1347">
        <v>43</v>
      </c>
      <c r="C130" s="1333" t="s">
        <v>5083</v>
      </c>
      <c r="D130" s="1429" t="s">
        <v>5105</v>
      </c>
      <c r="E130" s="891" t="s">
        <v>5091</v>
      </c>
      <c r="I130" s="1030">
        <f>0+TEXT(Recording!D192,"00\:00\.00")</f>
        <v>2.0284722222222219E-3</v>
      </c>
      <c r="J130" s="879">
        <f>IF(I130=0,0,IF(I$6=0,0,IF(I130&lt;1,SUM((I130&gt;L130),(I130&gt;O130),(I130&gt;R130),(I130&gt;U130),(I130&gt;X130),(I130&gt;AA130),(I130&gt;AD130),(I130&gt;AG130),(I130&gt;AJ130),(I130&gt;BE130)))-$AM130))</f>
        <v>1</v>
      </c>
      <c r="K130" s="879">
        <f>IF(I130=0,0,IF(I$6=0,0,IF(J130=0,0,((11-J130)))-$B$6))</f>
        <v>7</v>
      </c>
      <c r="L130" s="878">
        <f>0+TEXT(Recording!E192,"00\:00\.00")</f>
        <v>2.1328703703703705E-3</v>
      </c>
      <c r="M130" s="879">
        <f>IF(L130=0,0,IF(L$6=0,0,IF(L130&lt;1,SUM((L130&gt;O130),(L130&gt;R130),(L130&gt;U130),(L130&gt;X130),(L130&gt;AA130),(L130&gt;AD130),(L130&gt;I130),(L130&gt;AG130),(L130&gt;AJ130),(L130&gt;BE130)))-$AM130))</f>
        <v>4</v>
      </c>
      <c r="N130" s="879">
        <f>IF(L130=0,0,IF(L$6=0,0,IF(M130=0,0,((11-M130)))-$B$6))</f>
        <v>4</v>
      </c>
      <c r="O130" s="878">
        <f>0+TEXT(Recording!F192,"00\:00\.00")</f>
        <v>0</v>
      </c>
      <c r="P130" s="879">
        <f>IF(O130=0,0,IF(O$6=0,0,IF(O130&lt;1,SUM((O130&gt;L130),(O130&gt;I130),(O130&gt;R130),(O130&gt;U130),(O130&gt;X130),(O130&gt;AA130),(O130&gt;AD130),(O130&gt;AG130),(O130&gt;AJ130),(O130&gt;BE130)))-$AM130))</f>
        <v>0</v>
      </c>
      <c r="Q130" s="879">
        <f>IF(O130=0,0,IF(O$6=0,0,IF(P130=0,0,((11-P130)))-$B$6))</f>
        <v>0</v>
      </c>
      <c r="R130" s="878">
        <f>0+TEXT(Recording!G192,"00\:00\.00")</f>
        <v>2.0923611111111112E-3</v>
      </c>
      <c r="S130" s="879">
        <f>IF(R130=0,0,IF(R$6=0,0,IF(R130&lt;1,SUM((R130&gt;L130),(R130&gt;O130),(R130&gt;I130),(R130&gt;U130),(R130&gt;X130),(R130&gt;AA130),(R130&gt;AD130),(R130&gt;AG130),(R130&gt;AJ130),(R130&gt;BE130)))-$AM130))</f>
        <v>2</v>
      </c>
      <c r="T130" s="879">
        <f>IF(R130=0,0,IF(R$6=0,0,IF(S130=0,0,((11-S130)))-$B$6))</f>
        <v>6</v>
      </c>
      <c r="U130" s="878">
        <f>0+TEXT(Recording!H192,"00\:00\.00")</f>
        <v>2.1501157407407406E-3</v>
      </c>
      <c r="V130" s="879">
        <f>IF(U130=0,0,IF(U$6=0,0,IF(U130&lt;1,SUM((U130&gt;L130),(U130&gt;O130),(U130&gt;R130),(U130&gt;I130),(U130&gt;X130),(U130&gt;AA130),(U130&gt;AD130),(U130&gt;AG130),(U130&gt;AJ130),(U130&gt;BE130)))-$AM130))</f>
        <v>5</v>
      </c>
      <c r="W130" s="879">
        <f>IF(U130=0,0,IF(U$6=0,0,IF(V130=0,0,((11-V130)))-$B$6))</f>
        <v>3</v>
      </c>
      <c r="X130" s="878">
        <f>0+TEXT(Recording!I192,"00\:00\.00")</f>
        <v>2.2398148148148147E-3</v>
      </c>
      <c r="Y130" s="879">
        <f>IF(X130=0,0,IF(X$6=0,0,IF(X130&lt;1,SUM((X130&gt;L130),(X130&gt;O130),(X130&gt;R130),(X130&gt;U130),(X130&gt;I130),(X130&gt;AA130),(X130&gt;AD130),(X130&gt;AG130),(X130&gt;AJ130),(X130&gt;BE130)))-$AM130))</f>
        <v>6</v>
      </c>
      <c r="Z130" s="879">
        <f>IF(X130=0,0,IF(X$6=0,0,IF(Y130=0,0,((11-Y130)))-$B$6))</f>
        <v>2</v>
      </c>
      <c r="AA130" s="878">
        <f>0+TEXT(Recording!J192,"00\:00\.00")</f>
        <v>2.1025462962962964E-3</v>
      </c>
      <c r="AB130" s="879">
        <f>IF(AA130=0,0,IF(AA$6=0,0,IF(AA130&lt;1,SUM((AA130&gt;L130),(AA130&gt;O130),(AA130&gt;R130),(AA130&gt;U130),(AA130&gt;X130),(AA130&gt;I130),(AA130&gt;AD130),(AA130&gt;AG130),(AA130&gt;AJ130),(AA130&gt;BE130))))-$AM130)</f>
        <v>3</v>
      </c>
      <c r="AC130" s="879">
        <f>IF(AA130=0,0,IF(AA$6=0,0,IF(AB130=0,0,((11-AB130)))-$B$6))</f>
        <v>5</v>
      </c>
      <c r="AD130" s="878">
        <f>0+TEXT(Recording!K192,"00\:00\.00")</f>
        <v>0</v>
      </c>
      <c r="AE130" s="879">
        <f>IF(AD130=0,0,IF(AD$6=0,0,IF(AD130&lt;1,SUM((AD130&gt;L130),(AD130&gt;O130),(AD130&gt;R130),(AD130&gt;U130),(AD130&gt;X130),(AD130&gt;AA130),(AD130&gt;AG130),(AD130&gt;AJ130),(AD130&gt;I130),(AD130&gt;BE130)))-$AM130))</f>
        <v>0</v>
      </c>
      <c r="AF130" s="879">
        <f>IF(AD130=0,0,IF(AD$6=0,0,IF(AE130=0,0,((11-AE130)))-$B$6))</f>
        <v>0</v>
      </c>
      <c r="AG130" s="878">
        <f>0+TEXT(Recording!L192,"00\:00\.00")</f>
        <v>0</v>
      </c>
      <c r="AH130" s="879">
        <f>IF(AG130=0,0,IF(AG$6=0,0,IF(AG130&lt;1,SUM((AG130&gt;I130),(AG130&gt;L130),(AG130&gt;O130),(AG130&gt;R130),(AG130&gt;U130),(AG130&gt;X130),(AG130&gt;AA130),(AG130&gt;AD130),(AG130&gt;AJ130),(AG130&gt;BE130)))-$AM130))</f>
        <v>0</v>
      </c>
      <c r="AI130" s="879">
        <f>IF(AG130=0,0,IF(AG$6=0,0,IF(AH130=0,0,((11-AH130)))-$B$6))</f>
        <v>0</v>
      </c>
      <c r="AJ130" s="878">
        <f>0+TEXT(Recording!M192,"00\:00\.00")</f>
        <v>0</v>
      </c>
      <c r="AK130" s="879">
        <f>IF(AJ130=0,0,IF(AJ$6=0,0,IF(AJ130&lt;1,SUM((AJ130&gt;I130),(AJ130&gt;L130),(AJ130&gt;O130),(AJ130&gt;R130),(AJ130&gt;U130),(AJ130&gt;X130),(AJ130&gt;AA130),(AJ130&gt;AD130),(AJ130&gt;AG130),(AJ130&gt;BE130)))-$AM130))</f>
        <v>0</v>
      </c>
      <c r="AL130" s="989">
        <f>IF(AJ130=0,0,IF(AJ$6=0,0,IF(AK130=0,0,((11-AK130)))-$B$6))</f>
        <v>0</v>
      </c>
      <c r="AM130" s="883">
        <f>COUNTBLANK(I636:R636)</f>
        <v>4</v>
      </c>
      <c r="BL130" s="1033"/>
      <c r="BM130" s="1033"/>
      <c r="BN130" s="1033"/>
      <c r="BO130" s="1033"/>
      <c r="BP130" s="1033"/>
      <c r="BQ130" s="1033"/>
      <c r="BR130" s="1033"/>
      <c r="BS130" s="1033"/>
      <c r="BT130" s="1033"/>
      <c r="BU130" s="1033"/>
    </row>
    <row r="131" spans="2:73" ht="35.25" customHeight="1" x14ac:dyDescent="0.3">
      <c r="B131" s="1347"/>
      <c r="C131" s="1333"/>
      <c r="D131" s="1429"/>
      <c r="E131" s="899" t="s">
        <v>5108</v>
      </c>
      <c r="I131" s="1367">
        <f>Recording!D193</f>
        <v>0</v>
      </c>
      <c r="J131" s="1367"/>
      <c r="K131" s="1367"/>
      <c r="L131" s="1367">
        <f>Recording!E193</f>
        <v>0</v>
      </c>
      <c r="M131" s="1367"/>
      <c r="N131" s="1367"/>
      <c r="O131" s="1367">
        <f>Recording!F193</f>
        <v>0</v>
      </c>
      <c r="P131" s="1367"/>
      <c r="Q131" s="1367"/>
      <c r="R131" s="1367">
        <f>Recording!G193</f>
        <v>0</v>
      </c>
      <c r="S131" s="1367"/>
      <c r="T131" s="1367"/>
      <c r="U131" s="1367">
        <f>Recording!H193</f>
        <v>0</v>
      </c>
      <c r="V131" s="1367"/>
      <c r="W131" s="1367"/>
      <c r="X131" s="1367">
        <f>Recording!I193</f>
        <v>0</v>
      </c>
      <c r="Y131" s="1367"/>
      <c r="Z131" s="1367"/>
      <c r="AA131" s="1367">
        <f>Recording!J193</f>
        <v>0</v>
      </c>
      <c r="AB131" s="1367"/>
      <c r="AC131" s="1367"/>
      <c r="AD131" s="1367">
        <f>Recording!K193</f>
        <v>0</v>
      </c>
      <c r="AE131" s="1367"/>
      <c r="AF131" s="1367"/>
      <c r="AG131" s="1367">
        <f>Recording!L193</f>
        <v>0</v>
      </c>
      <c r="AH131" s="1367"/>
      <c r="AI131" s="1367"/>
      <c r="AJ131" s="1367">
        <f>Recording!M193</f>
        <v>0</v>
      </c>
      <c r="AK131" s="1367"/>
      <c r="AL131" s="1367"/>
      <c r="AM131" s="883"/>
      <c r="BL131" s="1033"/>
      <c r="BM131" s="1033"/>
      <c r="BN131" s="1033"/>
      <c r="BO131" s="1033"/>
      <c r="BP131" s="1033"/>
      <c r="BQ131" s="1033"/>
      <c r="BR131" s="1033"/>
      <c r="BS131" s="1033"/>
      <c r="BT131" s="1033"/>
      <c r="BU131" s="1033"/>
    </row>
    <row r="132" spans="2:73" ht="35.25" customHeight="1" x14ac:dyDescent="0.3">
      <c r="B132" s="1337">
        <v>44</v>
      </c>
      <c r="C132" s="1343" t="s">
        <v>5087</v>
      </c>
      <c r="D132" s="1429" t="s">
        <v>5105</v>
      </c>
      <c r="E132" s="891" t="s">
        <v>5091</v>
      </c>
      <c r="I132" s="1030">
        <f>0+TEXT(Recording!D195,"00\:00\.00")</f>
        <v>0</v>
      </c>
      <c r="J132" s="879">
        <f>IF(I132=0,0,IF(I$6=0,0,IF(I132&lt;1,SUM((I132&gt;L132),(I132&gt;O132),(I132&gt;R132),(I132&gt;U132),(I132&gt;X132),(I132&gt;AA132),(I132&gt;AD132),(I132&gt;AG132),(I132&gt;AJ132),(I132&gt;BE132)))-$AM132))</f>
        <v>0</v>
      </c>
      <c r="K132" s="879">
        <f>IF(I132=0,0,IF(I$6=0,0,IF(J132=0,0,((11-J132)))-$B$6))</f>
        <v>0</v>
      </c>
      <c r="L132" s="878">
        <f>0+TEXT(Recording!E195,"00\:00\.00")</f>
        <v>1.8879629629629628E-3</v>
      </c>
      <c r="M132" s="879">
        <f>IF(L132=0,0,IF(L$6=0,0,IF(L132&lt;1,SUM((L132&gt;O132),(L132&gt;R132),(L132&gt;U132),(L132&gt;X132),(L132&gt;AA132),(L132&gt;AD132),(L132&gt;I132),(L132&gt;AG132),(L132&gt;AJ132),(L132&gt;BE132)))-$AM132))</f>
        <v>1</v>
      </c>
      <c r="N132" s="879">
        <f>IF(L132=0,0,IF(L$6=0,0,IF(M132=0,0,((11-M132)))-$B$6))</f>
        <v>7</v>
      </c>
      <c r="O132" s="878">
        <f>0+TEXT(Recording!F195,"00\:00\.00")</f>
        <v>0</v>
      </c>
      <c r="P132" s="879">
        <f>IF(O132=0,0,IF(O$6=0,0,IF(O132&lt;1,SUM((O132&gt;L132),(O132&gt;I132),(O132&gt;R132),(O132&gt;U132),(O132&gt;X132),(O132&gt;AA132),(O132&gt;AD132),(O132&gt;AG132),(O132&gt;AJ132),(O132&gt;BE132)))-$AM132))</f>
        <v>0</v>
      </c>
      <c r="Q132" s="879">
        <f>IF(O132=0,0,IF(O$6=0,0,IF(P132=0,0,((11-P132)))-$B$6))</f>
        <v>0</v>
      </c>
      <c r="R132" s="878">
        <f>0+TEXT(Recording!G195,"00\:00\.00")</f>
        <v>2.379050925925926E-3</v>
      </c>
      <c r="S132" s="879">
        <f>IF(R132=0,0,IF(R$6=0,0,IF(R132&lt;1,SUM((R132&gt;L132),(R132&gt;O132),(R132&gt;I132),(R132&gt;U132),(R132&gt;X132),(R132&gt;AA132),(R132&gt;AD132),(R132&gt;AG132),(R132&gt;AJ132),(R132&gt;BE132)))-$AM132))</f>
        <v>3</v>
      </c>
      <c r="T132" s="879">
        <f>IF(R132=0,0,IF(R$6=0,0,IF(S132=0,0,((11-S132)))-$B$6))</f>
        <v>5</v>
      </c>
      <c r="U132" s="878">
        <f>0+TEXT(Recording!H195,"00\:00\.00")</f>
        <v>2.0459490740740742E-3</v>
      </c>
      <c r="V132" s="879">
        <f>IF(U132=0,0,IF(U$6=0,0,IF(U132&lt;1,SUM((U132&gt;L132),(U132&gt;O132),(U132&gt;R132),(U132&gt;I132),(U132&gt;X132),(U132&gt;AA132),(U132&gt;AD132),(U132&gt;AG132),(U132&gt;AJ132),(U132&gt;BE132)))-$AM132))</f>
        <v>2</v>
      </c>
      <c r="W132" s="879">
        <f>IF(U132=0,0,IF(U$6=0,0,IF(V132=0,0,((11-V132)))-$B$6))</f>
        <v>6</v>
      </c>
      <c r="X132" s="878">
        <f>0+TEXT(Recording!I195,"00\:00\.00")</f>
        <v>0</v>
      </c>
      <c r="Y132" s="879">
        <f>IF(X132=0,0,IF(X$6=0,0,IF(X132&lt;1,SUM((X132&gt;L132),(X132&gt;O132),(X132&gt;R132),(X132&gt;U132),(X132&gt;I132),(X132&gt;AA132),(X132&gt;AD132),(X132&gt;AG132),(X132&gt;AJ132),(X132&gt;BE132)))-$AM132))</f>
        <v>0</v>
      </c>
      <c r="Z132" s="879">
        <f>IF(X132=0,0,IF(X$6=0,0,IF(Y132=0,0,((11-Y132)))-$B$6))</f>
        <v>0</v>
      </c>
      <c r="AA132" s="878">
        <f>0+TEXT(Recording!J195,"00\:00\.00")</f>
        <v>0</v>
      </c>
      <c r="AB132" s="879">
        <f>IF(AA132=0,0,IF(AA$6=0,0,IF(AA132&lt;1,SUM((AA132&gt;L132),(AA132&gt;O132),(AA132&gt;R132),(AA132&gt;U132),(AA132&gt;X132),(AA132&gt;I132),(AA132&gt;AD132),(AA132&gt;AG132),(AA132&gt;AJ132),(AA132&gt;BE132))))-$AM132)</f>
        <v>0</v>
      </c>
      <c r="AC132" s="879">
        <f>IF(AA132=0,0,IF(AA$6=0,0,IF(AB132=0,0,((11-AB132)))-$B$6))</f>
        <v>0</v>
      </c>
      <c r="AD132" s="878">
        <f>0+TEXT(Recording!K195,"00\:00\.00")</f>
        <v>0</v>
      </c>
      <c r="AE132" s="879">
        <f>IF(AD132=0,0,IF(AD$6=0,0,IF(AD132&lt;1,SUM((AD132&gt;L132),(AD132&gt;O132),(AD132&gt;R132),(AD132&gt;U132),(AD132&gt;X132),(AD132&gt;AA132),(AD132&gt;AG132),(AD132&gt;AJ132),(AD132&gt;I132),(AD132&gt;BE132)))-$AM132))</f>
        <v>0</v>
      </c>
      <c r="AF132" s="879">
        <f>IF(AD132=0,0,IF(AD$6=0,0,IF(AE132=0,0,((11-AE132)))-$B$6))</f>
        <v>0</v>
      </c>
      <c r="AG132" s="878">
        <f>0+TEXT(Recording!L195,"00\:00\.00")</f>
        <v>0</v>
      </c>
      <c r="AH132" s="879">
        <f>IF(AG132=0,0,IF(AG$6=0,0,IF(AG132&lt;1,SUM((AG132&gt;I132),(AG132&gt;L132),(AG132&gt;O132),(AG132&gt;R132),(AG132&gt;U132),(AG132&gt;X132),(AG132&gt;AA132),(AG132&gt;AD132),(AG132&gt;AJ132),(AG132&gt;BE132)))-$AM132))</f>
        <v>0</v>
      </c>
      <c r="AI132" s="879">
        <f>IF(AG132=0,0,IF(AG$6=0,0,IF(AH132=0,0,((11-AH132)))-$B$6))</f>
        <v>0</v>
      </c>
      <c r="AJ132" s="878">
        <f>0+TEXT(Recording!M195,"00\:00\.00")</f>
        <v>0</v>
      </c>
      <c r="AK132" s="879">
        <f>IF(AJ132=0,0,IF(AJ$6=0,0,IF(AJ132&lt;1,SUM((AJ132&gt;I132),(AJ132&gt;L132),(AJ132&gt;O132),(AJ132&gt;R132),(AJ132&gt;U132),(AJ132&gt;X132),(AJ132&gt;AA132),(AJ132&gt;AD132),(AJ132&gt;AG132),(AJ132&gt;BE132)))-$AM132))</f>
        <v>0</v>
      </c>
      <c r="AL132" s="989">
        <f>IF(AJ132=0,0,IF(AJ$6=0,0,IF(AK132=0,0,((11-AK132)))-$B$6))</f>
        <v>0</v>
      </c>
      <c r="AM132" s="883">
        <f>COUNTBLANK(I637:R637)</f>
        <v>7</v>
      </c>
      <c r="BL132" s="1033"/>
      <c r="BM132" s="1033"/>
      <c r="BN132" s="1033"/>
      <c r="BO132" s="1033"/>
      <c r="BP132" s="1033"/>
      <c r="BQ132" s="1033"/>
      <c r="BR132" s="1033"/>
      <c r="BS132" s="1033"/>
      <c r="BT132" s="1033"/>
      <c r="BU132" s="1033"/>
    </row>
    <row r="133" spans="2:73" ht="35.25" customHeight="1" x14ac:dyDescent="0.3">
      <c r="B133" s="1337"/>
      <c r="C133" s="1343"/>
      <c r="D133" s="1429"/>
      <c r="E133" s="899" t="s">
        <v>5108</v>
      </c>
      <c r="I133" s="1367" t="str">
        <f>Recording!D196</f>
        <v>DNS</v>
      </c>
      <c r="J133" s="1367"/>
      <c r="K133" s="1367"/>
      <c r="L133" s="1367">
        <f>Recording!E196</f>
        <v>0</v>
      </c>
      <c r="M133" s="1367"/>
      <c r="N133" s="1367"/>
      <c r="O133" s="1367">
        <f>Recording!F196</f>
        <v>0</v>
      </c>
      <c r="P133" s="1367"/>
      <c r="Q133" s="1367"/>
      <c r="R133" s="1367">
        <f>Recording!G196</f>
        <v>0</v>
      </c>
      <c r="S133" s="1367"/>
      <c r="T133" s="1367"/>
      <c r="U133" s="1367">
        <f>Recording!H196</f>
        <v>0</v>
      </c>
      <c r="V133" s="1367"/>
      <c r="W133" s="1367"/>
      <c r="X133" s="1367" t="str">
        <f>Recording!I196</f>
        <v>10.12 feet lost touch with starting platform before incoming swimmer touched the wall</v>
      </c>
      <c r="Y133" s="1367"/>
      <c r="Z133" s="1367"/>
      <c r="AA133" s="1367" t="str">
        <f>Recording!J196</f>
        <v>10.8 swimmer caused an obstruction in lane 6</v>
      </c>
      <c r="AB133" s="1367"/>
      <c r="AC133" s="1367"/>
      <c r="AD133" s="1367">
        <f>Recording!K196</f>
        <v>0</v>
      </c>
      <c r="AE133" s="1367"/>
      <c r="AF133" s="1367"/>
      <c r="AG133" s="1367">
        <f>Recording!L196</f>
        <v>0</v>
      </c>
      <c r="AH133" s="1367"/>
      <c r="AI133" s="1367"/>
      <c r="AJ133" s="1367">
        <f>Recording!M196</f>
        <v>0</v>
      </c>
      <c r="AK133" s="1367"/>
      <c r="AL133" s="1367"/>
      <c r="AM133" s="883"/>
      <c r="BL133" s="1033"/>
      <c r="BM133" s="1033"/>
      <c r="BN133" s="1033"/>
      <c r="BO133" s="1033"/>
      <c r="BP133" s="1033"/>
      <c r="BQ133" s="1033"/>
      <c r="BR133" s="1033"/>
      <c r="BS133" s="1033"/>
      <c r="BT133" s="1033"/>
      <c r="BU133" s="1033"/>
    </row>
    <row r="134" spans="2:73" ht="35.25" customHeight="1" x14ac:dyDescent="0.3">
      <c r="B134" s="1337">
        <v>45</v>
      </c>
      <c r="C134" s="1333" t="s">
        <v>5083</v>
      </c>
      <c r="D134" s="1424" t="s">
        <v>5090</v>
      </c>
      <c r="E134" s="891" t="s">
        <v>5089</v>
      </c>
      <c r="I134" s="1030">
        <f>0+TEXT(Recording!D198,"00\:00\.00")</f>
        <v>1.5287037037037038E-3</v>
      </c>
      <c r="J134" s="879">
        <f>IF(I134=0,0,IF(I$6=0,0,IF(I134&lt;1,SUM((I134&gt;L134),(I134&gt;O134),(I134&gt;R134),(I134&gt;U134),(I134&gt;X134),(I134&gt;AA134),(I134&gt;AD134),(I134&gt;AG134),(I134&gt;AJ134),(I134&gt;BE134)))-$AM134))</f>
        <v>3</v>
      </c>
      <c r="K134" s="879">
        <f>IF(I134=0,0,IF(I$6=0,0,IF(J134=0,0,((11-J134)))-$B$6))</f>
        <v>5</v>
      </c>
      <c r="L134" s="878">
        <f>0+TEXT(Recording!E198,"00\:00\.00")</f>
        <v>1.5825231481481482E-3</v>
      </c>
      <c r="M134" s="879">
        <f>IF(L134=0,0,IF(L$6=0,0,IF(L134&lt;1,SUM((L134&gt;O134),(L134&gt;R134),(L134&gt;U134),(L134&gt;X134),(L134&gt;AA134),(L134&gt;AD134),(L134&gt;I134),(L134&gt;AG134),(L134&gt;AJ134),(L134&gt;BE134)))-$AM134))</f>
        <v>6</v>
      </c>
      <c r="N134" s="879">
        <f>IF(L134=0,0,IF(L$6=0,0,IF(M134=0,0,((11-M134)))-$B$6))</f>
        <v>2</v>
      </c>
      <c r="O134" s="878">
        <f>0+TEXT(Recording!F198,"00\:00\.00")</f>
        <v>1.4799768518518519E-3</v>
      </c>
      <c r="P134" s="879">
        <f>IF(O134=0,0,IF(O$6=0,0,IF(O134&lt;1,SUM((O134&gt;L134),(O134&gt;I134),(O134&gt;R134),(O134&gt;U134),(O134&gt;X134),(O134&gt;AA134),(O134&gt;AD134),(O134&gt;AG134),(O134&gt;AJ134),(O134&gt;BE134)))-$AM134))</f>
        <v>2</v>
      </c>
      <c r="Q134" s="879">
        <f>IF(O134=0,0,IF(O$6=0,0,IF(P134=0,0,((11-P134)))-$B$6))</f>
        <v>6</v>
      </c>
      <c r="R134" s="878">
        <f>0+TEXT(Recording!G198,"00\:00\.00")</f>
        <v>1.4490740740740742E-3</v>
      </c>
      <c r="S134" s="879">
        <f>IF(R134=0,0,IF(R$6=0,0,IF(R134&lt;1,SUM((R134&gt;L134),(R134&gt;O134),(R134&gt;I134),(R134&gt;U134),(R134&gt;X134),(R134&gt;AA134),(R134&gt;AD134),(R134&gt;AG134),(R134&gt;AJ134),(R134&gt;BE134)))-$AM134))</f>
        <v>1</v>
      </c>
      <c r="T134" s="879">
        <f>IF(R134=0,0,IF(R$6=0,0,IF(S134=0,0,((11-S134)))-$B$6))</f>
        <v>7</v>
      </c>
      <c r="U134" s="878">
        <f>0+TEXT(Recording!H198,"00\:00\.00")</f>
        <v>1.5416666666666669E-3</v>
      </c>
      <c r="V134" s="879">
        <f>IF(U134=0,0,IF(U$6=0,0,IF(U134&lt;1,SUM((U134&gt;L134),(U134&gt;O134),(U134&gt;R134),(U134&gt;I134),(U134&gt;X134),(U134&gt;AA134),(U134&gt;AD134),(U134&gt;AG134),(U134&gt;AJ134),(U134&gt;BE134)))-$AM134))</f>
        <v>4</v>
      </c>
      <c r="W134" s="879">
        <f>IF(U134=0,0,IF(U$6=0,0,IF(V134=0,0,((11-V134)))-$B$6))</f>
        <v>4</v>
      </c>
      <c r="X134" s="878">
        <f>0+TEXT(Recording!I198,"00\:00\.00")</f>
        <v>1.7312499999999999E-3</v>
      </c>
      <c r="Y134" s="879">
        <f>IF(X134=0,0,IF(X$6=0,0,IF(X134&lt;1,SUM((X134&gt;L134),(X134&gt;O134),(X134&gt;R134),(X134&gt;U134),(X134&gt;I134),(X134&gt;AA134),(X134&gt;AD134),(X134&gt;AG134),(X134&gt;AJ134),(X134&gt;BE134)))-$AM134))</f>
        <v>7</v>
      </c>
      <c r="Z134" s="879">
        <f>IF(X134=0,0,IF(X$6=0,0,IF(Y134=0,0,((11-Y134)))-$B$6))</f>
        <v>1</v>
      </c>
      <c r="AA134" s="878">
        <f>0+TEXT(Recording!J198,"00\:00\.00")</f>
        <v>1.553587962962963E-3</v>
      </c>
      <c r="AB134" s="879">
        <f>IF(AA134=0,0,IF(AA$6=0,0,IF(AA134&lt;1,SUM((AA134&gt;L134),(AA134&gt;O134),(AA134&gt;R134),(AA134&gt;U134),(AA134&gt;X134),(AA134&gt;I134),(AA134&gt;AD134),(AA134&gt;AG134),(AA134&gt;AJ134),(AA134&gt;BE134))))-$AM134)</f>
        <v>5</v>
      </c>
      <c r="AC134" s="879">
        <f>IF(AA134=0,0,IF(AA$6=0,0,IF(AB134=0,0,((11-AB134)))-$B$6))</f>
        <v>3</v>
      </c>
      <c r="AD134" s="878">
        <f>0+TEXT(Recording!K198,"00\:00\.00")</f>
        <v>0</v>
      </c>
      <c r="AE134" s="879">
        <f>IF(AD134=0,0,IF(AD$6=0,0,IF(AD134&lt;1,SUM((AD134&gt;L134),(AD134&gt;O134),(AD134&gt;R134),(AD134&gt;U134),(AD134&gt;X134),(AD134&gt;AA134),(AD134&gt;AG134),(AD134&gt;AJ134),(AD134&gt;I134),(AD134&gt;BE134)))-$AM134))</f>
        <v>0</v>
      </c>
      <c r="AF134" s="879">
        <f>IF(AD134=0,0,IF(AD$6=0,0,IF(AE134=0,0,((11-AE134)))-$B$6))</f>
        <v>0</v>
      </c>
      <c r="AG134" s="878">
        <f>0+TEXT(Recording!L198,"00\:00\.00")</f>
        <v>0</v>
      </c>
      <c r="AH134" s="879">
        <f>IF(AG134=0,0,IF(AG$6=0,0,IF(AG134&lt;1,SUM((AG134&gt;I134),(AG134&gt;L134),(AG134&gt;O134),(AG134&gt;R134),(AG134&gt;U134),(AG134&gt;X134),(AG134&gt;AA134),(AG134&gt;AD134),(AG134&gt;AJ134),(AG134&gt;BE134)))-$AM134))</f>
        <v>0</v>
      </c>
      <c r="AI134" s="879">
        <f>IF(AG134=0,0,IF(AG$6=0,0,IF(AH134=0,0,((11-AH134)))-$B$6))</f>
        <v>0</v>
      </c>
      <c r="AJ134" s="878">
        <f>0+TEXT(Recording!M198,"00\:00\.00")</f>
        <v>0</v>
      </c>
      <c r="AK134" s="879">
        <f>IF(AJ134=0,0,IF(AJ$6=0,0,IF(AJ134&lt;1,SUM((AJ134&gt;I134),(AJ134&gt;L134),(AJ134&gt;O134),(AJ134&gt;R134),(AJ134&gt;U134),(AJ134&gt;X134),(AJ134&gt;AA134),(AJ134&gt;AD134),(AJ134&gt;AG134),(AJ134&gt;BE134)))-$AM134))</f>
        <v>0</v>
      </c>
      <c r="AL134" s="989">
        <f>IF(AJ134=0,0,IF(AJ$6=0,0,IF(AK134=0,0,((11-AK134)))-$B$6))</f>
        <v>0</v>
      </c>
      <c r="AM134" s="883">
        <f>COUNTBLANK(I638:R638)</f>
        <v>3</v>
      </c>
      <c r="BL134" s="1033"/>
      <c r="BM134" s="1033"/>
      <c r="BN134" s="1033"/>
      <c r="BO134" s="1033"/>
      <c r="BP134" s="1033"/>
      <c r="BQ134" s="1033"/>
      <c r="BR134" s="1033"/>
      <c r="BS134" s="1033"/>
      <c r="BT134" s="1033"/>
      <c r="BU134" s="1033"/>
    </row>
    <row r="135" spans="2:73" ht="35.25" customHeight="1" x14ac:dyDescent="0.3">
      <c r="B135" s="1337"/>
      <c r="C135" s="1333"/>
      <c r="D135" s="1424"/>
      <c r="E135" s="899" t="s">
        <v>5108</v>
      </c>
      <c r="I135" s="1367">
        <f>Recording!D199</f>
        <v>0</v>
      </c>
      <c r="J135" s="1367"/>
      <c r="K135" s="1367"/>
      <c r="L135" s="1367">
        <f>Recording!E199</f>
        <v>0</v>
      </c>
      <c r="M135" s="1367"/>
      <c r="N135" s="1367"/>
      <c r="O135" s="1367">
        <f>Recording!F199</f>
        <v>0</v>
      </c>
      <c r="P135" s="1367"/>
      <c r="Q135" s="1367"/>
      <c r="R135" s="1367">
        <f>Recording!G199</f>
        <v>0</v>
      </c>
      <c r="S135" s="1367"/>
      <c r="T135" s="1367"/>
      <c r="U135" s="1367">
        <f>Recording!H199</f>
        <v>0</v>
      </c>
      <c r="V135" s="1367"/>
      <c r="W135" s="1367"/>
      <c r="X135" s="1367">
        <f>Recording!I199</f>
        <v>0</v>
      </c>
      <c r="Y135" s="1367"/>
      <c r="Z135" s="1367"/>
      <c r="AA135" s="1367">
        <f>Recording!J199</f>
        <v>0</v>
      </c>
      <c r="AB135" s="1367"/>
      <c r="AC135" s="1367"/>
      <c r="AD135" s="1367">
        <f>Recording!K199</f>
        <v>0</v>
      </c>
      <c r="AE135" s="1367"/>
      <c r="AF135" s="1367"/>
      <c r="AG135" s="1367">
        <f>Recording!L199</f>
        <v>0</v>
      </c>
      <c r="AH135" s="1367"/>
      <c r="AI135" s="1367"/>
      <c r="AJ135" s="1367">
        <f>Recording!M199</f>
        <v>0</v>
      </c>
      <c r="AK135" s="1367"/>
      <c r="AL135" s="1367"/>
      <c r="AM135" s="883"/>
      <c r="BL135" s="1033"/>
      <c r="BM135" s="1033"/>
      <c r="BN135" s="1033"/>
      <c r="BO135" s="1033"/>
      <c r="BP135" s="1033"/>
      <c r="BQ135" s="1033"/>
      <c r="BR135" s="1033"/>
      <c r="BS135" s="1033"/>
      <c r="BT135" s="1033"/>
      <c r="BU135" s="1033"/>
    </row>
    <row r="136" spans="2:73" ht="35.25" customHeight="1" x14ac:dyDescent="0.3">
      <c r="B136" s="1337">
        <v>46</v>
      </c>
      <c r="C136" s="1343" t="s">
        <v>5087</v>
      </c>
      <c r="D136" s="1424" t="s">
        <v>5090</v>
      </c>
      <c r="E136" s="891" t="s">
        <v>5089</v>
      </c>
      <c r="I136" s="1030">
        <f>0+TEXT(Recording!D201,"00\:00\.00")</f>
        <v>1.5355324074074073E-3</v>
      </c>
      <c r="J136" s="879">
        <f>IF(I136=0,0,IF(I$6=0,0,IF(I136&lt;1,SUM((I136&gt;L136),(I136&gt;O136),(I136&gt;R136),(I136&gt;U136),(I136&gt;X136),(I136&gt;AA136),(I136&gt;AD136),(I136&gt;AG136),(I136&gt;AJ136),(I136&gt;BE136)))-$AM136))</f>
        <v>4</v>
      </c>
      <c r="K136" s="879">
        <f>IF(I136=0,0,IF(I$6=0,0,IF(J136=0,0,((11-J136)))-$B$6))</f>
        <v>4</v>
      </c>
      <c r="L136" s="878">
        <f>0+TEXT(Recording!E201,"00\:00\.00")</f>
        <v>1.5901620370370368E-3</v>
      </c>
      <c r="M136" s="879">
        <f>IF(L136=0,0,IF(L$6=0,0,IF(L136&lt;1,SUM((L136&gt;O136),(L136&gt;R136),(L136&gt;U136),(L136&gt;X136),(L136&gt;AA136),(L136&gt;AD136),(L136&gt;I136),(L136&gt;AG136),(L136&gt;AJ136),(L136&gt;BE136)))-$AM136))</f>
        <v>5</v>
      </c>
      <c r="N136" s="879">
        <f>IF(L136=0,0,IF(L$6=0,0,IF(M136=0,0,((11-M136)))-$B$6))</f>
        <v>3</v>
      </c>
      <c r="O136" s="878">
        <f>0+TEXT(Recording!F201,"00\:00\.00")</f>
        <v>1.4519675925925926E-3</v>
      </c>
      <c r="P136" s="879">
        <f>IF(O136=0,0,IF(O$6=0,0,IF(O136&lt;1,SUM((O136&gt;L136),(O136&gt;I136),(O136&gt;R136),(O136&gt;U136),(O136&gt;X136),(O136&gt;AA136),(O136&gt;AD136),(O136&gt;AG136),(O136&gt;AJ136),(O136&gt;BE136)))-$AM136))</f>
        <v>3</v>
      </c>
      <c r="Q136" s="879">
        <f>IF(O136=0,0,IF(O$6=0,0,IF(P136=0,0,((11-P136)))-$B$6))</f>
        <v>5</v>
      </c>
      <c r="R136" s="878">
        <f>0+TEXT(Recording!G201,"00\:00\.00")</f>
        <v>1.6111111111111109E-3</v>
      </c>
      <c r="S136" s="879">
        <f>IF(R136=0,0,IF(R$6=0,0,IF(R136&lt;1,SUM((R136&gt;L136),(R136&gt;O136),(R136&gt;I136),(R136&gt;U136),(R136&gt;X136),(R136&gt;AA136),(R136&gt;AD136),(R136&gt;AG136),(R136&gt;AJ136),(R136&gt;BE136)))-$AM136))</f>
        <v>7</v>
      </c>
      <c r="T136" s="879">
        <f>IF(R136=0,0,IF(R$6=0,0,IF(S136=0,0,((11-S136)))-$B$6))</f>
        <v>1</v>
      </c>
      <c r="U136" s="878">
        <f>0+TEXT(Recording!H201,"00\:00\.00")</f>
        <v>1.6079861111111112E-3</v>
      </c>
      <c r="V136" s="879">
        <f>IF(U136=0,0,IF(U$6=0,0,IF(U136&lt;1,SUM((U136&gt;L136),(U136&gt;O136),(U136&gt;R136),(U136&gt;I136),(U136&gt;X136),(U136&gt;AA136),(U136&gt;AD136),(U136&gt;AG136),(U136&gt;AJ136),(U136&gt;BE136)))-$AM136))</f>
        <v>6</v>
      </c>
      <c r="W136" s="879">
        <f>IF(U136=0,0,IF(U$6=0,0,IF(V136=0,0,((11-V136)))-$B$6))</f>
        <v>2</v>
      </c>
      <c r="X136" s="878">
        <f>0+TEXT(Recording!I201,"00\:00\.00")</f>
        <v>1.3805555555555557E-3</v>
      </c>
      <c r="Y136" s="879">
        <f>IF(X136=0,0,IF(X$6=0,0,IF(X136&lt;1,SUM((X136&gt;L136),(X136&gt;O136),(X136&gt;R136),(X136&gt;U136),(X136&gt;I136),(X136&gt;AA136),(X136&gt;AD136),(X136&gt;AG136),(X136&gt;AJ136),(X136&gt;BE136)))-$AM136))</f>
        <v>1</v>
      </c>
      <c r="Z136" s="879">
        <f>IF(X136=0,0,IF(X$6=0,0,IF(Y136=0,0,((11-Y136)))-$B$6))</f>
        <v>7</v>
      </c>
      <c r="AA136" s="878">
        <f>0+TEXT(Recording!J201,"00\:00\.00")</f>
        <v>1.4348379629629631E-3</v>
      </c>
      <c r="AB136" s="879">
        <f>IF(AA136=0,0,IF(AA$6=0,0,IF(AA136&lt;1,SUM((AA136&gt;L136),(AA136&gt;O136),(AA136&gt;R136),(AA136&gt;U136),(AA136&gt;X136),(AA136&gt;I136),(AA136&gt;AD136),(AA136&gt;AG136),(AA136&gt;AJ136),(AA136&gt;BE136))))-$AM136)</f>
        <v>2</v>
      </c>
      <c r="AC136" s="879">
        <f>IF(AA136=0,0,IF(AA$6=0,0,IF(AB136=0,0,((11-AB136)))-$B$6))</f>
        <v>6</v>
      </c>
      <c r="AD136" s="878">
        <f>0+TEXT(Recording!K201,"00\:00\.00")</f>
        <v>0</v>
      </c>
      <c r="AE136" s="879">
        <f>IF(AD136=0,0,IF(AD$6=0,0,IF(AD136&lt;1,SUM((AD136&gt;L136),(AD136&gt;O136),(AD136&gt;R136),(AD136&gt;U136),(AD136&gt;X136),(AD136&gt;AA136),(AD136&gt;AG136),(AD136&gt;AJ136),(AD136&gt;I136),(AD136&gt;BE136)))-$AM136))</f>
        <v>0</v>
      </c>
      <c r="AF136" s="879">
        <f>IF(AD136=0,0,IF(AD$6=0,0,IF(AE136=0,0,((11-AE136)))-$B$6))</f>
        <v>0</v>
      </c>
      <c r="AG136" s="878">
        <f>0+TEXT(Recording!L201,"00\:00\.00")</f>
        <v>0</v>
      </c>
      <c r="AH136" s="879">
        <f>IF(AG136=0,0,IF(AG$6=0,0,IF(AG136&lt;1,SUM((AG136&gt;I136),(AG136&gt;L136),(AG136&gt;O136),(AG136&gt;R136),(AG136&gt;U136),(AG136&gt;X136),(AG136&gt;AA136),(AG136&gt;AD136),(AG136&gt;AJ136),(AG136&gt;BE136)))-$AM136))</f>
        <v>0</v>
      </c>
      <c r="AI136" s="879">
        <f>IF(AG136=0,0,IF(AG$6=0,0,IF(AH136=0,0,((11-AH136)))-$B$6))</f>
        <v>0</v>
      </c>
      <c r="AJ136" s="878">
        <f>0+TEXT(Recording!M201,"00\:00\.00")</f>
        <v>0</v>
      </c>
      <c r="AK136" s="879">
        <f>IF(AJ136=0,0,IF(AJ$6=0,0,IF(AJ136&lt;1,SUM((AJ136&gt;I136),(AJ136&gt;L136),(AJ136&gt;O136),(AJ136&gt;R136),(AJ136&gt;U136),(AJ136&gt;X136),(AJ136&gt;AA136),(AJ136&gt;AD136),(AJ136&gt;AG136),(AJ136&gt;BE136)))-$AM136))</f>
        <v>0</v>
      </c>
      <c r="AL136" s="989">
        <f>IF(AJ136=0,0,IF(AJ$6=0,0,IF(AK136=0,0,((11-AK136)))-$B$6))</f>
        <v>0</v>
      </c>
      <c r="AM136" s="883">
        <f>COUNTBLANK(I639:R639)</f>
        <v>3</v>
      </c>
      <c r="BL136" s="1033"/>
      <c r="BM136" s="1033"/>
      <c r="BN136" s="1033"/>
      <c r="BO136" s="1033"/>
      <c r="BP136" s="1033"/>
      <c r="BQ136" s="1033"/>
      <c r="BR136" s="1033"/>
      <c r="BS136" s="1033"/>
      <c r="BT136" s="1033"/>
      <c r="BU136" s="1033"/>
    </row>
    <row r="137" spans="2:73" ht="35.25" customHeight="1" x14ac:dyDescent="0.3">
      <c r="B137" s="1337"/>
      <c r="C137" s="1343"/>
      <c r="D137" s="1424"/>
      <c r="E137" s="899" t="s">
        <v>5108</v>
      </c>
      <c r="I137" s="1367">
        <f>Recording!D202</f>
        <v>0</v>
      </c>
      <c r="J137" s="1367"/>
      <c r="K137" s="1367"/>
      <c r="L137" s="1367">
        <f>Recording!E202</f>
        <v>0</v>
      </c>
      <c r="M137" s="1367"/>
      <c r="N137" s="1367"/>
      <c r="O137" s="1367">
        <f>Recording!F202</f>
        <v>0</v>
      </c>
      <c r="P137" s="1367"/>
      <c r="Q137" s="1367"/>
      <c r="R137" s="1367">
        <f>Recording!G202</f>
        <v>0</v>
      </c>
      <c r="S137" s="1367"/>
      <c r="T137" s="1367"/>
      <c r="U137" s="1367">
        <f>Recording!H202</f>
        <v>0</v>
      </c>
      <c r="V137" s="1367"/>
      <c r="W137" s="1367"/>
      <c r="X137" s="1367">
        <f>Recording!I202</f>
        <v>0</v>
      </c>
      <c r="Y137" s="1367"/>
      <c r="Z137" s="1367"/>
      <c r="AA137" s="1367">
        <f>Recording!J202</f>
        <v>0</v>
      </c>
      <c r="AB137" s="1367"/>
      <c r="AC137" s="1367"/>
      <c r="AD137" s="1367">
        <f>Recording!K202</f>
        <v>0</v>
      </c>
      <c r="AE137" s="1367"/>
      <c r="AF137" s="1367"/>
      <c r="AG137" s="1367">
        <f>Recording!L202</f>
        <v>0</v>
      </c>
      <c r="AH137" s="1367"/>
      <c r="AI137" s="1367"/>
      <c r="AJ137" s="1367">
        <f>Recording!M202</f>
        <v>0</v>
      </c>
      <c r="AK137" s="1367"/>
      <c r="AL137" s="1367"/>
      <c r="AM137" s="883"/>
      <c r="BL137" s="1033"/>
      <c r="BM137" s="1033"/>
      <c r="BN137" s="1033"/>
      <c r="BO137" s="1033"/>
      <c r="BP137" s="1033"/>
      <c r="BQ137" s="1033"/>
      <c r="BR137" s="1033"/>
      <c r="BS137" s="1033"/>
      <c r="BT137" s="1033"/>
      <c r="BU137" s="1033"/>
    </row>
    <row r="138" spans="2:73" ht="35.25" customHeight="1" x14ac:dyDescent="0.3">
      <c r="B138" s="1337">
        <v>47</v>
      </c>
      <c r="C138" s="1333" t="s">
        <v>5083</v>
      </c>
      <c r="D138" s="1424" t="s">
        <v>5092</v>
      </c>
      <c r="E138" s="891" t="s">
        <v>5091</v>
      </c>
      <c r="I138" s="1030">
        <f>0+TEXT(Recording!D204,"00\:00\.00")</f>
        <v>1.663310185185185E-3</v>
      </c>
      <c r="J138" s="879">
        <f>IF(I138=0,0,IF(I$6=0,0,IF(I138&lt;1,SUM((I138&gt;L138),(I138&gt;O138),(I138&gt;R138),(I138&gt;U138),(I138&gt;X138),(I138&gt;AA138),(I138&gt;AD138),(I138&gt;AG138),(I138&gt;AJ138),(I138&gt;BE138)))-$AM138))</f>
        <v>4</v>
      </c>
      <c r="K138" s="879">
        <f>IF(I138=0,0,IF(I$6=0,0,IF(J138=0,0,((11-J138)))-$B$6))</f>
        <v>4</v>
      </c>
      <c r="L138" s="878">
        <f>0+TEXT(Recording!E204,"00\:00\.00")</f>
        <v>1.7428240740740739E-3</v>
      </c>
      <c r="M138" s="879">
        <f>IF(L138=0,0,IF(L$6=0,0,IF(L138&lt;1,SUM((L138&gt;O138),(L138&gt;R138),(L138&gt;U138),(L138&gt;X138),(L138&gt;AA138),(L138&gt;AD138),(L138&gt;I138),(L138&gt;AG138),(L138&gt;AJ138),(L138&gt;BE138)))-$AM138))</f>
        <v>7</v>
      </c>
      <c r="N138" s="879">
        <f>IF(L138=0,0,IF(L$6=0,0,IF(M138=0,0,((11-M138)))-$B$6))</f>
        <v>1</v>
      </c>
      <c r="O138" s="878">
        <f>0+TEXT(Recording!F204,"00\:00\.00")</f>
        <v>1.6858796296296294E-3</v>
      </c>
      <c r="P138" s="879">
        <f>IF(O138=0,0,IF(O$6=0,0,IF(O138&lt;1,SUM((O138&gt;L138),(O138&gt;I138),(O138&gt;R138),(O138&gt;U138),(O138&gt;X138),(O138&gt;AA138),(O138&gt;AD138),(O138&gt;AG138),(O138&gt;AJ138),(O138&gt;BE138)))-$AM138))</f>
        <v>6</v>
      </c>
      <c r="Q138" s="879">
        <f>IF(O138=0,0,IF(O$6=0,0,IF(P138=0,0,((11-P138)))-$B$6))</f>
        <v>2</v>
      </c>
      <c r="R138" s="878">
        <f>0+TEXT(Recording!G204,"00\:00\.00")</f>
        <v>1.6114583333333334E-3</v>
      </c>
      <c r="S138" s="879">
        <f>IF(R138=0,0,IF(R$6=0,0,IF(R138&lt;1,SUM((R138&gt;L138),(R138&gt;O138),(R138&gt;I138),(R138&gt;U138),(R138&gt;X138),(R138&gt;AA138),(R138&gt;AD138),(R138&gt;AG138),(R138&gt;AJ138),(R138&gt;BE138)))-$AM138))</f>
        <v>3</v>
      </c>
      <c r="T138" s="879">
        <f>IF(R138=0,0,IF(R$6=0,0,IF(S138=0,0,((11-S138)))-$B$6))</f>
        <v>5</v>
      </c>
      <c r="U138" s="878">
        <f>0+TEXT(Recording!H204,"00\:00\.00")</f>
        <v>1.5557870370370372E-3</v>
      </c>
      <c r="V138" s="879">
        <f>IF(U138=0,0,IF(U$6=0,0,IF(U138&lt;1,SUM((U138&gt;L138),(U138&gt;O138),(U138&gt;R138),(U138&gt;I138),(U138&gt;X138),(U138&gt;AA138),(U138&gt;AD138),(U138&gt;AG138),(U138&gt;AJ138),(U138&gt;BE138)))-$AM138))</f>
        <v>1</v>
      </c>
      <c r="W138" s="879">
        <f>IF(U138=0,0,IF(U$6=0,0,IF(V138=0,0,((11-V138)))-$B$6))</f>
        <v>7</v>
      </c>
      <c r="X138" s="878">
        <f>0+TEXT(Recording!I204,"00\:00\.00")</f>
        <v>1.5972222222222221E-3</v>
      </c>
      <c r="Y138" s="879">
        <f>IF(X138=0,0,IF(X$6=0,0,IF(X138&lt;1,SUM((X138&gt;L138),(X138&gt;O138),(X138&gt;R138),(X138&gt;U138),(X138&gt;I138),(X138&gt;AA138),(X138&gt;AD138),(X138&gt;AG138),(X138&gt;AJ138),(X138&gt;BE138)))-$AM138))</f>
        <v>2</v>
      </c>
      <c r="Z138" s="879">
        <f>IF(X138=0,0,IF(X$6=0,0,IF(Y138=0,0,((11-Y138)))-$B$6))</f>
        <v>6</v>
      </c>
      <c r="AA138" s="878">
        <f>0+TEXT(Recording!J204,"00\:00\.00")</f>
        <v>1.6804398148148149E-3</v>
      </c>
      <c r="AB138" s="879">
        <f>IF(AA138=0,0,IF(AA$6=0,0,IF(AA138&lt;1,SUM((AA138&gt;L138),(AA138&gt;O138),(AA138&gt;R138),(AA138&gt;U138),(AA138&gt;X138),(AA138&gt;I138),(AA138&gt;AD138),(AA138&gt;AG138),(AA138&gt;AJ138),(AA138&gt;BE138))))-$AM138)</f>
        <v>5</v>
      </c>
      <c r="AC138" s="879">
        <f>IF(AA138=0,0,IF(AA$6=0,0,IF(AB138=0,0,((11-AB138)))-$B$6))</f>
        <v>3</v>
      </c>
      <c r="AD138" s="878">
        <f>0+TEXT(Recording!K204,"00\:00\.00")</f>
        <v>0</v>
      </c>
      <c r="AE138" s="879">
        <f>IF(AD138=0,0,IF(AD$6=0,0,IF(AD138&lt;1,SUM((AD138&gt;L138),(AD138&gt;O138),(AD138&gt;R138),(AD138&gt;U138),(AD138&gt;X138),(AD138&gt;AA138),(AD138&gt;AG138),(AD138&gt;AJ138),(AD138&gt;I138),(AD138&gt;BE138)))-$AM138))</f>
        <v>0</v>
      </c>
      <c r="AF138" s="879">
        <f>IF(AD138=0,0,IF(AD$6=0,0,IF(AE138=0,0,((11-AE138)))-$B$6))</f>
        <v>0</v>
      </c>
      <c r="AG138" s="878">
        <f>0+TEXT(Recording!L204,"00\:00\.00")</f>
        <v>0</v>
      </c>
      <c r="AH138" s="879">
        <f>IF(AG138=0,0,IF(AG$6=0,0,IF(AG138&lt;1,SUM((AG138&gt;I138),(AG138&gt;L138),(AG138&gt;O138),(AG138&gt;R138),(AG138&gt;U138),(AG138&gt;X138),(AG138&gt;AA138),(AG138&gt;AD138),(AG138&gt;AJ138),(AG138&gt;BE138)))-$AM138))</f>
        <v>0</v>
      </c>
      <c r="AI138" s="879">
        <f>IF(AG138=0,0,IF(AG$6=0,0,IF(AH138=0,0,((11-AH138)))-$B$6))</f>
        <v>0</v>
      </c>
      <c r="AJ138" s="878">
        <f>0+TEXT(Recording!M204,"00\:00\.00")</f>
        <v>0</v>
      </c>
      <c r="AK138" s="879">
        <f>IF(AJ138=0,0,IF(AJ$6=0,0,IF(AJ138&lt;1,SUM((AJ138&gt;I138),(AJ138&gt;L138),(AJ138&gt;O138),(AJ138&gt;R138),(AJ138&gt;U138),(AJ138&gt;X138),(AJ138&gt;AA138),(AJ138&gt;AD138),(AJ138&gt;AG138),(AJ138&gt;BE138)))-$AM138))</f>
        <v>0</v>
      </c>
      <c r="AL138" s="989">
        <f>IF(AJ138=0,0,IF(AJ$6=0,0,IF(AK138=0,0,((11-AK138)))-$B$6))</f>
        <v>0</v>
      </c>
      <c r="AM138" s="883">
        <f>COUNTBLANK(I640:R640)</f>
        <v>3</v>
      </c>
      <c r="BL138" s="1033"/>
      <c r="BM138" s="1033"/>
      <c r="BN138" s="1033"/>
      <c r="BO138" s="1033"/>
      <c r="BP138" s="1033"/>
      <c r="BQ138" s="1033"/>
      <c r="BR138" s="1033"/>
      <c r="BS138" s="1033"/>
      <c r="BT138" s="1033"/>
      <c r="BU138" s="1033"/>
    </row>
    <row r="139" spans="2:73" ht="35.25" customHeight="1" x14ac:dyDescent="0.3">
      <c r="B139" s="1337"/>
      <c r="C139" s="1333"/>
      <c r="D139" s="1424"/>
      <c r="E139" s="899" t="s">
        <v>5108</v>
      </c>
      <c r="I139" s="1367">
        <f>Recording!D205</f>
        <v>0</v>
      </c>
      <c r="J139" s="1367"/>
      <c r="K139" s="1367"/>
      <c r="L139" s="1367">
        <f>Recording!E205</f>
        <v>0</v>
      </c>
      <c r="M139" s="1367"/>
      <c r="N139" s="1367"/>
      <c r="O139" s="1367">
        <f>Recording!F205</f>
        <v>0</v>
      </c>
      <c r="P139" s="1367"/>
      <c r="Q139" s="1367"/>
      <c r="R139" s="1367">
        <f>Recording!G205</f>
        <v>0</v>
      </c>
      <c r="S139" s="1367"/>
      <c r="T139" s="1367"/>
      <c r="U139" s="1367">
        <f>Recording!H205</f>
        <v>0</v>
      </c>
      <c r="V139" s="1367"/>
      <c r="W139" s="1367"/>
      <c r="X139" s="1367">
        <f>Recording!I205</f>
        <v>0</v>
      </c>
      <c r="Y139" s="1367"/>
      <c r="Z139" s="1367"/>
      <c r="AA139" s="1367">
        <f>Recording!J205</f>
        <v>0</v>
      </c>
      <c r="AB139" s="1367"/>
      <c r="AC139" s="1367"/>
      <c r="AD139" s="1367">
        <f>Recording!K205</f>
        <v>0</v>
      </c>
      <c r="AE139" s="1367"/>
      <c r="AF139" s="1367"/>
      <c r="AG139" s="1367">
        <f>Recording!L205</f>
        <v>0</v>
      </c>
      <c r="AH139" s="1367"/>
      <c r="AI139" s="1367"/>
      <c r="AJ139" s="1367">
        <f>Recording!M205</f>
        <v>0</v>
      </c>
      <c r="AK139" s="1367"/>
      <c r="AL139" s="1367"/>
      <c r="AM139" s="883"/>
      <c r="BL139" s="1033"/>
      <c r="BM139" s="1033"/>
      <c r="BN139" s="1033"/>
      <c r="BO139" s="1033"/>
      <c r="BP139" s="1033"/>
      <c r="BQ139" s="1033"/>
      <c r="BR139" s="1033"/>
      <c r="BS139" s="1033"/>
      <c r="BT139" s="1033"/>
      <c r="BU139" s="1033"/>
    </row>
    <row r="140" spans="2:73" ht="35.25" customHeight="1" x14ac:dyDescent="0.3">
      <c r="B140" s="1337">
        <v>48</v>
      </c>
      <c r="C140" s="1343" t="s">
        <v>5087</v>
      </c>
      <c r="D140" s="1424" t="s">
        <v>5092</v>
      </c>
      <c r="E140" s="891" t="s">
        <v>5091</v>
      </c>
      <c r="I140" s="1030">
        <f>0+TEXT(Recording!D207,"00\:00\.00")</f>
        <v>1.7131944444444445E-3</v>
      </c>
      <c r="J140" s="879">
        <f>IF(I140=0,0,IF(I$6=0,0,IF(I140&lt;1,SUM((I140&gt;L140),(I140&gt;O140),(I140&gt;R140),(I140&gt;U140),(I140&gt;X140),(I140&gt;AA140),(I140&gt;AD140),(I140&gt;AG140),(I140&gt;AJ140),(I140&gt;BE140)))-$AM140))</f>
        <v>6</v>
      </c>
      <c r="K140" s="879">
        <f>IF(I140=0,0,IF(I$6=0,0,IF(J140=0,0,((11-J140)))-$B$6))</f>
        <v>2</v>
      </c>
      <c r="L140" s="878">
        <f>0+TEXT(Recording!E207,"00\:00\.00")</f>
        <v>1.6046296296296297E-3</v>
      </c>
      <c r="M140" s="879">
        <f>IF(L140=0,0,IF(L$6=0,0,IF(L140&lt;1,SUM((L140&gt;O140),(L140&gt;R140),(L140&gt;U140),(L140&gt;X140),(L140&gt;AA140),(L140&gt;AD140),(L140&gt;I140),(L140&gt;AG140),(L140&gt;AJ140),(L140&gt;BE140)))-$AM140))</f>
        <v>4</v>
      </c>
      <c r="N140" s="879">
        <f>IF(L140=0,0,IF(L$6=0,0,IF(M140=0,0,((11-M140)))-$B$6))</f>
        <v>4</v>
      </c>
      <c r="O140" s="878">
        <f>0+TEXT(Recording!F207,"00\:00\.00")</f>
        <v>1.612962962962963E-3</v>
      </c>
      <c r="P140" s="879">
        <f>IF(O140=0,0,IF(O$6=0,0,IF(O140&lt;1,SUM((O140&gt;L140),(O140&gt;I140),(O140&gt;R140),(O140&gt;U140),(O140&gt;X140),(O140&gt;AA140),(O140&gt;AD140),(O140&gt;AG140),(O140&gt;AJ140),(O140&gt;BE140)))-$AM140))</f>
        <v>5</v>
      </c>
      <c r="Q140" s="879">
        <f>IF(O140=0,0,IF(O$6=0,0,IF(P140=0,0,((11-P140)))-$B$6))</f>
        <v>3</v>
      </c>
      <c r="R140" s="878">
        <f>0+TEXT(Recording!G207,"00\:00\.00")</f>
        <v>0</v>
      </c>
      <c r="S140" s="879">
        <f>IF(R140=0,0,IF(R$6=0,0,IF(R140&lt;1,SUM((R140&gt;L140),(R140&gt;O140),(R140&gt;I140),(R140&gt;U140),(R140&gt;X140),(R140&gt;AA140),(R140&gt;AD140),(R140&gt;AG140),(R140&gt;AJ140),(R140&gt;BE140)))-$AM140))</f>
        <v>0</v>
      </c>
      <c r="T140" s="879">
        <f>IF(R140=0,0,IF(R$6=0,0,IF(S140=0,0,((11-S140)))-$B$6))</f>
        <v>0</v>
      </c>
      <c r="U140" s="878">
        <f>0+TEXT(Recording!H207,"00\:00\.00")</f>
        <v>1.4068287037037038E-3</v>
      </c>
      <c r="V140" s="879">
        <f>IF(U140=0,0,IF(U$6=0,0,IF(U140&lt;1,SUM((U140&gt;L140),(U140&gt;O140),(U140&gt;R140),(U140&gt;I140),(U140&gt;X140),(U140&gt;AA140),(U140&gt;AD140),(U140&gt;AG140),(U140&gt;AJ140),(U140&gt;BE140)))-$AM140))</f>
        <v>1</v>
      </c>
      <c r="W140" s="879">
        <f>IF(U140=0,0,IF(U$6=0,0,IF(V140=0,0,((11-V140)))-$B$6))</f>
        <v>7</v>
      </c>
      <c r="X140" s="878">
        <f>0+TEXT(Recording!I207,"00\:00\.00")</f>
        <v>1.4570601851851854E-3</v>
      </c>
      <c r="Y140" s="879">
        <f>IF(X140=0,0,IF(X$6=0,0,IF(X140&lt;1,SUM((X140&gt;L140),(X140&gt;O140),(X140&gt;R140),(X140&gt;U140),(X140&gt;I140),(X140&gt;AA140),(X140&gt;AD140),(X140&gt;AG140),(X140&gt;AJ140),(X140&gt;BE140)))-$AM140))</f>
        <v>2</v>
      </c>
      <c r="Z140" s="879">
        <f>IF(X140=0,0,IF(X$6=0,0,IF(Y140=0,0,((11-Y140)))-$B$6))</f>
        <v>6</v>
      </c>
      <c r="AA140" s="878">
        <f>0+TEXT(Recording!J207,"00\:00\.00")</f>
        <v>1.4971064814814814E-3</v>
      </c>
      <c r="AB140" s="879">
        <f>IF(AA140=0,0,IF(AA$6=0,0,IF(AA140&lt;1,SUM((AA140&gt;L140),(AA140&gt;O140),(AA140&gt;R140),(AA140&gt;U140),(AA140&gt;X140),(AA140&gt;I140),(AA140&gt;AD140),(AA140&gt;AG140),(AA140&gt;AJ140),(AA140&gt;BE140))))-$AM140)</f>
        <v>3</v>
      </c>
      <c r="AC140" s="879">
        <f>IF(AA140=0,0,IF(AA$6=0,0,IF(AB140=0,0,((11-AB140)))-$B$6))</f>
        <v>5</v>
      </c>
      <c r="AD140" s="878">
        <f>0+TEXT(Recording!K207,"00\:00\.00")</f>
        <v>0</v>
      </c>
      <c r="AE140" s="879">
        <f>IF(AD140=0,0,IF(AD$6=0,0,IF(AD140&lt;1,SUM((AD140&gt;L140),(AD140&gt;O140),(AD140&gt;R140),(AD140&gt;U140),(AD140&gt;X140),(AD140&gt;AA140),(AD140&gt;AG140),(AD140&gt;AJ140),(AD140&gt;I140),(AD140&gt;BE140)))-$AM140))</f>
        <v>0</v>
      </c>
      <c r="AF140" s="879">
        <f>IF(AD140=0,0,IF(AD$6=0,0,IF(AE140=0,0,((11-AE140)))-$B$6))</f>
        <v>0</v>
      </c>
      <c r="AG140" s="878">
        <f>0+TEXT(Recording!L207,"00\:00\.00")</f>
        <v>0</v>
      </c>
      <c r="AH140" s="879">
        <f>IF(AG140=0,0,IF(AG$6=0,0,IF(AG140&lt;1,SUM((AG140&gt;I140),(AG140&gt;L140),(AG140&gt;O140),(AG140&gt;R140),(AG140&gt;U140),(AG140&gt;X140),(AG140&gt;AA140),(AG140&gt;AD140),(AG140&gt;AJ140),(AG140&gt;BE140)))-$AM140))</f>
        <v>0</v>
      </c>
      <c r="AI140" s="879">
        <f>IF(AG140=0,0,IF(AG$6=0,0,IF(AH140=0,0,((11-AH140)))-$B$6))</f>
        <v>0</v>
      </c>
      <c r="AJ140" s="878">
        <f>0+TEXT(Recording!M207,"00\:00\.00")</f>
        <v>0</v>
      </c>
      <c r="AK140" s="879">
        <f>IF(AJ140=0,0,IF(AJ$6=0,0,IF(AJ140&lt;1,SUM((AJ140&gt;I140),(AJ140&gt;L140),(AJ140&gt;O140),(AJ140&gt;R140),(AJ140&gt;U140),(AJ140&gt;X140),(AJ140&gt;AA140),(AJ140&gt;AD140),(AJ140&gt;AG140),(AJ140&gt;BE140)))-$AM140))</f>
        <v>0</v>
      </c>
      <c r="AL140" s="989">
        <f>IF(AJ140=0,0,IF(AJ$6=0,0,IF(AK140=0,0,((11-AK140)))-$B$6))</f>
        <v>0</v>
      </c>
      <c r="AM140" s="883">
        <f>COUNTBLANK(I641:R641)</f>
        <v>4</v>
      </c>
      <c r="BL140" s="1033"/>
      <c r="BM140" s="1033"/>
      <c r="BN140" s="1033"/>
      <c r="BO140" s="1033"/>
      <c r="BP140" s="1033"/>
      <c r="BQ140" s="1033"/>
      <c r="BR140" s="1033"/>
      <c r="BS140" s="1033"/>
      <c r="BT140" s="1033"/>
      <c r="BU140" s="1033"/>
    </row>
    <row r="141" spans="2:73" ht="35.25" customHeight="1" x14ac:dyDescent="0.3">
      <c r="B141" s="1337"/>
      <c r="C141" s="1343"/>
      <c r="D141" s="1424"/>
      <c r="E141" s="899" t="s">
        <v>5108</v>
      </c>
      <c r="I141" s="1367">
        <f>Recording!D208</f>
        <v>0</v>
      </c>
      <c r="J141" s="1367"/>
      <c r="K141" s="1367"/>
      <c r="L141" s="1367">
        <f>Recording!E208</f>
        <v>0</v>
      </c>
      <c r="M141" s="1367"/>
      <c r="N141" s="1367"/>
      <c r="O141" s="1367">
        <f>Recording!F208</f>
        <v>0</v>
      </c>
      <c r="P141" s="1367"/>
      <c r="Q141" s="1367"/>
      <c r="R141" s="1367" t="str">
        <f>Recording!G208</f>
        <v>10.8 Obstructed swimmer in lane 3</v>
      </c>
      <c r="S141" s="1367"/>
      <c r="T141" s="1367"/>
      <c r="U141" s="1367">
        <f>Recording!H208</f>
        <v>0</v>
      </c>
      <c r="V141" s="1367"/>
      <c r="W141" s="1367"/>
      <c r="X141" s="1367">
        <f>Recording!I208</f>
        <v>0</v>
      </c>
      <c r="Y141" s="1367"/>
      <c r="Z141" s="1367"/>
      <c r="AA141" s="1367">
        <f>Recording!J208</f>
        <v>0</v>
      </c>
      <c r="AB141" s="1367"/>
      <c r="AC141" s="1367"/>
      <c r="AD141" s="1367">
        <f>Recording!K208</f>
        <v>0</v>
      </c>
      <c r="AE141" s="1367"/>
      <c r="AF141" s="1367"/>
      <c r="AG141" s="1367">
        <f>Recording!L208</f>
        <v>0</v>
      </c>
      <c r="AH141" s="1367"/>
      <c r="AI141" s="1367"/>
      <c r="AJ141" s="1367">
        <f>Recording!M208</f>
        <v>0</v>
      </c>
      <c r="AK141" s="1367"/>
      <c r="AL141" s="1367"/>
      <c r="AM141" s="883"/>
      <c r="BL141" s="1033"/>
      <c r="BM141" s="1033"/>
      <c r="BN141" s="1033"/>
      <c r="BO141" s="1033"/>
      <c r="BP141" s="1033"/>
      <c r="BQ141" s="1033"/>
      <c r="BR141" s="1033"/>
      <c r="BS141" s="1033"/>
      <c r="BT141" s="1033"/>
      <c r="BU141" s="1033"/>
    </row>
    <row r="142" spans="2:73" ht="35.25" customHeight="1" x14ac:dyDescent="0.3">
      <c r="B142" s="1337">
        <v>49</v>
      </c>
      <c r="C142" s="1333" t="s">
        <v>5083</v>
      </c>
      <c r="D142" s="1424" t="s">
        <v>5093</v>
      </c>
      <c r="E142" s="891" t="s">
        <v>5089</v>
      </c>
      <c r="I142" s="1030">
        <f>0+TEXT(Recording!D210,"00\:00\.00")</f>
        <v>1.4341435185185186E-3</v>
      </c>
      <c r="J142" s="879">
        <f>IF(I142=0,0,IF(I$6=0,0,IF(I142&lt;1,SUM((I142&gt;L142),(I142&gt;O142),(I142&gt;R142),(I142&gt;U142),(I142&gt;X142),(I142&gt;AA142),(I142&gt;AD142),(I142&gt;AG142),(I142&gt;AJ142),(I142&gt;BE142)))-$AM142))</f>
        <v>4</v>
      </c>
      <c r="K142" s="879">
        <f>IF(I142=0,0,IF(I$6=0,0,IF(J142=0,0,((11-J142)))-$B$6))</f>
        <v>4</v>
      </c>
      <c r="L142" s="878">
        <f>0+TEXT(Recording!E210,"00\:00\.00")</f>
        <v>1.5045138888888888E-3</v>
      </c>
      <c r="M142" s="879">
        <f>IF(L142=0,0,IF(L$6=0,0,IF(L142&lt;1,SUM((L142&gt;O142),(L142&gt;R142),(L142&gt;U142),(L142&gt;X142),(L142&gt;AA142),(L142&gt;AD142),(L142&gt;I142),(L142&gt;AG142),(L142&gt;AJ142),(L142&gt;BE142)))-$AM142))</f>
        <v>7</v>
      </c>
      <c r="N142" s="879">
        <f>IF(L142=0,0,IF(L$6=0,0,IF(M142=0,0,((11-M142)))-$B$6))</f>
        <v>1</v>
      </c>
      <c r="O142" s="878">
        <f>0+TEXT(Recording!F210,"00\:00\.00")</f>
        <v>1.4663194444444444E-3</v>
      </c>
      <c r="P142" s="879">
        <f>IF(O142=0,0,IF(O$6=0,0,IF(O142&lt;1,SUM((O142&gt;L142),(O142&gt;I142),(O142&gt;R142),(O142&gt;U142),(O142&gt;X142),(O142&gt;AA142),(O142&gt;AD142),(O142&gt;AG142),(O142&gt;AJ142),(O142&gt;BE142)))-$AM142))</f>
        <v>6</v>
      </c>
      <c r="Q142" s="879">
        <f>IF(O142=0,0,IF(O$6=0,0,IF(P142=0,0,((11-P142)))-$B$6))</f>
        <v>2</v>
      </c>
      <c r="R142" s="878">
        <f>0+TEXT(Recording!G210,"00\:00\.00")</f>
        <v>1.3895833333333332E-3</v>
      </c>
      <c r="S142" s="879">
        <f>IF(R142=0,0,IF(R$6=0,0,IF(R142&lt;1,SUM((R142&gt;L142),(R142&gt;O142),(R142&gt;I142),(R142&gt;U142),(R142&gt;X142),(R142&gt;AA142),(R142&gt;AD142),(R142&gt;AG142),(R142&gt;AJ142),(R142&gt;BE142)))-$AM142))</f>
        <v>3</v>
      </c>
      <c r="T142" s="879">
        <f>IF(R142=0,0,IF(R$6=0,0,IF(S142=0,0,((11-S142)))-$B$6))</f>
        <v>5</v>
      </c>
      <c r="U142" s="878">
        <f>0+TEXT(Recording!H210,"00\:00\.00")</f>
        <v>1.387962962962963E-3</v>
      </c>
      <c r="V142" s="879">
        <f>IF(U142=0,0,IF(U$6=0,0,IF(U142&lt;1,SUM((U142&gt;L142),(U142&gt;O142),(U142&gt;R142),(U142&gt;I142),(U142&gt;X142),(U142&gt;AA142),(U142&gt;AD142),(U142&gt;AG142),(U142&gt;AJ142),(U142&gt;BE142)))-$AM142))</f>
        <v>2</v>
      </c>
      <c r="W142" s="879">
        <f>IF(U142=0,0,IF(U$6=0,0,IF(V142=0,0,((11-V142)))-$B$6))</f>
        <v>6</v>
      </c>
      <c r="X142" s="878">
        <f>0+TEXT(Recording!I210,"00\:00\.00")</f>
        <v>1.4398148148148148E-3</v>
      </c>
      <c r="Y142" s="879">
        <f>IF(X142=0,0,IF(X$6=0,0,IF(X142&lt;1,SUM((X142&gt;L142),(X142&gt;O142),(X142&gt;R142),(X142&gt;U142),(X142&gt;I142),(X142&gt;AA142),(X142&gt;AD142),(X142&gt;AG142),(X142&gt;AJ142),(X142&gt;BE142)))-$AM142))</f>
        <v>5</v>
      </c>
      <c r="Z142" s="879">
        <f>IF(X142=0,0,IF(X$6=0,0,IF(Y142=0,0,((11-Y142)))-$B$6))</f>
        <v>3</v>
      </c>
      <c r="AA142" s="878">
        <f>0+TEXT(Recording!J210,"00\:00\.00")</f>
        <v>1.3795138888888887E-3</v>
      </c>
      <c r="AB142" s="879">
        <f>IF(AA142=0,0,IF(AA$6=0,0,IF(AA142&lt;1,SUM((AA142&gt;L142),(AA142&gt;O142),(AA142&gt;R142),(AA142&gt;U142),(AA142&gt;X142),(AA142&gt;I142),(AA142&gt;AD142),(AA142&gt;AG142),(AA142&gt;AJ142),(AA142&gt;BE142))))-$AM142)</f>
        <v>1</v>
      </c>
      <c r="AC142" s="879">
        <f>IF(AA142=0,0,IF(AA$6=0,0,IF(AB142=0,0,((11-AB142)))-$B$6))</f>
        <v>7</v>
      </c>
      <c r="AD142" s="878">
        <f>0+TEXT(Recording!K210,"00\:00\.00")</f>
        <v>0</v>
      </c>
      <c r="AE142" s="879">
        <f>IF(AD142=0,0,IF(AD$6=0,0,IF(AD142&lt;1,SUM((AD142&gt;L142),(AD142&gt;O142),(AD142&gt;R142),(AD142&gt;U142),(AD142&gt;X142),(AD142&gt;AA142),(AD142&gt;AG142),(AD142&gt;AJ142),(AD142&gt;I142),(AD142&gt;BE142)))-$AM142))</f>
        <v>0</v>
      </c>
      <c r="AF142" s="879">
        <f>IF(AD142=0,0,IF(AD$6=0,0,IF(AE142=0,0,((11-AE142)))-$B$6))</f>
        <v>0</v>
      </c>
      <c r="AG142" s="878">
        <f>0+TEXT(Recording!L210,"00\:00\.00")</f>
        <v>0</v>
      </c>
      <c r="AH142" s="879">
        <f>IF(AG142=0,0,IF(AG$6=0,0,IF(AG142&lt;1,SUM((AG142&gt;I142),(AG142&gt;L142),(AG142&gt;O142),(AG142&gt;R142),(AG142&gt;U142),(AG142&gt;X142),(AG142&gt;AA142),(AG142&gt;AD142),(AG142&gt;AJ142),(AG142&gt;BE142)))-$AM142))</f>
        <v>0</v>
      </c>
      <c r="AI142" s="879">
        <f>IF(AG142=0,0,IF(AG$6=0,0,IF(AH142=0,0,((11-AH142)))-$B$6))</f>
        <v>0</v>
      </c>
      <c r="AJ142" s="878">
        <f>0+TEXT(Recording!M210,"00\:00\.00")</f>
        <v>0</v>
      </c>
      <c r="AK142" s="879">
        <f>IF(AJ142=0,0,IF(AJ$6=0,0,IF(AJ142&lt;1,SUM((AJ142&gt;I142),(AJ142&gt;L142),(AJ142&gt;O142),(AJ142&gt;R142),(AJ142&gt;U142),(AJ142&gt;X142),(AJ142&gt;AA142),(AJ142&gt;AD142),(AJ142&gt;AG142),(AJ142&gt;BE142)))-$AM142))</f>
        <v>0</v>
      </c>
      <c r="AL142" s="989">
        <f>IF(AJ142=0,0,IF(AJ$6=0,0,IF(AK142=0,0,((11-AK142)))-$B$6))</f>
        <v>0</v>
      </c>
      <c r="AM142" s="883">
        <f>COUNTBLANK(I642:R642)</f>
        <v>3</v>
      </c>
      <c r="BL142" s="1033"/>
      <c r="BM142" s="1033"/>
      <c r="BN142" s="1033"/>
      <c r="BO142" s="1033"/>
      <c r="BP142" s="1033"/>
      <c r="BQ142" s="1033"/>
      <c r="BR142" s="1033"/>
      <c r="BS142" s="1033"/>
      <c r="BT142" s="1033"/>
      <c r="BU142" s="1033"/>
    </row>
    <row r="143" spans="2:73" ht="35.25" customHeight="1" x14ac:dyDescent="0.3">
      <c r="B143" s="1337"/>
      <c r="C143" s="1333"/>
      <c r="D143" s="1424"/>
      <c r="E143" s="899" t="s">
        <v>5108</v>
      </c>
      <c r="I143" s="1367">
        <f>Recording!D211</f>
        <v>0</v>
      </c>
      <c r="J143" s="1367"/>
      <c r="K143" s="1367"/>
      <c r="L143" s="1367">
        <f>Recording!E211</f>
        <v>0</v>
      </c>
      <c r="M143" s="1367"/>
      <c r="N143" s="1367"/>
      <c r="O143" s="1367">
        <f>Recording!F211</f>
        <v>0</v>
      </c>
      <c r="P143" s="1367"/>
      <c r="Q143" s="1367"/>
      <c r="R143" s="1367">
        <f>Recording!G211</f>
        <v>0</v>
      </c>
      <c r="S143" s="1367"/>
      <c r="T143" s="1367"/>
      <c r="U143" s="1367">
        <f>Recording!H211</f>
        <v>0</v>
      </c>
      <c r="V143" s="1367"/>
      <c r="W143" s="1367"/>
      <c r="X143" s="1367">
        <f>Recording!I211</f>
        <v>0</v>
      </c>
      <c r="Y143" s="1367"/>
      <c r="Z143" s="1367"/>
      <c r="AA143" s="1367">
        <f>Recording!J211</f>
        <v>0</v>
      </c>
      <c r="AB143" s="1367"/>
      <c r="AC143" s="1367"/>
      <c r="AD143" s="1367">
        <f>Recording!K211</f>
        <v>0</v>
      </c>
      <c r="AE143" s="1367"/>
      <c r="AF143" s="1367"/>
      <c r="AG143" s="1367">
        <f>Recording!L211</f>
        <v>0</v>
      </c>
      <c r="AH143" s="1367"/>
      <c r="AI143" s="1367"/>
      <c r="AJ143" s="1367">
        <f>Recording!M211</f>
        <v>0</v>
      </c>
      <c r="AK143" s="1367"/>
      <c r="AL143" s="1367"/>
      <c r="AM143" s="883"/>
      <c r="BL143" s="1033"/>
      <c r="BM143" s="1033"/>
      <c r="BN143" s="1033"/>
      <c r="BO143" s="1033"/>
      <c r="BP143" s="1033"/>
      <c r="BQ143" s="1033"/>
      <c r="BR143" s="1033"/>
      <c r="BS143" s="1033"/>
      <c r="BT143" s="1033"/>
      <c r="BU143" s="1033"/>
    </row>
    <row r="144" spans="2:73" ht="35.25" customHeight="1" x14ac:dyDescent="0.3">
      <c r="B144" s="1342">
        <v>50</v>
      </c>
      <c r="C144" s="1480" t="s">
        <v>5087</v>
      </c>
      <c r="D144" s="1427" t="s">
        <v>5093</v>
      </c>
      <c r="E144" s="891" t="s">
        <v>5089</v>
      </c>
      <c r="I144" s="1030">
        <f>0+TEXT(Recording!D213,"00\:00\.00")</f>
        <v>1.3858796296296295E-3</v>
      </c>
      <c r="J144" s="879">
        <f>IF(I144=0,0,IF(I$6=0,0,IF(I144&lt;1,SUM((I144&gt;L144),(I144&gt;O144),(I144&gt;R144),(I144&gt;U144),(I144&gt;X144),(I144&gt;AA144),(I144&gt;AD144),(I144&gt;AG144),(I144&gt;AJ144),(I144&gt;BE144)))-$AM144))</f>
        <v>7</v>
      </c>
      <c r="K144" s="879">
        <f>IF(I144=0,0,IF(I$6=0,0,IF(J144=0,0,((11-J144)))-$B$6))</f>
        <v>1</v>
      </c>
      <c r="L144" s="878">
        <f>0+TEXT(Recording!E213,"00\:00\.00")</f>
        <v>1.3265046296296295E-3</v>
      </c>
      <c r="M144" s="879">
        <f>IF(L144=0,0,IF(L$6=0,0,IF(L144&lt;1,SUM((L144&gt;O144),(L144&gt;R144),(L144&gt;U144),(L144&gt;X144),(L144&gt;AA144),(L144&gt;AD144),(L144&gt;I144),(L144&gt;AG144),(L144&gt;AJ144),(L144&gt;BE144)))-$AM144))</f>
        <v>6</v>
      </c>
      <c r="N144" s="879">
        <f>IF(L144=0,0,IF(L$6=0,0,IF(M144=0,0,((11-M144)))-$B$6))</f>
        <v>2</v>
      </c>
      <c r="O144" s="878">
        <f>0+TEXT(Recording!F213,"00\:00\.00")</f>
        <v>1.3187499999999998E-3</v>
      </c>
      <c r="P144" s="879">
        <f>IF(O144=0,0,IF(O$6=0,0,IF(O144&lt;1,SUM((O144&gt;L144),(O144&gt;I144),(O144&gt;R144),(O144&gt;U144),(O144&gt;X144),(O144&gt;AA144),(O144&gt;AD144),(O144&gt;AG144),(O144&gt;AJ144),(O144&gt;BE144)))-$AM144))</f>
        <v>5</v>
      </c>
      <c r="Q144" s="879">
        <f>IF(O144=0,0,IF(O$6=0,0,IF(P144=0,0,((11-P144)))-$B$6))</f>
        <v>3</v>
      </c>
      <c r="R144" s="878">
        <f>0+TEXT(Recording!G213,"00\:00\.00")</f>
        <v>1.2317129629629629E-3</v>
      </c>
      <c r="S144" s="879">
        <f>IF(R144=0,0,IF(R$6=0,0,IF(R144&lt;1,SUM((R144&gt;L144),(R144&gt;O144),(R144&gt;I144),(R144&gt;U144),(R144&gt;X144),(R144&gt;AA144),(R144&gt;AD144),(R144&gt;AG144),(R144&gt;AJ144),(R144&gt;BE144)))-$AM144))</f>
        <v>2</v>
      </c>
      <c r="T144" s="879">
        <f>IF(R144=0,0,IF(R$6=0,0,IF(S144=0,0,((11-S144)))-$B$6))</f>
        <v>6</v>
      </c>
      <c r="U144" s="878">
        <f>0+TEXT(Recording!H213,"00\:00\.00")</f>
        <v>1.2390046296296296E-3</v>
      </c>
      <c r="V144" s="879">
        <f>IF(U144=0,0,IF(U$6=0,0,IF(U144&lt;1,SUM((U144&gt;L144),(U144&gt;O144),(U144&gt;R144),(U144&gt;I144),(U144&gt;X144),(U144&gt;AA144),(U144&gt;AD144),(U144&gt;AG144),(U144&gt;AJ144),(U144&gt;BE144)))-$AM144))</f>
        <v>3</v>
      </c>
      <c r="W144" s="879">
        <f>IF(U144=0,0,IF(U$6=0,0,IF(V144=0,0,((11-V144)))-$B$6))</f>
        <v>5</v>
      </c>
      <c r="X144" s="878">
        <f>0+TEXT(Recording!I213,"00\:00\.00")</f>
        <v>1.2075231481481483E-3</v>
      </c>
      <c r="Y144" s="879">
        <f>IF(X144=0,0,IF(X$6=0,0,IF(X144&lt;1,SUM((X144&gt;L144),(X144&gt;O144),(X144&gt;R144),(X144&gt;U144),(X144&gt;I144),(X144&gt;AA144),(X144&gt;AD144),(X144&gt;AG144),(X144&gt;AJ144),(X144&gt;BE144)))-$AM144))</f>
        <v>1</v>
      </c>
      <c r="Z144" s="879">
        <f>IF(X144=0,0,IF(X$6=0,0,IF(Y144=0,0,((11-Y144)))-$B$6))</f>
        <v>7</v>
      </c>
      <c r="AA144" s="878">
        <f>0+TEXT(Recording!J213,"00\:00\.00")</f>
        <v>1.2875E-3</v>
      </c>
      <c r="AB144" s="879">
        <f>IF(AA144=0,0,IF(AA$6=0,0,IF(AA144&lt;1,SUM((AA144&gt;L144),(AA144&gt;O144),(AA144&gt;R144),(AA144&gt;U144),(AA144&gt;X144),(AA144&gt;I144),(AA144&gt;AD144),(AA144&gt;AG144),(AA144&gt;AJ144),(AA144&gt;BE144))))-$AM144)</f>
        <v>4</v>
      </c>
      <c r="AC144" s="879">
        <f>IF(AA144=0,0,IF(AA$6=0,0,IF(AB144=0,0,((11-AB144)))-$B$6))</f>
        <v>4</v>
      </c>
      <c r="AD144" s="878">
        <f>0+TEXT(Recording!K213,"00\:00\.00")</f>
        <v>0</v>
      </c>
      <c r="AE144" s="879">
        <f>IF(AD144=0,0,IF(AD$6=0,0,IF(AD144&lt;1,SUM((AD144&gt;L144),(AD144&gt;O144),(AD144&gt;R144),(AD144&gt;U144),(AD144&gt;X144),(AD144&gt;AA144),(AD144&gt;AG144),(AD144&gt;AJ144),(AD144&gt;I144),(AD144&gt;BE144)))-$AM144))</f>
        <v>0</v>
      </c>
      <c r="AF144" s="879">
        <f>IF(AD144=0,0,IF(AD$6=0,0,IF(AE144=0,0,((11-AE144)))-$B$6))</f>
        <v>0</v>
      </c>
      <c r="AG144" s="878">
        <f>0+TEXT(Recording!L213,"00\:00\.00")</f>
        <v>0</v>
      </c>
      <c r="AH144" s="879">
        <f>IF(AG144=0,0,IF(AG$6=0,0,IF(AG144&lt;1,SUM((AG144&gt;I144),(AG144&gt;L144),(AG144&gt;O144),(AG144&gt;R144),(AG144&gt;U144),(AG144&gt;X144),(AG144&gt;AA144),(AG144&gt;AD144),(AG144&gt;AJ144),(AG144&gt;BE144)))-$AM144))</f>
        <v>0</v>
      </c>
      <c r="AI144" s="879">
        <f>IF(AG144=0,0,IF(AG$6=0,0,IF(AH144=0,0,((11-AH144)))-$B$6))</f>
        <v>0</v>
      </c>
      <c r="AJ144" s="878">
        <f>0+TEXT(Recording!M213,"00\:00\.00")</f>
        <v>0</v>
      </c>
      <c r="AK144" s="879">
        <f>IF(AJ144=0,0,IF(AJ$6=0,0,IF(AJ144&lt;1,SUM((AJ144&gt;I144),(AJ144&gt;L144),(AJ144&gt;O144),(AJ144&gt;R144),(AJ144&gt;U144),(AJ144&gt;X144),(AJ144&gt;AA144),(AJ144&gt;AD144),(AJ144&gt;AG144),(AJ144&gt;BE144)))-$AM144))</f>
        <v>0</v>
      </c>
      <c r="AL144" s="989">
        <f>IF(AJ144=0,0,IF(AJ$6=0,0,IF(AK144=0,0,((11-AK144)))-$B$6))</f>
        <v>0</v>
      </c>
      <c r="AM144" s="883">
        <f>COUNTBLANK(I643:R643)</f>
        <v>3</v>
      </c>
      <c r="BL144" s="1033"/>
      <c r="BM144" s="1033"/>
      <c r="BN144" s="1033"/>
      <c r="BO144" s="1033"/>
      <c r="BP144" s="1033"/>
      <c r="BQ144" s="1033"/>
      <c r="BR144" s="1033"/>
      <c r="BS144" s="1033"/>
      <c r="BT144" s="1033"/>
      <c r="BU144" s="1033"/>
    </row>
    <row r="145" spans="2:39" ht="35.25" customHeight="1" x14ac:dyDescent="0.25">
      <c r="B145" s="1342"/>
      <c r="C145" s="1480"/>
      <c r="D145" s="1427"/>
      <c r="E145" s="904" t="s">
        <v>5108</v>
      </c>
      <c r="I145" s="1353">
        <f>Recording!D214</f>
        <v>0</v>
      </c>
      <c r="J145" s="1353"/>
      <c r="K145" s="1353"/>
      <c r="L145" s="1353">
        <f>Recording!E214</f>
        <v>0</v>
      </c>
      <c r="M145" s="1353"/>
      <c r="N145" s="1353"/>
      <c r="O145" s="1353">
        <f>Recording!F214</f>
        <v>0</v>
      </c>
      <c r="P145" s="1353"/>
      <c r="Q145" s="1353"/>
      <c r="R145" s="1353">
        <f>Recording!G214</f>
        <v>0</v>
      </c>
      <c r="S145" s="1353"/>
      <c r="T145" s="1353"/>
      <c r="U145" s="1353">
        <f>Recording!H214</f>
        <v>0</v>
      </c>
      <c r="V145" s="1353"/>
      <c r="W145" s="1353"/>
      <c r="X145" s="1353">
        <f>Recording!I214</f>
        <v>0</v>
      </c>
      <c r="Y145" s="1353"/>
      <c r="Z145" s="1353"/>
      <c r="AA145" s="1353">
        <f>Recording!J214</f>
        <v>0</v>
      </c>
      <c r="AB145" s="1353"/>
      <c r="AC145" s="1353"/>
      <c r="AD145" s="1353">
        <f>Recording!K214</f>
        <v>0</v>
      </c>
      <c r="AE145" s="1353"/>
      <c r="AF145" s="1353"/>
      <c r="AG145" s="1353">
        <f>Recording!L214</f>
        <v>0</v>
      </c>
      <c r="AH145" s="1353"/>
      <c r="AI145" s="1353"/>
      <c r="AJ145" s="1353">
        <f>Recording!M214</f>
        <v>0</v>
      </c>
      <c r="AK145" s="1353"/>
      <c r="AL145" s="1353"/>
      <c r="AM145" s="883"/>
    </row>
    <row r="146" spans="2:39" ht="35.25" customHeight="1" x14ac:dyDescent="0.25">
      <c r="B146" s="1332">
        <v>51</v>
      </c>
      <c r="C146" s="1333" t="s">
        <v>5106</v>
      </c>
      <c r="D146" s="1333"/>
      <c r="E146" s="891" t="s">
        <v>5107</v>
      </c>
      <c r="I146" s="1030">
        <f>0+TEXT(Recording!D216,"00\:00\.00")</f>
        <v>3.0379629629629628E-3</v>
      </c>
      <c r="J146" s="879">
        <f>IF(I146=0,0,IF(I$6=0,0,IF(I146&lt;1,SUM((I146&gt;L146),(I146&gt;O146),(I146&gt;R146),(I146&gt;U146),(I146&gt;X146),(I146&gt;AA146),(I146&gt;AD146),(I146&gt;AG146),(I146&gt;AJ146),(I146&gt;BE146)))-$AM146))</f>
        <v>5</v>
      </c>
      <c r="K146" s="879">
        <f>IF(I146=0,0,IF(I$6=0,0,IF(J146=0,0,((11-J146)))-$B$6))</f>
        <v>3</v>
      </c>
      <c r="L146" s="878">
        <f>0+TEXT(Recording!E216,"00\:00\.00")</f>
        <v>2.8525462962962962E-3</v>
      </c>
      <c r="M146" s="879">
        <f>IF(L146=0,0,IF(L$6=0,0,IF(L146&lt;1,SUM((L146&gt;O146),(L146&gt;R146),(L146&gt;U146),(L146&gt;X146),(L146&gt;AA146),(L146&gt;AD146),(L146&gt;I146),(L146&gt;AG146),(L146&gt;AJ146),(L146&gt;BE146)))-$AM146))</f>
        <v>2</v>
      </c>
      <c r="N146" s="879">
        <f>IF(L146=0,0,IF(L$6=0,0,IF(M146=0,0,((11-M146)))-$B$6))</f>
        <v>6</v>
      </c>
      <c r="O146" s="878">
        <f>0+TEXT(Recording!F216,"00\:00\.00")</f>
        <v>3.0815972222222221E-3</v>
      </c>
      <c r="P146" s="879">
        <f>IF(O146=0,0,IF(O$6=0,0,IF(O146&lt;1,SUM((O146&gt;L146),(O146&gt;I146),(O146&gt;R146),(O146&gt;U146),(O146&gt;X146),(O146&gt;AA146),(O146&gt;AD146),(O146&gt;AG146),(O146&gt;AJ146),(O146&gt;BE146)))-$AM146))</f>
        <v>6</v>
      </c>
      <c r="Q146" s="879">
        <f>IF(O146=0,0,IF(O$6=0,0,IF(P146=0,0,((11-P146)))-$B$6))</f>
        <v>2</v>
      </c>
      <c r="R146" s="878">
        <f>0+TEXT(Recording!G216,"00\:00\.00")</f>
        <v>2.8396990740740739E-3</v>
      </c>
      <c r="S146" s="879">
        <f>IF(R146=0,0,IF(R$6=0,0,IF(R146&lt;1,SUM((R146&gt;L146),(R146&gt;O146),(R146&gt;I146),(R146&gt;U146),(R146&gt;X146),(R146&gt;AA146),(R146&gt;AD146),(R146&gt;AG146),(R146&gt;AJ146),(R146&gt;BE146)))-$AM146))</f>
        <v>1</v>
      </c>
      <c r="T146" s="879">
        <f>IF(R146=0,0,IF(R$6=0,0,IF(S146=0,0,((11-S146)))-$B$6))</f>
        <v>7</v>
      </c>
      <c r="U146" s="878">
        <f>0+TEXT(Recording!H216,"00\:00\.00")</f>
        <v>2.9663194444444446E-3</v>
      </c>
      <c r="V146" s="879">
        <f>IF(U146=0,0,IF(U$6=0,0,IF(U146&lt;1,SUM((U146&gt;L146),(U146&gt;O146),(U146&gt;R146),(U146&gt;I146),(U146&gt;X146),(U146&gt;AA146),(U146&gt;AD146),(U146&gt;AG146),(U146&gt;AJ146),(U146&gt;BE146)))-$AM146))</f>
        <v>3</v>
      </c>
      <c r="W146" s="879">
        <f>IF(U146=0,0,IF(U$6=0,0,IF(V146=0,0,((11-V146)))-$B$6))</f>
        <v>5</v>
      </c>
      <c r="X146" s="878">
        <f>0+TEXT(Recording!I216,"00\:00\.00")</f>
        <v>0</v>
      </c>
      <c r="Y146" s="879">
        <f>IF(X146=0,0,IF(X$6=0,0,IF(X146&lt;1,SUM((X146&gt;L146),(X146&gt;O146),(X146&gt;R146),(X146&gt;U146),(X146&gt;I146),(X146&gt;AA146),(X146&gt;AD146),(X146&gt;AG146),(X146&gt;AJ146),(X146&gt;BE146)))-$AM146))</f>
        <v>0</v>
      </c>
      <c r="Z146" s="879">
        <f>IF(X146=0,0,IF(X$6=0,0,IF(Y146=0,0,((11-Y146)))-$B$6))</f>
        <v>0</v>
      </c>
      <c r="AA146" s="878">
        <f>0+TEXT(Recording!J216,"00\:00\.00")</f>
        <v>3.0082175925925923E-3</v>
      </c>
      <c r="AB146" s="879">
        <f>IF(AA146=0,0,IF(AA$6=0,0,IF(AA146&lt;1,SUM((AA146&gt;L146),(AA146&gt;O146),(AA146&gt;R146),(AA146&gt;U146),(AA146&gt;X146),(AA146&gt;I146),(AA146&gt;AD146),(AA146&gt;AG146),(AA146&gt;AJ146),(AA146&gt;BE146))))-$AM146)</f>
        <v>4</v>
      </c>
      <c r="AC146" s="879">
        <f>IF(AA146=0,0,IF(AA$6=0,0,IF(AB146=0,0,((11-AB146)))-$B$6))</f>
        <v>4</v>
      </c>
      <c r="AD146" s="878">
        <f>0+TEXT(Recording!K216,"00\:00\.00")</f>
        <v>0</v>
      </c>
      <c r="AE146" s="879">
        <f>IF(AD146=0,0,IF(AD$6=0,0,IF(AD146&lt;1,SUM((AD146&gt;L146),(AD146&gt;O146),(AD146&gt;R146),(AD146&gt;U146),(AD146&gt;X146),(AD146&gt;AA146),(AD146&gt;AG146),(AD146&gt;AJ146),(AD146&gt;I146),(AD146&gt;BE146)))-$AM146))</f>
        <v>0</v>
      </c>
      <c r="AF146" s="879">
        <f>IF(AD146=0,0,IF(AD$6=0,0,IF(AE146=0,0,((11-AE146)))-$B$6))</f>
        <v>0</v>
      </c>
      <c r="AG146" s="878">
        <f>0+TEXT(Recording!L216,"00\:00\.00")</f>
        <v>0</v>
      </c>
      <c r="AH146" s="879">
        <f>IF(AG146=0,0,IF(AG$6=0,0,IF(AG146&lt;1,SUM((AG146&gt;I146),(AG146&gt;L146),(AG146&gt;O146),(AG146&gt;R146),(AG146&gt;U146),(AG146&gt;X146),(AG146&gt;AA146),(AG146&gt;AD146),(AG146&gt;AJ146),(AG146&gt;BE146)))-$AM146))</f>
        <v>0</v>
      </c>
      <c r="AI146" s="879">
        <f>IF(AG146=0,0,IF(AG$6=0,0,IF(AH146=0,0,((11-AH146)))-$B$6))</f>
        <v>0</v>
      </c>
      <c r="AJ146" s="878">
        <f>0+TEXT(Recording!M216,"00\:00\.00")</f>
        <v>0</v>
      </c>
      <c r="AK146" s="879">
        <f>IF(AJ146=0,0,IF(AJ$6=0,0,IF(AJ146&lt;1,SUM((AJ146&gt;I146),(AJ146&gt;L146),(AJ146&gt;O146),(AJ146&gt;R146),(AJ146&gt;U146),(AJ146&gt;X146),(AJ146&gt;AA146),(AJ146&gt;AD146),(AJ146&gt;AG146),(AJ146&gt;BE146)))-$AM146))</f>
        <v>0</v>
      </c>
      <c r="AL146" s="989">
        <f>IF(AJ146=0,0,IF(AJ$6=0,0,IF(AK146=0,0,((11-AK146)))-$B$6))</f>
        <v>0</v>
      </c>
      <c r="AM146" s="883">
        <f>COUNTBLANK(I644:R644)</f>
        <v>4</v>
      </c>
    </row>
    <row r="147" spans="2:39" ht="35.25" customHeight="1" x14ac:dyDescent="0.25">
      <c r="B147" s="1332"/>
      <c r="C147" s="1333"/>
      <c r="D147" s="1333"/>
      <c r="E147" s="899" t="s">
        <v>5108</v>
      </c>
      <c r="I147" s="1353">
        <f>Recording!D217</f>
        <v>0</v>
      </c>
      <c r="J147" s="1353"/>
      <c r="K147" s="1353"/>
      <c r="L147" s="1345">
        <f>Recording!E217</f>
        <v>0</v>
      </c>
      <c r="M147" s="1345"/>
      <c r="N147" s="1345"/>
      <c r="O147" s="1353">
        <f>Recording!F217</f>
        <v>0</v>
      </c>
      <c r="P147" s="1353"/>
      <c r="Q147" s="1353"/>
      <c r="R147" s="1353">
        <f>Recording!G217</f>
        <v>0</v>
      </c>
      <c r="S147" s="1353"/>
      <c r="T147" s="1353"/>
      <c r="U147" s="1353">
        <f>Recording!H217</f>
        <v>0</v>
      </c>
      <c r="V147" s="1353"/>
      <c r="W147" s="1353"/>
      <c r="X147" s="1353" t="str">
        <f>Recording!I217</f>
        <v>5.2 did not touch the wall at the turn</v>
      </c>
      <c r="Y147" s="1353"/>
      <c r="Z147" s="1353"/>
      <c r="AA147" s="1353">
        <f>Recording!J217</f>
        <v>0</v>
      </c>
      <c r="AB147" s="1353"/>
      <c r="AC147" s="1353"/>
      <c r="AD147" s="1353">
        <f>Recording!K217</f>
        <v>0</v>
      </c>
      <c r="AE147" s="1353"/>
      <c r="AF147" s="1353"/>
      <c r="AG147" s="1353">
        <f>Recording!L217</f>
        <v>0</v>
      </c>
      <c r="AH147" s="1353"/>
      <c r="AI147" s="1353"/>
      <c r="AJ147" s="1353">
        <f>Recording!M217</f>
        <v>0</v>
      </c>
      <c r="AK147" s="1353"/>
      <c r="AL147" s="1353"/>
      <c r="AM147" s="908"/>
    </row>
    <row r="148" spans="2:39" ht="27" customHeight="1" x14ac:dyDescent="0.25">
      <c r="B148" s="1478" t="s">
        <v>5141</v>
      </c>
      <c r="C148" s="1478"/>
      <c r="D148" s="1478"/>
      <c r="E148" s="1478"/>
      <c r="F148" s="1035"/>
      <c r="G148" s="1036"/>
      <c r="H148" s="1036"/>
      <c r="I148" s="909" t="s">
        <v>4606</v>
      </c>
      <c r="J148" s="1479">
        <f>COUNTIF(J12:J146,1)</f>
        <v>6</v>
      </c>
      <c r="K148" s="1479"/>
      <c r="L148" s="909" t="s">
        <v>4606</v>
      </c>
      <c r="M148" s="1479">
        <f>COUNTIF(M12:M146,1)</f>
        <v>5</v>
      </c>
      <c r="N148" s="1479"/>
      <c r="O148" s="909" t="s">
        <v>4606</v>
      </c>
      <c r="P148" s="1479">
        <f>COUNTIF(P12:P146,1)</f>
        <v>2</v>
      </c>
      <c r="Q148" s="1479"/>
      <c r="R148" s="909" t="s">
        <v>4606</v>
      </c>
      <c r="S148" s="1479">
        <f>COUNTIF(S12:S146,1)</f>
        <v>13</v>
      </c>
      <c r="T148" s="1479"/>
      <c r="U148" s="909" t="s">
        <v>4606</v>
      </c>
      <c r="V148" s="1479">
        <f>COUNTIF(V12:V146,1)</f>
        <v>11</v>
      </c>
      <c r="W148" s="1479"/>
      <c r="X148" s="909" t="s">
        <v>4606</v>
      </c>
      <c r="Y148" s="1479">
        <f>COUNTIF(Y12:Y146,1)</f>
        <v>9</v>
      </c>
      <c r="Z148" s="1479"/>
      <c r="AA148" s="909" t="s">
        <v>4606</v>
      </c>
      <c r="AB148" s="1479">
        <f>COUNTIF(AB12:AB146,1)</f>
        <v>5</v>
      </c>
      <c r="AC148" s="1479"/>
      <c r="AD148" s="909" t="s">
        <v>4606</v>
      </c>
      <c r="AE148" s="1479">
        <f>COUNTIF(AE12:AE146,1)</f>
        <v>0</v>
      </c>
      <c r="AF148" s="1479"/>
      <c r="AG148" s="909" t="s">
        <v>4606</v>
      </c>
      <c r="AH148" s="1479">
        <f>COUNTIF(AH12:AH146,1)</f>
        <v>0</v>
      </c>
      <c r="AI148" s="1479"/>
      <c r="AJ148" s="909" t="s">
        <v>4606</v>
      </c>
      <c r="AK148" s="1479">
        <f>COUNTIF(AK12:AK146,1)</f>
        <v>0</v>
      </c>
      <c r="AL148" s="1479"/>
    </row>
    <row r="149" spans="2:39" ht="27" customHeight="1" x14ac:dyDescent="0.25">
      <c r="B149" s="1478"/>
      <c r="C149" s="1478"/>
      <c r="D149" s="1478"/>
      <c r="E149" s="1478"/>
      <c r="F149" s="1037"/>
      <c r="G149" s="1038"/>
      <c r="H149" s="1038"/>
      <c r="I149" s="912" t="s">
        <v>4607</v>
      </c>
      <c r="J149" s="1477">
        <f>COUNTIF(J12:J146,2)</f>
        <v>3</v>
      </c>
      <c r="K149" s="1477"/>
      <c r="L149" s="912" t="s">
        <v>4607</v>
      </c>
      <c r="M149" s="1477">
        <f>COUNTIF(M12:M146,2)</f>
        <v>2</v>
      </c>
      <c r="N149" s="1477"/>
      <c r="O149" s="912" t="s">
        <v>4607</v>
      </c>
      <c r="P149" s="1477">
        <f>COUNTIF(P12:P146,2)</f>
        <v>7</v>
      </c>
      <c r="Q149" s="1477"/>
      <c r="R149" s="912" t="s">
        <v>4607</v>
      </c>
      <c r="S149" s="1477">
        <f>COUNTIF(S12:S146,2)</f>
        <v>10</v>
      </c>
      <c r="T149" s="1477"/>
      <c r="U149" s="912" t="s">
        <v>4607</v>
      </c>
      <c r="V149" s="1477">
        <f>COUNTIF(V12:V146,2)</f>
        <v>15</v>
      </c>
      <c r="W149" s="1477"/>
      <c r="X149" s="912" t="s">
        <v>4607</v>
      </c>
      <c r="Y149" s="1477">
        <f>COUNTIF(Y12:Y146,2)</f>
        <v>7</v>
      </c>
      <c r="Z149" s="1477"/>
      <c r="AA149" s="912" t="s">
        <v>4607</v>
      </c>
      <c r="AB149" s="1477">
        <f>COUNTIF(AB12:AB146,2)</f>
        <v>7</v>
      </c>
      <c r="AC149" s="1477"/>
      <c r="AD149" s="912" t="s">
        <v>4607</v>
      </c>
      <c r="AE149" s="1477">
        <f>COUNTIF(AE12:AE146,2)</f>
        <v>0</v>
      </c>
      <c r="AF149" s="1477"/>
      <c r="AG149" s="912" t="s">
        <v>4607</v>
      </c>
      <c r="AH149" s="1477">
        <f>COUNTIF(AH12:AH146,2)</f>
        <v>0</v>
      </c>
      <c r="AI149" s="1477"/>
      <c r="AJ149" s="912" t="s">
        <v>4607</v>
      </c>
      <c r="AK149" s="1477">
        <f>COUNTIF(AK12:AK146,2)</f>
        <v>0</v>
      </c>
      <c r="AL149" s="1477"/>
    </row>
    <row r="150" spans="2:39" ht="27" customHeight="1" x14ac:dyDescent="0.25">
      <c r="B150" s="1478"/>
      <c r="C150" s="1478"/>
      <c r="D150" s="1478"/>
      <c r="E150" s="1478"/>
      <c r="F150" s="1037"/>
      <c r="G150" s="1038"/>
      <c r="H150" s="1038"/>
      <c r="I150" s="915" t="s">
        <v>4608</v>
      </c>
      <c r="J150" s="1477">
        <f>COUNTIF(J$12:J$146,3)</f>
        <v>4</v>
      </c>
      <c r="K150" s="1477"/>
      <c r="L150" s="915" t="s">
        <v>4608</v>
      </c>
      <c r="M150" s="1477">
        <f>COUNTIF(M$12:M$146,3)</f>
        <v>1</v>
      </c>
      <c r="N150" s="1477"/>
      <c r="O150" s="915" t="s">
        <v>4608</v>
      </c>
      <c r="P150" s="1477">
        <f>COUNTIF(P$12:P$146,3)</f>
        <v>8</v>
      </c>
      <c r="Q150" s="1477"/>
      <c r="R150" s="915" t="s">
        <v>4608</v>
      </c>
      <c r="S150" s="1477">
        <f>COUNTIF(S$12:S$146,3)</f>
        <v>9</v>
      </c>
      <c r="T150" s="1477"/>
      <c r="U150" s="915" t="s">
        <v>4608</v>
      </c>
      <c r="V150" s="1477">
        <f>COUNTIF(V$12:V$146,3)</f>
        <v>7</v>
      </c>
      <c r="W150" s="1477"/>
      <c r="X150" s="915" t="s">
        <v>4608</v>
      </c>
      <c r="Y150" s="1477">
        <f>COUNTIF(Y$12:Y$146,3)</f>
        <v>11</v>
      </c>
      <c r="Z150" s="1477"/>
      <c r="AA150" s="915" t="s">
        <v>4608</v>
      </c>
      <c r="AB150" s="1477">
        <f>COUNTIF(AB$12:AB$146,3)</f>
        <v>11</v>
      </c>
      <c r="AC150" s="1477"/>
      <c r="AD150" s="915" t="s">
        <v>4608</v>
      </c>
      <c r="AE150" s="1477">
        <f>COUNTIF(AE$12:AE$146,3)</f>
        <v>0</v>
      </c>
      <c r="AF150" s="1477"/>
      <c r="AG150" s="915" t="s">
        <v>4608</v>
      </c>
      <c r="AH150" s="1477">
        <f>COUNTIF(AH$12:AH$146,3)</f>
        <v>0</v>
      </c>
      <c r="AI150" s="1477"/>
      <c r="AJ150" s="915" t="s">
        <v>4608</v>
      </c>
      <c r="AK150" s="1477">
        <f>COUNTIF(AK$12:AK$146,3)</f>
        <v>0</v>
      </c>
      <c r="AL150" s="1477"/>
    </row>
    <row r="151" spans="2:39" ht="27" customHeight="1" x14ac:dyDescent="0.25">
      <c r="B151" s="1478"/>
      <c r="C151" s="1478"/>
      <c r="D151" s="1478"/>
      <c r="E151" s="1478"/>
      <c r="F151" s="1039"/>
      <c r="G151" s="1040"/>
      <c r="H151" s="1040"/>
      <c r="I151" s="918" t="s">
        <v>4609</v>
      </c>
      <c r="J151" s="1475">
        <f>COUNTIF(J$12:J$146,4)</f>
        <v>7</v>
      </c>
      <c r="K151" s="1475"/>
      <c r="L151" s="1041" t="s">
        <v>4609</v>
      </c>
      <c r="M151" s="1475">
        <f>COUNTIF(M$12:M$146,4)</f>
        <v>10</v>
      </c>
      <c r="N151" s="1475"/>
      <c r="O151" s="1041" t="s">
        <v>4609</v>
      </c>
      <c r="P151" s="1475">
        <f>COUNTIF(P$12:P$146,4)</f>
        <v>5</v>
      </c>
      <c r="Q151" s="1475"/>
      <c r="R151" s="1041" t="s">
        <v>4609</v>
      </c>
      <c r="S151" s="1475">
        <f>COUNTIF(S$12:S$146,4)</f>
        <v>5</v>
      </c>
      <c r="T151" s="1475"/>
      <c r="U151" s="1041" t="s">
        <v>4609</v>
      </c>
      <c r="V151" s="1475">
        <f>COUNTIF(V$12:V$146,4)</f>
        <v>7</v>
      </c>
      <c r="W151" s="1475"/>
      <c r="X151" s="1041" t="s">
        <v>4609</v>
      </c>
      <c r="Y151" s="1475">
        <f>COUNTIF(Y$12:Y$146,4)</f>
        <v>5</v>
      </c>
      <c r="Z151" s="1475"/>
      <c r="AA151" s="1041" t="s">
        <v>4609</v>
      </c>
      <c r="AB151" s="1475">
        <f>COUNTIF(AB$12:AB$146,4)</f>
        <v>11</v>
      </c>
      <c r="AC151" s="1475"/>
      <c r="AD151" s="1041" t="s">
        <v>4609</v>
      </c>
      <c r="AE151" s="1475">
        <f>COUNTIF(AE$12:AE$146,4)</f>
        <v>0</v>
      </c>
      <c r="AF151" s="1475"/>
      <c r="AG151" s="1041" t="s">
        <v>4609</v>
      </c>
      <c r="AH151" s="1475">
        <f>COUNTIF(AH$12:AH$146,4)</f>
        <v>0</v>
      </c>
      <c r="AI151" s="1475"/>
      <c r="AJ151" s="1041" t="s">
        <v>4609</v>
      </c>
      <c r="AK151" s="1475">
        <f>COUNTIF(AK$12:AK$146,4)</f>
        <v>0</v>
      </c>
      <c r="AL151" s="1475"/>
    </row>
    <row r="152" spans="2:39" ht="27" customHeight="1" x14ac:dyDescent="0.25">
      <c r="B152" s="1478"/>
      <c r="C152" s="1478"/>
      <c r="D152" s="1478"/>
      <c r="E152" s="1478"/>
      <c r="F152" s="1037"/>
      <c r="G152" s="1038"/>
      <c r="H152" s="1038"/>
      <c r="I152" s="918" t="s">
        <v>4610</v>
      </c>
      <c r="J152" s="1475">
        <f>COUNTIF(J$12:J$146,5)</f>
        <v>7</v>
      </c>
      <c r="K152" s="1475"/>
      <c r="L152" s="1041" t="s">
        <v>4610</v>
      </c>
      <c r="M152" s="1475">
        <f>COUNTIF(M$12:M$146,5)</f>
        <v>10</v>
      </c>
      <c r="N152" s="1475"/>
      <c r="O152" s="1041" t="s">
        <v>4610</v>
      </c>
      <c r="P152" s="1475">
        <f>COUNTIF(P$12:P$146,5)</f>
        <v>13</v>
      </c>
      <c r="Q152" s="1475"/>
      <c r="R152" s="1041" t="s">
        <v>4610</v>
      </c>
      <c r="S152" s="1475">
        <f>COUNTIF(S$12:S$146,5)</f>
        <v>4</v>
      </c>
      <c r="T152" s="1475"/>
      <c r="U152" s="1041" t="s">
        <v>4610</v>
      </c>
      <c r="V152" s="1475">
        <f>COUNTIF(V$12:V$146,5)</f>
        <v>4</v>
      </c>
      <c r="W152" s="1475"/>
      <c r="X152" s="1041" t="s">
        <v>4610</v>
      </c>
      <c r="Y152" s="1475">
        <f>COUNTIF(Y$12:Y$146,5)</f>
        <v>6</v>
      </c>
      <c r="Z152" s="1475"/>
      <c r="AA152" s="1041" t="s">
        <v>4610</v>
      </c>
      <c r="AB152" s="1475">
        <f>COUNTIF(AB$12:AB$146,5)</f>
        <v>6</v>
      </c>
      <c r="AC152" s="1475"/>
      <c r="AD152" s="1041" t="s">
        <v>4610</v>
      </c>
      <c r="AE152" s="1475">
        <f>COUNTIF(AE$12:AE$146,5)</f>
        <v>0</v>
      </c>
      <c r="AF152" s="1475"/>
      <c r="AG152" s="1041" t="s">
        <v>4610</v>
      </c>
      <c r="AH152" s="1475">
        <f>COUNTIF(AH$12:AH$146,5)</f>
        <v>0</v>
      </c>
      <c r="AI152" s="1475"/>
      <c r="AJ152" s="1041" t="s">
        <v>4610</v>
      </c>
      <c r="AK152" s="1475">
        <f>COUNTIF(AK$12:AK$146,5)</f>
        <v>0</v>
      </c>
      <c r="AL152" s="1475"/>
    </row>
    <row r="153" spans="2:39" ht="27" customHeight="1" x14ac:dyDescent="0.25">
      <c r="B153" s="1478"/>
      <c r="C153" s="1478"/>
      <c r="D153" s="1478"/>
      <c r="E153" s="1478"/>
      <c r="F153" s="1037"/>
      <c r="G153" s="1038"/>
      <c r="H153" s="1038"/>
      <c r="I153" s="918" t="s">
        <v>4611</v>
      </c>
      <c r="J153" s="1475">
        <f>COUNTIF(J$12:J$146,6)</f>
        <v>7</v>
      </c>
      <c r="K153" s="1475"/>
      <c r="L153" s="1041" t="s">
        <v>4611</v>
      </c>
      <c r="M153" s="1475">
        <f>COUNTIF(M$12:M$146,6)</f>
        <v>14</v>
      </c>
      <c r="N153" s="1475"/>
      <c r="O153" s="1041" t="s">
        <v>4611</v>
      </c>
      <c r="P153" s="1475">
        <f>COUNTIF(P$12:P$146,6)</f>
        <v>8</v>
      </c>
      <c r="Q153" s="1475"/>
      <c r="R153" s="1041" t="s">
        <v>4611</v>
      </c>
      <c r="S153" s="1475">
        <f>COUNTIF(S$12:S$146,6)</f>
        <v>5</v>
      </c>
      <c r="T153" s="1475"/>
      <c r="U153" s="1041" t="s">
        <v>4611</v>
      </c>
      <c r="V153" s="1475">
        <f>COUNTIF(V$12:V$146,6)</f>
        <v>3</v>
      </c>
      <c r="W153" s="1475"/>
      <c r="X153" s="1041" t="s">
        <v>4611</v>
      </c>
      <c r="Y153" s="1475">
        <f>COUNTIF(Y$12:Y$146,6)</f>
        <v>5</v>
      </c>
      <c r="Z153" s="1475"/>
      <c r="AA153" s="1041" t="s">
        <v>4611</v>
      </c>
      <c r="AB153" s="1475">
        <f>COUNTIF(AB$12:AB$146,6)</f>
        <v>6</v>
      </c>
      <c r="AC153" s="1475"/>
      <c r="AD153" s="1041" t="s">
        <v>4611</v>
      </c>
      <c r="AE153" s="1475">
        <f>COUNTIF(AE$12:AE$146,6)</f>
        <v>0</v>
      </c>
      <c r="AF153" s="1475"/>
      <c r="AG153" s="1041" t="s">
        <v>4611</v>
      </c>
      <c r="AH153" s="1475">
        <f>COUNTIF(AH$12:AH$146,6)</f>
        <v>0</v>
      </c>
      <c r="AI153" s="1475"/>
      <c r="AJ153" s="1041" t="s">
        <v>4611</v>
      </c>
      <c r="AK153" s="1475">
        <f>COUNTIF(AK$12:AK$146,6)</f>
        <v>0</v>
      </c>
      <c r="AL153" s="1475"/>
    </row>
    <row r="154" spans="2:39" ht="27" customHeight="1" x14ac:dyDescent="0.25">
      <c r="B154" s="1478"/>
      <c r="C154" s="1478"/>
      <c r="D154" s="1478"/>
      <c r="E154" s="1478"/>
      <c r="F154" s="1037"/>
      <c r="G154" s="1038"/>
      <c r="H154" s="1038"/>
      <c r="I154" s="918" t="s">
        <v>4612</v>
      </c>
      <c r="J154" s="1475">
        <f>COUNTIF(J$12:J$146,7)</f>
        <v>9</v>
      </c>
      <c r="K154" s="1475"/>
      <c r="L154" s="1041" t="s">
        <v>4612</v>
      </c>
      <c r="M154" s="1475">
        <f>COUNTIF(M$12:M$146,7)</f>
        <v>8</v>
      </c>
      <c r="N154" s="1475"/>
      <c r="O154" s="1041" t="s">
        <v>4612</v>
      </c>
      <c r="P154" s="1475">
        <f>COUNTIF(P$12:P$146,7)</f>
        <v>0</v>
      </c>
      <c r="Q154" s="1475"/>
      <c r="R154" s="1041" t="s">
        <v>4612</v>
      </c>
      <c r="S154" s="1475">
        <f>COUNTIF(S$12:S$146,7)</f>
        <v>3</v>
      </c>
      <c r="T154" s="1475"/>
      <c r="U154" s="1041" t="s">
        <v>4612</v>
      </c>
      <c r="V154" s="1475">
        <f>COUNTIF(V$12:V$146,7)</f>
        <v>4</v>
      </c>
      <c r="W154" s="1475"/>
      <c r="X154" s="1041" t="s">
        <v>4612</v>
      </c>
      <c r="Y154" s="1475">
        <f>COUNTIF(Y$12:Y$146,7)</f>
        <v>4</v>
      </c>
      <c r="Z154" s="1475"/>
      <c r="AA154" s="1041" t="s">
        <v>4612</v>
      </c>
      <c r="AB154" s="1475">
        <f>COUNTIF(AB$12:AB$146,7)</f>
        <v>2</v>
      </c>
      <c r="AC154" s="1475"/>
      <c r="AD154" s="1041" t="s">
        <v>4612</v>
      </c>
      <c r="AE154" s="1475">
        <f>COUNTIF(AE$12:AE$146,7)</f>
        <v>0</v>
      </c>
      <c r="AF154" s="1475"/>
      <c r="AG154" s="1041" t="s">
        <v>4612</v>
      </c>
      <c r="AH154" s="1475">
        <f>COUNTIF(AH$12:AH$146,7)</f>
        <v>0</v>
      </c>
      <c r="AI154" s="1475"/>
      <c r="AJ154" s="1041" t="s">
        <v>4612</v>
      </c>
      <c r="AK154" s="1475">
        <f>COUNTIF(AK$12:AK$146,7)</f>
        <v>0</v>
      </c>
      <c r="AL154" s="1475"/>
    </row>
    <row r="155" spans="2:39" ht="27" customHeight="1" x14ac:dyDescent="0.25">
      <c r="B155" s="1478"/>
      <c r="C155" s="1478"/>
      <c r="D155" s="1478"/>
      <c r="E155" s="1478"/>
      <c r="F155" s="1037"/>
      <c r="G155" s="1038"/>
      <c r="H155" s="1038"/>
      <c r="I155" s="918" t="s">
        <v>4613</v>
      </c>
      <c r="J155" s="1475">
        <f>COUNTIF(J$12:J$146,8)</f>
        <v>0</v>
      </c>
      <c r="K155" s="1475"/>
      <c r="L155" s="1041" t="s">
        <v>4613</v>
      </c>
      <c r="M155" s="1475">
        <f>COUNTIF(M$12:M$146,8)</f>
        <v>0</v>
      </c>
      <c r="N155" s="1475"/>
      <c r="O155" s="1041" t="s">
        <v>4613</v>
      </c>
      <c r="P155" s="1475">
        <f>COUNTIF(P$12:P$146,8)</f>
        <v>0</v>
      </c>
      <c r="Q155" s="1475"/>
      <c r="R155" s="1041" t="s">
        <v>4613</v>
      </c>
      <c r="S155" s="1475">
        <f>COUNTIF(S$12:S$146,8)</f>
        <v>0</v>
      </c>
      <c r="T155" s="1475"/>
      <c r="U155" s="1041" t="s">
        <v>4613</v>
      </c>
      <c r="V155" s="1475">
        <f>COUNTIF(V$12:V$146,8)</f>
        <v>0</v>
      </c>
      <c r="W155" s="1475"/>
      <c r="X155" s="1041" t="s">
        <v>4613</v>
      </c>
      <c r="Y155" s="1475">
        <f>COUNTIF(Y$12:Y$146,8)</f>
        <v>0</v>
      </c>
      <c r="Z155" s="1475"/>
      <c r="AA155" s="1041" t="s">
        <v>4613</v>
      </c>
      <c r="AB155" s="1475">
        <f>COUNTIF(AB$12:AB$146,8)</f>
        <v>0</v>
      </c>
      <c r="AC155" s="1475"/>
      <c r="AD155" s="1041" t="s">
        <v>4613</v>
      </c>
      <c r="AE155" s="1475">
        <f>COUNTIF(AE$12:AE$146,8)</f>
        <v>0</v>
      </c>
      <c r="AF155" s="1475"/>
      <c r="AG155" s="1041" t="s">
        <v>4613</v>
      </c>
      <c r="AH155" s="1475">
        <f>COUNTIF(AH$12:AH$146,8)</f>
        <v>0</v>
      </c>
      <c r="AI155" s="1475"/>
      <c r="AJ155" s="1041" t="s">
        <v>4613</v>
      </c>
      <c r="AK155" s="1475">
        <f>COUNTIF(AK$12:AK$146,8)</f>
        <v>0</v>
      </c>
      <c r="AL155" s="1475"/>
    </row>
    <row r="156" spans="2:39" ht="27" customHeight="1" x14ac:dyDescent="0.25">
      <c r="B156" s="1478"/>
      <c r="C156" s="1478"/>
      <c r="D156" s="1478"/>
      <c r="E156" s="1478"/>
      <c r="F156" s="1037"/>
      <c r="G156" s="1038"/>
      <c r="H156" s="1038"/>
      <c r="I156" s="918" t="s">
        <v>4614</v>
      </c>
      <c r="J156" s="1475">
        <f>COUNTIF(J$12:J$146,9)</f>
        <v>0</v>
      </c>
      <c r="K156" s="1475"/>
      <c r="L156" s="1041" t="s">
        <v>4614</v>
      </c>
      <c r="M156" s="1475">
        <f>COUNTIF(M$12:M$146,9)</f>
        <v>0</v>
      </c>
      <c r="N156" s="1475"/>
      <c r="O156" s="1041" t="s">
        <v>4614</v>
      </c>
      <c r="P156" s="1475">
        <f>COUNTIF(P$12:P$146,9)</f>
        <v>0</v>
      </c>
      <c r="Q156" s="1475"/>
      <c r="R156" s="1041" t="s">
        <v>4614</v>
      </c>
      <c r="S156" s="1475">
        <f>COUNTIF(S$12:S$146,9)</f>
        <v>0</v>
      </c>
      <c r="T156" s="1475"/>
      <c r="U156" s="1041" t="s">
        <v>4614</v>
      </c>
      <c r="V156" s="1475">
        <f>COUNTIF(V$12:V$146,9)</f>
        <v>0</v>
      </c>
      <c r="W156" s="1475"/>
      <c r="X156" s="1041" t="s">
        <v>4614</v>
      </c>
      <c r="Y156" s="1475">
        <f>COUNTIF(Y$12:Y$146,9)</f>
        <v>0</v>
      </c>
      <c r="Z156" s="1475"/>
      <c r="AA156" s="1041" t="s">
        <v>4614</v>
      </c>
      <c r="AB156" s="1475">
        <f>COUNTIF(AB$12:AB$146,9)</f>
        <v>0</v>
      </c>
      <c r="AC156" s="1475"/>
      <c r="AD156" s="1041" t="s">
        <v>4614</v>
      </c>
      <c r="AE156" s="1475">
        <f>COUNTIF(AE$12:AE$146,9)</f>
        <v>0</v>
      </c>
      <c r="AF156" s="1475"/>
      <c r="AG156" s="1041" t="s">
        <v>4614</v>
      </c>
      <c r="AH156" s="1475">
        <f>COUNTIF(AH$12:AH$146,9)</f>
        <v>0</v>
      </c>
      <c r="AI156" s="1475"/>
      <c r="AJ156" s="1041" t="s">
        <v>4614</v>
      </c>
      <c r="AK156" s="1475">
        <f>COUNTIF(AK$12:AK$146,9)</f>
        <v>0</v>
      </c>
      <c r="AL156" s="1475"/>
    </row>
    <row r="157" spans="2:39" ht="27" customHeight="1" x14ac:dyDescent="0.25">
      <c r="B157" s="1478"/>
      <c r="C157" s="1478"/>
      <c r="D157" s="1478"/>
      <c r="E157" s="1478"/>
      <c r="F157" s="1042"/>
      <c r="G157" s="1043"/>
      <c r="H157" s="1043"/>
      <c r="I157" s="1005" t="s">
        <v>4615</v>
      </c>
      <c r="J157" s="1476">
        <f>COUNTIF(J$12:J$146,10)</f>
        <v>0</v>
      </c>
      <c r="K157" s="1476"/>
      <c r="L157" s="1044" t="s">
        <v>4615</v>
      </c>
      <c r="M157" s="1476">
        <f>COUNTIF(M$12:M$146,10)</f>
        <v>0</v>
      </c>
      <c r="N157" s="1476"/>
      <c r="O157" s="1044" t="s">
        <v>4615</v>
      </c>
      <c r="P157" s="1476">
        <f>COUNTIF(P$12:P$146,10)</f>
        <v>0</v>
      </c>
      <c r="Q157" s="1476"/>
      <c r="R157" s="1044" t="s">
        <v>4615</v>
      </c>
      <c r="S157" s="1476">
        <f>COUNTIF(S$12:S$146,10)</f>
        <v>0</v>
      </c>
      <c r="T157" s="1476"/>
      <c r="U157" s="1044" t="s">
        <v>4615</v>
      </c>
      <c r="V157" s="1476">
        <f>COUNTIF(V$12:V$146,10)</f>
        <v>0</v>
      </c>
      <c r="W157" s="1476"/>
      <c r="X157" s="1044" t="s">
        <v>4615</v>
      </c>
      <c r="Y157" s="1476">
        <f>COUNTIF(Y$12:Y$146,10)</f>
        <v>0</v>
      </c>
      <c r="Z157" s="1476"/>
      <c r="AA157" s="1044" t="s">
        <v>4615</v>
      </c>
      <c r="AB157" s="1476">
        <f>COUNTIF(AB$12:AB$146,10)</f>
        <v>0</v>
      </c>
      <c r="AC157" s="1476"/>
      <c r="AD157" s="1044" t="s">
        <v>4615</v>
      </c>
      <c r="AE157" s="1476">
        <f>COUNTIF(AE$12:AE$146,10)</f>
        <v>0</v>
      </c>
      <c r="AF157" s="1476"/>
      <c r="AG157" s="1044" t="s">
        <v>4615</v>
      </c>
      <c r="AH157" s="1476">
        <f>COUNTIF(AH$12:AH$146,10)</f>
        <v>0</v>
      </c>
      <c r="AI157" s="1476"/>
      <c r="AJ157" s="1044" t="s">
        <v>4615</v>
      </c>
      <c r="AK157" s="1476">
        <f>COUNTIF(AK$12:AK$146,10)</f>
        <v>0</v>
      </c>
      <c r="AL157" s="1476"/>
    </row>
    <row r="158" spans="2:39" hidden="1" x14ac:dyDescent="0.25"/>
    <row r="159" spans="2:39" hidden="1" x14ac:dyDescent="0.25"/>
    <row r="160" spans="2:39" hidden="1" x14ac:dyDescent="0.25"/>
    <row r="161" spans="2:38" hidden="1" x14ac:dyDescent="0.25"/>
    <row r="162" spans="2:38" hidden="1" x14ac:dyDescent="0.25"/>
    <row r="163" spans="2:38" ht="1.5" customHeight="1" x14ac:dyDescent="0.25">
      <c r="B163" s="1322"/>
      <c r="C163" s="1322"/>
      <c r="D163" s="1322"/>
      <c r="E163" s="1322"/>
      <c r="F163" s="929"/>
      <c r="G163" s="929"/>
      <c r="H163" s="929"/>
      <c r="I163" s="930"/>
      <c r="J163" s="931"/>
      <c r="K163" s="931"/>
      <c r="L163" s="930"/>
      <c r="M163" s="931"/>
      <c r="N163" s="931"/>
      <c r="O163" s="930"/>
      <c r="P163" s="931"/>
      <c r="Q163" s="931"/>
      <c r="R163" s="930"/>
      <c r="S163" s="931"/>
      <c r="T163" s="931"/>
      <c r="U163" s="930"/>
      <c r="V163" s="931"/>
      <c r="W163" s="931"/>
      <c r="X163" s="930"/>
      <c r="Y163" s="931"/>
      <c r="Z163" s="931"/>
      <c r="AA163" s="930"/>
      <c r="AB163" s="931"/>
      <c r="AC163" s="931"/>
      <c r="AD163" s="930"/>
      <c r="AE163" s="931"/>
      <c r="AF163" s="931"/>
      <c r="AG163" s="928"/>
      <c r="AH163" s="927"/>
      <c r="AI163" s="927"/>
      <c r="AJ163" s="928"/>
      <c r="AK163" s="927"/>
      <c r="AL163" s="927"/>
    </row>
    <row r="164" spans="2:38" ht="51" hidden="1" customHeight="1" x14ac:dyDescent="0.25">
      <c r="B164" s="1045"/>
      <c r="C164" s="1045"/>
      <c r="D164" s="1045"/>
      <c r="E164" s="1045"/>
      <c r="F164" s="1045"/>
      <c r="G164" s="1045"/>
      <c r="H164" s="1045"/>
      <c r="I164" s="1468"/>
      <c r="J164" s="1468"/>
      <c r="K164" s="1468"/>
      <c r="L164" s="1468"/>
      <c r="M164" s="1468"/>
      <c r="N164" s="1468"/>
      <c r="O164" s="1468"/>
      <c r="P164" s="1468"/>
      <c r="Q164" s="1468"/>
      <c r="R164" s="1468"/>
      <c r="S164" s="1468"/>
      <c r="T164" s="1468"/>
      <c r="U164" s="1468"/>
      <c r="V164" s="1468"/>
      <c r="W164" s="1468"/>
      <c r="X164" s="1468"/>
      <c r="Y164" s="1468"/>
      <c r="Z164" s="1468"/>
      <c r="AA164" s="1468"/>
      <c r="AB164" s="1468"/>
      <c r="AC164" s="1468"/>
      <c r="AD164" s="1468"/>
      <c r="AE164" s="1468"/>
      <c r="AF164" s="1468"/>
      <c r="AG164" s="1046"/>
      <c r="AH164" s="935"/>
      <c r="AI164" s="935"/>
      <c r="AJ164" s="1046"/>
      <c r="AK164" s="935"/>
      <c r="AL164" s="935"/>
    </row>
    <row r="165" spans="2:38" ht="30" hidden="1" customHeight="1" x14ac:dyDescent="0.25">
      <c r="B165" s="1469"/>
      <c r="C165" s="1469"/>
      <c r="D165" s="1469"/>
      <c r="E165" s="1469"/>
      <c r="F165" s="1470">
        <f>AJ6</f>
        <v>0</v>
      </c>
      <c r="G165" s="1470"/>
      <c r="H165" s="1470"/>
      <c r="I165" s="1470" t="str">
        <f>I6</f>
        <v>HARINGEY AQUATICS</v>
      </c>
      <c r="J165" s="1470"/>
      <c r="K165" s="1470"/>
      <c r="L165" s="1470" t="str">
        <f>L6</f>
        <v>STEVENAGE</v>
      </c>
      <c r="M165" s="1470"/>
      <c r="N165" s="1470"/>
      <c r="O165" s="1470" t="str">
        <f>O6</f>
        <v>BORO OF BROXBOURNE</v>
      </c>
      <c r="P165" s="1470"/>
      <c r="Q165" s="1470"/>
      <c r="R165" s="1470" t="str">
        <f>R6</f>
        <v>AYLESBURY</v>
      </c>
      <c r="S165" s="1470"/>
      <c r="T165" s="1470"/>
      <c r="U165" s="1470" t="str">
        <f>U6</f>
        <v>BRAINTREE &amp; BOCKING</v>
      </c>
      <c r="V165" s="1470"/>
      <c r="W165" s="1470"/>
      <c r="X165" s="1470" t="str">
        <f>X6</f>
        <v>Bo of Harrow</v>
      </c>
      <c r="Y165" s="1470"/>
      <c r="Z165" s="1470"/>
      <c r="AA165" s="1470" t="str">
        <f>AA6</f>
        <v>Hillingdon 'B'</v>
      </c>
      <c r="AB165" s="1470"/>
      <c r="AC165" s="1470"/>
      <c r="AD165" s="1470">
        <f>AD6</f>
        <v>0</v>
      </c>
      <c r="AE165" s="1470"/>
      <c r="AF165" s="1470"/>
      <c r="AG165" s="1470">
        <f>AG6</f>
        <v>0</v>
      </c>
      <c r="AH165" s="1470"/>
      <c r="AI165" s="1470"/>
      <c r="AJ165" s="1471">
        <f>AJ6</f>
        <v>0</v>
      </c>
      <c r="AK165" s="1471"/>
      <c r="AL165" s="1471"/>
    </row>
    <row r="166" spans="2:38" ht="30" customHeight="1" x14ac:dyDescent="0.25">
      <c r="B166" s="1469"/>
      <c r="C166" s="1469"/>
      <c r="D166" s="1469"/>
      <c r="E166" s="1469"/>
      <c r="F166" s="1470"/>
      <c r="G166" s="1470"/>
      <c r="H166" s="1470"/>
      <c r="I166" s="1470"/>
      <c r="J166" s="1470"/>
      <c r="K166" s="1470"/>
      <c r="L166" s="1470"/>
      <c r="M166" s="1470"/>
      <c r="N166" s="1470"/>
      <c r="O166" s="1470"/>
      <c r="P166" s="1470"/>
      <c r="Q166" s="1470"/>
      <c r="R166" s="1470"/>
      <c r="S166" s="1470"/>
      <c r="T166" s="1470"/>
      <c r="U166" s="1470"/>
      <c r="V166" s="1470"/>
      <c r="W166" s="1470"/>
      <c r="X166" s="1470"/>
      <c r="Y166" s="1470"/>
      <c r="Z166" s="1470"/>
      <c r="AA166" s="1470"/>
      <c r="AB166" s="1470"/>
      <c r="AC166" s="1470"/>
      <c r="AD166" s="1470"/>
      <c r="AE166" s="1470"/>
      <c r="AF166" s="1470"/>
      <c r="AG166" s="1470"/>
      <c r="AH166" s="1470"/>
      <c r="AI166" s="1470"/>
      <c r="AJ166" s="1471"/>
      <c r="AK166" s="1471"/>
      <c r="AL166" s="1471"/>
    </row>
    <row r="167" spans="2:38" ht="17.25" customHeight="1" x14ac:dyDescent="0.25">
      <c r="B167" s="1047"/>
      <c r="C167" s="1472" t="s">
        <v>5110</v>
      </c>
      <c r="D167" s="1472"/>
      <c r="E167" s="1472"/>
      <c r="F167" s="1473">
        <f>SUM(AL12:AL32)</f>
        <v>0</v>
      </c>
      <c r="G167" s="1473"/>
      <c r="H167" s="1473"/>
      <c r="I167" s="1474">
        <f>SUM(K12:K32)</f>
        <v>26</v>
      </c>
      <c r="J167" s="1474"/>
      <c r="K167" s="1474"/>
      <c r="L167" s="1474">
        <f>SUM(N12:N32)</f>
        <v>30</v>
      </c>
      <c r="M167" s="1474"/>
      <c r="N167" s="1474"/>
      <c r="O167" s="1474">
        <f>SUM(Q12:Q32)</f>
        <v>29</v>
      </c>
      <c r="P167" s="1474"/>
      <c r="Q167" s="1474"/>
      <c r="R167" s="1474">
        <f>SUM(T12:T32)</f>
        <v>45</v>
      </c>
      <c r="S167" s="1474"/>
      <c r="T167" s="1474"/>
      <c r="U167" s="1474">
        <f>SUM(W12:W32)</f>
        <v>45</v>
      </c>
      <c r="V167" s="1474"/>
      <c r="W167" s="1474"/>
      <c r="X167" s="1474">
        <f>SUM(Z12:Z32)</f>
        <v>51</v>
      </c>
      <c r="Y167" s="1474"/>
      <c r="Z167" s="1474"/>
      <c r="AA167" s="1474">
        <f>SUM(AC12:AC32)</f>
        <v>44</v>
      </c>
      <c r="AB167" s="1474"/>
      <c r="AC167" s="1474"/>
      <c r="AD167" s="1474">
        <f>SUM(AF12:AF32)</f>
        <v>0</v>
      </c>
      <c r="AE167" s="1474"/>
      <c r="AF167" s="1474"/>
      <c r="AG167" s="1474">
        <f>SUM(AI12:AI32)</f>
        <v>0</v>
      </c>
      <c r="AH167" s="1474"/>
      <c r="AI167" s="1474"/>
      <c r="AJ167" s="1474">
        <f>SUM(AL12:AL32)</f>
        <v>0</v>
      </c>
      <c r="AK167" s="1474"/>
      <c r="AL167" s="1474"/>
    </row>
    <row r="168" spans="2:38" ht="15.75" customHeight="1" x14ac:dyDescent="0.25">
      <c r="B168" s="1048"/>
      <c r="C168" s="1472"/>
      <c r="D168" s="1472"/>
      <c r="E168" s="1472"/>
      <c r="F168" s="1473"/>
      <c r="G168" s="1473"/>
      <c r="H168" s="1473"/>
      <c r="I168" s="1474"/>
      <c r="J168" s="1474"/>
      <c r="K168" s="1474"/>
      <c r="L168" s="1474"/>
      <c r="M168" s="1474"/>
      <c r="N168" s="1474"/>
      <c r="O168" s="1474"/>
      <c r="P168" s="1474"/>
      <c r="Q168" s="1474"/>
      <c r="R168" s="1474"/>
      <c r="S168" s="1474"/>
      <c r="T168" s="1474"/>
      <c r="U168" s="1474"/>
      <c r="V168" s="1474"/>
      <c r="W168" s="1474"/>
      <c r="X168" s="1474"/>
      <c r="Y168" s="1474"/>
      <c r="Z168" s="1474"/>
      <c r="AA168" s="1474"/>
      <c r="AB168" s="1474"/>
      <c r="AC168" s="1474"/>
      <c r="AD168" s="1474"/>
      <c r="AE168" s="1474"/>
      <c r="AF168" s="1474"/>
      <c r="AG168" s="1474"/>
      <c r="AH168" s="1474"/>
      <c r="AI168" s="1474"/>
      <c r="AJ168" s="1474"/>
      <c r="AK168" s="1474"/>
      <c r="AL168" s="1474"/>
    </row>
    <row r="169" spans="2:38" ht="17.25" hidden="1" customHeight="1" x14ac:dyDescent="0.25">
      <c r="B169" s="1466" t="s">
        <v>5111</v>
      </c>
      <c r="C169" s="1466"/>
      <c r="D169" s="1466"/>
      <c r="E169" s="1466"/>
      <c r="F169" s="1417">
        <f>AJ6</f>
        <v>0</v>
      </c>
      <c r="G169" s="1417"/>
      <c r="H169" s="1417"/>
      <c r="I169" s="1317" t="str">
        <f>I6</f>
        <v>HARINGEY AQUATICS</v>
      </c>
      <c r="J169" s="1317"/>
      <c r="K169" s="1317"/>
      <c r="L169" s="1317" t="str">
        <f>L6</f>
        <v>STEVENAGE</v>
      </c>
      <c r="M169" s="1317"/>
      <c r="N169" s="1317"/>
      <c r="O169" s="1317" t="str">
        <f>O6</f>
        <v>BORO OF BROXBOURNE</v>
      </c>
      <c r="P169" s="1317"/>
      <c r="Q169" s="1317"/>
      <c r="R169" s="1317" t="str">
        <f>R6</f>
        <v>AYLESBURY</v>
      </c>
      <c r="S169" s="1317"/>
      <c r="T169" s="1317"/>
      <c r="U169" s="1317" t="str">
        <f>U6</f>
        <v>BRAINTREE &amp; BOCKING</v>
      </c>
      <c r="V169" s="1317"/>
      <c r="W169" s="1317"/>
      <c r="X169" s="1317" t="str">
        <f>X6</f>
        <v>Bo of Harrow</v>
      </c>
      <c r="Y169" s="1317"/>
      <c r="Z169" s="1317"/>
      <c r="AA169" s="1317" t="str">
        <f>AA6</f>
        <v>Hillingdon 'B'</v>
      </c>
      <c r="AB169" s="1317"/>
      <c r="AC169" s="1317"/>
      <c r="AD169" s="1317">
        <f>AD6</f>
        <v>0</v>
      </c>
      <c r="AE169" s="1317"/>
      <c r="AF169" s="1317"/>
      <c r="AG169" s="1317">
        <f>AG6</f>
        <v>0</v>
      </c>
      <c r="AH169" s="1317"/>
      <c r="AI169" s="1317"/>
      <c r="AJ169" s="1317">
        <f>AJ6</f>
        <v>0</v>
      </c>
      <c r="AK169" s="1317"/>
      <c r="AL169" s="1317"/>
    </row>
    <row r="170" spans="2:38" ht="17.25" hidden="1" customHeight="1" x14ac:dyDescent="0.25">
      <c r="B170" s="1466"/>
      <c r="C170" s="1466"/>
      <c r="D170" s="1466"/>
      <c r="E170" s="1466"/>
      <c r="F170" s="1417"/>
      <c r="G170" s="1417"/>
      <c r="H170" s="1417"/>
      <c r="I170" s="1317"/>
      <c r="J170" s="1317"/>
      <c r="K170" s="1317"/>
      <c r="L170" s="1317"/>
      <c r="M170" s="1317"/>
      <c r="N170" s="1317"/>
      <c r="O170" s="1317"/>
      <c r="P170" s="1317"/>
      <c r="Q170" s="1317"/>
      <c r="R170" s="1317"/>
      <c r="S170" s="1317"/>
      <c r="T170" s="1317"/>
      <c r="U170" s="1317"/>
      <c r="V170" s="1317"/>
      <c r="W170" s="1317"/>
      <c r="X170" s="1317"/>
      <c r="Y170" s="1317"/>
      <c r="Z170" s="1317"/>
      <c r="AA170" s="1317"/>
      <c r="AB170" s="1317"/>
      <c r="AC170" s="1317"/>
      <c r="AD170" s="1317"/>
      <c r="AE170" s="1317"/>
      <c r="AF170" s="1317"/>
      <c r="AG170" s="1317"/>
      <c r="AH170" s="1317"/>
      <c r="AI170" s="1317"/>
      <c r="AJ170" s="1317"/>
      <c r="AK170" s="1317"/>
      <c r="AL170" s="1317"/>
    </row>
    <row r="171" spans="2:38" ht="17.25" customHeight="1" x14ac:dyDescent="0.25">
      <c r="B171" s="1049"/>
      <c r="C171" s="1465" t="s">
        <v>5112</v>
      </c>
      <c r="D171" s="1465"/>
      <c r="E171" s="1465"/>
      <c r="F171" s="1413">
        <f>IF(AJ55="","",IF(AJ55&lt;0,"",SUM(AL12:AL55)))</f>
        <v>0</v>
      </c>
      <c r="G171" s="1413"/>
      <c r="H171" s="1413"/>
      <c r="I171" s="1311">
        <f>IF(I55="","",IF(I55&lt;0,"",SUM(K12:K55)))</f>
        <v>49</v>
      </c>
      <c r="J171" s="1311"/>
      <c r="K171" s="1311"/>
      <c r="L171" s="1311">
        <f>IF(L55="","",IF(L55&lt;0,"",SUM(N12:N55)))</f>
        <v>55</v>
      </c>
      <c r="M171" s="1311"/>
      <c r="N171" s="1311"/>
      <c r="O171" s="1311">
        <f>IF(O55="","",IF(O55&lt;0,"",SUM(Q12:Q55)))</f>
        <v>53</v>
      </c>
      <c r="P171" s="1311"/>
      <c r="Q171" s="1311"/>
      <c r="R171" s="1311">
        <f>IF(R55="","",IF(R55&lt;0,"",SUM(T12:T55)))</f>
        <v>87</v>
      </c>
      <c r="S171" s="1311"/>
      <c r="T171" s="1311"/>
      <c r="U171" s="1311">
        <f>IF(U55="","",IF(U55&lt;0,"",SUM(W12:W55)))</f>
        <v>89</v>
      </c>
      <c r="V171" s="1311"/>
      <c r="W171" s="1311"/>
      <c r="X171" s="1311">
        <f>IF(X55="","",IF(X55&lt;0,"",SUM(Z12:Z55)))</f>
        <v>78</v>
      </c>
      <c r="Y171" s="1311"/>
      <c r="Z171" s="1311"/>
      <c r="AA171" s="1311">
        <f>IF(AA55="","",IF(AA55&lt;0,"",SUM(AC12:AC55)))</f>
        <v>79</v>
      </c>
      <c r="AB171" s="1311"/>
      <c r="AC171" s="1311"/>
      <c r="AD171" s="1311">
        <f>IF(AD55="","",IF(AD55&lt;0,"",SUM(AF12:AF55)))</f>
        <v>0</v>
      </c>
      <c r="AE171" s="1311"/>
      <c r="AF171" s="1311"/>
      <c r="AG171" s="1311">
        <f>IF(AG55="","",IF(AG55&lt;0,"",SUM(AI12:AI55)))</f>
        <v>0</v>
      </c>
      <c r="AH171" s="1311"/>
      <c r="AI171" s="1311"/>
      <c r="AJ171" s="1467">
        <f>IF(AJ55="","",IF(AJ55&lt;0,"",SUM(AL12:AL55)))</f>
        <v>0</v>
      </c>
      <c r="AK171" s="1467"/>
      <c r="AL171" s="1467"/>
    </row>
    <row r="172" spans="2:38" ht="16.5" customHeight="1" x14ac:dyDescent="0.25">
      <c r="B172" s="1048"/>
      <c r="C172" s="1465"/>
      <c r="D172" s="1465"/>
      <c r="E172" s="1465"/>
      <c r="F172" s="1413"/>
      <c r="G172" s="1413"/>
      <c r="H172" s="1413"/>
      <c r="I172" s="1311"/>
      <c r="J172" s="1311"/>
      <c r="K172" s="1311"/>
      <c r="L172" s="1311"/>
      <c r="M172" s="1311"/>
      <c r="N172" s="1311"/>
      <c r="O172" s="1311"/>
      <c r="P172" s="1311"/>
      <c r="Q172" s="1311"/>
      <c r="R172" s="1311"/>
      <c r="S172" s="1311"/>
      <c r="T172" s="1311"/>
      <c r="U172" s="1311"/>
      <c r="V172" s="1311"/>
      <c r="W172" s="1311"/>
      <c r="X172" s="1311"/>
      <c r="Y172" s="1311"/>
      <c r="Z172" s="1311"/>
      <c r="AA172" s="1311"/>
      <c r="AB172" s="1311"/>
      <c r="AC172" s="1311"/>
      <c r="AD172" s="1311"/>
      <c r="AE172" s="1311"/>
      <c r="AF172" s="1311"/>
      <c r="AG172" s="1311"/>
      <c r="AH172" s="1311"/>
      <c r="AI172" s="1311"/>
      <c r="AJ172" s="1467"/>
      <c r="AK172" s="1467"/>
      <c r="AL172" s="1467"/>
    </row>
    <row r="173" spans="2:38" ht="17.25" hidden="1" customHeight="1" x14ac:dyDescent="0.25">
      <c r="B173" s="1466" t="s">
        <v>5113</v>
      </c>
      <c r="C173" s="1466"/>
      <c r="D173" s="1466"/>
      <c r="E173" s="1466"/>
      <c r="F173" s="1417">
        <f>AJ6</f>
        <v>0</v>
      </c>
      <c r="G173" s="1417"/>
      <c r="H173" s="1417"/>
      <c r="I173" s="1317" t="str">
        <f>I6</f>
        <v>HARINGEY AQUATICS</v>
      </c>
      <c r="J173" s="1317"/>
      <c r="K173" s="1317"/>
      <c r="L173" s="1317" t="str">
        <f>L6</f>
        <v>STEVENAGE</v>
      </c>
      <c r="M173" s="1317"/>
      <c r="N173" s="1317"/>
      <c r="O173" s="1317" t="str">
        <f>O6</f>
        <v>BORO OF BROXBOURNE</v>
      </c>
      <c r="P173" s="1317"/>
      <c r="Q173" s="1317"/>
      <c r="R173" s="1317" t="str">
        <f>R6</f>
        <v>AYLESBURY</v>
      </c>
      <c r="S173" s="1317"/>
      <c r="T173" s="1317"/>
      <c r="U173" s="1317" t="str">
        <f>U6</f>
        <v>BRAINTREE &amp; BOCKING</v>
      </c>
      <c r="V173" s="1317"/>
      <c r="W173" s="1317"/>
      <c r="X173" s="1317" t="str">
        <f>X6</f>
        <v>Bo of Harrow</v>
      </c>
      <c r="Y173" s="1317"/>
      <c r="Z173" s="1317"/>
      <c r="AA173" s="1317" t="str">
        <f>AA6</f>
        <v>Hillingdon 'B'</v>
      </c>
      <c r="AB173" s="1317"/>
      <c r="AC173" s="1317"/>
      <c r="AD173" s="1317">
        <f>AD6</f>
        <v>0</v>
      </c>
      <c r="AE173" s="1317"/>
      <c r="AF173" s="1317"/>
      <c r="AG173" s="1317">
        <f>AG6</f>
        <v>0</v>
      </c>
      <c r="AH173" s="1317"/>
      <c r="AI173" s="1317"/>
      <c r="AJ173" s="1317">
        <f>AJ6</f>
        <v>0</v>
      </c>
      <c r="AK173" s="1317"/>
      <c r="AL173" s="1317"/>
    </row>
    <row r="174" spans="2:38" ht="17.25" hidden="1" customHeight="1" x14ac:dyDescent="0.25">
      <c r="B174" s="1466"/>
      <c r="C174" s="1466"/>
      <c r="D174" s="1466"/>
      <c r="E174" s="1466"/>
      <c r="F174" s="1417"/>
      <c r="G174" s="1417"/>
      <c r="H174" s="1417"/>
      <c r="I174" s="1317"/>
      <c r="J174" s="1317"/>
      <c r="K174" s="1317"/>
      <c r="L174" s="1317"/>
      <c r="M174" s="1317"/>
      <c r="N174" s="1317"/>
      <c r="O174" s="1317"/>
      <c r="P174" s="1317"/>
      <c r="Q174" s="1317"/>
      <c r="R174" s="1317"/>
      <c r="S174" s="1317"/>
      <c r="T174" s="1317"/>
      <c r="U174" s="1317"/>
      <c r="V174" s="1317"/>
      <c r="W174" s="1317"/>
      <c r="X174" s="1317"/>
      <c r="Y174" s="1317"/>
      <c r="Z174" s="1317"/>
      <c r="AA174" s="1317"/>
      <c r="AB174" s="1317"/>
      <c r="AC174" s="1317"/>
      <c r="AD174" s="1317"/>
      <c r="AE174" s="1317"/>
      <c r="AF174" s="1317"/>
      <c r="AG174" s="1317"/>
      <c r="AH174" s="1317"/>
      <c r="AI174" s="1317"/>
      <c r="AJ174" s="1317"/>
      <c r="AK174" s="1317"/>
      <c r="AL174" s="1317"/>
    </row>
    <row r="175" spans="2:38" ht="17.25" customHeight="1" x14ac:dyDescent="0.25">
      <c r="B175" s="1049"/>
      <c r="C175" s="1465" t="s">
        <v>5114</v>
      </c>
      <c r="D175" s="1465"/>
      <c r="E175" s="1465"/>
      <c r="F175" s="1413">
        <f>IF(AJ79="","",IF(AJ79&lt;0,"",SUM(AL12:AL79)))</f>
        <v>0</v>
      </c>
      <c r="G175" s="1413"/>
      <c r="H175" s="1413"/>
      <c r="I175" s="1311">
        <f>IF(I79="","",IF(I79&lt;0,"",SUM(K12:K79)))</f>
        <v>70</v>
      </c>
      <c r="J175" s="1311"/>
      <c r="K175" s="1311"/>
      <c r="L175" s="1311">
        <f>IF(L79="","",IF(L79&lt;0,"",SUM(N12:N79)))</f>
        <v>86</v>
      </c>
      <c r="M175" s="1311"/>
      <c r="N175" s="1311"/>
      <c r="O175" s="1311">
        <f>IF(O79="","",IF(O79&lt;0,"",SUM(Q12:Q79)))</f>
        <v>85</v>
      </c>
      <c r="P175" s="1311"/>
      <c r="Q175" s="1311"/>
      <c r="R175" s="1311">
        <f>IF(R79="","",IF(R79&lt;0,"",SUM(T12:T79)))</f>
        <v>119</v>
      </c>
      <c r="S175" s="1311"/>
      <c r="T175" s="1311"/>
      <c r="U175" s="1311">
        <f>IF(U79="","",IF(U79&lt;0,"",SUM(W12:W79)))</f>
        <v>128</v>
      </c>
      <c r="V175" s="1311"/>
      <c r="W175" s="1311"/>
      <c r="X175" s="1311">
        <f>IF(X79="","",IF(X79&lt;0,"",SUM(Z12:Z79)))</f>
        <v>112</v>
      </c>
      <c r="Y175" s="1311"/>
      <c r="Z175" s="1311"/>
      <c r="AA175" s="1311">
        <f>IF(AA79="","",IF(AA79&lt;0,"",SUM(AC12:AC79)))</f>
        <v>110</v>
      </c>
      <c r="AB175" s="1311"/>
      <c r="AC175" s="1311"/>
      <c r="AD175" s="1311">
        <f>IF(AD79="","",IF(AD79&lt;0,"",SUM(AF12:AF79)))</f>
        <v>0</v>
      </c>
      <c r="AE175" s="1311"/>
      <c r="AF175" s="1311"/>
      <c r="AG175" s="1311">
        <f>IF(AG79="","",IF(AG79&lt;0,"",SUM(AI12:AI79)))</f>
        <v>0</v>
      </c>
      <c r="AH175" s="1311"/>
      <c r="AI175" s="1311"/>
      <c r="AJ175" s="1311">
        <f>IF(AJ79="","",IF(AJ79&lt;0,"",SUM(AL12:AL79)))</f>
        <v>0</v>
      </c>
      <c r="AK175" s="1311"/>
      <c r="AL175" s="1311"/>
    </row>
    <row r="176" spans="2:38" ht="16.5" customHeight="1" x14ac:dyDescent="0.25">
      <c r="B176" s="1048"/>
      <c r="C176" s="1465"/>
      <c r="D176" s="1465"/>
      <c r="E176" s="1465"/>
      <c r="F176" s="1413"/>
      <c r="G176" s="1413"/>
      <c r="H176" s="1413"/>
      <c r="I176" s="1311"/>
      <c r="J176" s="1311"/>
      <c r="K176" s="1311"/>
      <c r="L176" s="1311"/>
      <c r="M176" s="1311"/>
      <c r="N176" s="1311"/>
      <c r="O176" s="1311"/>
      <c r="P176" s="1311"/>
      <c r="Q176" s="1311"/>
      <c r="R176" s="1311"/>
      <c r="S176" s="1311"/>
      <c r="T176" s="1311"/>
      <c r="U176" s="1311"/>
      <c r="V176" s="1311"/>
      <c r="W176" s="1311"/>
      <c r="X176" s="1311"/>
      <c r="Y176" s="1311"/>
      <c r="Z176" s="1311"/>
      <c r="AA176" s="1311"/>
      <c r="AB176" s="1311"/>
      <c r="AC176" s="1311"/>
      <c r="AD176" s="1311"/>
      <c r="AE176" s="1311"/>
      <c r="AF176" s="1311"/>
      <c r="AG176" s="1311"/>
      <c r="AH176" s="1311"/>
      <c r="AI176" s="1311"/>
      <c r="AJ176" s="1311"/>
      <c r="AK176" s="1311"/>
      <c r="AL176" s="1311"/>
    </row>
    <row r="177" spans="2:64" ht="0.75" hidden="1" customHeight="1" x14ac:dyDescent="0.25">
      <c r="B177" s="1466" t="s">
        <v>5115</v>
      </c>
      <c r="C177" s="1466"/>
      <c r="D177" s="1466"/>
      <c r="E177" s="1466"/>
      <c r="F177" s="1417">
        <f>AJ6</f>
        <v>0</v>
      </c>
      <c r="G177" s="1417"/>
      <c r="H177" s="1417"/>
      <c r="I177" s="1317" t="str">
        <f>I6</f>
        <v>HARINGEY AQUATICS</v>
      </c>
      <c r="J177" s="1317"/>
      <c r="K177" s="1317"/>
      <c r="L177" s="1317" t="str">
        <f>L6</f>
        <v>STEVENAGE</v>
      </c>
      <c r="M177" s="1317"/>
      <c r="N177" s="1317"/>
      <c r="O177" s="1317" t="str">
        <f>O6</f>
        <v>BORO OF BROXBOURNE</v>
      </c>
      <c r="P177" s="1317"/>
      <c r="Q177" s="1317"/>
      <c r="R177" s="1317" t="str">
        <f>R6</f>
        <v>AYLESBURY</v>
      </c>
      <c r="S177" s="1317"/>
      <c r="T177" s="1317"/>
      <c r="U177" s="1317" t="str">
        <f>U6</f>
        <v>BRAINTREE &amp; BOCKING</v>
      </c>
      <c r="V177" s="1317"/>
      <c r="W177" s="1317"/>
      <c r="X177" s="1317" t="str">
        <f>X6</f>
        <v>Bo of Harrow</v>
      </c>
      <c r="Y177" s="1317"/>
      <c r="Z177" s="1317"/>
      <c r="AA177" s="1317" t="str">
        <f>AA6</f>
        <v>Hillingdon 'B'</v>
      </c>
      <c r="AB177" s="1317"/>
      <c r="AC177" s="1317"/>
      <c r="AD177" s="1317">
        <f>AD6</f>
        <v>0</v>
      </c>
      <c r="AE177" s="1317"/>
      <c r="AF177" s="1317"/>
      <c r="AG177" s="1317">
        <f>AG6</f>
        <v>0</v>
      </c>
      <c r="AH177" s="1317"/>
      <c r="AI177" s="1317"/>
      <c r="AJ177" s="1317">
        <f>AJ6</f>
        <v>0</v>
      </c>
      <c r="AK177" s="1317"/>
      <c r="AL177" s="1317"/>
    </row>
    <row r="178" spans="2:64" ht="1.5" hidden="1" customHeight="1" x14ac:dyDescent="0.25">
      <c r="B178" s="1466"/>
      <c r="C178" s="1466"/>
      <c r="D178" s="1466"/>
      <c r="E178" s="1466"/>
      <c r="F178" s="1417"/>
      <c r="G178" s="1417"/>
      <c r="H178" s="1417"/>
      <c r="I178" s="1317"/>
      <c r="J178" s="1317"/>
      <c r="K178" s="1317"/>
      <c r="L178" s="1317"/>
      <c r="M178" s="1317"/>
      <c r="N178" s="1317"/>
      <c r="O178" s="1317"/>
      <c r="P178" s="1317"/>
      <c r="Q178" s="1317"/>
      <c r="R178" s="1317"/>
      <c r="S178" s="1317"/>
      <c r="T178" s="1317"/>
      <c r="U178" s="1317"/>
      <c r="V178" s="1317"/>
      <c r="W178" s="1317"/>
      <c r="X178" s="1317"/>
      <c r="Y178" s="1317"/>
      <c r="Z178" s="1317"/>
      <c r="AA178" s="1317"/>
      <c r="AB178" s="1317"/>
      <c r="AC178" s="1317"/>
      <c r="AD178" s="1317"/>
      <c r="AE178" s="1317"/>
      <c r="AF178" s="1317"/>
      <c r="AG178" s="1317"/>
      <c r="AH178" s="1317"/>
      <c r="AI178" s="1317"/>
      <c r="AJ178" s="1317"/>
      <c r="AK178" s="1317"/>
      <c r="AL178" s="1317"/>
    </row>
    <row r="179" spans="2:64" ht="17.25" customHeight="1" x14ac:dyDescent="0.25">
      <c r="B179" s="1049"/>
      <c r="C179" s="1465" t="s">
        <v>5116</v>
      </c>
      <c r="D179" s="1465"/>
      <c r="E179" s="1465"/>
      <c r="F179" s="1413">
        <f>IF(AJ103="","",IF(AJ103&lt;0,"",SUM(AL12:AL103)))</f>
        <v>0</v>
      </c>
      <c r="G179" s="1413"/>
      <c r="H179" s="1413"/>
      <c r="I179" s="1311">
        <f>IF(I103="","",IF(I103&lt;0,"",SUM(K12:K103)))</f>
        <v>93</v>
      </c>
      <c r="J179" s="1311"/>
      <c r="K179" s="1311"/>
      <c r="L179" s="1311">
        <f>IF(L103="","",IF(L103&lt;0,"",SUM(N12:N103)))</f>
        <v>112</v>
      </c>
      <c r="M179" s="1311"/>
      <c r="N179" s="1311"/>
      <c r="O179" s="1311">
        <f>IF(O103="","",IF(O103&lt;0,"",SUM(Q12:Q103)))</f>
        <v>115</v>
      </c>
      <c r="P179" s="1311"/>
      <c r="Q179" s="1311"/>
      <c r="R179" s="1311">
        <f>IF(R103="","",IF(R103&lt;0,"",SUM(T12:T103)))</f>
        <v>159</v>
      </c>
      <c r="S179" s="1311"/>
      <c r="T179" s="1311"/>
      <c r="U179" s="1311">
        <f>IF(U103="","",IF(U103&lt;0,"",SUM(W12:W103)))</f>
        <v>169</v>
      </c>
      <c r="V179" s="1311"/>
      <c r="W179" s="1311"/>
      <c r="X179" s="1311">
        <f>IF(X103="","",IF(X103&lt;0,"",SUM(Z12:Z103)))</f>
        <v>145</v>
      </c>
      <c r="Y179" s="1311"/>
      <c r="Z179" s="1311"/>
      <c r="AA179" s="1311">
        <f>IF(AA103="","",IF(AA103&lt;0,"",SUM(AC12:AC103)))</f>
        <v>138</v>
      </c>
      <c r="AB179" s="1311"/>
      <c r="AC179" s="1311"/>
      <c r="AD179" s="1311">
        <f>IF(AD103="","",IF(AD103&lt;0,"",SUM(AF12:AF103)))</f>
        <v>0</v>
      </c>
      <c r="AE179" s="1311"/>
      <c r="AF179" s="1311"/>
      <c r="AG179" s="1311">
        <f>IF(AG103="","",IF(AG103&lt;0,"",SUM(AI12:AI103)))</f>
        <v>0</v>
      </c>
      <c r="AH179" s="1311"/>
      <c r="AI179" s="1311"/>
      <c r="AJ179" s="1311">
        <f>IF(AJ103="","",IF(AJ103&lt;0,"",SUM(AL12:AL103)))</f>
        <v>0</v>
      </c>
      <c r="AK179" s="1311"/>
      <c r="AL179" s="1311"/>
    </row>
    <row r="180" spans="2:64" ht="17.25" customHeight="1" x14ac:dyDescent="0.25">
      <c r="B180" s="1048"/>
      <c r="C180" s="1465"/>
      <c r="D180" s="1465"/>
      <c r="E180" s="1465"/>
      <c r="F180" s="1413"/>
      <c r="G180" s="1413"/>
      <c r="H180" s="1413"/>
      <c r="I180" s="1311"/>
      <c r="J180" s="1311"/>
      <c r="K180" s="1311"/>
      <c r="L180" s="1311"/>
      <c r="M180" s="1311"/>
      <c r="N180" s="1311"/>
      <c r="O180" s="1311"/>
      <c r="P180" s="1311"/>
      <c r="Q180" s="1311"/>
      <c r="R180" s="1311"/>
      <c r="S180" s="1311"/>
      <c r="T180" s="1311"/>
      <c r="U180" s="1311"/>
      <c r="V180" s="1311"/>
      <c r="W180" s="1311"/>
      <c r="X180" s="1311"/>
      <c r="Y180" s="1311"/>
      <c r="Z180" s="1311"/>
      <c r="AA180" s="1311"/>
      <c r="AB180" s="1311"/>
      <c r="AC180" s="1311"/>
      <c r="AD180" s="1311"/>
      <c r="AE180" s="1311"/>
      <c r="AF180" s="1311"/>
      <c r="AG180" s="1311"/>
      <c r="AH180" s="1311"/>
      <c r="AI180" s="1311"/>
      <c r="AJ180" s="1311"/>
      <c r="AK180" s="1311"/>
      <c r="AL180" s="1311"/>
    </row>
    <row r="181" spans="2:64" ht="35.25" hidden="1" customHeight="1" x14ac:dyDescent="0.25">
      <c r="B181" s="1462" t="s">
        <v>5117</v>
      </c>
      <c r="C181" s="1462"/>
      <c r="D181" s="1462"/>
      <c r="E181" s="1462"/>
      <c r="F181" s="1463">
        <f>AJ6</f>
        <v>0</v>
      </c>
      <c r="G181" s="1463"/>
      <c r="H181" s="1463"/>
      <c r="I181" s="1464" t="str">
        <f>I6</f>
        <v>HARINGEY AQUATICS</v>
      </c>
      <c r="J181" s="1464"/>
      <c r="K181" s="1464"/>
      <c r="L181" s="1464" t="str">
        <f>L6</f>
        <v>STEVENAGE</v>
      </c>
      <c r="M181" s="1464"/>
      <c r="N181" s="1464"/>
      <c r="O181" s="1464" t="str">
        <f>O6</f>
        <v>BORO OF BROXBOURNE</v>
      </c>
      <c r="P181" s="1464"/>
      <c r="Q181" s="1464"/>
      <c r="R181" s="1464" t="str">
        <f>R6</f>
        <v>AYLESBURY</v>
      </c>
      <c r="S181" s="1464"/>
      <c r="T181" s="1464"/>
      <c r="U181" s="1464" t="str">
        <f>U6</f>
        <v>BRAINTREE &amp; BOCKING</v>
      </c>
      <c r="V181" s="1464"/>
      <c r="W181" s="1464"/>
      <c r="X181" s="1464" t="str">
        <f>X6</f>
        <v>Bo of Harrow</v>
      </c>
      <c r="Y181" s="1464"/>
      <c r="Z181" s="1464"/>
      <c r="AA181" s="1464" t="str">
        <f>AA6</f>
        <v>Hillingdon 'B'</v>
      </c>
      <c r="AB181" s="1464"/>
      <c r="AC181" s="1464"/>
      <c r="AD181" s="1464">
        <f>AD6</f>
        <v>0</v>
      </c>
      <c r="AE181" s="1464"/>
      <c r="AF181" s="1464"/>
      <c r="AG181" s="1464">
        <f>AG6</f>
        <v>0</v>
      </c>
      <c r="AH181" s="1464"/>
      <c r="AI181" s="1464"/>
      <c r="AJ181" s="1464">
        <f>AJ6</f>
        <v>0</v>
      </c>
      <c r="AK181" s="1464"/>
      <c r="AL181" s="1464"/>
    </row>
    <row r="182" spans="2:64" ht="34.5" customHeight="1" x14ac:dyDescent="0.65">
      <c r="B182" s="1048"/>
      <c r="C182" s="1465" t="s">
        <v>5118</v>
      </c>
      <c r="D182" s="1465"/>
      <c r="E182" s="1465"/>
      <c r="F182" s="1413">
        <f>IF(AJ127="","",IF(AJ127&lt;0,"",SUM(AL12:AL127)))</f>
        <v>0</v>
      </c>
      <c r="G182" s="1413"/>
      <c r="H182" s="1413"/>
      <c r="I182" s="1311">
        <f>IF(I127="","",IF(I127&lt;0,"",SUM(K12:K127)))</f>
        <v>122</v>
      </c>
      <c r="J182" s="1311"/>
      <c r="K182" s="1311"/>
      <c r="L182" s="1311">
        <f>IF(L127="","",IF(L127&lt;0,"",SUM(N12:N127)))</f>
        <v>128</v>
      </c>
      <c r="M182" s="1311"/>
      <c r="N182" s="1311"/>
      <c r="O182" s="1311">
        <f>IF(O127="","",IF(O127&lt;0,"",SUM(Q12:Q127)))</f>
        <v>148</v>
      </c>
      <c r="P182" s="1311"/>
      <c r="Q182" s="1311"/>
      <c r="R182" s="1311">
        <f>IF(R127="","",IF(R127&lt;0,"",SUM(T12:T127)))</f>
        <v>199</v>
      </c>
      <c r="S182" s="1311"/>
      <c r="T182" s="1311"/>
      <c r="U182" s="1311">
        <f>IF(U127="","",IF(U127&lt;0,"",SUM(W12:W127)))</f>
        <v>207</v>
      </c>
      <c r="V182" s="1311"/>
      <c r="W182" s="1311"/>
      <c r="X182" s="1311">
        <f>IF(X127="","",IF(X127&lt;0,"",SUM(Z12:Z127)))</f>
        <v>180</v>
      </c>
      <c r="Y182" s="1311"/>
      <c r="Z182" s="1311"/>
      <c r="AA182" s="1311">
        <f>IF(AA127="","",IF(AA127&lt;0,"",SUM(AC12:AC127)))</f>
        <v>171</v>
      </c>
      <c r="AB182" s="1311"/>
      <c r="AC182" s="1311"/>
      <c r="AD182" s="1311">
        <f>IF(AD127="","",IF(AD127&lt;0,"",SUM(AF12:AF127)))</f>
        <v>0</v>
      </c>
      <c r="AE182" s="1311"/>
      <c r="AF182" s="1311"/>
      <c r="AG182" s="1311">
        <f>IF(AG127="","",IF(AG127&lt;0,"",SUM(AI12:AI127)))</f>
        <v>0</v>
      </c>
      <c r="AH182" s="1311"/>
      <c r="AI182" s="1311"/>
      <c r="AJ182" s="1311">
        <f>IF(AJ127="","",IF(AJ127&lt;0,"",SUM(AL12:AL127)))</f>
        <v>0</v>
      </c>
      <c r="AK182" s="1311"/>
      <c r="AL182" s="1311"/>
    </row>
    <row r="183" spans="2:64" ht="30.75" hidden="1" customHeight="1" x14ac:dyDescent="0.25">
      <c r="B183" s="1458" t="s">
        <v>5119</v>
      </c>
      <c r="C183" s="1458"/>
      <c r="D183" s="1458"/>
      <c r="E183" s="1458"/>
      <c r="F183" s="1050"/>
      <c r="G183" s="1050"/>
      <c r="H183" s="1050"/>
      <c r="I183" s="1459"/>
      <c r="J183" s="1459"/>
      <c r="K183" s="1459"/>
      <c r="L183" s="1459"/>
      <c r="M183" s="1459"/>
      <c r="N183" s="1459"/>
      <c r="O183" s="1459"/>
      <c r="P183" s="1459"/>
      <c r="Q183" s="1459"/>
      <c r="R183" s="1459"/>
      <c r="S183" s="1459"/>
      <c r="T183" s="1459"/>
      <c r="U183" s="1459"/>
      <c r="V183" s="1459"/>
      <c r="W183" s="1459"/>
      <c r="X183" s="1459"/>
      <c r="Y183" s="1459"/>
      <c r="Z183" s="1459"/>
      <c r="AA183" s="1459"/>
      <c r="AB183" s="1459"/>
      <c r="AC183" s="1459"/>
      <c r="AD183" s="1459"/>
      <c r="AE183" s="1459"/>
      <c r="AF183" s="1459"/>
      <c r="AG183" s="947"/>
      <c r="AH183" s="939"/>
      <c r="AI183" s="939"/>
      <c r="AJ183" s="947"/>
      <c r="AK183" s="939"/>
      <c r="AL183" s="939"/>
    </row>
    <row r="184" spans="2:64" s="942" customFormat="1" x14ac:dyDescent="0.25">
      <c r="C184" s="1051"/>
      <c r="I184" s="941"/>
      <c r="L184" s="941"/>
      <c r="O184" s="941"/>
      <c r="R184" s="941"/>
      <c r="U184" s="941"/>
      <c r="X184" s="941"/>
      <c r="AA184" s="941"/>
      <c r="AD184" s="941"/>
      <c r="AG184" s="941"/>
      <c r="AJ184" s="941"/>
    </row>
    <row r="185" spans="2:64" s="942" customFormat="1" x14ac:dyDescent="0.25">
      <c r="C185" s="1051"/>
      <c r="I185" s="941"/>
      <c r="L185" s="941"/>
      <c r="O185" s="941"/>
      <c r="R185" s="941"/>
      <c r="U185" s="941"/>
      <c r="X185" s="941"/>
      <c r="AA185" s="941"/>
      <c r="AD185" s="941"/>
      <c r="AG185" s="941"/>
      <c r="AJ185" s="941"/>
    </row>
    <row r="186" spans="2:64" s="942" customFormat="1" ht="46.5" customHeight="1" x14ac:dyDescent="0.25">
      <c r="B186" s="1460"/>
      <c r="C186" s="1460"/>
      <c r="D186" s="1460"/>
      <c r="E186" s="1460"/>
      <c r="F186" s="1461"/>
      <c r="G186" s="1461"/>
      <c r="H186" s="1461"/>
      <c r="I186" s="1461"/>
      <c r="J186" s="1461"/>
      <c r="K186" s="1461"/>
      <c r="L186" s="1461"/>
      <c r="M186" s="1461"/>
      <c r="N186" s="1461"/>
      <c r="O186" s="1461"/>
      <c r="P186" s="1461"/>
      <c r="Q186" s="1461"/>
      <c r="R186" s="1461"/>
      <c r="S186" s="1461"/>
      <c r="T186" s="1461"/>
      <c r="U186" s="1461"/>
      <c r="V186" s="1461"/>
      <c r="W186" s="1461"/>
      <c r="X186" s="1461"/>
      <c r="Y186" s="1461"/>
      <c r="Z186" s="1461"/>
      <c r="AA186" s="1461"/>
      <c r="AB186" s="1461"/>
      <c r="AC186" s="1461"/>
      <c r="AD186" s="1461"/>
      <c r="AE186" s="1461"/>
      <c r="AF186" s="1461"/>
      <c r="AG186" s="1461"/>
      <c r="AH186" s="1461"/>
      <c r="AI186" s="1461"/>
      <c r="AJ186" s="1461"/>
      <c r="AK186" s="1461"/>
      <c r="AL186" s="1461"/>
      <c r="AM186" s="1052"/>
      <c r="AN186" s="1052"/>
      <c r="AO186" s="1052"/>
      <c r="AP186" s="1052"/>
      <c r="AQ186" s="1052"/>
      <c r="AR186" s="1052"/>
      <c r="AS186" s="1052"/>
      <c r="AT186" s="1052"/>
      <c r="AU186" s="1052"/>
      <c r="AV186" s="1052"/>
      <c r="AW186" s="1052"/>
      <c r="AX186" s="1052"/>
      <c r="AY186" s="1052"/>
      <c r="AZ186" s="1052"/>
      <c r="BA186" s="1052"/>
      <c r="BB186" s="1052"/>
      <c r="BC186" s="1052"/>
      <c r="BD186" s="1052"/>
      <c r="BE186" s="1052"/>
      <c r="BF186" s="1052"/>
      <c r="BG186" s="1052"/>
      <c r="BH186" s="1052"/>
      <c r="BI186" s="1052"/>
      <c r="BJ186" s="1052"/>
      <c r="BK186" s="1052"/>
      <c r="BL186" s="1052"/>
    </row>
    <row r="187" spans="2:64" s="942" customFormat="1" ht="380.25" customHeight="1" x14ac:dyDescent="0.25">
      <c r="B187" s="1460"/>
      <c r="C187" s="1460"/>
      <c r="D187" s="1460"/>
      <c r="E187" s="1460"/>
      <c r="F187" s="1461"/>
      <c r="G187" s="1461"/>
      <c r="H187" s="1461"/>
      <c r="I187" s="1461"/>
      <c r="J187" s="1461"/>
      <c r="K187" s="1461"/>
      <c r="L187" s="1461"/>
      <c r="M187" s="1461"/>
      <c r="N187" s="1461"/>
      <c r="O187" s="1461"/>
      <c r="P187" s="1461"/>
      <c r="Q187" s="1461"/>
      <c r="R187" s="1461"/>
      <c r="S187" s="1461"/>
      <c r="T187" s="1461"/>
      <c r="U187" s="1461"/>
      <c r="V187" s="1461"/>
      <c r="W187" s="1461"/>
      <c r="X187" s="1461"/>
      <c r="Y187" s="1461"/>
      <c r="Z187" s="1461"/>
      <c r="AA187" s="1461"/>
      <c r="AB187" s="1461"/>
      <c r="AC187" s="1461"/>
      <c r="AD187" s="1461"/>
      <c r="AE187" s="1461"/>
      <c r="AF187" s="1461"/>
      <c r="AG187" s="1461"/>
      <c r="AH187" s="1461"/>
      <c r="AI187" s="1461"/>
      <c r="AJ187" s="1461"/>
      <c r="AK187" s="1461"/>
      <c r="AL187" s="1461"/>
      <c r="AM187" s="1052"/>
      <c r="AN187" s="1052"/>
      <c r="AO187" s="1052"/>
      <c r="AP187" s="1052"/>
      <c r="AQ187" s="1052"/>
      <c r="AR187" s="1052"/>
      <c r="AS187" s="1052"/>
      <c r="AT187" s="1052"/>
      <c r="AU187" s="1052"/>
      <c r="AV187" s="1052"/>
      <c r="AW187" s="1052"/>
      <c r="AX187" s="1052"/>
      <c r="AY187" s="1052"/>
      <c r="AZ187" s="1052"/>
      <c r="BA187" s="1052"/>
      <c r="BB187" s="1052"/>
      <c r="BC187" s="1052"/>
      <c r="BD187" s="1052"/>
      <c r="BE187" s="1052"/>
      <c r="BF187" s="1052"/>
      <c r="BG187" s="1052"/>
      <c r="BH187" s="1052"/>
      <c r="BI187" s="1052"/>
      <c r="BJ187" s="1052"/>
      <c r="BK187" s="1052"/>
      <c r="BL187" s="1052"/>
    </row>
    <row r="188" spans="2:64" s="942" customFormat="1" x14ac:dyDescent="0.25">
      <c r="C188" s="1051"/>
      <c r="I188" s="941"/>
      <c r="L188" s="941"/>
      <c r="O188" s="941"/>
      <c r="R188" s="941"/>
      <c r="U188" s="941"/>
      <c r="X188" s="941"/>
      <c r="AA188" s="941"/>
      <c r="AD188" s="941"/>
      <c r="AG188" s="941"/>
      <c r="AJ188" s="941"/>
    </row>
    <row r="189" spans="2:64" s="942" customFormat="1" x14ac:dyDescent="0.25">
      <c r="C189" s="1051"/>
      <c r="I189" s="941"/>
      <c r="L189" s="941"/>
      <c r="O189" s="941"/>
      <c r="R189" s="941"/>
      <c r="U189" s="941"/>
      <c r="X189" s="941"/>
      <c r="AA189" s="941"/>
      <c r="AD189" s="941"/>
      <c r="AG189" s="941"/>
      <c r="AJ189" s="941"/>
    </row>
    <row r="190" spans="2:64" s="942" customFormat="1" x14ac:dyDescent="0.25">
      <c r="C190" s="1051"/>
      <c r="I190" s="941"/>
      <c r="L190" s="941"/>
      <c r="O190" s="941"/>
      <c r="R190" s="941"/>
      <c r="U190" s="941"/>
      <c r="X190" s="941"/>
      <c r="AA190" s="941"/>
      <c r="AD190" s="941"/>
      <c r="AG190" s="941"/>
      <c r="AJ190" s="941"/>
    </row>
    <row r="191" spans="2:64" s="942" customFormat="1" x14ac:dyDescent="0.25">
      <c r="C191" s="1051"/>
      <c r="I191" s="941"/>
      <c r="L191" s="941"/>
      <c r="O191" s="941"/>
      <c r="R191" s="941"/>
      <c r="U191" s="941"/>
      <c r="X191" s="941"/>
      <c r="AA191" s="941"/>
      <c r="AD191" s="941"/>
      <c r="AG191" s="941"/>
      <c r="AJ191" s="941"/>
    </row>
    <row r="192" spans="2:64" s="942" customFormat="1" x14ac:dyDescent="0.25">
      <c r="C192" s="1051"/>
      <c r="I192" s="941"/>
      <c r="L192" s="941"/>
      <c r="O192" s="941"/>
      <c r="R192" s="941"/>
      <c r="U192" s="941"/>
      <c r="X192" s="941"/>
      <c r="AA192" s="941"/>
      <c r="AD192" s="941"/>
      <c r="AG192" s="941"/>
      <c r="AJ192" s="941"/>
    </row>
    <row r="193" spans="2:58" s="942" customFormat="1" x14ac:dyDescent="0.25">
      <c r="C193" s="1051"/>
      <c r="I193" s="941"/>
      <c r="L193" s="941"/>
      <c r="O193" s="941"/>
      <c r="R193" s="941"/>
      <c r="U193" s="941"/>
      <c r="X193" s="941"/>
      <c r="AA193" s="941"/>
      <c r="AD193" s="941"/>
      <c r="AG193" s="941"/>
      <c r="AJ193" s="941"/>
    </row>
    <row r="194" spans="2:58" s="942" customFormat="1" x14ac:dyDescent="0.25">
      <c r="C194" s="1051"/>
      <c r="I194" s="941"/>
      <c r="L194" s="941"/>
      <c r="O194" s="941"/>
      <c r="R194" s="941"/>
      <c r="U194" s="941"/>
      <c r="X194" s="941"/>
      <c r="AA194" s="941"/>
      <c r="AD194" s="941"/>
      <c r="AG194" s="941"/>
      <c r="AJ194" s="941"/>
    </row>
    <row r="195" spans="2:58" s="942" customFormat="1" x14ac:dyDescent="0.25">
      <c r="C195" s="1051"/>
      <c r="I195" s="941"/>
      <c r="L195" s="941"/>
      <c r="O195" s="941"/>
      <c r="R195" s="941"/>
      <c r="U195" s="941"/>
      <c r="X195" s="941"/>
      <c r="AA195" s="941"/>
      <c r="AD195" s="941"/>
      <c r="AG195" s="941"/>
      <c r="AJ195" s="941"/>
    </row>
    <row r="196" spans="2:58" s="942" customFormat="1" x14ac:dyDescent="0.25">
      <c r="C196" s="1051"/>
      <c r="I196" s="941"/>
      <c r="L196" s="941"/>
      <c r="O196" s="941"/>
      <c r="R196" s="941"/>
      <c r="U196" s="941"/>
      <c r="X196" s="941"/>
      <c r="AA196" s="941"/>
      <c r="AD196" s="941"/>
      <c r="AG196" s="941"/>
      <c r="AJ196" s="941"/>
    </row>
    <row r="197" spans="2:58" s="942" customFormat="1" x14ac:dyDescent="0.25">
      <c r="C197" s="1051"/>
      <c r="I197" s="941"/>
      <c r="L197" s="941"/>
      <c r="O197" s="941"/>
      <c r="R197" s="941"/>
      <c r="U197" s="941"/>
      <c r="X197" s="941"/>
      <c r="AA197" s="941"/>
      <c r="AD197" s="941"/>
      <c r="AG197" s="941"/>
      <c r="AJ197" s="941"/>
    </row>
    <row r="198" spans="2:58" s="942" customFormat="1" x14ac:dyDescent="0.25">
      <c r="C198" s="1051"/>
      <c r="I198" s="941"/>
      <c r="L198" s="941"/>
      <c r="O198" s="941"/>
      <c r="R198" s="941"/>
      <c r="U198" s="941"/>
      <c r="X198" s="941"/>
      <c r="AA198" s="941"/>
      <c r="AD198" s="941"/>
      <c r="AG198" s="941"/>
      <c r="AJ198" s="941"/>
    </row>
    <row r="199" spans="2:58" s="942" customFormat="1" x14ac:dyDescent="0.25">
      <c r="C199" s="1051"/>
      <c r="I199" s="941"/>
      <c r="L199" s="941"/>
      <c r="O199" s="941"/>
      <c r="R199" s="941"/>
      <c r="U199" s="941"/>
      <c r="X199" s="941"/>
      <c r="AA199" s="941"/>
      <c r="AD199" s="941"/>
      <c r="AG199" s="941"/>
      <c r="AJ199" s="941"/>
    </row>
    <row r="200" spans="2:58" hidden="1" x14ac:dyDescent="0.25">
      <c r="B200" s="837"/>
      <c r="C200" s="1008"/>
      <c r="D200" s="837"/>
      <c r="E200" s="837"/>
      <c r="F200" s="837"/>
      <c r="G200" s="837"/>
      <c r="H200" s="837"/>
      <c r="I200" s="954"/>
      <c r="J200" s="837"/>
      <c r="K200" s="837"/>
      <c r="L200" s="954"/>
      <c r="M200" s="837"/>
      <c r="N200" s="837"/>
      <c r="O200" s="954"/>
      <c r="P200" s="837"/>
      <c r="Q200" s="837"/>
      <c r="R200" s="954"/>
      <c r="S200" s="837"/>
      <c r="T200" s="837"/>
      <c r="U200" s="954"/>
      <c r="V200" s="837"/>
      <c r="W200" s="837"/>
      <c r="X200" s="954"/>
      <c r="Y200" s="837"/>
      <c r="Z200" s="837"/>
      <c r="AA200" s="954"/>
      <c r="AB200" s="837"/>
      <c r="AC200" s="837"/>
      <c r="AD200" s="954"/>
      <c r="AE200" s="837"/>
      <c r="AF200" s="837"/>
      <c r="AG200" s="954"/>
      <c r="AH200" s="837"/>
      <c r="AI200" s="837"/>
      <c r="AJ200" s="954"/>
      <c r="AK200" s="837"/>
      <c r="AL200" s="837"/>
      <c r="AM200" s="837"/>
      <c r="AN200" s="837"/>
      <c r="AO200" s="837"/>
      <c r="AP200" s="837"/>
      <c r="AQ200" s="837"/>
      <c r="AR200" s="837"/>
      <c r="AS200" s="837"/>
      <c r="AT200" s="837"/>
      <c r="AU200" s="837"/>
      <c r="AV200" s="837"/>
      <c r="AW200" s="837"/>
      <c r="AX200" s="837"/>
      <c r="AY200" s="837"/>
      <c r="AZ200" s="837"/>
      <c r="BA200" s="837"/>
      <c r="BB200" s="837"/>
      <c r="BC200" s="837"/>
      <c r="BD200" s="837"/>
      <c r="BE200" s="837"/>
      <c r="BF200" s="837"/>
    </row>
    <row r="201" spans="2:58" hidden="1" x14ac:dyDescent="0.25">
      <c r="B201" s="837"/>
      <c r="C201" s="1008"/>
      <c r="D201" s="837"/>
      <c r="E201" s="837"/>
      <c r="F201" s="837"/>
      <c r="G201" s="837"/>
      <c r="H201" s="837"/>
      <c r="I201" s="954"/>
      <c r="J201" s="837"/>
      <c r="K201" s="837"/>
      <c r="L201" s="954"/>
      <c r="M201" s="837"/>
      <c r="N201" s="837"/>
      <c r="O201" s="954"/>
      <c r="P201" s="837"/>
      <c r="Q201" s="837"/>
      <c r="R201" s="954"/>
      <c r="S201" s="837"/>
      <c r="T201" s="837"/>
      <c r="U201" s="954"/>
      <c r="V201" s="837"/>
      <c r="W201" s="837"/>
      <c r="X201" s="954"/>
      <c r="Y201" s="837"/>
      <c r="Z201" s="837"/>
      <c r="AA201" s="954"/>
      <c r="AB201" s="837"/>
      <c r="AC201" s="837"/>
      <c r="AD201" s="954"/>
      <c r="AE201" s="837"/>
      <c r="AF201" s="837"/>
      <c r="AG201" s="954"/>
      <c r="AH201" s="837"/>
      <c r="AI201" s="837"/>
      <c r="AJ201" s="954"/>
      <c r="AK201" s="837"/>
      <c r="AL201" s="837"/>
      <c r="AM201" s="837"/>
      <c r="AN201" s="837"/>
      <c r="AO201" s="837"/>
      <c r="AP201" s="837"/>
      <c r="AQ201" s="837"/>
      <c r="AR201" s="837"/>
      <c r="AS201" s="837"/>
      <c r="AT201" s="837"/>
      <c r="AU201" s="837"/>
      <c r="AV201" s="837"/>
      <c r="AW201" s="837"/>
      <c r="AX201" s="837"/>
      <c r="AY201" s="837"/>
      <c r="AZ201" s="837"/>
      <c r="BA201" s="837"/>
      <c r="BB201" s="837"/>
      <c r="BC201" s="837"/>
      <c r="BD201" s="837"/>
      <c r="BE201" s="837"/>
      <c r="BF201" s="837"/>
    </row>
    <row r="202" spans="2:58" hidden="1" x14ac:dyDescent="0.25">
      <c r="B202" s="837"/>
      <c r="C202" s="1008"/>
      <c r="D202" s="837"/>
      <c r="E202" s="837"/>
      <c r="F202" s="837"/>
      <c r="G202" s="837"/>
      <c r="H202" s="837"/>
      <c r="I202" s="954"/>
      <c r="J202" s="837"/>
      <c r="K202" s="837"/>
      <c r="L202" s="954"/>
      <c r="M202" s="837"/>
      <c r="N202" s="837"/>
      <c r="O202" s="954"/>
      <c r="P202" s="837"/>
      <c r="Q202" s="837"/>
      <c r="R202" s="954"/>
      <c r="S202" s="837"/>
      <c r="T202" s="837"/>
      <c r="U202" s="954"/>
      <c r="V202" s="837"/>
      <c r="W202" s="837"/>
      <c r="X202" s="954"/>
      <c r="Y202" s="837"/>
      <c r="Z202" s="837"/>
      <c r="AA202" s="954"/>
      <c r="AB202" s="837"/>
      <c r="AC202" s="837"/>
      <c r="AD202" s="954"/>
      <c r="AE202" s="837"/>
      <c r="AF202" s="837"/>
      <c r="AG202" s="954"/>
      <c r="AH202" s="837"/>
      <c r="AI202" s="837"/>
      <c r="AJ202" s="954"/>
      <c r="AK202" s="837"/>
      <c r="AL202" s="837"/>
      <c r="AM202" s="837"/>
      <c r="AN202" s="837"/>
      <c r="AO202" s="837"/>
      <c r="AP202" s="837"/>
      <c r="AQ202" s="837"/>
      <c r="AR202" s="837"/>
      <c r="AS202" s="837"/>
      <c r="AT202" s="837"/>
      <c r="AU202" s="837"/>
      <c r="AV202" s="837"/>
      <c r="AW202" s="837"/>
      <c r="AX202" s="837"/>
      <c r="AY202" s="837"/>
      <c r="AZ202" s="837"/>
      <c r="BA202" s="837"/>
      <c r="BB202" s="837"/>
      <c r="BC202" s="837"/>
      <c r="BD202" s="837"/>
      <c r="BE202" s="837"/>
      <c r="BF202" s="837"/>
    </row>
    <row r="203" spans="2:58" hidden="1" x14ac:dyDescent="0.25">
      <c r="B203" s="837"/>
      <c r="C203" s="1008"/>
      <c r="D203" s="837"/>
      <c r="E203" s="837"/>
      <c r="F203" s="837"/>
      <c r="G203" s="837"/>
      <c r="H203" s="837"/>
      <c r="I203" s="954"/>
      <c r="J203" s="837"/>
      <c r="K203" s="837"/>
      <c r="L203" s="954"/>
      <c r="M203" s="837"/>
      <c r="N203" s="837"/>
      <c r="O203" s="954"/>
      <c r="P203" s="837"/>
      <c r="Q203" s="837"/>
      <c r="R203" s="954"/>
      <c r="S203" s="837"/>
      <c r="T203" s="837"/>
      <c r="U203" s="954"/>
      <c r="V203" s="837"/>
      <c r="W203" s="837"/>
      <c r="X203" s="954"/>
      <c r="Y203" s="837"/>
      <c r="Z203" s="837"/>
      <c r="AA203" s="954"/>
      <c r="AB203" s="837"/>
      <c r="AC203" s="837"/>
      <c r="AD203" s="954"/>
      <c r="AE203" s="837"/>
      <c r="AF203" s="837"/>
      <c r="AG203" s="954"/>
      <c r="AH203" s="837"/>
      <c r="AI203" s="837"/>
      <c r="AJ203" s="954"/>
      <c r="AK203" s="837"/>
      <c r="AL203" s="837"/>
      <c r="AM203" s="837"/>
      <c r="AN203" s="837"/>
      <c r="AO203" s="837"/>
      <c r="AP203" s="837"/>
      <c r="AQ203" s="837"/>
      <c r="AR203" s="837"/>
      <c r="AS203" s="837"/>
      <c r="AT203" s="837"/>
      <c r="AU203" s="837"/>
      <c r="AV203" s="837"/>
      <c r="AW203" s="837"/>
      <c r="AX203" s="837"/>
      <c r="AY203" s="837"/>
      <c r="AZ203" s="837"/>
      <c r="BA203" s="837"/>
      <c r="BB203" s="837"/>
      <c r="BC203" s="837"/>
      <c r="BD203" s="837"/>
      <c r="BE203" s="837"/>
      <c r="BF203" s="837"/>
    </row>
    <row r="204" spans="2:58" hidden="1" x14ac:dyDescent="0.25">
      <c r="B204" s="837"/>
      <c r="C204" s="1008"/>
      <c r="D204" s="837"/>
      <c r="E204" s="837"/>
      <c r="F204" s="837"/>
      <c r="G204" s="837"/>
      <c r="H204" s="837"/>
      <c r="I204" s="954"/>
      <c r="J204" s="837"/>
      <c r="K204" s="837"/>
      <c r="L204" s="954"/>
      <c r="M204" s="837"/>
      <c r="N204" s="837"/>
      <c r="O204" s="954"/>
      <c r="P204" s="837"/>
      <c r="Q204" s="837"/>
      <c r="R204" s="954"/>
      <c r="S204" s="837"/>
      <c r="T204" s="837"/>
      <c r="U204" s="954"/>
      <c r="V204" s="837"/>
      <c r="W204" s="837"/>
      <c r="X204" s="954"/>
      <c r="Y204" s="837"/>
      <c r="Z204" s="837"/>
      <c r="AA204" s="954"/>
      <c r="AB204" s="837"/>
      <c r="AC204" s="837"/>
      <c r="AD204" s="954"/>
      <c r="AE204" s="837"/>
      <c r="AF204" s="837"/>
      <c r="AG204" s="954"/>
      <c r="AH204" s="837"/>
      <c r="AI204" s="837"/>
      <c r="AJ204" s="954"/>
      <c r="AK204" s="837"/>
      <c r="AL204" s="837"/>
      <c r="AM204" s="837"/>
      <c r="AN204" s="837"/>
      <c r="AO204" s="837"/>
      <c r="AP204" s="837"/>
      <c r="AQ204" s="837"/>
      <c r="AR204" s="837"/>
      <c r="AS204" s="837"/>
      <c r="AT204" s="837"/>
      <c r="AU204" s="837"/>
      <c r="AV204" s="837"/>
      <c r="AW204" s="837"/>
      <c r="AX204" s="837"/>
      <c r="AY204" s="837"/>
      <c r="AZ204" s="837"/>
      <c r="BA204" s="837"/>
      <c r="BB204" s="837"/>
      <c r="BC204" s="837"/>
      <c r="BD204" s="837"/>
      <c r="BE204" s="837"/>
      <c r="BF204" s="837"/>
    </row>
    <row r="205" spans="2:58" hidden="1" x14ac:dyDescent="0.25">
      <c r="B205" s="837"/>
      <c r="C205" s="1008"/>
      <c r="D205" s="837"/>
      <c r="E205" s="837"/>
      <c r="F205" s="837"/>
      <c r="G205" s="837"/>
      <c r="H205" s="837"/>
      <c r="I205" s="954"/>
      <c r="J205" s="837"/>
      <c r="K205" s="837"/>
      <c r="L205" s="954"/>
      <c r="M205" s="837"/>
      <c r="N205" s="837"/>
      <c r="O205" s="954"/>
      <c r="P205" s="837"/>
      <c r="Q205" s="837"/>
      <c r="R205" s="954"/>
      <c r="S205" s="837"/>
      <c r="T205" s="837"/>
      <c r="U205" s="954"/>
      <c r="V205" s="837"/>
      <c r="W205" s="837"/>
      <c r="X205" s="954"/>
      <c r="Y205" s="837"/>
      <c r="Z205" s="837"/>
      <c r="AA205" s="954"/>
      <c r="AB205" s="837"/>
      <c r="AC205" s="837"/>
      <c r="AD205" s="954"/>
      <c r="AE205" s="837"/>
      <c r="AF205" s="837"/>
      <c r="AG205" s="954"/>
      <c r="AH205" s="837"/>
      <c r="AI205" s="837"/>
      <c r="AJ205" s="954"/>
      <c r="AK205" s="837"/>
      <c r="AL205" s="837"/>
      <c r="AM205" s="837"/>
      <c r="AN205" s="837"/>
      <c r="AO205" s="837"/>
      <c r="AP205" s="837"/>
      <c r="AQ205" s="837"/>
      <c r="AR205" s="837"/>
      <c r="AS205" s="837"/>
      <c r="AT205" s="837"/>
      <c r="AU205" s="837"/>
      <c r="AV205" s="837"/>
      <c r="AW205" s="837"/>
      <c r="AX205" s="837"/>
      <c r="AY205" s="837"/>
      <c r="AZ205" s="837"/>
      <c r="BA205" s="837"/>
      <c r="BB205" s="837"/>
      <c r="BC205" s="837"/>
      <c r="BD205" s="837"/>
      <c r="BE205" s="837"/>
      <c r="BF205" s="837"/>
    </row>
    <row r="206" spans="2:58" hidden="1" x14ac:dyDescent="0.25">
      <c r="B206" s="837"/>
      <c r="C206" s="1008"/>
      <c r="D206" s="837"/>
      <c r="E206" s="837"/>
      <c r="F206" s="837"/>
      <c r="G206" s="837"/>
      <c r="H206" s="837"/>
      <c r="I206" s="954"/>
      <c r="J206" s="837"/>
      <c r="K206" s="837"/>
      <c r="L206" s="954"/>
      <c r="M206" s="837"/>
      <c r="N206" s="837"/>
      <c r="O206" s="954"/>
      <c r="P206" s="837"/>
      <c r="Q206" s="837"/>
      <c r="R206" s="954"/>
      <c r="S206" s="837"/>
      <c r="T206" s="837"/>
      <c r="U206" s="954"/>
      <c r="V206" s="837"/>
      <c r="W206" s="837"/>
      <c r="X206" s="954"/>
      <c r="Y206" s="837"/>
      <c r="Z206" s="837"/>
      <c r="AA206" s="954"/>
      <c r="AB206" s="837"/>
      <c r="AC206" s="837"/>
      <c r="AD206" s="954"/>
      <c r="AE206" s="837"/>
      <c r="AF206" s="837"/>
      <c r="AG206" s="954"/>
      <c r="AH206" s="837"/>
      <c r="AI206" s="837"/>
      <c r="AJ206" s="954"/>
      <c r="AK206" s="837"/>
      <c r="AL206" s="837"/>
      <c r="AM206" s="837"/>
      <c r="AN206" s="837"/>
      <c r="AO206" s="837"/>
      <c r="AP206" s="837"/>
      <c r="AQ206" s="837"/>
      <c r="AR206" s="837"/>
      <c r="AS206" s="837"/>
      <c r="AT206" s="837"/>
      <c r="AU206" s="837"/>
      <c r="AV206" s="837"/>
      <c r="AW206" s="837"/>
      <c r="AX206" s="837"/>
      <c r="AY206" s="837"/>
      <c r="AZ206" s="837"/>
      <c r="BA206" s="837"/>
      <c r="BB206" s="837"/>
      <c r="BC206" s="837"/>
      <c r="BD206" s="837"/>
      <c r="BE206" s="837"/>
      <c r="BF206" s="837"/>
    </row>
    <row r="207" spans="2:58" hidden="1" x14ac:dyDescent="0.25">
      <c r="B207" s="837"/>
      <c r="C207" s="1008"/>
      <c r="D207" s="837"/>
      <c r="E207" s="837"/>
      <c r="F207" s="837"/>
      <c r="G207" s="837"/>
      <c r="H207" s="837"/>
      <c r="I207" s="954"/>
      <c r="J207" s="837"/>
      <c r="K207" s="837"/>
      <c r="L207" s="954"/>
      <c r="M207" s="837"/>
      <c r="N207" s="837"/>
      <c r="O207" s="954"/>
      <c r="P207" s="837"/>
      <c r="Q207" s="837"/>
      <c r="R207" s="954"/>
      <c r="S207" s="837"/>
      <c r="T207" s="837"/>
      <c r="U207" s="954"/>
      <c r="V207" s="837"/>
      <c r="W207" s="837"/>
      <c r="X207" s="954"/>
      <c r="Y207" s="837"/>
      <c r="Z207" s="837"/>
      <c r="AA207" s="954"/>
      <c r="AB207" s="837"/>
      <c r="AC207" s="837"/>
      <c r="AD207" s="954"/>
      <c r="AE207" s="837"/>
      <c r="AF207" s="837"/>
      <c r="AG207" s="954"/>
      <c r="AH207" s="837"/>
      <c r="AI207" s="837"/>
      <c r="AJ207" s="954"/>
      <c r="AK207" s="837"/>
      <c r="AL207" s="837"/>
      <c r="AM207" s="837"/>
      <c r="AN207" s="837"/>
      <c r="AO207" s="837"/>
      <c r="AP207" s="837"/>
      <c r="AQ207" s="837"/>
      <c r="AR207" s="837"/>
      <c r="AS207" s="837"/>
      <c r="AT207" s="837"/>
      <c r="AU207" s="837"/>
      <c r="AV207" s="837"/>
      <c r="AW207" s="837"/>
      <c r="AX207" s="837"/>
      <c r="AY207" s="837"/>
      <c r="AZ207" s="837"/>
      <c r="BA207" s="837"/>
      <c r="BB207" s="837"/>
      <c r="BC207" s="837"/>
      <c r="BD207" s="837"/>
      <c r="BE207" s="837"/>
      <c r="BF207" s="837"/>
    </row>
    <row r="208" spans="2:58" hidden="1" x14ac:dyDescent="0.25">
      <c r="B208" s="837"/>
      <c r="C208" s="1008"/>
      <c r="D208" s="837"/>
      <c r="E208" s="837"/>
      <c r="F208" s="837"/>
      <c r="G208" s="837"/>
      <c r="H208" s="837"/>
      <c r="I208" s="954"/>
      <c r="J208" s="837"/>
      <c r="K208" s="837"/>
      <c r="L208" s="954"/>
      <c r="M208" s="837"/>
      <c r="N208" s="837"/>
      <c r="O208" s="954"/>
      <c r="P208" s="837"/>
      <c r="Q208" s="837"/>
      <c r="R208" s="954"/>
      <c r="S208" s="837"/>
      <c r="T208" s="837"/>
      <c r="U208" s="954"/>
      <c r="V208" s="837"/>
      <c r="W208" s="837"/>
      <c r="X208" s="954"/>
      <c r="Y208" s="837"/>
      <c r="Z208" s="837"/>
      <c r="AA208" s="954"/>
      <c r="AB208" s="837"/>
      <c r="AC208" s="837"/>
      <c r="AD208" s="954"/>
      <c r="AE208" s="837"/>
      <c r="AF208" s="837"/>
      <c r="AG208" s="954"/>
      <c r="AH208" s="837"/>
      <c r="AI208" s="837"/>
      <c r="AJ208" s="954"/>
      <c r="AK208" s="837"/>
      <c r="AL208" s="837"/>
      <c r="AM208" s="837"/>
      <c r="AN208" s="837"/>
      <c r="AO208" s="837"/>
      <c r="AP208" s="837"/>
      <c r="AQ208" s="837"/>
      <c r="AR208" s="837"/>
      <c r="AS208" s="837"/>
      <c r="AT208" s="837"/>
      <c r="AU208" s="837"/>
      <c r="AV208" s="837"/>
      <c r="AW208" s="837"/>
      <c r="AX208" s="837"/>
      <c r="AY208" s="837"/>
      <c r="AZ208" s="837"/>
      <c r="BA208" s="837"/>
      <c r="BB208" s="837"/>
      <c r="BC208" s="837"/>
      <c r="BD208" s="837"/>
      <c r="BE208" s="837"/>
      <c r="BF208" s="837"/>
    </row>
    <row r="209" spans="2:58" hidden="1" x14ac:dyDescent="0.25">
      <c r="B209" s="837"/>
      <c r="C209" s="1008"/>
      <c r="D209" s="837"/>
      <c r="E209" s="837"/>
      <c r="F209" s="837"/>
      <c r="G209" s="837"/>
      <c r="H209" s="837"/>
      <c r="I209" s="954"/>
      <c r="J209" s="837"/>
      <c r="K209" s="837"/>
      <c r="L209" s="954"/>
      <c r="M209" s="837"/>
      <c r="N209" s="837"/>
      <c r="O209" s="954"/>
      <c r="P209" s="837"/>
      <c r="Q209" s="837"/>
      <c r="R209" s="954"/>
      <c r="S209" s="837"/>
      <c r="T209" s="837"/>
      <c r="U209" s="954"/>
      <c r="V209" s="837"/>
      <c r="W209" s="837"/>
      <c r="X209" s="954"/>
      <c r="Y209" s="837"/>
      <c r="Z209" s="837"/>
      <c r="AA209" s="954"/>
      <c r="AB209" s="837"/>
      <c r="AC209" s="837"/>
      <c r="AD209" s="954"/>
      <c r="AE209" s="837"/>
      <c r="AF209" s="837"/>
      <c r="AG209" s="954"/>
      <c r="AH209" s="837"/>
      <c r="AI209" s="837"/>
      <c r="AJ209" s="954"/>
      <c r="AK209" s="837"/>
      <c r="AL209" s="837"/>
      <c r="AM209" s="837"/>
      <c r="AN209" s="837"/>
      <c r="AO209" s="837"/>
      <c r="AP209" s="837"/>
      <c r="AQ209" s="837"/>
      <c r="AR209" s="837"/>
      <c r="AS209" s="837"/>
      <c r="AT209" s="837"/>
      <c r="AU209" s="837"/>
      <c r="AV209" s="837"/>
      <c r="AW209" s="837"/>
      <c r="AX209" s="837"/>
      <c r="AY209" s="837"/>
      <c r="AZ209" s="837"/>
      <c r="BA209" s="837"/>
      <c r="BB209" s="837"/>
      <c r="BC209" s="837"/>
      <c r="BD209" s="837"/>
      <c r="BE209" s="837"/>
      <c r="BF209" s="837"/>
    </row>
    <row r="210" spans="2:58" hidden="1" x14ac:dyDescent="0.25">
      <c r="B210" s="837"/>
      <c r="C210" s="1008"/>
      <c r="D210" s="837"/>
      <c r="E210" s="837"/>
      <c r="F210" s="837"/>
      <c r="G210" s="837"/>
      <c r="H210" s="837"/>
      <c r="I210" s="954"/>
      <c r="J210" s="837"/>
      <c r="K210" s="837"/>
      <c r="L210" s="954"/>
      <c r="M210" s="837"/>
      <c r="N210" s="837"/>
      <c r="O210" s="954"/>
      <c r="P210" s="837"/>
      <c r="Q210" s="837"/>
      <c r="R210" s="954"/>
      <c r="S210" s="837"/>
      <c r="T210" s="837"/>
      <c r="U210" s="954"/>
      <c r="V210" s="837"/>
      <c r="W210" s="837"/>
      <c r="X210" s="954"/>
      <c r="Y210" s="837"/>
      <c r="Z210" s="837"/>
      <c r="AA210" s="954"/>
      <c r="AB210" s="837"/>
      <c r="AC210" s="837"/>
      <c r="AD210" s="954"/>
      <c r="AE210" s="837"/>
      <c r="AF210" s="837"/>
      <c r="AG210" s="954"/>
      <c r="AH210" s="837"/>
      <c r="AI210" s="837"/>
      <c r="AJ210" s="954"/>
      <c r="AK210" s="837"/>
      <c r="AL210" s="837"/>
      <c r="AM210" s="837"/>
      <c r="AN210" s="837"/>
      <c r="AO210" s="837"/>
      <c r="AP210" s="837"/>
      <c r="AQ210" s="837"/>
      <c r="AR210" s="837"/>
      <c r="AS210" s="837"/>
      <c r="AT210" s="837"/>
      <c r="AU210" s="837"/>
      <c r="AV210" s="837"/>
      <c r="AW210" s="837"/>
      <c r="AX210" s="837"/>
      <c r="AY210" s="837"/>
      <c r="AZ210" s="837"/>
      <c r="BA210" s="837"/>
      <c r="BB210" s="837"/>
      <c r="BC210" s="837"/>
      <c r="BD210" s="837"/>
      <c r="BE210" s="837"/>
      <c r="BF210" s="837"/>
    </row>
    <row r="211" spans="2:58" hidden="1" x14ac:dyDescent="0.25">
      <c r="B211" s="837"/>
      <c r="C211" s="1008"/>
      <c r="D211" s="837"/>
      <c r="E211" s="837"/>
      <c r="F211" s="837"/>
      <c r="G211" s="837"/>
      <c r="H211" s="837"/>
      <c r="I211" s="954"/>
      <c r="J211" s="837"/>
      <c r="K211" s="837"/>
      <c r="L211" s="954"/>
      <c r="M211" s="837"/>
      <c r="N211" s="837"/>
      <c r="O211" s="954"/>
      <c r="P211" s="837"/>
      <c r="Q211" s="837"/>
      <c r="R211" s="954"/>
      <c r="S211" s="837"/>
      <c r="T211" s="837"/>
      <c r="U211" s="954"/>
      <c r="V211" s="837"/>
      <c r="W211" s="837"/>
      <c r="X211" s="954"/>
      <c r="Y211" s="837"/>
      <c r="Z211" s="837"/>
      <c r="AA211" s="954"/>
      <c r="AB211" s="837"/>
      <c r="AC211" s="837"/>
      <c r="AD211" s="954"/>
      <c r="AE211" s="837"/>
      <c r="AF211" s="837"/>
      <c r="AG211" s="954"/>
      <c r="AH211" s="837"/>
      <c r="AI211" s="837"/>
      <c r="AJ211" s="954"/>
      <c r="AK211" s="837"/>
      <c r="AL211" s="837"/>
      <c r="AM211" s="837"/>
      <c r="AN211" s="837"/>
      <c r="AO211" s="837"/>
      <c r="AP211" s="837"/>
      <c r="AQ211" s="837"/>
      <c r="AR211" s="837"/>
      <c r="AS211" s="837"/>
      <c r="AT211" s="837"/>
      <c r="AU211" s="837"/>
      <c r="AV211" s="837"/>
      <c r="AW211" s="837"/>
      <c r="AX211" s="837"/>
      <c r="AY211" s="837"/>
      <c r="AZ211" s="837"/>
      <c r="BA211" s="837"/>
      <c r="BB211" s="837"/>
      <c r="BC211" s="837"/>
      <c r="BD211" s="837"/>
      <c r="BE211" s="837"/>
      <c r="BF211" s="837"/>
    </row>
    <row r="212" spans="2:58" hidden="1" x14ac:dyDescent="0.25">
      <c r="B212" s="837"/>
      <c r="C212" s="1008"/>
      <c r="D212" s="837"/>
      <c r="E212" s="837"/>
      <c r="F212" s="837"/>
      <c r="G212" s="837"/>
      <c r="H212" s="837"/>
      <c r="I212" s="954"/>
      <c r="J212" s="837"/>
      <c r="K212" s="837"/>
      <c r="L212" s="954"/>
      <c r="M212" s="837"/>
      <c r="N212" s="837"/>
      <c r="O212" s="954"/>
      <c r="P212" s="837"/>
      <c r="Q212" s="837"/>
      <c r="R212" s="954"/>
      <c r="S212" s="837"/>
      <c r="T212" s="837"/>
      <c r="U212" s="954"/>
      <c r="V212" s="837"/>
      <c r="W212" s="837"/>
      <c r="X212" s="954"/>
      <c r="Y212" s="837"/>
      <c r="Z212" s="837"/>
      <c r="AA212" s="954"/>
      <c r="AB212" s="837"/>
      <c r="AC212" s="837"/>
      <c r="AD212" s="954"/>
      <c r="AE212" s="837"/>
      <c r="AF212" s="837"/>
      <c r="AG212" s="954"/>
      <c r="AH212" s="837"/>
      <c r="AI212" s="837"/>
      <c r="AJ212" s="954"/>
      <c r="AK212" s="837"/>
      <c r="AL212" s="837"/>
      <c r="AM212" s="837"/>
      <c r="AN212" s="837"/>
      <c r="AO212" s="837"/>
      <c r="AP212" s="837"/>
      <c r="AQ212" s="837"/>
      <c r="AR212" s="837"/>
      <c r="AS212" s="837"/>
      <c r="AT212" s="837"/>
      <c r="AU212" s="837"/>
      <c r="AV212" s="837"/>
      <c r="AW212" s="837"/>
      <c r="AX212" s="837"/>
      <c r="AY212" s="837"/>
      <c r="AZ212" s="837"/>
      <c r="BA212" s="837"/>
      <c r="BB212" s="837"/>
      <c r="BC212" s="837"/>
      <c r="BD212" s="837"/>
      <c r="BE212" s="837"/>
      <c r="BF212" s="837"/>
    </row>
    <row r="213" spans="2:58" hidden="1" x14ac:dyDescent="0.25">
      <c r="B213" s="837"/>
      <c r="C213" s="1008"/>
      <c r="D213" s="837"/>
      <c r="E213" s="837"/>
      <c r="F213" s="837"/>
      <c r="G213" s="837"/>
      <c r="H213" s="837"/>
      <c r="I213" s="954"/>
      <c r="J213" s="837"/>
      <c r="K213" s="837"/>
      <c r="L213" s="954"/>
      <c r="M213" s="837"/>
      <c r="N213" s="837"/>
      <c r="O213" s="954"/>
      <c r="P213" s="837"/>
      <c r="Q213" s="837"/>
      <c r="R213" s="954"/>
      <c r="S213" s="837"/>
      <c r="T213" s="837"/>
      <c r="U213" s="954"/>
      <c r="V213" s="837"/>
      <c r="W213" s="837"/>
      <c r="X213" s="954"/>
      <c r="Y213" s="837"/>
      <c r="Z213" s="837"/>
      <c r="AA213" s="954"/>
      <c r="AB213" s="837"/>
      <c r="AC213" s="837"/>
      <c r="AD213" s="954"/>
      <c r="AE213" s="837"/>
      <c r="AF213" s="837"/>
      <c r="AG213" s="954"/>
      <c r="AH213" s="837"/>
      <c r="AI213" s="837"/>
      <c r="AJ213" s="954"/>
      <c r="AK213" s="837"/>
      <c r="AL213" s="837"/>
      <c r="AM213" s="837"/>
      <c r="AN213" s="837"/>
      <c r="AO213" s="837"/>
      <c r="AP213" s="837"/>
      <c r="AQ213" s="837"/>
      <c r="AR213" s="837"/>
      <c r="AS213" s="837"/>
      <c r="AT213" s="837"/>
      <c r="AU213" s="837"/>
      <c r="AV213" s="837"/>
      <c r="AW213" s="837"/>
      <c r="AX213" s="837"/>
      <c r="AY213" s="837"/>
      <c r="AZ213" s="837"/>
      <c r="BA213" s="837"/>
      <c r="BB213" s="837"/>
      <c r="BC213" s="837"/>
      <c r="BD213" s="837"/>
      <c r="BE213" s="837"/>
      <c r="BF213" s="837"/>
    </row>
    <row r="214" spans="2:58" hidden="1" x14ac:dyDescent="0.25">
      <c r="B214" s="837"/>
      <c r="C214" s="1008"/>
      <c r="D214" s="837"/>
      <c r="E214" s="837"/>
      <c r="F214" s="837"/>
      <c r="G214" s="837"/>
      <c r="H214" s="837"/>
      <c r="I214" s="954"/>
      <c r="J214" s="837"/>
      <c r="K214" s="837"/>
      <c r="L214" s="954"/>
      <c r="M214" s="837"/>
      <c r="N214" s="837"/>
      <c r="O214" s="954"/>
      <c r="P214" s="837"/>
      <c r="Q214" s="837"/>
      <c r="R214" s="954"/>
      <c r="S214" s="837"/>
      <c r="T214" s="837"/>
      <c r="U214" s="954"/>
      <c r="V214" s="837"/>
      <c r="W214" s="837"/>
      <c r="X214" s="954"/>
      <c r="Y214" s="837"/>
      <c r="Z214" s="837"/>
      <c r="AA214" s="954"/>
      <c r="AB214" s="837"/>
      <c r="AC214" s="837"/>
      <c r="AD214" s="954"/>
      <c r="AE214" s="837"/>
      <c r="AF214" s="837"/>
      <c r="AG214" s="954"/>
      <c r="AH214" s="837"/>
      <c r="AI214" s="837"/>
      <c r="AJ214" s="954"/>
      <c r="AK214" s="837"/>
      <c r="AL214" s="837"/>
      <c r="AM214" s="837"/>
      <c r="AN214" s="837"/>
      <c r="AO214" s="837"/>
      <c r="AP214" s="837"/>
      <c r="AQ214" s="837"/>
      <c r="AR214" s="837"/>
      <c r="AS214" s="837"/>
      <c r="AT214" s="837"/>
      <c r="AU214" s="837"/>
      <c r="AV214" s="837"/>
      <c r="AW214" s="837"/>
      <c r="AX214" s="837"/>
      <c r="AY214" s="837"/>
      <c r="AZ214" s="837"/>
      <c r="BA214" s="837"/>
      <c r="BB214" s="837"/>
      <c r="BC214" s="837"/>
      <c r="BD214" s="837"/>
      <c r="BE214" s="837"/>
      <c r="BF214" s="837"/>
    </row>
    <row r="215" spans="2:58" hidden="1" x14ac:dyDescent="0.25">
      <c r="B215" s="837"/>
      <c r="C215" s="1008"/>
      <c r="D215" s="837"/>
      <c r="E215" s="837"/>
      <c r="F215" s="837"/>
      <c r="G215" s="837"/>
      <c r="H215" s="837"/>
      <c r="I215" s="954"/>
      <c r="J215" s="837"/>
      <c r="K215" s="837"/>
      <c r="L215" s="954"/>
      <c r="M215" s="837"/>
      <c r="N215" s="837"/>
      <c r="O215" s="954"/>
      <c r="P215" s="837"/>
      <c r="Q215" s="837"/>
      <c r="R215" s="954"/>
      <c r="S215" s="837"/>
      <c r="T215" s="837"/>
      <c r="U215" s="954"/>
      <c r="V215" s="837"/>
      <c r="W215" s="837"/>
      <c r="X215" s="954"/>
      <c r="Y215" s="837"/>
      <c r="Z215" s="837"/>
      <c r="AA215" s="954"/>
      <c r="AB215" s="837"/>
      <c r="AC215" s="837"/>
      <c r="AD215" s="954"/>
      <c r="AE215" s="837"/>
      <c r="AF215" s="837"/>
      <c r="AG215" s="954"/>
      <c r="AH215" s="837"/>
      <c r="AI215" s="837"/>
      <c r="AJ215" s="954"/>
      <c r="AK215" s="837"/>
      <c r="AL215" s="837"/>
      <c r="AM215" s="837"/>
      <c r="AN215" s="837"/>
      <c r="AO215" s="837"/>
      <c r="AP215" s="837"/>
      <c r="AQ215" s="837"/>
      <c r="AR215" s="837"/>
      <c r="AS215" s="837"/>
      <c r="AT215" s="837"/>
      <c r="AU215" s="837"/>
      <c r="AV215" s="837"/>
      <c r="AW215" s="837"/>
      <c r="AX215" s="837"/>
      <c r="AY215" s="837"/>
      <c r="AZ215" s="837"/>
      <c r="BA215" s="837"/>
      <c r="BB215" s="837"/>
      <c r="BC215" s="837"/>
      <c r="BD215" s="837"/>
      <c r="BE215" s="837"/>
      <c r="BF215" s="837"/>
    </row>
    <row r="216" spans="2:58" hidden="1" x14ac:dyDescent="0.25">
      <c r="B216" s="837"/>
      <c r="C216" s="1008"/>
      <c r="D216" s="837"/>
      <c r="E216" s="837"/>
      <c r="F216" s="837"/>
      <c r="G216" s="837"/>
      <c r="H216" s="837"/>
      <c r="I216" s="954"/>
      <c r="J216" s="837"/>
      <c r="K216" s="837"/>
      <c r="L216" s="954"/>
      <c r="M216" s="837"/>
      <c r="N216" s="837"/>
      <c r="O216" s="954"/>
      <c r="P216" s="837"/>
      <c r="Q216" s="837"/>
      <c r="R216" s="954"/>
      <c r="S216" s="837"/>
      <c r="T216" s="837"/>
      <c r="U216" s="954"/>
      <c r="V216" s="837"/>
      <c r="W216" s="837"/>
      <c r="X216" s="954"/>
      <c r="Y216" s="837"/>
      <c r="Z216" s="837"/>
      <c r="AA216" s="954"/>
      <c r="AB216" s="837"/>
      <c r="AC216" s="837"/>
      <c r="AD216" s="954"/>
      <c r="AE216" s="837"/>
      <c r="AF216" s="837"/>
      <c r="AG216" s="954"/>
      <c r="AH216" s="837"/>
      <c r="AI216" s="837"/>
      <c r="AJ216" s="954"/>
      <c r="AK216" s="837"/>
      <c r="AL216" s="837"/>
      <c r="AM216" s="837"/>
      <c r="AN216" s="837"/>
      <c r="AO216" s="837"/>
      <c r="AP216" s="837"/>
      <c r="AQ216" s="837"/>
      <c r="AR216" s="837"/>
      <c r="AS216" s="837"/>
      <c r="AT216" s="837"/>
      <c r="AU216" s="837"/>
      <c r="AV216" s="837"/>
      <c r="AW216" s="837"/>
      <c r="AX216" s="837"/>
      <c r="AY216" s="837"/>
      <c r="AZ216" s="837"/>
      <c r="BA216" s="837"/>
      <c r="BB216" s="837"/>
      <c r="BC216" s="837"/>
      <c r="BD216" s="837"/>
      <c r="BE216" s="837"/>
      <c r="BF216" s="837"/>
    </row>
    <row r="217" spans="2:58" hidden="1" x14ac:dyDescent="0.25">
      <c r="B217" s="837"/>
      <c r="C217" s="1008"/>
      <c r="D217" s="837"/>
      <c r="E217" s="837"/>
      <c r="F217" s="837"/>
      <c r="G217" s="837"/>
      <c r="H217" s="837"/>
      <c r="I217" s="954"/>
      <c r="J217" s="837"/>
      <c r="K217" s="837"/>
      <c r="L217" s="954"/>
      <c r="M217" s="837"/>
      <c r="N217" s="837"/>
      <c r="O217" s="954"/>
      <c r="P217" s="837"/>
      <c r="Q217" s="837"/>
      <c r="R217" s="954"/>
      <c r="S217" s="837"/>
      <c r="T217" s="837"/>
      <c r="U217" s="954"/>
      <c r="V217" s="837"/>
      <c r="W217" s="837"/>
      <c r="X217" s="954"/>
      <c r="Y217" s="837"/>
      <c r="Z217" s="837"/>
      <c r="AA217" s="954"/>
      <c r="AB217" s="837"/>
      <c r="AC217" s="837"/>
      <c r="AD217" s="954"/>
      <c r="AE217" s="837"/>
      <c r="AF217" s="837"/>
      <c r="AG217" s="954"/>
      <c r="AH217" s="837"/>
      <c r="AI217" s="837"/>
      <c r="AJ217" s="954"/>
      <c r="AK217" s="837"/>
      <c r="AL217" s="837"/>
      <c r="AM217" s="837"/>
      <c r="AN217" s="837"/>
      <c r="AO217" s="837"/>
      <c r="AP217" s="837"/>
      <c r="AQ217" s="837"/>
      <c r="AR217" s="837"/>
      <c r="AS217" s="837"/>
      <c r="AT217" s="837"/>
      <c r="AU217" s="837"/>
      <c r="AV217" s="837"/>
      <c r="AW217" s="837"/>
      <c r="AX217" s="837"/>
      <c r="AY217" s="837"/>
      <c r="AZ217" s="837"/>
      <c r="BA217" s="837"/>
      <c r="BB217" s="837"/>
      <c r="BC217" s="837"/>
      <c r="BD217" s="837"/>
      <c r="BE217" s="837"/>
      <c r="BF217" s="837"/>
    </row>
    <row r="218" spans="2:58" hidden="1" x14ac:dyDescent="0.25">
      <c r="B218" s="837"/>
      <c r="C218" s="1008"/>
      <c r="D218" s="837"/>
      <c r="E218" s="837"/>
      <c r="F218" s="837"/>
      <c r="G218" s="837"/>
      <c r="H218" s="837"/>
      <c r="I218" s="954"/>
      <c r="J218" s="837"/>
      <c r="K218" s="837"/>
      <c r="L218" s="954"/>
      <c r="M218" s="837"/>
      <c r="N218" s="837"/>
      <c r="O218" s="954"/>
      <c r="P218" s="837"/>
      <c r="Q218" s="837"/>
      <c r="R218" s="954"/>
      <c r="S218" s="837"/>
      <c r="T218" s="837"/>
      <c r="U218" s="954"/>
      <c r="V218" s="837"/>
      <c r="W218" s="837"/>
      <c r="X218" s="954"/>
      <c r="Y218" s="837"/>
      <c r="Z218" s="837"/>
      <c r="AA218" s="954"/>
      <c r="AB218" s="837"/>
      <c r="AC218" s="837"/>
      <c r="AD218" s="954"/>
      <c r="AE218" s="837"/>
      <c r="AF218" s="837"/>
      <c r="AG218" s="954"/>
      <c r="AH218" s="837"/>
      <c r="AI218" s="837"/>
      <c r="AJ218" s="954"/>
      <c r="AK218" s="837"/>
      <c r="AL218" s="837"/>
      <c r="AM218" s="837"/>
      <c r="AN218" s="837"/>
      <c r="AO218" s="837"/>
      <c r="AP218" s="837"/>
      <c r="AQ218" s="837"/>
      <c r="AR218" s="837"/>
      <c r="AS218" s="837"/>
      <c r="AT218" s="837"/>
      <c r="AU218" s="837"/>
      <c r="AV218" s="837"/>
      <c r="AW218" s="837"/>
      <c r="AX218" s="837"/>
      <c r="AY218" s="837"/>
      <c r="AZ218" s="837"/>
      <c r="BA218" s="837"/>
      <c r="BB218" s="837"/>
      <c r="BC218" s="837"/>
      <c r="BD218" s="837"/>
      <c r="BE218" s="837"/>
      <c r="BF218" s="837"/>
    </row>
    <row r="219" spans="2:58" hidden="1" x14ac:dyDescent="0.25">
      <c r="B219" s="837"/>
      <c r="C219" s="1008"/>
      <c r="D219" s="837"/>
      <c r="E219" s="837"/>
      <c r="F219" s="837"/>
      <c r="G219" s="837"/>
      <c r="H219" s="837"/>
      <c r="I219" s="954"/>
      <c r="J219" s="837"/>
      <c r="K219" s="837"/>
      <c r="L219" s="954"/>
      <c r="M219" s="837"/>
      <c r="N219" s="837"/>
      <c r="O219" s="954"/>
      <c r="P219" s="837"/>
      <c r="Q219" s="837"/>
      <c r="R219" s="954"/>
      <c r="S219" s="837"/>
      <c r="T219" s="837"/>
      <c r="U219" s="954"/>
      <c r="V219" s="837"/>
      <c r="W219" s="837"/>
      <c r="X219" s="954"/>
      <c r="Y219" s="837"/>
      <c r="Z219" s="837"/>
      <c r="AA219" s="954"/>
      <c r="AB219" s="837"/>
      <c r="AC219" s="837"/>
      <c r="AD219" s="954"/>
      <c r="AE219" s="837"/>
      <c r="AF219" s="837"/>
      <c r="AG219" s="954"/>
      <c r="AH219" s="837"/>
      <c r="AI219" s="837"/>
      <c r="AJ219" s="954"/>
      <c r="AK219" s="837"/>
      <c r="AL219" s="837"/>
      <c r="AM219" s="837"/>
      <c r="AN219" s="837"/>
      <c r="AO219" s="837"/>
      <c r="AP219" s="837"/>
      <c r="AQ219" s="837"/>
      <c r="AR219" s="837"/>
      <c r="AS219" s="837"/>
      <c r="AT219" s="837"/>
      <c r="AU219" s="837"/>
      <c r="AV219" s="837"/>
      <c r="AW219" s="837"/>
      <c r="AX219" s="837"/>
      <c r="AY219" s="837"/>
      <c r="AZ219" s="837"/>
      <c r="BA219" s="837"/>
      <c r="BB219" s="837"/>
      <c r="BC219" s="837"/>
      <c r="BD219" s="837"/>
      <c r="BE219" s="837"/>
      <c r="BF219" s="837"/>
    </row>
    <row r="220" spans="2:58" hidden="1" x14ac:dyDescent="0.25">
      <c r="B220" s="837"/>
      <c r="C220" s="1008"/>
      <c r="D220" s="837"/>
      <c r="E220" s="837"/>
      <c r="F220" s="837"/>
      <c r="G220" s="837"/>
      <c r="H220" s="837"/>
      <c r="I220" s="954"/>
      <c r="J220" s="837"/>
      <c r="K220" s="837"/>
      <c r="L220" s="954"/>
      <c r="M220" s="837"/>
      <c r="N220" s="837"/>
      <c r="O220" s="954"/>
      <c r="P220" s="837"/>
      <c r="Q220" s="837"/>
      <c r="R220" s="954"/>
      <c r="S220" s="837"/>
      <c r="T220" s="837"/>
      <c r="U220" s="954"/>
      <c r="V220" s="837"/>
      <c r="W220" s="837"/>
      <c r="X220" s="954"/>
      <c r="Y220" s="837"/>
      <c r="Z220" s="837"/>
      <c r="AA220" s="954"/>
      <c r="AB220" s="837"/>
      <c r="AC220" s="837"/>
      <c r="AD220" s="954"/>
      <c r="AE220" s="837"/>
      <c r="AF220" s="837"/>
      <c r="AG220" s="954"/>
      <c r="AH220" s="837"/>
      <c r="AI220" s="837"/>
      <c r="AJ220" s="954"/>
      <c r="AK220" s="837"/>
      <c r="AL220" s="837"/>
      <c r="AM220" s="837"/>
      <c r="AN220" s="837"/>
      <c r="AO220" s="837"/>
      <c r="AP220" s="837"/>
      <c r="AQ220" s="837"/>
      <c r="AR220" s="837"/>
      <c r="AS220" s="837"/>
      <c r="AT220" s="837"/>
      <c r="AU220" s="837"/>
      <c r="AV220" s="837"/>
      <c r="AW220" s="837"/>
      <c r="AX220" s="837"/>
      <c r="AY220" s="837"/>
      <c r="AZ220" s="837"/>
      <c r="BA220" s="837"/>
      <c r="BB220" s="837"/>
      <c r="BC220" s="837"/>
      <c r="BD220" s="837"/>
      <c r="BE220" s="837"/>
      <c r="BF220" s="837"/>
    </row>
    <row r="221" spans="2:58" hidden="1" x14ac:dyDescent="0.25">
      <c r="B221" s="837"/>
      <c r="C221" s="1008"/>
      <c r="D221" s="837"/>
      <c r="E221" s="837"/>
      <c r="F221" s="837"/>
      <c r="G221" s="837"/>
      <c r="H221" s="837"/>
      <c r="I221" s="954"/>
      <c r="J221" s="837"/>
      <c r="K221" s="837"/>
      <c r="L221" s="954"/>
      <c r="M221" s="837"/>
      <c r="N221" s="837"/>
      <c r="O221" s="954"/>
      <c r="P221" s="837"/>
      <c r="Q221" s="837"/>
      <c r="R221" s="954"/>
      <c r="S221" s="837"/>
      <c r="T221" s="837"/>
      <c r="U221" s="954"/>
      <c r="V221" s="837"/>
      <c r="W221" s="837"/>
      <c r="X221" s="954"/>
      <c r="Y221" s="837"/>
      <c r="Z221" s="837"/>
      <c r="AA221" s="954"/>
      <c r="AB221" s="837"/>
      <c r="AC221" s="837"/>
      <c r="AD221" s="954"/>
      <c r="AE221" s="837"/>
      <c r="AF221" s="837"/>
      <c r="AG221" s="954"/>
      <c r="AH221" s="837"/>
      <c r="AI221" s="837"/>
      <c r="AJ221" s="954"/>
      <c r="AK221" s="837"/>
      <c r="AL221" s="837"/>
      <c r="AM221" s="837"/>
      <c r="AN221" s="837"/>
      <c r="AO221" s="837"/>
      <c r="AP221" s="837"/>
      <c r="AQ221" s="837"/>
      <c r="AR221" s="837"/>
      <c r="AS221" s="837"/>
      <c r="AT221" s="837"/>
      <c r="AU221" s="837"/>
      <c r="AV221" s="837"/>
      <c r="AW221" s="837"/>
      <c r="AX221" s="837"/>
      <c r="AY221" s="837"/>
      <c r="AZ221" s="837"/>
      <c r="BA221" s="837"/>
      <c r="BB221" s="837"/>
      <c r="BC221" s="837"/>
      <c r="BD221" s="837"/>
      <c r="BE221" s="837"/>
      <c r="BF221" s="837"/>
    </row>
    <row r="222" spans="2:58" hidden="1" x14ac:dyDescent="0.25">
      <c r="B222" s="837"/>
      <c r="C222" s="1008"/>
      <c r="D222" s="837"/>
      <c r="E222" s="837"/>
      <c r="F222" s="837"/>
      <c r="G222" s="837"/>
      <c r="H222" s="837"/>
      <c r="I222" s="954"/>
      <c r="J222" s="837"/>
      <c r="K222" s="837"/>
      <c r="L222" s="954"/>
      <c r="M222" s="837"/>
      <c r="N222" s="837"/>
      <c r="O222" s="954"/>
      <c r="P222" s="837"/>
      <c r="Q222" s="837"/>
      <c r="R222" s="954"/>
      <c r="S222" s="837"/>
      <c r="T222" s="837"/>
      <c r="U222" s="954"/>
      <c r="V222" s="837"/>
      <c r="W222" s="837"/>
      <c r="X222" s="954"/>
      <c r="Y222" s="837"/>
      <c r="Z222" s="837"/>
      <c r="AA222" s="954"/>
      <c r="AB222" s="837"/>
      <c r="AC222" s="837"/>
      <c r="AD222" s="954"/>
      <c r="AE222" s="837"/>
      <c r="AF222" s="837"/>
      <c r="AG222" s="954"/>
      <c r="AH222" s="837"/>
      <c r="AI222" s="837"/>
      <c r="AJ222" s="954"/>
      <c r="AK222" s="837"/>
      <c r="AL222" s="837"/>
      <c r="AM222" s="837"/>
      <c r="AN222" s="837"/>
      <c r="AO222" s="837"/>
      <c r="AP222" s="837"/>
      <c r="AQ222" s="837"/>
      <c r="AR222" s="837"/>
      <c r="AS222" s="837"/>
      <c r="AT222" s="837"/>
      <c r="AU222" s="837"/>
      <c r="AV222" s="837"/>
      <c r="AW222" s="837"/>
      <c r="AX222" s="837"/>
      <c r="AY222" s="837"/>
      <c r="AZ222" s="837"/>
      <c r="BA222" s="837"/>
      <c r="BB222" s="837"/>
      <c r="BC222" s="837"/>
      <c r="BD222" s="837"/>
      <c r="BE222" s="837"/>
      <c r="BF222" s="837"/>
    </row>
    <row r="223" spans="2:58" hidden="1" x14ac:dyDescent="0.25">
      <c r="B223" s="837"/>
      <c r="C223" s="1008"/>
      <c r="D223" s="837"/>
      <c r="E223" s="837"/>
      <c r="F223" s="837"/>
      <c r="G223" s="837"/>
      <c r="H223" s="837"/>
      <c r="I223" s="954"/>
      <c r="J223" s="837"/>
      <c r="K223" s="837"/>
      <c r="L223" s="954"/>
      <c r="M223" s="837"/>
      <c r="N223" s="837"/>
      <c r="O223" s="954"/>
      <c r="P223" s="837"/>
      <c r="Q223" s="837"/>
      <c r="R223" s="954"/>
      <c r="S223" s="837"/>
      <c r="T223" s="837"/>
      <c r="U223" s="954"/>
      <c r="V223" s="837"/>
      <c r="W223" s="837"/>
      <c r="X223" s="954"/>
      <c r="Y223" s="837"/>
      <c r="Z223" s="837"/>
      <c r="AA223" s="954"/>
      <c r="AB223" s="837"/>
      <c r="AC223" s="837"/>
      <c r="AD223" s="954"/>
      <c r="AE223" s="837"/>
      <c r="AF223" s="837"/>
      <c r="AG223" s="954"/>
      <c r="AH223" s="837"/>
      <c r="AI223" s="837"/>
      <c r="AJ223" s="954"/>
      <c r="AK223" s="837"/>
      <c r="AL223" s="837"/>
      <c r="AM223" s="837"/>
      <c r="AN223" s="837"/>
      <c r="AO223" s="837"/>
      <c r="AP223" s="837"/>
      <c r="AQ223" s="837"/>
      <c r="AR223" s="837"/>
      <c r="AS223" s="837"/>
      <c r="AT223" s="837"/>
      <c r="AU223" s="837"/>
      <c r="AV223" s="837"/>
      <c r="AW223" s="837"/>
      <c r="AX223" s="837"/>
      <c r="AY223" s="837"/>
      <c r="AZ223" s="837"/>
      <c r="BA223" s="837"/>
      <c r="BB223" s="837"/>
      <c r="BC223" s="837"/>
      <c r="BD223" s="837"/>
      <c r="BE223" s="837"/>
      <c r="BF223" s="837"/>
    </row>
    <row r="224" spans="2:58" hidden="1" x14ac:dyDescent="0.25">
      <c r="B224" s="837"/>
      <c r="C224" s="1008"/>
      <c r="D224" s="837"/>
      <c r="E224" s="837"/>
      <c r="F224" s="837"/>
      <c r="G224" s="837"/>
      <c r="H224" s="837"/>
      <c r="I224" s="954"/>
      <c r="J224" s="837"/>
      <c r="K224" s="837"/>
      <c r="L224" s="954"/>
      <c r="M224" s="837"/>
      <c r="N224" s="837"/>
      <c r="O224" s="954"/>
      <c r="P224" s="837"/>
      <c r="Q224" s="837"/>
      <c r="R224" s="954"/>
      <c r="S224" s="837"/>
      <c r="T224" s="837"/>
      <c r="U224" s="954"/>
      <c r="V224" s="837"/>
      <c r="W224" s="837"/>
      <c r="X224" s="954"/>
      <c r="Y224" s="837"/>
      <c r="Z224" s="837"/>
      <c r="AA224" s="954"/>
      <c r="AB224" s="837"/>
      <c r="AC224" s="837"/>
      <c r="AD224" s="954"/>
      <c r="AE224" s="837"/>
      <c r="AF224" s="837"/>
      <c r="AG224" s="954"/>
      <c r="AH224" s="837"/>
      <c r="AI224" s="837"/>
      <c r="AJ224" s="954"/>
      <c r="AK224" s="837"/>
      <c r="AL224" s="837"/>
      <c r="AM224" s="837"/>
      <c r="AN224" s="837"/>
      <c r="AO224" s="837"/>
      <c r="AP224" s="837"/>
      <c r="AQ224" s="837"/>
      <c r="AR224" s="837"/>
      <c r="AS224" s="837"/>
      <c r="AT224" s="837"/>
      <c r="AU224" s="837"/>
      <c r="AV224" s="837"/>
      <c r="AW224" s="837"/>
      <c r="AX224" s="837"/>
      <c r="AY224" s="837"/>
      <c r="AZ224" s="837"/>
      <c r="BA224" s="837"/>
      <c r="BB224" s="837"/>
      <c r="BC224" s="837"/>
      <c r="BD224" s="837"/>
      <c r="BE224" s="837"/>
      <c r="BF224" s="837"/>
    </row>
    <row r="225" spans="2:58" hidden="1" x14ac:dyDescent="0.25">
      <c r="B225" s="837"/>
      <c r="C225" s="1008"/>
      <c r="D225" s="837"/>
      <c r="E225" s="837"/>
      <c r="F225" s="837"/>
      <c r="G225" s="837"/>
      <c r="H225" s="837"/>
      <c r="I225" s="954"/>
      <c r="J225" s="837"/>
      <c r="K225" s="837"/>
      <c r="L225" s="954"/>
      <c r="M225" s="837"/>
      <c r="N225" s="837"/>
      <c r="O225" s="954"/>
      <c r="P225" s="837"/>
      <c r="Q225" s="837"/>
      <c r="R225" s="954"/>
      <c r="S225" s="837"/>
      <c r="T225" s="837"/>
      <c r="U225" s="954"/>
      <c r="V225" s="837"/>
      <c r="W225" s="837"/>
      <c r="X225" s="954"/>
      <c r="Y225" s="837"/>
      <c r="Z225" s="837"/>
      <c r="AA225" s="954"/>
      <c r="AB225" s="837"/>
      <c r="AC225" s="837"/>
      <c r="AD225" s="954"/>
      <c r="AE225" s="837"/>
      <c r="AF225" s="837"/>
      <c r="AG225" s="954"/>
      <c r="AH225" s="837"/>
      <c r="AI225" s="837"/>
      <c r="AJ225" s="954"/>
      <c r="AK225" s="837"/>
      <c r="AL225" s="837"/>
      <c r="AM225" s="837"/>
      <c r="AN225" s="837"/>
      <c r="AO225" s="837"/>
      <c r="AP225" s="837"/>
      <c r="AQ225" s="837"/>
      <c r="AR225" s="837"/>
      <c r="AS225" s="837"/>
      <c r="AT225" s="837"/>
      <c r="AU225" s="837"/>
      <c r="AV225" s="837"/>
      <c r="AW225" s="837"/>
      <c r="AX225" s="837"/>
      <c r="AY225" s="837"/>
      <c r="AZ225" s="837"/>
      <c r="BA225" s="837"/>
      <c r="BB225" s="837"/>
      <c r="BC225" s="837"/>
      <c r="BD225" s="837"/>
      <c r="BE225" s="837"/>
      <c r="BF225" s="837"/>
    </row>
    <row r="226" spans="2:58" hidden="1" x14ac:dyDescent="0.25">
      <c r="B226" s="837"/>
      <c r="C226" s="1008"/>
      <c r="D226" s="837"/>
      <c r="E226" s="837"/>
      <c r="F226" s="837"/>
      <c r="G226" s="837"/>
      <c r="H226" s="837"/>
      <c r="I226" s="954"/>
      <c r="J226" s="837"/>
      <c r="K226" s="837"/>
      <c r="L226" s="954"/>
      <c r="M226" s="837"/>
      <c r="N226" s="837"/>
      <c r="O226" s="954"/>
      <c r="P226" s="837"/>
      <c r="Q226" s="837"/>
      <c r="R226" s="954"/>
      <c r="S226" s="837"/>
      <c r="T226" s="837"/>
      <c r="U226" s="954"/>
      <c r="V226" s="837"/>
      <c r="W226" s="837"/>
      <c r="X226" s="954"/>
      <c r="Y226" s="837"/>
      <c r="Z226" s="837"/>
      <c r="AA226" s="954"/>
      <c r="AB226" s="837"/>
      <c r="AC226" s="837"/>
      <c r="AD226" s="954"/>
      <c r="AE226" s="837"/>
      <c r="AF226" s="837"/>
      <c r="AG226" s="954"/>
      <c r="AH226" s="837"/>
      <c r="AI226" s="837"/>
      <c r="AJ226" s="954"/>
      <c r="AK226" s="837"/>
      <c r="AL226" s="837"/>
      <c r="AM226" s="837"/>
      <c r="AN226" s="837"/>
      <c r="AO226" s="837"/>
      <c r="AP226" s="837"/>
      <c r="AQ226" s="837"/>
      <c r="AR226" s="837"/>
      <c r="AS226" s="837"/>
      <c r="AT226" s="837"/>
      <c r="AU226" s="837"/>
      <c r="AV226" s="837"/>
      <c r="AW226" s="837"/>
      <c r="AX226" s="837"/>
      <c r="AY226" s="837"/>
      <c r="AZ226" s="837"/>
      <c r="BA226" s="837"/>
      <c r="BB226" s="837"/>
      <c r="BC226" s="837"/>
      <c r="BD226" s="837"/>
      <c r="BE226" s="837"/>
      <c r="BF226" s="837"/>
    </row>
    <row r="227" spans="2:58" hidden="1" x14ac:dyDescent="0.25">
      <c r="B227" s="837"/>
      <c r="C227" s="1008"/>
      <c r="D227" s="837"/>
      <c r="E227" s="837"/>
      <c r="F227" s="837"/>
      <c r="G227" s="837"/>
      <c r="H227" s="837"/>
      <c r="I227" s="954"/>
      <c r="J227" s="837"/>
      <c r="K227" s="837"/>
      <c r="L227" s="954"/>
      <c r="M227" s="837"/>
      <c r="N227" s="837"/>
      <c r="O227" s="954"/>
      <c r="P227" s="837"/>
      <c r="Q227" s="837"/>
      <c r="R227" s="954"/>
      <c r="S227" s="837"/>
      <c r="T227" s="837"/>
      <c r="U227" s="954"/>
      <c r="V227" s="837"/>
      <c r="W227" s="837"/>
      <c r="X227" s="954"/>
      <c r="Y227" s="837"/>
      <c r="Z227" s="837"/>
      <c r="AA227" s="954"/>
      <c r="AB227" s="837"/>
      <c r="AC227" s="837"/>
      <c r="AD227" s="954"/>
      <c r="AE227" s="837"/>
      <c r="AF227" s="837"/>
      <c r="AG227" s="954"/>
      <c r="AH227" s="837"/>
      <c r="AI227" s="837"/>
      <c r="AJ227" s="954"/>
      <c r="AK227" s="837"/>
      <c r="AL227" s="837"/>
      <c r="AM227" s="837"/>
      <c r="AN227" s="837"/>
      <c r="AO227" s="837"/>
      <c r="AP227" s="837"/>
      <c r="AQ227" s="837"/>
      <c r="AR227" s="837"/>
      <c r="AS227" s="837"/>
      <c r="AT227" s="837"/>
      <c r="AU227" s="837"/>
      <c r="AV227" s="837"/>
      <c r="AW227" s="837"/>
      <c r="AX227" s="837"/>
      <c r="AY227" s="837"/>
      <c r="AZ227" s="837"/>
      <c r="BA227" s="837"/>
      <c r="BB227" s="837"/>
      <c r="BC227" s="837"/>
      <c r="BD227" s="837"/>
      <c r="BE227" s="837"/>
      <c r="BF227" s="837"/>
    </row>
    <row r="228" spans="2:58" hidden="1" x14ac:dyDescent="0.25">
      <c r="B228" s="837"/>
      <c r="C228" s="1008"/>
      <c r="D228" s="837"/>
      <c r="E228" s="837"/>
      <c r="F228" s="837"/>
      <c r="G228" s="837"/>
      <c r="H228" s="837"/>
      <c r="I228" s="954"/>
      <c r="J228" s="837"/>
      <c r="K228" s="837"/>
      <c r="L228" s="954"/>
      <c r="M228" s="837"/>
      <c r="N228" s="837"/>
      <c r="O228" s="954"/>
      <c r="P228" s="837"/>
      <c r="Q228" s="837"/>
      <c r="R228" s="954"/>
      <c r="S228" s="837"/>
      <c r="T228" s="837"/>
      <c r="U228" s="954"/>
      <c r="V228" s="837"/>
      <c r="W228" s="837"/>
      <c r="X228" s="954"/>
      <c r="Y228" s="837"/>
      <c r="Z228" s="837"/>
      <c r="AA228" s="954"/>
      <c r="AB228" s="837"/>
      <c r="AC228" s="837"/>
      <c r="AD228" s="954"/>
      <c r="AE228" s="837"/>
      <c r="AF228" s="837"/>
      <c r="AG228" s="954"/>
      <c r="AH228" s="837"/>
      <c r="AI228" s="837"/>
      <c r="AJ228" s="954"/>
      <c r="AK228" s="837"/>
      <c r="AL228" s="837"/>
      <c r="AM228" s="837"/>
      <c r="AN228" s="837"/>
      <c r="AO228" s="837"/>
      <c r="AP228" s="837"/>
      <c r="AQ228" s="837"/>
      <c r="AR228" s="837"/>
      <c r="AS228" s="837"/>
      <c r="AT228" s="837"/>
      <c r="AU228" s="837"/>
      <c r="AV228" s="837"/>
      <c r="AW228" s="837"/>
      <c r="AX228" s="837"/>
      <c r="AY228" s="837"/>
      <c r="AZ228" s="837"/>
      <c r="BA228" s="837"/>
      <c r="BB228" s="837"/>
      <c r="BC228" s="837"/>
      <c r="BD228" s="837"/>
      <c r="BE228" s="837"/>
      <c r="BF228" s="837"/>
    </row>
    <row r="229" spans="2:58" hidden="1" x14ac:dyDescent="0.25">
      <c r="B229" s="837"/>
      <c r="C229" s="1008"/>
      <c r="D229" s="837"/>
      <c r="E229" s="837"/>
      <c r="F229" s="837"/>
      <c r="G229" s="837"/>
      <c r="H229" s="837"/>
      <c r="I229" s="954"/>
      <c r="J229" s="837"/>
      <c r="K229" s="837"/>
      <c r="L229" s="954"/>
      <c r="M229" s="837"/>
      <c r="N229" s="837"/>
      <c r="O229" s="954"/>
      <c r="P229" s="837"/>
      <c r="Q229" s="837"/>
      <c r="R229" s="954"/>
      <c r="S229" s="837"/>
      <c r="T229" s="837"/>
      <c r="U229" s="954"/>
      <c r="V229" s="837"/>
      <c r="W229" s="837"/>
      <c r="X229" s="954"/>
      <c r="Y229" s="837"/>
      <c r="Z229" s="837"/>
      <c r="AA229" s="954"/>
      <c r="AB229" s="837"/>
      <c r="AC229" s="837"/>
      <c r="AD229" s="954"/>
      <c r="AE229" s="837"/>
      <c r="AF229" s="837"/>
      <c r="AG229" s="954"/>
      <c r="AH229" s="837"/>
      <c r="AI229" s="837"/>
      <c r="AJ229" s="954"/>
      <c r="AK229" s="837"/>
      <c r="AL229" s="837"/>
      <c r="AM229" s="837"/>
      <c r="AN229" s="837"/>
      <c r="AO229" s="837"/>
      <c r="AP229" s="837"/>
      <c r="AQ229" s="837"/>
      <c r="AR229" s="837"/>
      <c r="AS229" s="837"/>
      <c r="AT229" s="837"/>
      <c r="AU229" s="837"/>
      <c r="AV229" s="837"/>
      <c r="AW229" s="837"/>
      <c r="AX229" s="837"/>
      <c r="AY229" s="837"/>
      <c r="AZ229" s="837"/>
      <c r="BA229" s="837"/>
      <c r="BB229" s="837"/>
      <c r="BC229" s="837"/>
      <c r="BD229" s="837"/>
      <c r="BE229" s="837"/>
      <c r="BF229" s="837"/>
    </row>
    <row r="230" spans="2:58" hidden="1" x14ac:dyDescent="0.25">
      <c r="B230" s="837"/>
      <c r="C230" s="1008"/>
      <c r="D230" s="837"/>
      <c r="E230" s="837"/>
      <c r="F230" s="837"/>
      <c r="G230" s="837"/>
      <c r="H230" s="837"/>
      <c r="I230" s="954"/>
      <c r="J230" s="837"/>
      <c r="K230" s="837"/>
      <c r="L230" s="954"/>
      <c r="M230" s="837"/>
      <c r="N230" s="837"/>
      <c r="O230" s="954"/>
      <c r="P230" s="837"/>
      <c r="Q230" s="837"/>
      <c r="R230" s="954"/>
      <c r="S230" s="837"/>
      <c r="T230" s="837"/>
      <c r="U230" s="954"/>
      <c r="V230" s="837"/>
      <c r="W230" s="837"/>
      <c r="X230" s="954"/>
      <c r="Y230" s="837"/>
      <c r="Z230" s="837"/>
      <c r="AA230" s="954"/>
      <c r="AB230" s="837"/>
      <c r="AC230" s="837"/>
      <c r="AD230" s="954"/>
      <c r="AE230" s="837"/>
      <c r="AF230" s="837"/>
      <c r="AG230" s="954"/>
      <c r="AH230" s="837"/>
      <c r="AI230" s="837"/>
      <c r="AJ230" s="954"/>
      <c r="AK230" s="837"/>
      <c r="AL230" s="837"/>
      <c r="AM230" s="837"/>
      <c r="AN230" s="837"/>
      <c r="AO230" s="837"/>
      <c r="AP230" s="837"/>
      <c r="AQ230" s="837"/>
      <c r="AR230" s="837"/>
      <c r="AS230" s="837"/>
      <c r="AT230" s="837"/>
      <c r="AU230" s="837"/>
      <c r="AV230" s="837"/>
      <c r="AW230" s="837"/>
      <c r="AX230" s="837"/>
      <c r="AY230" s="837"/>
      <c r="AZ230" s="837"/>
      <c r="BA230" s="837"/>
      <c r="BB230" s="837"/>
      <c r="BC230" s="837"/>
      <c r="BD230" s="837"/>
      <c r="BE230" s="837"/>
      <c r="BF230" s="837"/>
    </row>
    <row r="231" spans="2:58" hidden="1" x14ac:dyDescent="0.25">
      <c r="B231" s="837"/>
      <c r="C231" s="1008"/>
      <c r="D231" s="837"/>
      <c r="E231" s="837"/>
      <c r="F231" s="837"/>
      <c r="G231" s="837"/>
      <c r="H231" s="837"/>
      <c r="I231" s="954"/>
      <c r="J231" s="837"/>
      <c r="K231" s="837"/>
      <c r="L231" s="954"/>
      <c r="M231" s="837"/>
      <c r="N231" s="837"/>
      <c r="O231" s="954"/>
      <c r="P231" s="837"/>
      <c r="Q231" s="837"/>
      <c r="R231" s="954"/>
      <c r="S231" s="837"/>
      <c r="T231" s="837"/>
      <c r="U231" s="954"/>
      <c r="V231" s="837"/>
      <c r="W231" s="837"/>
      <c r="X231" s="954"/>
      <c r="Y231" s="837"/>
      <c r="Z231" s="837"/>
      <c r="AA231" s="954"/>
      <c r="AB231" s="837"/>
      <c r="AC231" s="837"/>
      <c r="AD231" s="954"/>
      <c r="AE231" s="837"/>
      <c r="AF231" s="837"/>
      <c r="AG231" s="954"/>
      <c r="AH231" s="837"/>
      <c r="AI231" s="837"/>
      <c r="AJ231" s="954"/>
      <c r="AK231" s="837"/>
      <c r="AL231" s="837"/>
      <c r="AM231" s="837"/>
      <c r="AN231" s="837"/>
      <c r="AO231" s="837"/>
      <c r="AP231" s="837"/>
      <c r="AQ231" s="837"/>
      <c r="AR231" s="837"/>
      <c r="AS231" s="837"/>
      <c r="AT231" s="837"/>
      <c r="AU231" s="837"/>
      <c r="AV231" s="837"/>
      <c r="AW231" s="837"/>
      <c r="AX231" s="837"/>
      <c r="AY231" s="837"/>
      <c r="AZ231" s="837"/>
      <c r="BA231" s="837"/>
      <c r="BB231" s="837"/>
      <c r="BC231" s="837"/>
      <c r="BD231" s="837"/>
      <c r="BE231" s="837"/>
      <c r="BF231" s="837"/>
    </row>
    <row r="232" spans="2:58" hidden="1" x14ac:dyDescent="0.25">
      <c r="B232" s="837"/>
      <c r="C232" s="1008"/>
      <c r="D232" s="837"/>
      <c r="E232" s="837"/>
      <c r="F232" s="837"/>
      <c r="G232" s="837"/>
      <c r="H232" s="837"/>
      <c r="I232" s="954"/>
      <c r="J232" s="837"/>
      <c r="K232" s="837"/>
      <c r="L232" s="954"/>
      <c r="M232" s="837"/>
      <c r="N232" s="837"/>
      <c r="O232" s="954"/>
      <c r="P232" s="837"/>
      <c r="Q232" s="837"/>
      <c r="R232" s="954"/>
      <c r="S232" s="837"/>
      <c r="T232" s="837"/>
      <c r="U232" s="954"/>
      <c r="V232" s="837"/>
      <c r="W232" s="837"/>
      <c r="X232" s="954"/>
      <c r="Y232" s="837"/>
      <c r="Z232" s="837"/>
      <c r="AA232" s="954"/>
      <c r="AB232" s="837"/>
      <c r="AC232" s="837"/>
      <c r="AD232" s="954"/>
      <c r="AE232" s="837"/>
      <c r="AF232" s="837"/>
      <c r="AG232" s="954"/>
      <c r="AH232" s="837"/>
      <c r="AI232" s="837"/>
      <c r="AJ232" s="954"/>
      <c r="AK232" s="837"/>
      <c r="AL232" s="837"/>
      <c r="AM232" s="837"/>
      <c r="AN232" s="837"/>
      <c r="AO232" s="837"/>
      <c r="AP232" s="837"/>
      <c r="AQ232" s="837"/>
      <c r="AR232" s="837"/>
      <c r="AS232" s="837"/>
      <c r="AT232" s="837"/>
      <c r="AU232" s="837"/>
      <c r="AV232" s="837"/>
      <c r="AW232" s="837"/>
      <c r="AX232" s="837"/>
      <c r="AY232" s="837"/>
      <c r="AZ232" s="837"/>
      <c r="BA232" s="837"/>
      <c r="BB232" s="837"/>
      <c r="BC232" s="837"/>
      <c r="BD232" s="837"/>
      <c r="BE232" s="837"/>
      <c r="BF232" s="837"/>
    </row>
    <row r="233" spans="2:58" hidden="1" x14ac:dyDescent="0.25">
      <c r="B233" s="837"/>
      <c r="C233" s="1008"/>
      <c r="D233" s="837"/>
      <c r="E233" s="837"/>
      <c r="F233" s="837"/>
      <c r="G233" s="837"/>
      <c r="H233" s="837"/>
      <c r="I233" s="954"/>
      <c r="J233" s="837"/>
      <c r="K233" s="837"/>
      <c r="L233" s="954"/>
      <c r="M233" s="837"/>
      <c r="N233" s="837"/>
      <c r="O233" s="954"/>
      <c r="P233" s="837"/>
      <c r="Q233" s="837"/>
      <c r="R233" s="954"/>
      <c r="S233" s="837"/>
      <c r="T233" s="837"/>
      <c r="U233" s="954"/>
      <c r="V233" s="837"/>
      <c r="W233" s="837"/>
      <c r="X233" s="954"/>
      <c r="Y233" s="837"/>
      <c r="Z233" s="837"/>
      <c r="AA233" s="954"/>
      <c r="AB233" s="837"/>
      <c r="AC233" s="837"/>
      <c r="AD233" s="954"/>
      <c r="AE233" s="837"/>
      <c r="AF233" s="837"/>
      <c r="AG233" s="954"/>
      <c r="AH233" s="837"/>
      <c r="AI233" s="837"/>
      <c r="AJ233" s="954"/>
      <c r="AK233" s="837"/>
      <c r="AL233" s="837"/>
      <c r="AM233" s="837"/>
      <c r="AN233" s="837"/>
      <c r="AO233" s="837"/>
      <c r="AP233" s="837"/>
      <c r="AQ233" s="837"/>
      <c r="AR233" s="837"/>
      <c r="AS233" s="837"/>
      <c r="AT233" s="837"/>
      <c r="AU233" s="837"/>
      <c r="AV233" s="837"/>
      <c r="AW233" s="837"/>
      <c r="AX233" s="837"/>
      <c r="AY233" s="837"/>
      <c r="AZ233" s="837"/>
      <c r="BA233" s="837"/>
      <c r="BB233" s="837"/>
      <c r="BC233" s="837"/>
      <c r="BD233" s="837"/>
      <c r="BE233" s="837"/>
      <c r="BF233" s="837"/>
    </row>
    <row r="234" spans="2:58" hidden="1" x14ac:dyDescent="0.25">
      <c r="B234" s="837"/>
      <c r="C234" s="1008"/>
      <c r="D234" s="837"/>
      <c r="E234" s="837"/>
      <c r="F234" s="837"/>
      <c r="G234" s="837"/>
      <c r="H234" s="837"/>
      <c r="I234" s="954"/>
      <c r="J234" s="837"/>
      <c r="K234" s="837"/>
      <c r="L234" s="954"/>
      <c r="M234" s="837"/>
      <c r="N234" s="837"/>
      <c r="O234" s="954"/>
      <c r="P234" s="837"/>
      <c r="Q234" s="837"/>
      <c r="R234" s="954"/>
      <c r="S234" s="837"/>
      <c r="T234" s="837"/>
      <c r="U234" s="954"/>
      <c r="V234" s="837"/>
      <c r="W234" s="837"/>
      <c r="X234" s="954"/>
      <c r="Y234" s="837"/>
      <c r="Z234" s="837"/>
      <c r="AA234" s="954"/>
      <c r="AB234" s="837"/>
      <c r="AC234" s="837"/>
      <c r="AD234" s="954"/>
      <c r="AE234" s="837"/>
      <c r="AF234" s="837"/>
      <c r="AG234" s="954"/>
      <c r="AH234" s="837"/>
      <c r="AI234" s="837"/>
      <c r="AJ234" s="954"/>
      <c r="AK234" s="837"/>
      <c r="AL234" s="837"/>
      <c r="AM234" s="837"/>
      <c r="AN234" s="837"/>
      <c r="AO234" s="837"/>
      <c r="AP234" s="837"/>
      <c r="AQ234" s="837"/>
      <c r="AR234" s="837"/>
      <c r="AS234" s="837"/>
      <c r="AT234" s="837"/>
      <c r="AU234" s="837"/>
      <c r="AV234" s="837"/>
      <c r="AW234" s="837"/>
      <c r="AX234" s="837"/>
      <c r="AY234" s="837"/>
      <c r="AZ234" s="837"/>
      <c r="BA234" s="837"/>
      <c r="BB234" s="837"/>
      <c r="BC234" s="837"/>
      <c r="BD234" s="837"/>
      <c r="BE234" s="837"/>
      <c r="BF234" s="837"/>
    </row>
    <row r="235" spans="2:58" hidden="1" x14ac:dyDescent="0.25">
      <c r="B235" s="837"/>
      <c r="C235" s="1008"/>
      <c r="D235" s="837"/>
      <c r="E235" s="837"/>
      <c r="F235" s="837"/>
      <c r="G235" s="837"/>
      <c r="H235" s="837"/>
      <c r="I235" s="954"/>
      <c r="J235" s="837"/>
      <c r="K235" s="837"/>
      <c r="L235" s="954"/>
      <c r="M235" s="837"/>
      <c r="N235" s="837"/>
      <c r="O235" s="954"/>
      <c r="P235" s="837"/>
      <c r="Q235" s="837"/>
      <c r="R235" s="954"/>
      <c r="S235" s="837"/>
      <c r="T235" s="837"/>
      <c r="U235" s="954"/>
      <c r="V235" s="837"/>
      <c r="W235" s="837"/>
      <c r="X235" s="954"/>
      <c r="Y235" s="837"/>
      <c r="Z235" s="837"/>
      <c r="AA235" s="954"/>
      <c r="AB235" s="837"/>
      <c r="AC235" s="837"/>
      <c r="AD235" s="954"/>
      <c r="AE235" s="837"/>
      <c r="AF235" s="837"/>
      <c r="AG235" s="954"/>
      <c r="AH235" s="837"/>
      <c r="AI235" s="837"/>
      <c r="AJ235" s="954"/>
      <c r="AK235" s="837"/>
      <c r="AL235" s="837"/>
      <c r="AM235" s="837"/>
      <c r="AN235" s="837"/>
      <c r="AO235" s="837"/>
      <c r="AP235" s="837"/>
      <c r="AQ235" s="837"/>
      <c r="AR235" s="837"/>
      <c r="AS235" s="837"/>
      <c r="AT235" s="837"/>
      <c r="AU235" s="837"/>
      <c r="AV235" s="837"/>
      <c r="AW235" s="837"/>
      <c r="AX235" s="837"/>
      <c r="AY235" s="837"/>
      <c r="AZ235" s="837"/>
      <c r="BA235" s="837"/>
      <c r="BB235" s="837"/>
      <c r="BC235" s="837"/>
      <c r="BD235" s="837"/>
      <c r="BE235" s="837"/>
      <c r="BF235" s="837"/>
    </row>
    <row r="236" spans="2:58" hidden="1" x14ac:dyDescent="0.25">
      <c r="B236" s="837"/>
      <c r="C236" s="1008"/>
      <c r="D236" s="837"/>
      <c r="E236" s="837"/>
      <c r="F236" s="837"/>
      <c r="G236" s="837"/>
      <c r="H236" s="837"/>
      <c r="I236" s="954"/>
      <c r="J236" s="837"/>
      <c r="K236" s="837"/>
      <c r="L236" s="954"/>
      <c r="M236" s="837"/>
      <c r="N236" s="837"/>
      <c r="O236" s="954"/>
      <c r="P236" s="837"/>
      <c r="Q236" s="837"/>
      <c r="R236" s="954"/>
      <c r="S236" s="837"/>
      <c r="T236" s="837"/>
      <c r="U236" s="954"/>
      <c r="V236" s="837"/>
      <c r="W236" s="837"/>
      <c r="X236" s="954"/>
      <c r="Y236" s="837"/>
      <c r="Z236" s="837"/>
      <c r="AA236" s="954"/>
      <c r="AB236" s="837"/>
      <c r="AC236" s="837"/>
      <c r="AD236" s="954"/>
      <c r="AE236" s="837"/>
      <c r="AF236" s="837"/>
      <c r="AG236" s="954"/>
      <c r="AH236" s="837"/>
      <c r="AI236" s="837"/>
      <c r="AJ236" s="954"/>
      <c r="AK236" s="837"/>
      <c r="AL236" s="837"/>
      <c r="AM236" s="837"/>
      <c r="AN236" s="837"/>
      <c r="AO236" s="837"/>
      <c r="AP236" s="837"/>
      <c r="AQ236" s="837"/>
      <c r="AR236" s="837"/>
      <c r="AS236" s="837"/>
      <c r="AT236" s="837"/>
      <c r="AU236" s="837"/>
      <c r="AV236" s="837"/>
      <c r="AW236" s="837"/>
      <c r="AX236" s="837"/>
      <c r="AY236" s="837"/>
      <c r="AZ236" s="837"/>
      <c r="BA236" s="837"/>
      <c r="BB236" s="837"/>
      <c r="BC236" s="837"/>
      <c r="BD236" s="837"/>
      <c r="BE236" s="837"/>
      <c r="BF236" s="837"/>
    </row>
    <row r="237" spans="2:58" hidden="1" x14ac:dyDescent="0.25">
      <c r="B237" s="837"/>
      <c r="C237" s="1008"/>
      <c r="D237" s="837"/>
      <c r="E237" s="837"/>
      <c r="F237" s="837"/>
      <c r="G237" s="837"/>
      <c r="H237" s="837"/>
      <c r="I237" s="954"/>
      <c r="J237" s="837"/>
      <c r="K237" s="837"/>
      <c r="L237" s="954"/>
      <c r="M237" s="837"/>
      <c r="N237" s="837"/>
      <c r="O237" s="954"/>
      <c r="P237" s="837"/>
      <c r="Q237" s="837"/>
      <c r="R237" s="954"/>
      <c r="S237" s="837"/>
      <c r="T237" s="837"/>
      <c r="U237" s="954"/>
      <c r="V237" s="837"/>
      <c r="W237" s="837"/>
      <c r="X237" s="954"/>
      <c r="Y237" s="837"/>
      <c r="Z237" s="837"/>
      <c r="AA237" s="954"/>
      <c r="AB237" s="837"/>
      <c r="AC237" s="837"/>
      <c r="AD237" s="954"/>
      <c r="AE237" s="837"/>
      <c r="AF237" s="837"/>
      <c r="AG237" s="954"/>
      <c r="AH237" s="837"/>
      <c r="AI237" s="837"/>
      <c r="AJ237" s="954"/>
      <c r="AK237" s="837"/>
      <c r="AL237" s="837"/>
      <c r="AM237" s="837"/>
      <c r="AN237" s="837"/>
      <c r="AO237" s="837"/>
      <c r="AP237" s="837"/>
      <c r="AQ237" s="837"/>
      <c r="AR237" s="837"/>
      <c r="AS237" s="837"/>
      <c r="AT237" s="837"/>
      <c r="AU237" s="837"/>
      <c r="AV237" s="837"/>
      <c r="AW237" s="837"/>
      <c r="AX237" s="837"/>
      <c r="AY237" s="837"/>
      <c r="AZ237" s="837"/>
      <c r="BA237" s="837"/>
      <c r="BB237" s="837"/>
      <c r="BC237" s="837"/>
      <c r="BD237" s="837"/>
      <c r="BE237" s="837"/>
      <c r="BF237" s="837"/>
    </row>
    <row r="238" spans="2:58" hidden="1" x14ac:dyDescent="0.25">
      <c r="B238" s="837"/>
      <c r="C238" s="1008"/>
      <c r="D238" s="837"/>
      <c r="E238" s="837"/>
      <c r="F238" s="837"/>
      <c r="G238" s="837"/>
      <c r="H238" s="837"/>
      <c r="I238" s="954"/>
      <c r="J238" s="837"/>
      <c r="K238" s="837"/>
      <c r="L238" s="954"/>
      <c r="M238" s="837"/>
      <c r="N238" s="837"/>
      <c r="O238" s="954"/>
      <c r="P238" s="837"/>
      <c r="Q238" s="837"/>
      <c r="R238" s="954"/>
      <c r="S238" s="837"/>
      <c r="T238" s="837"/>
      <c r="U238" s="954"/>
      <c r="V238" s="837"/>
      <c r="W238" s="837"/>
      <c r="X238" s="954"/>
      <c r="Y238" s="837"/>
      <c r="Z238" s="837"/>
      <c r="AA238" s="954"/>
      <c r="AB238" s="837"/>
      <c r="AC238" s="837"/>
      <c r="AD238" s="954"/>
      <c r="AE238" s="837"/>
      <c r="AF238" s="837"/>
      <c r="AG238" s="954"/>
      <c r="AH238" s="837"/>
      <c r="AI238" s="837"/>
      <c r="AJ238" s="954"/>
      <c r="AK238" s="837"/>
      <c r="AL238" s="837"/>
      <c r="AM238" s="837"/>
      <c r="AN238" s="837"/>
      <c r="AO238" s="837"/>
      <c r="AP238" s="837"/>
      <c r="AQ238" s="837"/>
      <c r="AR238" s="837"/>
      <c r="AS238" s="837"/>
      <c r="AT238" s="837"/>
      <c r="AU238" s="837"/>
      <c r="AV238" s="837"/>
      <c r="AW238" s="837"/>
      <c r="AX238" s="837"/>
      <c r="AY238" s="837"/>
      <c r="AZ238" s="837"/>
      <c r="BA238" s="837"/>
      <c r="BB238" s="837"/>
      <c r="BC238" s="837"/>
      <c r="BD238" s="837"/>
      <c r="BE238" s="837"/>
      <c r="BF238" s="837"/>
    </row>
    <row r="239" spans="2:58" hidden="1" x14ac:dyDescent="0.25">
      <c r="B239" s="837"/>
      <c r="C239" s="1008"/>
      <c r="D239" s="837"/>
      <c r="E239" s="837"/>
      <c r="F239" s="837"/>
      <c r="G239" s="837"/>
      <c r="H239" s="837"/>
      <c r="I239" s="954"/>
      <c r="J239" s="837"/>
      <c r="K239" s="837"/>
      <c r="L239" s="954"/>
      <c r="M239" s="837"/>
      <c r="N239" s="837"/>
      <c r="O239" s="954"/>
      <c r="P239" s="837"/>
      <c r="Q239" s="837"/>
      <c r="R239" s="954"/>
      <c r="S239" s="837"/>
      <c r="T239" s="837"/>
      <c r="U239" s="954"/>
      <c r="V239" s="837"/>
      <c r="W239" s="837"/>
      <c r="X239" s="954"/>
      <c r="Y239" s="837"/>
      <c r="Z239" s="837"/>
      <c r="AA239" s="954"/>
      <c r="AB239" s="837"/>
      <c r="AC239" s="837"/>
      <c r="AD239" s="954"/>
      <c r="AE239" s="837"/>
      <c r="AF239" s="837"/>
      <c r="AG239" s="954"/>
      <c r="AH239" s="837"/>
      <c r="AI239" s="837"/>
      <c r="AJ239" s="954"/>
      <c r="AK239" s="837"/>
      <c r="AL239" s="837"/>
      <c r="AM239" s="837"/>
      <c r="AN239" s="837"/>
      <c r="AO239" s="837"/>
      <c r="AP239" s="837"/>
      <c r="AQ239" s="837"/>
      <c r="AR239" s="837"/>
      <c r="AS239" s="837"/>
      <c r="AT239" s="837"/>
      <c r="AU239" s="837"/>
      <c r="AV239" s="837"/>
      <c r="AW239" s="837"/>
      <c r="AX239" s="837"/>
      <c r="AY239" s="837"/>
      <c r="AZ239" s="837"/>
      <c r="BA239" s="837"/>
      <c r="BB239" s="837"/>
      <c r="BC239" s="837"/>
      <c r="BD239" s="837"/>
      <c r="BE239" s="837"/>
      <c r="BF239" s="837"/>
    </row>
    <row r="240" spans="2:58" hidden="1" x14ac:dyDescent="0.25">
      <c r="B240" s="837"/>
      <c r="C240" s="1008"/>
      <c r="D240" s="837"/>
      <c r="E240" s="837"/>
      <c r="F240" s="837"/>
      <c r="G240" s="837"/>
      <c r="H240" s="837"/>
      <c r="I240" s="954"/>
      <c r="J240" s="837"/>
      <c r="K240" s="837"/>
      <c r="L240" s="954"/>
      <c r="M240" s="837"/>
      <c r="N240" s="837"/>
      <c r="O240" s="954"/>
      <c r="P240" s="837"/>
      <c r="Q240" s="837"/>
      <c r="R240" s="954"/>
      <c r="S240" s="837"/>
      <c r="T240" s="837"/>
      <c r="U240" s="954"/>
      <c r="V240" s="837"/>
      <c r="W240" s="837"/>
      <c r="X240" s="954"/>
      <c r="Y240" s="837"/>
      <c r="Z240" s="837"/>
      <c r="AA240" s="954"/>
      <c r="AB240" s="837"/>
      <c r="AC240" s="837"/>
      <c r="AD240" s="954"/>
      <c r="AE240" s="837"/>
      <c r="AF240" s="837"/>
      <c r="AG240" s="954"/>
      <c r="AH240" s="837"/>
      <c r="AI240" s="837"/>
      <c r="AJ240" s="954"/>
      <c r="AK240" s="837"/>
      <c r="AL240" s="837"/>
      <c r="AM240" s="837"/>
      <c r="AN240" s="837"/>
      <c r="AO240" s="837"/>
      <c r="AP240" s="837"/>
      <c r="AQ240" s="837"/>
      <c r="AR240" s="837"/>
      <c r="AS240" s="837"/>
      <c r="AT240" s="837"/>
      <c r="AU240" s="837"/>
      <c r="AV240" s="837"/>
      <c r="AW240" s="837"/>
      <c r="AX240" s="837"/>
      <c r="AY240" s="837"/>
      <c r="AZ240" s="837"/>
      <c r="BA240" s="837"/>
      <c r="BB240" s="837"/>
      <c r="BC240" s="837"/>
      <c r="BD240" s="837"/>
      <c r="BE240" s="837"/>
      <c r="BF240" s="837"/>
    </row>
    <row r="241" spans="2:58" hidden="1" x14ac:dyDescent="0.25">
      <c r="B241" s="837"/>
      <c r="C241" s="1008"/>
      <c r="D241" s="837"/>
      <c r="E241" s="837"/>
      <c r="F241" s="837"/>
      <c r="G241" s="837"/>
      <c r="H241" s="837"/>
      <c r="I241" s="954"/>
      <c r="J241" s="837"/>
      <c r="K241" s="837"/>
      <c r="L241" s="954"/>
      <c r="M241" s="837"/>
      <c r="N241" s="837"/>
      <c r="O241" s="954"/>
      <c r="P241" s="837"/>
      <c r="Q241" s="837"/>
      <c r="R241" s="954"/>
      <c r="S241" s="837"/>
      <c r="T241" s="837"/>
      <c r="U241" s="954"/>
      <c r="V241" s="837"/>
      <c r="W241" s="837"/>
      <c r="X241" s="954"/>
      <c r="Y241" s="837"/>
      <c r="Z241" s="837"/>
      <c r="AA241" s="954"/>
      <c r="AB241" s="837"/>
      <c r="AC241" s="837"/>
      <c r="AD241" s="954"/>
      <c r="AE241" s="837"/>
      <c r="AF241" s="837"/>
      <c r="AG241" s="954"/>
      <c r="AH241" s="837"/>
      <c r="AI241" s="837"/>
      <c r="AJ241" s="954"/>
      <c r="AK241" s="837"/>
      <c r="AL241" s="837"/>
      <c r="AM241" s="837"/>
      <c r="AN241" s="837"/>
      <c r="AO241" s="837"/>
      <c r="AP241" s="837"/>
      <c r="AQ241" s="837"/>
      <c r="AR241" s="837"/>
      <c r="AS241" s="837"/>
      <c r="AT241" s="837"/>
      <c r="AU241" s="837"/>
      <c r="AV241" s="837"/>
      <c r="AW241" s="837"/>
      <c r="AX241" s="837"/>
      <c r="AY241" s="837"/>
      <c r="AZ241" s="837"/>
      <c r="BA241" s="837"/>
      <c r="BB241" s="837"/>
      <c r="BC241" s="837"/>
      <c r="BD241" s="837"/>
      <c r="BE241" s="837"/>
      <c r="BF241" s="837"/>
    </row>
    <row r="242" spans="2:58" hidden="1" x14ac:dyDescent="0.25">
      <c r="B242" s="837"/>
      <c r="C242" s="1008"/>
      <c r="D242" s="837"/>
      <c r="E242" s="837"/>
      <c r="F242" s="837"/>
      <c r="G242" s="837"/>
      <c r="H242" s="837"/>
      <c r="I242" s="954"/>
      <c r="J242" s="837"/>
      <c r="K242" s="837"/>
      <c r="L242" s="954"/>
      <c r="M242" s="837"/>
      <c r="N242" s="837"/>
      <c r="O242" s="954"/>
      <c r="P242" s="837"/>
      <c r="Q242" s="837"/>
      <c r="R242" s="954"/>
      <c r="S242" s="837"/>
      <c r="T242" s="837"/>
      <c r="U242" s="954"/>
      <c r="V242" s="837"/>
      <c r="W242" s="837"/>
      <c r="X242" s="954"/>
      <c r="Y242" s="837"/>
      <c r="Z242" s="837"/>
      <c r="AA242" s="954"/>
      <c r="AB242" s="837"/>
      <c r="AC242" s="837"/>
      <c r="AD242" s="954"/>
      <c r="AE242" s="837"/>
      <c r="AF242" s="837"/>
      <c r="AG242" s="954"/>
      <c r="AH242" s="837"/>
      <c r="AI242" s="837"/>
      <c r="AJ242" s="954"/>
      <c r="AK242" s="837"/>
      <c r="AL242" s="837"/>
      <c r="AM242" s="837"/>
      <c r="AN242" s="837"/>
      <c r="AO242" s="837"/>
      <c r="AP242" s="837"/>
      <c r="AQ242" s="837"/>
      <c r="AR242" s="837"/>
      <c r="AS242" s="837"/>
      <c r="AT242" s="837"/>
      <c r="AU242" s="837"/>
      <c r="AV242" s="837"/>
      <c r="AW242" s="837"/>
      <c r="AX242" s="837"/>
      <c r="AY242" s="837"/>
      <c r="AZ242" s="837"/>
      <c r="BA242" s="837"/>
      <c r="BB242" s="837"/>
      <c r="BC242" s="837"/>
      <c r="BD242" s="837"/>
      <c r="BE242" s="837"/>
      <c r="BF242" s="837"/>
    </row>
    <row r="243" spans="2:58" hidden="1" x14ac:dyDescent="0.25">
      <c r="B243" s="837"/>
      <c r="C243" s="1008"/>
      <c r="D243" s="837"/>
      <c r="E243" s="837"/>
      <c r="F243" s="837"/>
      <c r="G243" s="837"/>
      <c r="H243" s="837"/>
      <c r="I243" s="954"/>
      <c r="J243" s="837"/>
      <c r="K243" s="837"/>
      <c r="L243" s="954"/>
      <c r="M243" s="837"/>
      <c r="N243" s="837"/>
      <c r="O243" s="954"/>
      <c r="P243" s="837"/>
      <c r="Q243" s="837"/>
      <c r="R243" s="954"/>
      <c r="S243" s="837"/>
      <c r="T243" s="837"/>
      <c r="U243" s="954"/>
      <c r="V243" s="837"/>
      <c r="W243" s="837"/>
      <c r="X243" s="954"/>
      <c r="Y243" s="837"/>
      <c r="Z243" s="837"/>
      <c r="AA243" s="954"/>
      <c r="AB243" s="837"/>
      <c r="AC243" s="837"/>
      <c r="AD243" s="954"/>
      <c r="AE243" s="837"/>
      <c r="AF243" s="837"/>
      <c r="AG243" s="954"/>
      <c r="AH243" s="837"/>
      <c r="AI243" s="837"/>
      <c r="AJ243" s="954"/>
      <c r="AK243" s="837"/>
      <c r="AL243" s="837"/>
      <c r="AM243" s="837"/>
      <c r="AN243" s="837"/>
      <c r="AO243" s="837"/>
      <c r="AP243" s="837"/>
      <c r="AQ243" s="837"/>
      <c r="AR243" s="837"/>
      <c r="AS243" s="837"/>
      <c r="AT243" s="837"/>
      <c r="AU243" s="837"/>
      <c r="AV243" s="837"/>
      <c r="AW243" s="837"/>
      <c r="AX243" s="837"/>
      <c r="AY243" s="837"/>
      <c r="AZ243" s="837"/>
      <c r="BA243" s="837"/>
      <c r="BB243" s="837"/>
      <c r="BC243" s="837"/>
      <c r="BD243" s="837"/>
      <c r="BE243" s="837"/>
      <c r="BF243" s="837"/>
    </row>
    <row r="244" spans="2:58" hidden="1" x14ac:dyDescent="0.25">
      <c r="B244" s="837"/>
      <c r="C244" s="1008"/>
      <c r="D244" s="837"/>
      <c r="E244" s="837"/>
      <c r="F244" s="837"/>
      <c r="G244" s="837"/>
      <c r="H244" s="837"/>
      <c r="I244" s="954"/>
      <c r="J244" s="837"/>
      <c r="K244" s="837"/>
      <c r="L244" s="954"/>
      <c r="M244" s="837"/>
      <c r="N244" s="837"/>
      <c r="O244" s="954"/>
      <c r="P244" s="837"/>
      <c r="Q244" s="837"/>
      <c r="R244" s="954"/>
      <c r="S244" s="837"/>
      <c r="T244" s="837"/>
      <c r="U244" s="954"/>
      <c r="V244" s="837"/>
      <c r="W244" s="837"/>
      <c r="X244" s="954"/>
      <c r="Y244" s="837"/>
      <c r="Z244" s="837"/>
      <c r="AA244" s="954"/>
      <c r="AB244" s="837"/>
      <c r="AC244" s="837"/>
      <c r="AD244" s="954"/>
      <c r="AE244" s="837"/>
      <c r="AF244" s="837"/>
      <c r="AG244" s="954"/>
      <c r="AH244" s="837"/>
      <c r="AI244" s="837"/>
      <c r="AJ244" s="954"/>
      <c r="AK244" s="837"/>
      <c r="AL244" s="837"/>
      <c r="AM244" s="837"/>
      <c r="AN244" s="837"/>
      <c r="AO244" s="837"/>
      <c r="AP244" s="837"/>
      <c r="AQ244" s="837"/>
      <c r="AR244" s="837"/>
      <c r="AS244" s="837"/>
      <c r="AT244" s="837"/>
      <c r="AU244" s="837"/>
      <c r="AV244" s="837"/>
      <c r="AW244" s="837"/>
      <c r="AX244" s="837"/>
      <c r="AY244" s="837"/>
      <c r="AZ244" s="837"/>
      <c r="BA244" s="837"/>
      <c r="BB244" s="837"/>
      <c r="BC244" s="837"/>
      <c r="BD244" s="837"/>
      <c r="BE244" s="837"/>
      <c r="BF244" s="837"/>
    </row>
    <row r="245" spans="2:58" hidden="1" x14ac:dyDescent="0.25">
      <c r="B245" s="837"/>
      <c r="C245" s="1008"/>
      <c r="D245" s="837"/>
      <c r="E245" s="837"/>
      <c r="F245" s="837"/>
      <c r="G245" s="837"/>
      <c r="H245" s="837"/>
      <c r="I245" s="954"/>
      <c r="J245" s="837"/>
      <c r="K245" s="837"/>
      <c r="L245" s="954"/>
      <c r="M245" s="837"/>
      <c r="N245" s="837"/>
      <c r="O245" s="954"/>
      <c r="P245" s="837"/>
      <c r="Q245" s="837"/>
      <c r="R245" s="954"/>
      <c r="S245" s="837"/>
      <c r="T245" s="837"/>
      <c r="U245" s="954"/>
      <c r="V245" s="837"/>
      <c r="W245" s="837"/>
      <c r="X245" s="954"/>
      <c r="Y245" s="837"/>
      <c r="Z245" s="837"/>
      <c r="AA245" s="954"/>
      <c r="AB245" s="837"/>
      <c r="AC245" s="837"/>
      <c r="AD245" s="954"/>
      <c r="AE245" s="837"/>
      <c r="AF245" s="837"/>
      <c r="AG245" s="954"/>
      <c r="AH245" s="837"/>
      <c r="AI245" s="837"/>
      <c r="AJ245" s="954"/>
      <c r="AK245" s="837"/>
      <c r="AL245" s="837"/>
      <c r="AM245" s="837"/>
      <c r="AN245" s="837"/>
      <c r="AO245" s="837"/>
      <c r="AP245" s="837"/>
      <c r="AQ245" s="837"/>
      <c r="AR245" s="837"/>
      <c r="AS245" s="837"/>
      <c r="AT245" s="837"/>
      <c r="AU245" s="837"/>
      <c r="AV245" s="837"/>
      <c r="AW245" s="837"/>
      <c r="AX245" s="837"/>
      <c r="AY245" s="837"/>
      <c r="AZ245" s="837"/>
      <c r="BA245" s="837"/>
      <c r="BB245" s="837"/>
      <c r="BC245" s="837"/>
      <c r="BD245" s="837"/>
      <c r="BE245" s="837"/>
      <c r="BF245" s="837"/>
    </row>
    <row r="246" spans="2:58" hidden="1" x14ac:dyDescent="0.25">
      <c r="B246" s="837"/>
      <c r="C246" s="1008"/>
      <c r="D246" s="837"/>
      <c r="E246" s="837"/>
      <c r="F246" s="837"/>
      <c r="G246" s="837"/>
      <c r="H246" s="837"/>
      <c r="I246" s="954"/>
      <c r="J246" s="837"/>
      <c r="K246" s="837"/>
      <c r="L246" s="954"/>
      <c r="M246" s="837"/>
      <c r="N246" s="837"/>
      <c r="O246" s="954"/>
      <c r="P246" s="837"/>
      <c r="Q246" s="837"/>
      <c r="R246" s="954"/>
      <c r="S246" s="837"/>
      <c r="T246" s="837"/>
      <c r="U246" s="954"/>
      <c r="V246" s="837"/>
      <c r="W246" s="837"/>
      <c r="X246" s="954"/>
      <c r="Y246" s="837"/>
      <c r="Z246" s="837"/>
      <c r="AA246" s="954"/>
      <c r="AB246" s="837"/>
      <c r="AC246" s="837"/>
      <c r="AD246" s="954"/>
      <c r="AE246" s="837"/>
      <c r="AF246" s="837"/>
      <c r="AG246" s="954"/>
      <c r="AH246" s="837"/>
      <c r="AI246" s="837"/>
      <c r="AJ246" s="954"/>
      <c r="AK246" s="837"/>
      <c r="AL246" s="837"/>
      <c r="AM246" s="837"/>
      <c r="AN246" s="837"/>
      <c r="AO246" s="837"/>
      <c r="AP246" s="837"/>
      <c r="AQ246" s="837"/>
      <c r="AR246" s="837"/>
      <c r="AS246" s="837"/>
      <c r="AT246" s="837"/>
      <c r="AU246" s="837"/>
      <c r="AV246" s="837"/>
      <c r="AW246" s="837"/>
      <c r="AX246" s="837"/>
      <c r="AY246" s="837"/>
      <c r="AZ246" s="837"/>
      <c r="BA246" s="837"/>
      <c r="BB246" s="837"/>
      <c r="BC246" s="837"/>
      <c r="BD246" s="837"/>
      <c r="BE246" s="837"/>
      <c r="BF246" s="837"/>
    </row>
    <row r="247" spans="2:58" hidden="1" x14ac:dyDescent="0.25">
      <c r="B247" s="837"/>
      <c r="C247" s="1008"/>
      <c r="D247" s="837"/>
      <c r="E247" s="837"/>
      <c r="F247" s="837"/>
      <c r="G247" s="837"/>
      <c r="H247" s="837"/>
      <c r="I247" s="954"/>
      <c r="J247" s="837"/>
      <c r="K247" s="837"/>
      <c r="L247" s="954"/>
      <c r="M247" s="837"/>
      <c r="N247" s="837"/>
      <c r="O247" s="954"/>
      <c r="P247" s="837"/>
      <c r="Q247" s="837"/>
      <c r="R247" s="954"/>
      <c r="S247" s="837"/>
      <c r="T247" s="837"/>
      <c r="U247" s="954"/>
      <c r="V247" s="837"/>
      <c r="W247" s="837"/>
      <c r="X247" s="954"/>
      <c r="Y247" s="837"/>
      <c r="Z247" s="837"/>
      <c r="AA247" s="954"/>
      <c r="AB247" s="837"/>
      <c r="AC247" s="837"/>
      <c r="AD247" s="954"/>
      <c r="AE247" s="837"/>
      <c r="AF247" s="837"/>
      <c r="AG247" s="954"/>
      <c r="AH247" s="837"/>
      <c r="AI247" s="837"/>
      <c r="AJ247" s="954"/>
      <c r="AK247" s="837"/>
      <c r="AL247" s="837"/>
      <c r="AM247" s="837"/>
      <c r="AN247" s="837"/>
      <c r="AO247" s="837"/>
      <c r="AP247" s="837"/>
      <c r="AQ247" s="837"/>
      <c r="AR247" s="837"/>
      <c r="AS247" s="837"/>
      <c r="AT247" s="837"/>
      <c r="AU247" s="837"/>
      <c r="AV247" s="837"/>
      <c r="AW247" s="837"/>
      <c r="AX247" s="837"/>
      <c r="AY247" s="837"/>
      <c r="AZ247" s="837"/>
      <c r="BA247" s="837"/>
      <c r="BB247" s="837"/>
      <c r="BC247" s="837"/>
      <c r="BD247" s="837"/>
      <c r="BE247" s="837"/>
      <c r="BF247" s="837"/>
    </row>
    <row r="248" spans="2:58" hidden="1" x14ac:dyDescent="0.25">
      <c r="B248" s="837"/>
      <c r="C248" s="1008"/>
      <c r="D248" s="837"/>
      <c r="E248" s="837"/>
      <c r="F248" s="837"/>
      <c r="G248" s="837"/>
      <c r="H248" s="837"/>
      <c r="I248" s="954"/>
      <c r="J248" s="837"/>
      <c r="K248" s="837"/>
      <c r="L248" s="954"/>
      <c r="M248" s="837"/>
      <c r="N248" s="837"/>
      <c r="O248" s="954"/>
      <c r="P248" s="837"/>
      <c r="Q248" s="837"/>
      <c r="R248" s="954"/>
      <c r="S248" s="837"/>
      <c r="T248" s="837"/>
      <c r="U248" s="954"/>
      <c r="V248" s="837"/>
      <c r="W248" s="837"/>
      <c r="X248" s="954"/>
      <c r="Y248" s="837"/>
      <c r="Z248" s="837"/>
      <c r="AA248" s="954"/>
      <c r="AB248" s="837"/>
      <c r="AC248" s="837"/>
      <c r="AD248" s="954"/>
      <c r="AE248" s="837"/>
      <c r="AF248" s="837"/>
      <c r="AG248" s="954"/>
      <c r="AH248" s="837"/>
      <c r="AI248" s="837"/>
      <c r="AJ248" s="954"/>
      <c r="AK248" s="837"/>
      <c r="AL248" s="837"/>
      <c r="AM248" s="837"/>
      <c r="AN248" s="837"/>
      <c r="AO248" s="837"/>
      <c r="AP248" s="837"/>
      <c r="AQ248" s="837"/>
      <c r="AR248" s="837"/>
      <c r="AS248" s="837"/>
      <c r="AT248" s="837"/>
      <c r="AU248" s="837"/>
      <c r="AV248" s="837"/>
      <c r="AW248" s="837"/>
      <c r="AX248" s="837"/>
      <c r="AY248" s="837"/>
      <c r="AZ248" s="837"/>
      <c r="BA248" s="837"/>
      <c r="BB248" s="837"/>
      <c r="BC248" s="837"/>
      <c r="BD248" s="837"/>
      <c r="BE248" s="837"/>
      <c r="BF248" s="837"/>
    </row>
    <row r="249" spans="2:58" hidden="1" x14ac:dyDescent="0.25">
      <c r="B249" s="837"/>
      <c r="C249" s="1008"/>
      <c r="D249" s="837"/>
      <c r="E249" s="837"/>
      <c r="F249" s="837"/>
      <c r="G249" s="837"/>
      <c r="H249" s="837"/>
      <c r="I249" s="954"/>
      <c r="J249" s="837"/>
      <c r="K249" s="837"/>
      <c r="L249" s="954"/>
      <c r="M249" s="837"/>
      <c r="N249" s="837"/>
      <c r="O249" s="954"/>
      <c r="P249" s="837"/>
      <c r="Q249" s="837"/>
      <c r="R249" s="954"/>
      <c r="S249" s="837"/>
      <c r="T249" s="837"/>
      <c r="U249" s="954"/>
      <c r="V249" s="837"/>
      <c r="W249" s="837"/>
      <c r="X249" s="954"/>
      <c r="Y249" s="837"/>
      <c r="Z249" s="837"/>
      <c r="AA249" s="954"/>
      <c r="AB249" s="837"/>
      <c r="AC249" s="837"/>
      <c r="AD249" s="954"/>
      <c r="AE249" s="837"/>
      <c r="AF249" s="837"/>
      <c r="AG249" s="954"/>
      <c r="AH249" s="837"/>
      <c r="AI249" s="837"/>
      <c r="AJ249" s="954"/>
      <c r="AK249" s="837"/>
      <c r="AL249" s="837"/>
      <c r="AM249" s="837"/>
      <c r="AN249" s="837"/>
      <c r="AO249" s="837"/>
      <c r="AP249" s="837"/>
      <c r="AQ249" s="837"/>
      <c r="AR249" s="837"/>
      <c r="AS249" s="837"/>
      <c r="AT249" s="837"/>
      <c r="AU249" s="837"/>
      <c r="AV249" s="837"/>
      <c r="AW249" s="837"/>
      <c r="AX249" s="837"/>
      <c r="AY249" s="837"/>
      <c r="AZ249" s="837"/>
      <c r="BA249" s="837"/>
      <c r="BB249" s="837"/>
      <c r="BC249" s="837"/>
      <c r="BD249" s="837"/>
      <c r="BE249" s="837"/>
      <c r="BF249" s="837"/>
    </row>
    <row r="250" spans="2:58" hidden="1" x14ac:dyDescent="0.25">
      <c r="B250" s="837"/>
      <c r="C250" s="1008"/>
      <c r="D250" s="837"/>
      <c r="E250" s="837"/>
      <c r="F250" s="837"/>
      <c r="G250" s="837"/>
      <c r="H250" s="837"/>
      <c r="I250" s="954"/>
      <c r="J250" s="837"/>
      <c r="K250" s="837"/>
      <c r="L250" s="954"/>
      <c r="M250" s="837"/>
      <c r="N250" s="837"/>
      <c r="O250" s="954"/>
      <c r="P250" s="837"/>
      <c r="Q250" s="837"/>
      <c r="R250" s="954"/>
      <c r="S250" s="837"/>
      <c r="T250" s="837"/>
      <c r="U250" s="954"/>
      <c r="V250" s="837"/>
      <c r="W250" s="837"/>
      <c r="X250" s="954"/>
      <c r="Y250" s="837"/>
      <c r="Z250" s="837"/>
      <c r="AA250" s="954"/>
      <c r="AB250" s="837"/>
      <c r="AC250" s="837"/>
      <c r="AD250" s="954"/>
      <c r="AE250" s="837"/>
      <c r="AF250" s="837"/>
      <c r="AG250" s="954"/>
      <c r="AH250" s="837"/>
      <c r="AI250" s="837"/>
      <c r="AJ250" s="954"/>
      <c r="AK250" s="837"/>
      <c r="AL250" s="837"/>
      <c r="AM250" s="837"/>
      <c r="AN250" s="837"/>
      <c r="AO250" s="837"/>
      <c r="AP250" s="837"/>
      <c r="AQ250" s="837"/>
      <c r="AR250" s="837"/>
      <c r="AS250" s="837"/>
      <c r="AT250" s="837"/>
      <c r="AU250" s="837"/>
      <c r="AV250" s="837"/>
      <c r="AW250" s="837"/>
      <c r="AX250" s="837"/>
      <c r="AY250" s="837"/>
      <c r="AZ250" s="837"/>
      <c r="BA250" s="837"/>
      <c r="BB250" s="837"/>
      <c r="BC250" s="837"/>
      <c r="BD250" s="837"/>
      <c r="BE250" s="837"/>
      <c r="BF250" s="837"/>
    </row>
    <row r="251" spans="2:58" hidden="1" x14ac:dyDescent="0.25">
      <c r="B251" s="837"/>
      <c r="C251" s="1008"/>
      <c r="D251" s="837"/>
      <c r="E251" s="837"/>
      <c r="F251" s="837"/>
      <c r="G251" s="837"/>
      <c r="H251" s="837"/>
      <c r="I251" s="954"/>
      <c r="J251" s="837"/>
      <c r="K251" s="837"/>
      <c r="L251" s="954"/>
      <c r="M251" s="837"/>
      <c r="N251" s="837"/>
      <c r="O251" s="954"/>
      <c r="P251" s="837"/>
      <c r="Q251" s="837"/>
      <c r="R251" s="954"/>
      <c r="S251" s="837"/>
      <c r="T251" s="837"/>
      <c r="U251" s="954"/>
      <c r="V251" s="837"/>
      <c r="W251" s="837"/>
      <c r="X251" s="954"/>
      <c r="Y251" s="837"/>
      <c r="Z251" s="837"/>
      <c r="AA251" s="954"/>
      <c r="AB251" s="837"/>
      <c r="AC251" s="837"/>
      <c r="AD251" s="954"/>
      <c r="AE251" s="837"/>
      <c r="AF251" s="837"/>
      <c r="AG251" s="954"/>
      <c r="AH251" s="837"/>
      <c r="AI251" s="837"/>
      <c r="AJ251" s="954"/>
      <c r="AK251" s="837"/>
      <c r="AL251" s="837"/>
      <c r="AM251" s="837"/>
      <c r="AN251" s="837"/>
      <c r="AO251" s="837"/>
      <c r="AP251" s="837"/>
      <c r="AQ251" s="837"/>
      <c r="AR251" s="837"/>
      <c r="AS251" s="837"/>
      <c r="AT251" s="837"/>
      <c r="AU251" s="837"/>
      <c r="AV251" s="837"/>
      <c r="AW251" s="837"/>
      <c r="AX251" s="837"/>
      <c r="AY251" s="837"/>
      <c r="AZ251" s="837"/>
      <c r="BA251" s="837"/>
      <c r="BB251" s="837"/>
      <c r="BC251" s="837"/>
      <c r="BD251" s="837"/>
      <c r="BE251" s="837"/>
      <c r="BF251" s="837"/>
    </row>
    <row r="252" spans="2:58" hidden="1" x14ac:dyDescent="0.25">
      <c r="B252" s="837"/>
      <c r="C252" s="1008"/>
      <c r="D252" s="837"/>
      <c r="E252" s="837"/>
      <c r="F252" s="837"/>
      <c r="G252" s="837"/>
      <c r="H252" s="837"/>
      <c r="I252" s="954"/>
      <c r="J252" s="837"/>
      <c r="K252" s="837"/>
      <c r="L252" s="954"/>
      <c r="M252" s="837"/>
      <c r="N252" s="837"/>
      <c r="O252" s="954"/>
      <c r="P252" s="837"/>
      <c r="Q252" s="837"/>
      <c r="R252" s="954"/>
      <c r="S252" s="837"/>
      <c r="T252" s="837"/>
      <c r="U252" s="954"/>
      <c r="V252" s="837"/>
      <c r="W252" s="837"/>
      <c r="X252" s="954"/>
      <c r="Y252" s="837"/>
      <c r="Z252" s="837"/>
      <c r="AA252" s="954"/>
      <c r="AB252" s="837"/>
      <c r="AC252" s="837"/>
      <c r="AD252" s="954"/>
      <c r="AE252" s="837"/>
      <c r="AF252" s="837"/>
      <c r="AG252" s="954"/>
      <c r="AH252" s="837"/>
      <c r="AI252" s="837"/>
      <c r="AJ252" s="954"/>
      <c r="AK252" s="837"/>
      <c r="AL252" s="837"/>
      <c r="AM252" s="837"/>
      <c r="AN252" s="837"/>
      <c r="AO252" s="837"/>
      <c r="AP252" s="837"/>
      <c r="AQ252" s="837"/>
      <c r="AR252" s="837"/>
      <c r="AS252" s="837"/>
      <c r="AT252" s="837"/>
      <c r="AU252" s="837"/>
      <c r="AV252" s="837"/>
      <c r="AW252" s="837"/>
      <c r="AX252" s="837"/>
      <c r="AY252" s="837"/>
      <c r="AZ252" s="837"/>
      <c r="BA252" s="837"/>
      <c r="BB252" s="837"/>
      <c r="BC252" s="837"/>
      <c r="BD252" s="837"/>
      <c r="BE252" s="837"/>
      <c r="BF252" s="837"/>
    </row>
    <row r="253" spans="2:58" hidden="1" x14ac:dyDescent="0.25">
      <c r="B253" s="837"/>
      <c r="C253" s="1008"/>
      <c r="D253" s="837"/>
      <c r="E253" s="837"/>
      <c r="F253" s="837"/>
      <c r="G253" s="837"/>
      <c r="H253" s="837"/>
      <c r="I253" s="954"/>
      <c r="J253" s="837"/>
      <c r="K253" s="837"/>
      <c r="L253" s="954"/>
      <c r="M253" s="837"/>
      <c r="N253" s="837"/>
      <c r="O253" s="954"/>
      <c r="P253" s="837"/>
      <c r="Q253" s="837"/>
      <c r="R253" s="954"/>
      <c r="S253" s="837"/>
      <c r="T253" s="837"/>
      <c r="U253" s="954"/>
      <c r="V253" s="837"/>
      <c r="W253" s="837"/>
      <c r="X253" s="954"/>
      <c r="Y253" s="837"/>
      <c r="Z253" s="837"/>
      <c r="AA253" s="954"/>
      <c r="AB253" s="837"/>
      <c r="AC253" s="837"/>
      <c r="AD253" s="954"/>
      <c r="AE253" s="837"/>
      <c r="AF253" s="837"/>
      <c r="AG253" s="954"/>
      <c r="AH253" s="837"/>
      <c r="AI253" s="837"/>
      <c r="AJ253" s="954"/>
      <c r="AK253" s="837"/>
      <c r="AL253" s="837"/>
      <c r="AM253" s="837"/>
      <c r="AN253" s="837"/>
      <c r="AO253" s="837"/>
      <c r="AP253" s="837"/>
      <c r="AQ253" s="837"/>
      <c r="AR253" s="837"/>
      <c r="AS253" s="837"/>
      <c r="AT253" s="837"/>
      <c r="AU253" s="837"/>
      <c r="AV253" s="837"/>
      <c r="AW253" s="837"/>
      <c r="AX253" s="837"/>
      <c r="AY253" s="837"/>
      <c r="AZ253" s="837"/>
      <c r="BA253" s="837"/>
      <c r="BB253" s="837"/>
      <c r="BC253" s="837"/>
      <c r="BD253" s="837"/>
      <c r="BE253" s="837"/>
      <c r="BF253" s="837"/>
    </row>
    <row r="254" spans="2:58" hidden="1" x14ac:dyDescent="0.25">
      <c r="B254" s="837"/>
      <c r="C254" s="1008"/>
      <c r="D254" s="837"/>
      <c r="E254" s="837"/>
      <c r="F254" s="837"/>
      <c r="G254" s="837"/>
      <c r="H254" s="837"/>
      <c r="I254" s="954"/>
      <c r="J254" s="837"/>
      <c r="K254" s="837"/>
      <c r="L254" s="954"/>
      <c r="M254" s="837"/>
      <c r="N254" s="837"/>
      <c r="O254" s="954"/>
      <c r="P254" s="837"/>
      <c r="Q254" s="837"/>
      <c r="R254" s="954"/>
      <c r="S254" s="837"/>
      <c r="T254" s="837"/>
      <c r="U254" s="954"/>
      <c r="V254" s="837"/>
      <c r="W254" s="837"/>
      <c r="X254" s="954"/>
      <c r="Y254" s="837"/>
      <c r="Z254" s="837"/>
      <c r="AA254" s="954"/>
      <c r="AB254" s="837"/>
      <c r="AC254" s="837"/>
      <c r="AD254" s="954"/>
      <c r="AE254" s="837"/>
      <c r="AF254" s="837"/>
      <c r="AG254" s="954"/>
      <c r="AH254" s="837"/>
      <c r="AI254" s="837"/>
      <c r="AJ254" s="954"/>
      <c r="AK254" s="837"/>
      <c r="AL254" s="837"/>
      <c r="AM254" s="837"/>
      <c r="AN254" s="837"/>
      <c r="AO254" s="837"/>
      <c r="AP254" s="837"/>
      <c r="AQ254" s="837"/>
      <c r="AR254" s="837"/>
      <c r="AS254" s="837"/>
      <c r="AT254" s="837"/>
      <c r="AU254" s="837"/>
      <c r="AV254" s="837"/>
      <c r="AW254" s="837"/>
      <c r="AX254" s="837"/>
      <c r="AY254" s="837"/>
      <c r="AZ254" s="837"/>
      <c r="BA254" s="837"/>
      <c r="BB254" s="837"/>
      <c r="BC254" s="837"/>
      <c r="BD254" s="837"/>
      <c r="BE254" s="837"/>
      <c r="BF254" s="837"/>
    </row>
    <row r="255" spans="2:58" hidden="1" x14ac:dyDescent="0.25">
      <c r="B255" s="837"/>
      <c r="C255" s="1008"/>
      <c r="D255" s="837"/>
      <c r="E255" s="837"/>
      <c r="F255" s="837"/>
      <c r="G255" s="837"/>
      <c r="H255" s="837"/>
      <c r="I255" s="954"/>
      <c r="J255" s="837"/>
      <c r="K255" s="837"/>
      <c r="L255" s="954"/>
      <c r="M255" s="837"/>
      <c r="N255" s="837"/>
      <c r="O255" s="954"/>
      <c r="P255" s="837"/>
      <c r="Q255" s="837"/>
      <c r="R255" s="954"/>
      <c r="S255" s="837"/>
      <c r="T255" s="837"/>
      <c r="U255" s="954"/>
      <c r="V255" s="837"/>
      <c r="W255" s="837"/>
      <c r="X255" s="954"/>
      <c r="Y255" s="837"/>
      <c r="Z255" s="837"/>
      <c r="AA255" s="954"/>
      <c r="AB255" s="837"/>
      <c r="AC255" s="837"/>
      <c r="AD255" s="954"/>
      <c r="AE255" s="837"/>
      <c r="AF255" s="837"/>
      <c r="AG255" s="954"/>
      <c r="AH255" s="837"/>
      <c r="AI255" s="837"/>
      <c r="AJ255" s="954"/>
      <c r="AK255" s="837"/>
      <c r="AL255" s="837"/>
      <c r="AM255" s="837"/>
      <c r="AN255" s="837"/>
      <c r="AO255" s="837"/>
      <c r="AP255" s="837"/>
      <c r="AQ255" s="837"/>
      <c r="AR255" s="837"/>
      <c r="AS255" s="837"/>
      <c r="AT255" s="837"/>
      <c r="AU255" s="837"/>
      <c r="AV255" s="837"/>
      <c r="AW255" s="837"/>
      <c r="AX255" s="837"/>
      <c r="AY255" s="837"/>
      <c r="AZ255" s="837"/>
      <c r="BA255" s="837"/>
      <c r="BB255" s="837"/>
      <c r="BC255" s="837"/>
      <c r="BD255" s="837"/>
      <c r="BE255" s="837"/>
      <c r="BF255" s="837"/>
    </row>
    <row r="256" spans="2:58" hidden="1" x14ac:dyDescent="0.25">
      <c r="B256" s="837"/>
      <c r="C256" s="1008"/>
      <c r="D256" s="837"/>
      <c r="E256" s="837"/>
      <c r="F256" s="837"/>
      <c r="G256" s="837"/>
      <c r="H256" s="837"/>
      <c r="I256" s="954"/>
      <c r="J256" s="837"/>
      <c r="K256" s="837"/>
      <c r="L256" s="954"/>
      <c r="M256" s="837"/>
      <c r="N256" s="837"/>
      <c r="O256" s="954"/>
      <c r="P256" s="837"/>
      <c r="Q256" s="837"/>
      <c r="R256" s="954"/>
      <c r="S256" s="837"/>
      <c r="T256" s="837"/>
      <c r="U256" s="954"/>
      <c r="V256" s="837"/>
      <c r="W256" s="837"/>
      <c r="X256" s="954"/>
      <c r="Y256" s="837"/>
      <c r="Z256" s="837"/>
      <c r="AA256" s="954"/>
      <c r="AB256" s="837"/>
      <c r="AC256" s="837"/>
      <c r="AD256" s="954"/>
      <c r="AE256" s="837"/>
      <c r="AF256" s="837"/>
      <c r="AG256" s="954"/>
      <c r="AH256" s="837"/>
      <c r="AI256" s="837"/>
      <c r="AJ256" s="954"/>
      <c r="AK256" s="837"/>
      <c r="AL256" s="837"/>
      <c r="AM256" s="837"/>
      <c r="AN256" s="837"/>
      <c r="AO256" s="837"/>
      <c r="AP256" s="837"/>
      <c r="AQ256" s="837"/>
      <c r="AR256" s="837"/>
      <c r="AS256" s="837"/>
      <c r="AT256" s="837"/>
      <c r="AU256" s="837"/>
      <c r="AV256" s="837"/>
      <c r="AW256" s="837"/>
      <c r="AX256" s="837"/>
      <c r="AY256" s="837"/>
      <c r="AZ256" s="837"/>
      <c r="BA256" s="837"/>
      <c r="BB256" s="837"/>
      <c r="BC256" s="837"/>
      <c r="BD256" s="837"/>
      <c r="BE256" s="837"/>
      <c r="BF256" s="837"/>
    </row>
    <row r="257" spans="2:58" hidden="1" x14ac:dyDescent="0.25">
      <c r="B257" s="837"/>
      <c r="C257" s="1008"/>
      <c r="D257" s="837"/>
      <c r="E257" s="837"/>
      <c r="F257" s="837"/>
      <c r="G257" s="837"/>
      <c r="H257" s="837"/>
      <c r="I257" s="954"/>
      <c r="J257" s="837"/>
      <c r="K257" s="837"/>
      <c r="L257" s="954"/>
      <c r="M257" s="837"/>
      <c r="N257" s="837"/>
      <c r="O257" s="954"/>
      <c r="P257" s="837"/>
      <c r="Q257" s="837"/>
      <c r="R257" s="954"/>
      <c r="S257" s="837"/>
      <c r="T257" s="837"/>
      <c r="U257" s="954"/>
      <c r="V257" s="837"/>
      <c r="W257" s="837"/>
      <c r="X257" s="954"/>
      <c r="Y257" s="837"/>
      <c r="Z257" s="837"/>
      <c r="AA257" s="954"/>
      <c r="AB257" s="837"/>
      <c r="AC257" s="837"/>
      <c r="AD257" s="954"/>
      <c r="AE257" s="837"/>
      <c r="AF257" s="837"/>
      <c r="AG257" s="954"/>
      <c r="AH257" s="837"/>
      <c r="AI257" s="837"/>
      <c r="AJ257" s="954"/>
      <c r="AK257" s="837"/>
      <c r="AL257" s="837"/>
      <c r="AM257" s="837"/>
      <c r="AN257" s="837"/>
      <c r="AO257" s="837"/>
      <c r="AP257" s="837"/>
      <c r="AQ257" s="837"/>
      <c r="AR257" s="837"/>
      <c r="AS257" s="837"/>
      <c r="AT257" s="837"/>
      <c r="AU257" s="837"/>
      <c r="AV257" s="837"/>
      <c r="AW257" s="837"/>
      <c r="AX257" s="837"/>
      <c r="AY257" s="837"/>
      <c r="AZ257" s="837"/>
      <c r="BA257" s="837"/>
      <c r="BB257" s="837"/>
      <c r="BC257" s="837"/>
      <c r="BD257" s="837"/>
      <c r="BE257" s="837"/>
      <c r="BF257" s="837"/>
    </row>
    <row r="258" spans="2:58" hidden="1" x14ac:dyDescent="0.25">
      <c r="B258" s="837"/>
      <c r="C258" s="1008"/>
      <c r="D258" s="837"/>
      <c r="E258" s="837"/>
      <c r="F258" s="837"/>
      <c r="G258" s="837"/>
      <c r="H258" s="837"/>
      <c r="I258" s="954"/>
      <c r="J258" s="837"/>
      <c r="K258" s="837"/>
      <c r="L258" s="954"/>
      <c r="M258" s="837"/>
      <c r="N258" s="837"/>
      <c r="O258" s="954"/>
      <c r="P258" s="837"/>
      <c r="Q258" s="837"/>
      <c r="R258" s="954"/>
      <c r="S258" s="837"/>
      <c r="T258" s="837"/>
      <c r="U258" s="954"/>
      <c r="V258" s="837"/>
      <c r="W258" s="837"/>
      <c r="X258" s="954"/>
      <c r="Y258" s="837"/>
      <c r="Z258" s="837"/>
      <c r="AA258" s="954"/>
      <c r="AB258" s="837"/>
      <c r="AC258" s="837"/>
      <c r="AD258" s="954"/>
      <c r="AE258" s="837"/>
      <c r="AF258" s="837"/>
      <c r="AG258" s="954"/>
      <c r="AH258" s="837"/>
      <c r="AI258" s="837"/>
      <c r="AJ258" s="954"/>
      <c r="AK258" s="837"/>
      <c r="AL258" s="837"/>
      <c r="AM258" s="837"/>
      <c r="AN258" s="837"/>
      <c r="AO258" s="837"/>
      <c r="AP258" s="837"/>
      <c r="AQ258" s="837"/>
      <c r="AR258" s="837"/>
      <c r="AS258" s="837"/>
      <c r="AT258" s="837"/>
      <c r="AU258" s="837"/>
      <c r="AV258" s="837"/>
      <c r="AW258" s="837"/>
      <c r="AX258" s="837"/>
      <c r="AY258" s="837"/>
      <c r="AZ258" s="837"/>
      <c r="BA258" s="837"/>
      <c r="BB258" s="837"/>
      <c r="BC258" s="837"/>
      <c r="BD258" s="837"/>
      <c r="BE258" s="837"/>
      <c r="BF258" s="837"/>
    </row>
    <row r="259" spans="2:58" hidden="1" x14ac:dyDescent="0.25">
      <c r="B259" s="837"/>
      <c r="C259" s="1008"/>
      <c r="D259" s="837"/>
      <c r="E259" s="837"/>
      <c r="F259" s="837"/>
      <c r="G259" s="837"/>
      <c r="H259" s="837"/>
      <c r="I259" s="954"/>
      <c r="J259" s="837"/>
      <c r="K259" s="837"/>
      <c r="L259" s="954"/>
      <c r="M259" s="837"/>
      <c r="N259" s="837"/>
      <c r="O259" s="954"/>
      <c r="P259" s="837"/>
      <c r="Q259" s="837"/>
      <c r="R259" s="954"/>
      <c r="S259" s="837"/>
      <c r="T259" s="837"/>
      <c r="U259" s="954"/>
      <c r="V259" s="837"/>
      <c r="W259" s="837"/>
      <c r="X259" s="954"/>
      <c r="Y259" s="837"/>
      <c r="Z259" s="837"/>
      <c r="AA259" s="954"/>
      <c r="AB259" s="837"/>
      <c r="AC259" s="837"/>
      <c r="AD259" s="954"/>
      <c r="AE259" s="837"/>
      <c r="AF259" s="837"/>
      <c r="AG259" s="954"/>
      <c r="AH259" s="837"/>
      <c r="AI259" s="837"/>
      <c r="AJ259" s="954"/>
      <c r="AK259" s="837"/>
      <c r="AL259" s="837"/>
      <c r="AM259" s="837"/>
      <c r="AN259" s="837"/>
      <c r="AO259" s="837"/>
      <c r="AP259" s="837"/>
      <c r="AQ259" s="837"/>
      <c r="AR259" s="837"/>
      <c r="AS259" s="837"/>
      <c r="AT259" s="837"/>
      <c r="AU259" s="837"/>
      <c r="AV259" s="837"/>
      <c r="AW259" s="837"/>
      <c r="AX259" s="837"/>
      <c r="AY259" s="837"/>
      <c r="AZ259" s="837"/>
      <c r="BA259" s="837"/>
      <c r="BB259" s="837"/>
      <c r="BC259" s="837"/>
      <c r="BD259" s="837"/>
      <c r="BE259" s="837"/>
      <c r="BF259" s="837"/>
    </row>
    <row r="260" spans="2:58" hidden="1" x14ac:dyDescent="0.25">
      <c r="B260" s="837"/>
      <c r="C260" s="1008"/>
      <c r="D260" s="837"/>
      <c r="E260" s="837"/>
      <c r="F260" s="837"/>
      <c r="G260" s="837"/>
      <c r="H260" s="837"/>
      <c r="I260" s="954"/>
      <c r="J260" s="837"/>
      <c r="K260" s="837"/>
      <c r="L260" s="954"/>
      <c r="M260" s="837"/>
      <c r="N260" s="837"/>
      <c r="O260" s="954"/>
      <c r="P260" s="837"/>
      <c r="Q260" s="837"/>
      <c r="R260" s="954"/>
      <c r="S260" s="837"/>
      <c r="T260" s="837"/>
      <c r="U260" s="954"/>
      <c r="V260" s="837"/>
      <c r="W260" s="837"/>
      <c r="X260" s="954"/>
      <c r="Y260" s="837"/>
      <c r="Z260" s="837"/>
      <c r="AA260" s="954"/>
      <c r="AB260" s="837"/>
      <c r="AC260" s="837"/>
      <c r="AD260" s="954"/>
      <c r="AE260" s="837"/>
      <c r="AF260" s="837"/>
      <c r="AG260" s="954"/>
      <c r="AH260" s="837"/>
      <c r="AI260" s="837"/>
      <c r="AJ260" s="954"/>
      <c r="AK260" s="837"/>
      <c r="AL260" s="837"/>
      <c r="AM260" s="837"/>
      <c r="AN260" s="837"/>
      <c r="AO260" s="837"/>
      <c r="AP260" s="837"/>
      <c r="AQ260" s="837"/>
      <c r="AR260" s="837"/>
      <c r="AS260" s="837"/>
      <c r="AT260" s="837"/>
      <c r="AU260" s="837"/>
      <c r="AV260" s="837"/>
      <c r="AW260" s="837"/>
      <c r="AX260" s="837"/>
      <c r="AY260" s="837"/>
      <c r="AZ260" s="837"/>
      <c r="BA260" s="837"/>
      <c r="BB260" s="837"/>
      <c r="BC260" s="837"/>
      <c r="BD260" s="837"/>
      <c r="BE260" s="837"/>
      <c r="BF260" s="837"/>
    </row>
    <row r="261" spans="2:58" hidden="1" x14ac:dyDescent="0.25">
      <c r="B261" s="837"/>
      <c r="C261" s="1008"/>
      <c r="D261" s="837"/>
      <c r="E261" s="837"/>
      <c r="F261" s="837"/>
      <c r="G261" s="837"/>
      <c r="H261" s="837"/>
      <c r="I261" s="954"/>
      <c r="J261" s="837"/>
      <c r="K261" s="837"/>
      <c r="L261" s="954"/>
      <c r="M261" s="837"/>
      <c r="N261" s="837"/>
      <c r="O261" s="954"/>
      <c r="P261" s="837"/>
      <c r="Q261" s="837"/>
      <c r="R261" s="954"/>
      <c r="S261" s="837"/>
      <c r="T261" s="837"/>
      <c r="U261" s="954"/>
      <c r="V261" s="837"/>
      <c r="W261" s="837"/>
      <c r="X261" s="954"/>
      <c r="Y261" s="837"/>
      <c r="Z261" s="837"/>
      <c r="AA261" s="954"/>
      <c r="AB261" s="837"/>
      <c r="AC261" s="837"/>
      <c r="AD261" s="954"/>
      <c r="AE261" s="837"/>
      <c r="AF261" s="837"/>
      <c r="AG261" s="954"/>
      <c r="AH261" s="837"/>
      <c r="AI261" s="837"/>
      <c r="AJ261" s="954"/>
      <c r="AK261" s="837"/>
      <c r="AL261" s="837"/>
      <c r="AM261" s="837"/>
      <c r="AN261" s="837"/>
      <c r="AO261" s="837"/>
      <c r="AP261" s="837"/>
      <c r="AQ261" s="837"/>
      <c r="AR261" s="837"/>
      <c r="AS261" s="837"/>
      <c r="AT261" s="837"/>
      <c r="AU261" s="837"/>
      <c r="AV261" s="837"/>
      <c r="AW261" s="837"/>
      <c r="AX261" s="837"/>
      <c r="AY261" s="837"/>
      <c r="AZ261" s="837"/>
      <c r="BA261" s="837"/>
      <c r="BB261" s="837"/>
      <c r="BC261" s="837"/>
      <c r="BD261" s="837"/>
      <c r="BE261" s="837"/>
      <c r="BF261" s="837"/>
    </row>
    <row r="262" spans="2:58" hidden="1" x14ac:dyDescent="0.25">
      <c r="B262" s="837"/>
      <c r="C262" s="1008"/>
      <c r="D262" s="837"/>
      <c r="E262" s="837"/>
      <c r="F262" s="837"/>
      <c r="G262" s="837"/>
      <c r="H262" s="837"/>
      <c r="I262" s="954"/>
      <c r="J262" s="837"/>
      <c r="K262" s="837"/>
      <c r="L262" s="954"/>
      <c r="M262" s="837"/>
      <c r="N262" s="837"/>
      <c r="O262" s="954"/>
      <c r="P262" s="837"/>
      <c r="Q262" s="837"/>
      <c r="R262" s="954"/>
      <c r="S262" s="837"/>
      <c r="T262" s="837"/>
      <c r="U262" s="954"/>
      <c r="V262" s="837"/>
      <c r="W262" s="837"/>
      <c r="X262" s="954"/>
      <c r="Y262" s="837"/>
      <c r="Z262" s="837"/>
      <c r="AA262" s="954"/>
      <c r="AB262" s="837"/>
      <c r="AC262" s="837"/>
      <c r="AD262" s="954"/>
      <c r="AE262" s="837"/>
      <c r="AF262" s="837"/>
      <c r="AG262" s="954"/>
      <c r="AH262" s="837"/>
      <c r="AI262" s="837"/>
      <c r="AJ262" s="954"/>
      <c r="AK262" s="837"/>
      <c r="AL262" s="837"/>
      <c r="AM262" s="837"/>
      <c r="AN262" s="837"/>
      <c r="AO262" s="837"/>
      <c r="AP262" s="837"/>
      <c r="AQ262" s="837"/>
      <c r="AR262" s="837"/>
      <c r="AS262" s="837"/>
      <c r="AT262" s="837"/>
      <c r="AU262" s="837"/>
      <c r="AV262" s="837"/>
      <c r="AW262" s="837"/>
      <c r="AX262" s="837"/>
      <c r="AY262" s="837"/>
      <c r="AZ262" s="837"/>
      <c r="BA262" s="837"/>
      <c r="BB262" s="837"/>
      <c r="BC262" s="837"/>
      <c r="BD262" s="837"/>
      <c r="BE262" s="837"/>
      <c r="BF262" s="837"/>
    </row>
    <row r="263" spans="2:58" hidden="1" x14ac:dyDescent="0.25">
      <c r="B263" s="837"/>
      <c r="C263" s="1008"/>
      <c r="D263" s="837"/>
      <c r="E263" s="837"/>
      <c r="F263" s="837"/>
      <c r="G263" s="837"/>
      <c r="H263" s="837"/>
      <c r="I263" s="954"/>
      <c r="J263" s="837"/>
      <c r="K263" s="837"/>
      <c r="L263" s="954"/>
      <c r="M263" s="837"/>
      <c r="N263" s="837"/>
      <c r="O263" s="954"/>
      <c r="P263" s="837"/>
      <c r="Q263" s="837"/>
      <c r="R263" s="954"/>
      <c r="S263" s="837"/>
      <c r="T263" s="837"/>
      <c r="U263" s="954"/>
      <c r="V263" s="837"/>
      <c r="W263" s="837"/>
      <c r="X263" s="954"/>
      <c r="Y263" s="837"/>
      <c r="Z263" s="837"/>
      <c r="AA263" s="954"/>
      <c r="AB263" s="837"/>
      <c r="AC263" s="837"/>
      <c r="AD263" s="954"/>
      <c r="AE263" s="837"/>
      <c r="AF263" s="837"/>
      <c r="AG263" s="954"/>
      <c r="AH263" s="837"/>
      <c r="AI263" s="837"/>
      <c r="AJ263" s="954"/>
      <c r="AK263" s="837"/>
      <c r="AL263" s="837"/>
      <c r="AM263" s="837"/>
      <c r="AN263" s="837"/>
      <c r="AO263" s="837"/>
      <c r="AP263" s="837"/>
      <c r="AQ263" s="837"/>
      <c r="AR263" s="837"/>
      <c r="AS263" s="837"/>
      <c r="AT263" s="837"/>
      <c r="AU263" s="837"/>
      <c r="AV263" s="837"/>
      <c r="AW263" s="837"/>
      <c r="AX263" s="837"/>
      <c r="AY263" s="837"/>
      <c r="AZ263" s="837"/>
      <c r="BA263" s="837"/>
      <c r="BB263" s="837"/>
      <c r="BC263" s="837"/>
      <c r="BD263" s="837"/>
      <c r="BE263" s="837"/>
      <c r="BF263" s="837"/>
    </row>
    <row r="264" spans="2:58" hidden="1" x14ac:dyDescent="0.25">
      <c r="B264" s="837"/>
      <c r="C264" s="1008"/>
      <c r="D264" s="837"/>
      <c r="E264" s="837"/>
      <c r="F264" s="837"/>
      <c r="G264" s="837"/>
      <c r="H264" s="837"/>
      <c r="I264" s="954"/>
      <c r="J264" s="837"/>
      <c r="K264" s="837"/>
      <c r="L264" s="954"/>
      <c r="M264" s="837"/>
      <c r="N264" s="837"/>
      <c r="O264" s="954"/>
      <c r="P264" s="837"/>
      <c r="Q264" s="837"/>
      <c r="R264" s="954"/>
      <c r="S264" s="837"/>
      <c r="T264" s="837"/>
      <c r="U264" s="954"/>
      <c r="V264" s="837"/>
      <c r="W264" s="837"/>
      <c r="X264" s="954"/>
      <c r="Y264" s="837"/>
      <c r="Z264" s="837"/>
      <c r="AA264" s="954"/>
      <c r="AB264" s="837"/>
      <c r="AC264" s="837"/>
      <c r="AD264" s="954"/>
      <c r="AE264" s="837"/>
      <c r="AF264" s="837"/>
      <c r="AG264" s="954"/>
      <c r="AH264" s="837"/>
      <c r="AI264" s="837"/>
      <c r="AJ264" s="954"/>
      <c r="AK264" s="837"/>
      <c r="AL264" s="837"/>
      <c r="AM264" s="837"/>
      <c r="AN264" s="837"/>
      <c r="AO264" s="837"/>
      <c r="AP264" s="837"/>
      <c r="AQ264" s="837"/>
      <c r="AR264" s="837"/>
      <c r="AS264" s="837"/>
      <c r="AT264" s="837"/>
      <c r="AU264" s="837"/>
      <c r="AV264" s="837"/>
      <c r="AW264" s="837"/>
      <c r="AX264" s="837"/>
      <c r="AY264" s="837"/>
      <c r="AZ264" s="837"/>
      <c r="BA264" s="837"/>
      <c r="BB264" s="837"/>
      <c r="BC264" s="837"/>
      <c r="BD264" s="837"/>
      <c r="BE264" s="837"/>
      <c r="BF264" s="837"/>
    </row>
    <row r="265" spans="2:58" hidden="1" x14ac:dyDescent="0.25">
      <c r="B265" s="837"/>
      <c r="C265" s="1008"/>
      <c r="D265" s="837"/>
      <c r="E265" s="837"/>
      <c r="F265" s="837"/>
      <c r="G265" s="837"/>
      <c r="H265" s="837"/>
      <c r="I265" s="954"/>
      <c r="J265" s="837"/>
      <c r="K265" s="837"/>
      <c r="L265" s="954"/>
      <c r="M265" s="837"/>
      <c r="N265" s="837"/>
      <c r="O265" s="954"/>
      <c r="P265" s="837"/>
      <c r="Q265" s="837"/>
      <c r="R265" s="954"/>
      <c r="S265" s="837"/>
      <c r="T265" s="837"/>
      <c r="U265" s="954"/>
      <c r="V265" s="837"/>
      <c r="W265" s="837"/>
      <c r="X265" s="954"/>
      <c r="Y265" s="837"/>
      <c r="Z265" s="837"/>
      <c r="AA265" s="954"/>
      <c r="AB265" s="837"/>
      <c r="AC265" s="837"/>
      <c r="AD265" s="954"/>
      <c r="AE265" s="837"/>
      <c r="AF265" s="837"/>
      <c r="AG265" s="954"/>
      <c r="AH265" s="837"/>
      <c r="AI265" s="837"/>
      <c r="AJ265" s="954"/>
      <c r="AK265" s="837"/>
      <c r="AL265" s="837"/>
      <c r="AM265" s="837"/>
      <c r="AN265" s="837"/>
      <c r="AO265" s="837"/>
      <c r="AP265" s="837"/>
      <c r="AQ265" s="837"/>
      <c r="AR265" s="837"/>
      <c r="AS265" s="837"/>
      <c r="AT265" s="837"/>
      <c r="AU265" s="837"/>
      <c r="AV265" s="837"/>
      <c r="AW265" s="837"/>
      <c r="AX265" s="837"/>
      <c r="AY265" s="837"/>
      <c r="AZ265" s="837"/>
      <c r="BA265" s="837"/>
      <c r="BB265" s="837"/>
      <c r="BC265" s="837"/>
      <c r="BD265" s="837"/>
      <c r="BE265" s="837"/>
      <c r="BF265" s="837"/>
    </row>
    <row r="266" spans="2:58" hidden="1" x14ac:dyDescent="0.25">
      <c r="B266" s="837"/>
      <c r="C266" s="1008"/>
      <c r="D266" s="837"/>
      <c r="E266" s="837"/>
      <c r="F266" s="837"/>
      <c r="G266" s="837"/>
      <c r="H266" s="837"/>
      <c r="I266" s="954"/>
      <c r="J266" s="837"/>
      <c r="K266" s="837"/>
      <c r="L266" s="954"/>
      <c r="M266" s="837"/>
      <c r="N266" s="837"/>
      <c r="O266" s="954"/>
      <c r="P266" s="837"/>
      <c r="Q266" s="837"/>
      <c r="R266" s="954"/>
      <c r="S266" s="837"/>
      <c r="T266" s="837"/>
      <c r="U266" s="954"/>
      <c r="V266" s="837"/>
      <c r="W266" s="837"/>
      <c r="X266" s="954"/>
      <c r="Y266" s="837"/>
      <c r="Z266" s="837"/>
      <c r="AA266" s="954"/>
      <c r="AB266" s="837"/>
      <c r="AC266" s="837"/>
      <c r="AD266" s="954"/>
      <c r="AE266" s="837"/>
      <c r="AF266" s="837"/>
      <c r="AG266" s="954"/>
      <c r="AH266" s="837"/>
      <c r="AI266" s="837"/>
      <c r="AJ266" s="954"/>
      <c r="AK266" s="837"/>
      <c r="AL266" s="837"/>
      <c r="AM266" s="837"/>
      <c r="AN266" s="837"/>
      <c r="AO266" s="837"/>
      <c r="AP266" s="837"/>
      <c r="AQ266" s="837"/>
      <c r="AR266" s="837"/>
      <c r="AS266" s="837"/>
      <c r="AT266" s="837"/>
      <c r="AU266" s="837"/>
      <c r="AV266" s="837"/>
      <c r="AW266" s="837"/>
      <c r="AX266" s="837"/>
      <c r="AY266" s="837"/>
      <c r="AZ266" s="837"/>
      <c r="BA266" s="837"/>
      <c r="BB266" s="837"/>
      <c r="BC266" s="837"/>
      <c r="BD266" s="837"/>
      <c r="BE266" s="837"/>
      <c r="BF266" s="837"/>
    </row>
    <row r="267" spans="2:58" ht="15" hidden="1" customHeight="1" x14ac:dyDescent="0.25">
      <c r="B267" s="837"/>
      <c r="C267" s="1008"/>
      <c r="D267" s="837"/>
      <c r="E267" s="837"/>
      <c r="F267" s="837"/>
      <c r="G267" s="837"/>
      <c r="H267" s="837"/>
      <c r="I267" s="954"/>
      <c r="J267" s="837"/>
      <c r="K267" s="837"/>
      <c r="L267" s="954"/>
      <c r="M267" s="837"/>
      <c r="N267" s="837"/>
      <c r="O267" s="954"/>
      <c r="P267" s="837"/>
      <c r="Q267" s="837"/>
      <c r="R267" s="954"/>
      <c r="S267" s="837"/>
      <c r="T267" s="837"/>
      <c r="U267" s="954"/>
      <c r="V267" s="837"/>
      <c r="W267" s="837"/>
      <c r="X267" s="954"/>
      <c r="Y267" s="837"/>
      <c r="Z267" s="837"/>
      <c r="AA267" s="954"/>
      <c r="AB267" s="837"/>
      <c r="AC267" s="837"/>
      <c r="AD267" s="954"/>
      <c r="AE267" s="837"/>
      <c r="AF267" s="837"/>
      <c r="AG267" s="954"/>
      <c r="AH267" s="837"/>
      <c r="AI267" s="837"/>
      <c r="AJ267" s="954"/>
      <c r="AK267" s="837"/>
      <c r="AL267" s="837"/>
      <c r="AM267" s="837"/>
      <c r="AN267" s="837"/>
      <c r="AO267" s="837"/>
      <c r="AP267" s="837"/>
      <c r="AQ267" s="837"/>
      <c r="AR267" s="837"/>
      <c r="AS267" s="837"/>
      <c r="AT267" s="837"/>
      <c r="AU267" s="837"/>
      <c r="AV267" s="837"/>
      <c r="AW267" s="837"/>
      <c r="AX267" s="837"/>
      <c r="AY267" s="837"/>
      <c r="AZ267" s="837"/>
      <c r="BA267" s="837"/>
      <c r="BB267" s="837"/>
      <c r="BC267" s="837"/>
      <c r="BD267" s="837"/>
      <c r="BE267" s="837"/>
      <c r="BF267" s="837"/>
    </row>
    <row r="268" spans="2:58" ht="15" hidden="1" customHeight="1" x14ac:dyDescent="0.25"/>
    <row r="269" spans="2:58" ht="15" hidden="1" customHeight="1" x14ac:dyDescent="0.25"/>
    <row r="270" spans="2:58" ht="15" hidden="1" customHeight="1" x14ac:dyDescent="0.25"/>
    <row r="271" spans="2:58" ht="15" hidden="1" customHeight="1" x14ac:dyDescent="0.25"/>
    <row r="272" spans="2:58"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spans="5:18" ht="15" hidden="1" customHeight="1" x14ac:dyDescent="0.25">
      <c r="E593" s="1010"/>
      <c r="F593" s="1010"/>
      <c r="G593" s="1010"/>
      <c r="H593" s="1010"/>
      <c r="I593" s="893">
        <v>1</v>
      </c>
      <c r="J593" s="1010">
        <v>2</v>
      </c>
      <c r="K593" s="1010">
        <v>3</v>
      </c>
      <c r="L593" s="893">
        <v>4</v>
      </c>
      <c r="M593" s="1010">
        <v>5</v>
      </c>
      <c r="N593" s="1010">
        <v>6</v>
      </c>
      <c r="O593" s="893">
        <v>7</v>
      </c>
      <c r="P593" s="1010">
        <v>8</v>
      </c>
      <c r="Q593" s="1010">
        <v>9</v>
      </c>
      <c r="R593" s="893">
        <v>10</v>
      </c>
    </row>
    <row r="594" spans="5:18" ht="15" hidden="1" customHeight="1" x14ac:dyDescent="0.25">
      <c r="E594" s="1010">
        <v>1</v>
      </c>
      <c r="F594" s="1010"/>
      <c r="G594" s="1010"/>
      <c r="H594" s="1010"/>
      <c r="I594" s="1011">
        <f>IF(I12=0,"",I12)</f>
        <v>1.7831018518518519E-3</v>
      </c>
      <c r="J594" s="1012">
        <f>IF(L12=0,"",L12)</f>
        <v>1.8467592592592596E-3</v>
      </c>
      <c r="K594" s="1012">
        <f>IF(O12=0,"",O12)</f>
        <v>1.7894675925925925E-3</v>
      </c>
      <c r="L594" s="1011">
        <f>IF(R12=0,"",R12)</f>
        <v>1.75E-3</v>
      </c>
      <c r="M594" s="1012">
        <f>IF(U12=0,"",U12)</f>
        <v>1.8901620370370372E-3</v>
      </c>
      <c r="N594" s="1012">
        <f>IF(X12=0,"",X12)</f>
        <v>1.8304398148148149E-3</v>
      </c>
      <c r="O594" s="1011">
        <f>IF(AA12=0,"",AA12)</f>
        <v>1.8548611111111109E-3</v>
      </c>
      <c r="P594" s="1012" t="str">
        <f>IF(AD12=0,"",AD12)</f>
        <v/>
      </c>
      <c r="Q594" s="1012" t="str">
        <f>IF(AG12=0,"",AG12)</f>
        <v/>
      </c>
      <c r="R594" s="1011" t="str">
        <f>IF(AJ12=0,"",AJ12)</f>
        <v/>
      </c>
    </row>
    <row r="595" spans="5:18" ht="15" hidden="1" customHeight="1" x14ac:dyDescent="0.25">
      <c r="E595" s="1010">
        <v>2</v>
      </c>
      <c r="F595" s="1010"/>
      <c r="G595" s="1010"/>
      <c r="H595" s="1010"/>
      <c r="I595" s="1011" t="str">
        <f>IF(I15=0,"",I15)</f>
        <v/>
      </c>
      <c r="J595" s="1012">
        <f>IF(L15=0,"",L15)</f>
        <v>1.8596064814814814E-3</v>
      </c>
      <c r="K595" s="1012">
        <f>IF(O15=0,"",O15)</f>
        <v>1.7115740740740739E-3</v>
      </c>
      <c r="L595" s="1011">
        <f>IF(R15=0,"",R15)</f>
        <v>1.6637731481481484E-3</v>
      </c>
      <c r="M595" s="1012">
        <f>IF(U15=0,"",U15)</f>
        <v>1.6520833333333333E-3</v>
      </c>
      <c r="N595" s="1012">
        <f>IF(X15=0,"",X15)</f>
        <v>1.6135416666666668E-3</v>
      </c>
      <c r="O595" s="1011">
        <f>IF(AA15=0,"",AA15)</f>
        <v>1.6844907407407405E-3</v>
      </c>
      <c r="P595" s="1012" t="str">
        <f>IF(AD15=0,"",AD15)</f>
        <v/>
      </c>
      <c r="Q595" s="1012" t="str">
        <f>IF(AG15=0,"",AG15)</f>
        <v/>
      </c>
      <c r="R595" s="1011" t="str">
        <f>IF(AJ15=0,"",AJ15)</f>
        <v/>
      </c>
    </row>
    <row r="596" spans="5:18" ht="15" hidden="1" customHeight="1" x14ac:dyDescent="0.25">
      <c r="E596" s="1010">
        <v>3</v>
      </c>
      <c r="F596" s="1010"/>
      <c r="G596" s="1010"/>
      <c r="H596" s="1010"/>
      <c r="I596" s="1011">
        <f>IF(I18=0,"",I18)</f>
        <v>1.7363425925925925E-3</v>
      </c>
      <c r="J596" s="1012" t="str">
        <f>IF(L18=0,"",L18)</f>
        <v/>
      </c>
      <c r="K596" s="1012" t="str">
        <f>IF(O18=0,"",O18)</f>
        <v/>
      </c>
      <c r="L596" s="1011">
        <f>IF(R18=0,"",R18)</f>
        <v>1.8369212962962963E-3</v>
      </c>
      <c r="M596" s="1012">
        <f>IF(U18=0,"",U18)</f>
        <v>1.8157407407407408E-3</v>
      </c>
      <c r="N596" s="1012">
        <f>IF(X18=0,"",X18)</f>
        <v>1.9184027777777778E-3</v>
      </c>
      <c r="O596" s="1011">
        <f>IF(AA18=0,"",AA18)</f>
        <v>1.8145833333333332E-3</v>
      </c>
      <c r="P596" s="1012" t="str">
        <f>IF(AD18=0,"",AD18)</f>
        <v/>
      </c>
      <c r="Q596" s="1012" t="str">
        <f>IF(AG18=0,"",AG18)</f>
        <v/>
      </c>
      <c r="R596" s="1011" t="str">
        <f>IF(AJ18=0,"",AJ18)</f>
        <v/>
      </c>
    </row>
    <row r="597" spans="5:18" ht="15" hidden="1" customHeight="1" x14ac:dyDescent="0.25">
      <c r="E597" s="1010">
        <v>4</v>
      </c>
      <c r="F597" s="1010"/>
      <c r="G597" s="1010"/>
      <c r="H597" s="1010"/>
      <c r="I597" s="1011" t="str">
        <f>IF(I20=0,"",I20)</f>
        <v/>
      </c>
      <c r="J597" s="1012">
        <f>IF(L20=0,"",L20)</f>
        <v>1.6399305555555557E-3</v>
      </c>
      <c r="K597" s="1012" t="str">
        <f>IF(O20=0,"",O20)</f>
        <v/>
      </c>
      <c r="L597" s="1011">
        <f>IF(R20=0,"",R20)</f>
        <v>2.0035879629629631E-3</v>
      </c>
      <c r="M597" s="1012">
        <f>IF(U20=0,"",U20)</f>
        <v>1.7332175925925926E-3</v>
      </c>
      <c r="N597" s="1012">
        <f>IF(X20=0,"",X20)</f>
        <v>1.7974537037037037E-3</v>
      </c>
      <c r="O597" s="1011">
        <f>IF(AA20=0,"",AA20)</f>
        <v>1.9951388888888892E-3</v>
      </c>
      <c r="P597" s="1012" t="str">
        <f>IF(AD20=0,"",AD20)</f>
        <v/>
      </c>
      <c r="Q597" s="1012" t="str">
        <f>IF(AG20=0,"",AG20)</f>
        <v/>
      </c>
      <c r="R597" s="1011" t="str">
        <f>IF(AJ20=0,"",AJ20)</f>
        <v/>
      </c>
    </row>
    <row r="598" spans="5:18" ht="15" hidden="1" customHeight="1" x14ac:dyDescent="0.25">
      <c r="E598" s="1010">
        <v>5</v>
      </c>
      <c r="F598" s="1010"/>
      <c r="G598" s="1010"/>
      <c r="H598" s="1010"/>
      <c r="I598" s="1011">
        <f>IF(I22=0,"",I22)</f>
        <v>1.645949074074074E-3</v>
      </c>
      <c r="J598" s="1012">
        <f>IF(L22=0,"",L22)</f>
        <v>1.742361111111111E-3</v>
      </c>
      <c r="K598" s="1012">
        <f>IF(O22=0,"",O22)</f>
        <v>1.6287037037037036E-3</v>
      </c>
      <c r="L598" s="1011">
        <f>IF(R22=0,"",R22)</f>
        <v>1.6534722222222222E-3</v>
      </c>
      <c r="M598" s="1012">
        <f>IF(U22=0,"",U22)</f>
        <v>1.7437500000000003E-3</v>
      </c>
      <c r="N598" s="1012">
        <f>IF(X22=0,"",X22)</f>
        <v>1.9731481481481479E-3</v>
      </c>
      <c r="O598" s="1011" t="str">
        <f>IF(AA22=0,"",AA22)</f>
        <v/>
      </c>
      <c r="P598" s="1012" t="str">
        <f>IF(AD22=0,"",AD22)</f>
        <v/>
      </c>
      <c r="Q598" s="1012" t="str">
        <f>IF(AG22=0,"",AG22)</f>
        <v/>
      </c>
      <c r="R598" s="1011" t="str">
        <f>IF(AJ22=0,"",AJ22)</f>
        <v/>
      </c>
    </row>
    <row r="599" spans="5:18" ht="15" hidden="1" customHeight="1" x14ac:dyDescent="0.25">
      <c r="E599" s="1010">
        <v>6</v>
      </c>
      <c r="F599" s="1010"/>
      <c r="G599" s="1010"/>
      <c r="H599" s="1010"/>
      <c r="I599" s="1011">
        <f>IF(I24=0,"",I24)</f>
        <v>1.7806712962962965E-3</v>
      </c>
      <c r="J599" s="1012">
        <f>IF(L24=0,"",L24)</f>
        <v>1.7177083333333332E-3</v>
      </c>
      <c r="K599" s="1012">
        <f>IF(O24=0,"",O24)</f>
        <v>1.6693287037037039E-3</v>
      </c>
      <c r="L599" s="1011">
        <f>IF(R24=0,"",R24)</f>
        <v>1.8538194444444446E-3</v>
      </c>
      <c r="M599" s="1012">
        <f>IF(U24=0,"",U24)</f>
        <v>1.8093750000000002E-3</v>
      </c>
      <c r="N599" s="1012">
        <f>IF(X24=0,"",X24)</f>
        <v>1.5825231481481482E-3</v>
      </c>
      <c r="O599" s="1011">
        <f>IF(AA24=0,"",AA24)</f>
        <v>1.5534722222222224E-3</v>
      </c>
      <c r="P599" s="1012" t="str">
        <f>IF(AD24=0,"",AD24)</f>
        <v/>
      </c>
      <c r="Q599" s="1012" t="str">
        <f>IF(AG24=0,"",AG24)</f>
        <v/>
      </c>
      <c r="R599" s="1011" t="str">
        <f>IF(AJ24=0,"",AJ24)</f>
        <v/>
      </c>
    </row>
    <row r="600" spans="5:18" ht="15" hidden="1" customHeight="1" x14ac:dyDescent="0.25">
      <c r="E600" s="1010">
        <v>7</v>
      </c>
      <c r="F600" s="1010"/>
      <c r="G600" s="1010"/>
      <c r="H600" s="1010"/>
      <c r="I600" s="1011">
        <f>IF(I26=0,"",I26)</f>
        <v>1.4748842592592591E-3</v>
      </c>
      <c r="J600" s="1012">
        <f>IF(L26=0,"",L26)</f>
        <v>1.4600694444444444E-3</v>
      </c>
      <c r="K600" s="1012">
        <f>IF(O26=0,"",O26)</f>
        <v>1.4290509259259258E-3</v>
      </c>
      <c r="L600" s="1011">
        <f>IF(R26=0,"",R26)</f>
        <v>1.4349537037037037E-3</v>
      </c>
      <c r="M600" s="1012">
        <f>IF(U26=0,"",U26)</f>
        <v>1.3890046296296298E-3</v>
      </c>
      <c r="N600" s="1012">
        <f>IF(X26=0,"",X26)</f>
        <v>1.391435185185185E-3</v>
      </c>
      <c r="O600" s="1011">
        <f>IF(AA26=0,"",AA26)</f>
        <v>1.4256944444444445E-3</v>
      </c>
      <c r="P600" s="1012" t="str">
        <f>IF(AD26=0,"",AD26)</f>
        <v/>
      </c>
      <c r="Q600" s="1012" t="str">
        <f>IF(AG26=0,"",AG26)</f>
        <v/>
      </c>
      <c r="R600" s="1011" t="str">
        <f>IF(AJ26=0,"",AJ26)</f>
        <v/>
      </c>
    </row>
    <row r="601" spans="5:18" ht="15" hidden="1" customHeight="1" x14ac:dyDescent="0.25">
      <c r="E601" s="1010">
        <v>8</v>
      </c>
      <c r="F601" s="1010"/>
      <c r="G601" s="1010"/>
      <c r="H601" s="1010"/>
      <c r="I601" s="1011">
        <f>IF(I28=0,"",I28)</f>
        <v>1.4600694444444444E-3</v>
      </c>
      <c r="J601" s="1012">
        <f>IF(L28=0,"",L28)</f>
        <v>1.3547453703703701E-3</v>
      </c>
      <c r="K601" s="1012">
        <f>IF(O28=0,"",O28)</f>
        <v>1.4348379629629631E-3</v>
      </c>
      <c r="L601" s="1011">
        <f>IF(R28=0,"",R28)</f>
        <v>1.3260416666666666E-3</v>
      </c>
      <c r="M601" s="1012">
        <f>IF(U28=0,"",U28)</f>
        <v>1.2678240740740742E-3</v>
      </c>
      <c r="N601" s="1012">
        <f>IF(X28=0,"",X28)</f>
        <v>1.262037037037037E-3</v>
      </c>
      <c r="O601" s="1011">
        <f>IF(AA28=0,"",AA28)</f>
        <v>1.3180555555555556E-3</v>
      </c>
      <c r="P601" s="1012" t="str">
        <f>IF(AD28=0,"",AD28)</f>
        <v/>
      </c>
      <c r="Q601" s="1012" t="str">
        <f>IF(AG28=0,"",AG28)</f>
        <v/>
      </c>
      <c r="R601" s="1011" t="str">
        <f>IF(AJ28=0,"",AJ28)</f>
        <v/>
      </c>
    </row>
    <row r="602" spans="5:18" ht="15" hidden="1" customHeight="1" x14ac:dyDescent="0.25">
      <c r="E602" s="1010">
        <v>9</v>
      </c>
      <c r="F602" s="1010"/>
      <c r="G602" s="1010"/>
      <c r="H602" s="1010"/>
      <c r="I602" s="1011" t="str">
        <f>IF(I30=0,"",I30)</f>
        <v/>
      </c>
      <c r="J602" s="1012">
        <f>IF(L30=0,"",L30)</f>
        <v>1.6187500000000002E-3</v>
      </c>
      <c r="K602" s="1012">
        <f>IF(O30=0,"",O30)</f>
        <v>1.6140046296296295E-3</v>
      </c>
      <c r="L602" s="1011">
        <f>IF(R30=0,"",R30)</f>
        <v>1.5174768518518517E-3</v>
      </c>
      <c r="M602" s="1012">
        <f>IF(U30=0,"",U30)</f>
        <v>1.5806712962962962E-3</v>
      </c>
      <c r="N602" s="1012">
        <f>IF(X30=0,"",X30)</f>
        <v>1.6027777777777776E-3</v>
      </c>
      <c r="O602" s="1011">
        <f>IF(AA30=0,"",AA30)</f>
        <v>1.5299768518518518E-3</v>
      </c>
      <c r="P602" s="1012" t="str">
        <f>IF(AD30=0,"",AD30)</f>
        <v/>
      </c>
      <c r="Q602" s="1012" t="str">
        <f>IF(AG30=0,"",AG30)</f>
        <v/>
      </c>
      <c r="R602" s="1011" t="str">
        <f>IF(AJ30=0,"",AJ30)</f>
        <v/>
      </c>
    </row>
    <row r="603" spans="5:18" ht="33.75" hidden="1" customHeight="1" x14ac:dyDescent="0.25">
      <c r="E603" s="1010">
        <v>10</v>
      </c>
      <c r="F603" s="1010"/>
      <c r="G603" s="1010"/>
      <c r="H603" s="1010"/>
      <c r="I603" s="1011">
        <f>IF(I32=0,"",I32)</f>
        <v>1.5916666666666666E-3</v>
      </c>
      <c r="J603" s="1012">
        <f>IF(L32=0,"",L32)</f>
        <v>1.5048611111111111E-3</v>
      </c>
      <c r="K603" s="1012" t="str">
        <f>IF(O32=0,"",O32)</f>
        <v/>
      </c>
      <c r="L603" s="1011">
        <f>IF(R32=0,"",R32)</f>
        <v>1.3813657407407409E-3</v>
      </c>
      <c r="M603" s="1012">
        <f>IF(U32=0,"",U32)</f>
        <v>1.4202546296296298E-3</v>
      </c>
      <c r="N603" s="1012">
        <f>IF(X32=0,"",X32)</f>
        <v>1.3542824074074073E-3</v>
      </c>
      <c r="O603" s="1011">
        <f>IF(AA32=0,"",AA32)</f>
        <v>1.420138888888889E-3</v>
      </c>
      <c r="P603" s="1012" t="str">
        <f>IF(AD32=0,"",AD32)</f>
        <v/>
      </c>
      <c r="Q603" s="1012" t="str">
        <f>IF(AG32=0,"",AG32)</f>
        <v/>
      </c>
      <c r="R603" s="1011" t="str">
        <f>IF(AJ32=0,"",AJ32)</f>
        <v/>
      </c>
    </row>
    <row r="604" spans="5:18" ht="15" hidden="1" customHeight="1" x14ac:dyDescent="0.25">
      <c r="E604" s="1010">
        <v>11</v>
      </c>
      <c r="F604" s="1010"/>
      <c r="G604" s="1010"/>
      <c r="H604" s="1010"/>
      <c r="I604" s="1011">
        <f>IF(I34=0,"",I34)</f>
        <v>5.1493055555555558E-4</v>
      </c>
      <c r="J604" s="1012">
        <f>IF(L34=0,"",L34)</f>
        <v>5.1990740740740741E-4</v>
      </c>
      <c r="K604" s="1012" t="str">
        <f>IF(O34=0,"",O34)</f>
        <v/>
      </c>
      <c r="L604" s="1011">
        <f>IF(R34=0,"",R34)</f>
        <v>4.6643518518518518E-4</v>
      </c>
      <c r="M604" s="1012">
        <f>IF(U34=0,"",U34)</f>
        <v>4.6516203703703699E-4</v>
      </c>
      <c r="N604" s="1012">
        <f>IF(X34=0,"",X34)</f>
        <v>5.346064814814815E-4</v>
      </c>
      <c r="O604" s="1011">
        <f>IF(AA34=0,"",AA34)</f>
        <v>4.9548611111111115E-4</v>
      </c>
      <c r="P604" s="1012" t="str">
        <f>IF(AD34=0,"",AD34)</f>
        <v/>
      </c>
      <c r="Q604" s="1012" t="str">
        <f>IF(AG34=0,"",AG34)</f>
        <v/>
      </c>
      <c r="R604" s="1011" t="str">
        <f>IF(AJ34=0,"",AJ34)</f>
        <v/>
      </c>
    </row>
    <row r="605" spans="5:18" ht="15" hidden="1" customHeight="1" x14ac:dyDescent="0.25">
      <c r="E605" s="1010">
        <v>12</v>
      </c>
      <c r="F605" s="1010"/>
      <c r="G605" s="1010"/>
      <c r="H605" s="1010"/>
      <c r="I605" s="1011" t="str">
        <f>IF(I37=0,"",I37)</f>
        <v/>
      </c>
      <c r="J605" s="1012">
        <f>IF(L37=0,"",L37)</f>
        <v>4.6608796296296302E-4</v>
      </c>
      <c r="K605" s="1012">
        <f>IF(O37=0,"",O37)</f>
        <v>5.4340277777777785E-4</v>
      </c>
      <c r="L605" s="1011">
        <f>IF(R37=0,"",R37)</f>
        <v>5.3668981481481482E-4</v>
      </c>
      <c r="M605" s="1012">
        <f>IF(U37=0,"",U37)</f>
        <v>4.7870370370370368E-4</v>
      </c>
      <c r="N605" s="1012">
        <f>IF(X37=0,"",X37)</f>
        <v>5.2071759259259259E-4</v>
      </c>
      <c r="O605" s="1011">
        <f>IF(AA37=0,"",AA37)</f>
        <v>5.3321759259259262E-4</v>
      </c>
      <c r="P605" s="1012" t="str">
        <f>IF(AD37=0,"",AD37)</f>
        <v/>
      </c>
      <c r="Q605" s="1012" t="str">
        <f>IF(AG37=0,"",AG37)</f>
        <v/>
      </c>
      <c r="R605" s="1011" t="str">
        <f>IF(AJ37=0,"",AJ37)</f>
        <v/>
      </c>
    </row>
    <row r="606" spans="5:18" ht="15" hidden="1" customHeight="1" x14ac:dyDescent="0.25">
      <c r="E606" s="1010">
        <v>13</v>
      </c>
      <c r="F606" s="1010"/>
      <c r="G606" s="1010"/>
      <c r="H606" s="1010"/>
      <c r="I606" s="1011">
        <f>IF(I40=0,"",I40)</f>
        <v>9.4062500000000005E-4</v>
      </c>
      <c r="J606" s="1012">
        <f>IF(L40=0,"",L40)</f>
        <v>1.1271990740740741E-3</v>
      </c>
      <c r="K606" s="1012">
        <f>IF(O40=0,"",O40)</f>
        <v>9.5138888888888888E-4</v>
      </c>
      <c r="L606" s="1011">
        <f>IF(R40=0,"",R40)</f>
        <v>1.0512731481481482E-3</v>
      </c>
      <c r="M606" s="1012">
        <f>IF(U40=0,"",U40)</f>
        <v>1.135185185185185E-3</v>
      </c>
      <c r="N606" s="1012">
        <f>IF(X40=0,"",X40)</f>
        <v>1.2004629629629631E-3</v>
      </c>
      <c r="O606" s="1011">
        <f>IF(AA40=0,"",AA40)</f>
        <v>1.0837962962962962E-3</v>
      </c>
      <c r="P606" s="1012" t="str">
        <f>IF(AD40=0,"",AD40)</f>
        <v/>
      </c>
      <c r="Q606" s="1012" t="str">
        <f>IF(AG40=0,"",AG40)</f>
        <v/>
      </c>
      <c r="R606" s="1011" t="str">
        <f>IF(AJ40=0,"",AJ40)</f>
        <v/>
      </c>
    </row>
    <row r="607" spans="5:18" ht="15" hidden="1" customHeight="1" x14ac:dyDescent="0.25">
      <c r="E607" s="1010">
        <v>14</v>
      </c>
      <c r="F607" s="1010"/>
      <c r="G607" s="1010"/>
      <c r="H607" s="1010"/>
      <c r="I607" s="1011">
        <f>IF(I43=0,"",I43)</f>
        <v>1.1857638888888888E-3</v>
      </c>
      <c r="J607" s="1012">
        <f>IF(L43=0,"",L43)</f>
        <v>1.0996527777777777E-3</v>
      </c>
      <c r="K607" s="1012">
        <f>IF(O43=0,"",O43)</f>
        <v>1.0501157407407408E-3</v>
      </c>
      <c r="L607" s="1011">
        <f>IF(R43=0,"",R43)</f>
        <v>1.1608796296296295E-3</v>
      </c>
      <c r="M607" s="1012">
        <f>IF(U43=0,"",U43)</f>
        <v>1.0450231481481482E-3</v>
      </c>
      <c r="N607" s="1012">
        <f>IF(X43=0,"",X43)</f>
        <v>1.0557870370370372E-3</v>
      </c>
      <c r="O607" s="1011">
        <f>IF(AA43=0,"",AA43)</f>
        <v>8.9733796296296295E-4</v>
      </c>
      <c r="P607" s="1012" t="str">
        <f>IF(AD43=0,"",AD43)</f>
        <v/>
      </c>
      <c r="Q607" s="1012" t="str">
        <f>IF(AG43=0,"",AG43)</f>
        <v/>
      </c>
      <c r="R607" s="1011" t="str">
        <f>IF(AJ43=0,"",AJ43)</f>
        <v/>
      </c>
    </row>
    <row r="608" spans="5:18" ht="15" hidden="1" customHeight="1" x14ac:dyDescent="0.25">
      <c r="E608" s="1010">
        <v>15</v>
      </c>
      <c r="F608" s="1010"/>
      <c r="G608" s="1010"/>
      <c r="H608" s="1010"/>
      <c r="I608" s="1011">
        <f>IF(I46=0,"",I46)</f>
        <v>8.9375000000000001E-4</v>
      </c>
      <c r="J608" s="1012">
        <f>IF(L46=0,"",L46)</f>
        <v>9.2106481481481477E-4</v>
      </c>
      <c r="K608" s="1012">
        <f>IF(O46=0,"",O46)</f>
        <v>8.6793981481481488E-4</v>
      </c>
      <c r="L608" s="1011">
        <f>IF(R46=0,"",R46)</f>
        <v>7.7500000000000008E-4</v>
      </c>
      <c r="M608" s="1012">
        <f>IF(U46=0,"",U46)</f>
        <v>8.3391203703703709E-4</v>
      </c>
      <c r="N608" s="1012">
        <f>IF(X46=0,"",X46)</f>
        <v>8.4525462962962972E-4</v>
      </c>
      <c r="O608" s="1011">
        <f>IF(AA46=0,"",AA46)</f>
        <v>9.3564814814814812E-4</v>
      </c>
      <c r="P608" s="1012" t="str">
        <f>IF(AD46=0,"",AD46)</f>
        <v/>
      </c>
      <c r="Q608" s="1012" t="str">
        <f>IF(AG46=0,"",AG46)</f>
        <v/>
      </c>
      <c r="R608" s="1011" t="str">
        <f>IF(AJ46=0,"",AJ46)</f>
        <v/>
      </c>
    </row>
    <row r="609" spans="5:18" ht="15" hidden="1" customHeight="1" x14ac:dyDescent="0.25">
      <c r="E609" s="1010">
        <v>16</v>
      </c>
      <c r="F609" s="1010"/>
      <c r="G609" s="1010"/>
      <c r="H609" s="1010"/>
      <c r="I609" s="1011">
        <f>IF(I49=0,"",I49)</f>
        <v>9.2187499999999995E-4</v>
      </c>
      <c r="J609" s="1012">
        <f>IF(L49=0,"",L49)</f>
        <v>8.1967592592592595E-4</v>
      </c>
      <c r="K609" s="1012">
        <f>IF(O49=0,"",O49)</f>
        <v>9.8182870370370373E-4</v>
      </c>
      <c r="L609" s="1011">
        <f>IF(R49=0,"",R49)</f>
        <v>7.7662037037037033E-4</v>
      </c>
      <c r="M609" s="1012">
        <f>IF(U49=0,"",U49)</f>
        <v>7.4768518518518511E-4</v>
      </c>
      <c r="N609" s="1012" t="str">
        <f>IF(X49=0,"",X49)</f>
        <v/>
      </c>
      <c r="O609" s="1011">
        <f>IF(AA49=0,"",AA49)</f>
        <v>8.1678240740740745E-4</v>
      </c>
      <c r="P609" s="1012" t="str">
        <f>IF(AD49=0,"",AD49)</f>
        <v/>
      </c>
      <c r="Q609" s="1012" t="str">
        <f>IF(AG49=0,"",AG49)</f>
        <v/>
      </c>
      <c r="R609" s="1011" t="str">
        <f>IF(AJ49=0,"",AJ49)</f>
        <v/>
      </c>
    </row>
    <row r="610" spans="5:18" ht="15" hidden="1" customHeight="1" x14ac:dyDescent="0.25">
      <c r="E610" s="1010">
        <v>17</v>
      </c>
      <c r="F610" s="1010"/>
      <c r="G610" s="1010"/>
      <c r="H610" s="1010"/>
      <c r="I610" s="1011">
        <f>IF(I52=0,"",I52)</f>
        <v>8.8090277777777776E-4</v>
      </c>
      <c r="J610" s="1012">
        <f>IF(L52=0,"",L52)</f>
        <v>9.2118055555555562E-4</v>
      </c>
      <c r="K610" s="1012">
        <f>IF(O52=0,"",O52)</f>
        <v>9.0671296296296301E-4</v>
      </c>
      <c r="L610" s="1011">
        <f>IF(R52=0,"",R52)</f>
        <v>7.9513888888888896E-4</v>
      </c>
      <c r="M610" s="1012">
        <f>IF(U52=0,"",U52)</f>
        <v>8.6215277777777777E-4</v>
      </c>
      <c r="N610" s="1012">
        <f>IF(X52=0,"",X52)</f>
        <v>9.0601851851851857E-4</v>
      </c>
      <c r="O610" s="1011">
        <f>IF(AA52=0,"",AA52)</f>
        <v>8.9131944444444447E-4</v>
      </c>
      <c r="P610" s="1012" t="str">
        <f>IF(AD52=0,"",AD52)</f>
        <v/>
      </c>
      <c r="Q610" s="1012" t="str">
        <f>IF(AG52=0,"",AG52)</f>
        <v/>
      </c>
      <c r="R610" s="1011" t="str">
        <f>IF(AJ52=0,"",AJ52)</f>
        <v/>
      </c>
    </row>
    <row r="611" spans="5:18" ht="15" hidden="1" customHeight="1" x14ac:dyDescent="0.25">
      <c r="E611" s="1010">
        <v>18</v>
      </c>
      <c r="F611" s="1010"/>
      <c r="G611" s="1010"/>
      <c r="H611" s="1010"/>
      <c r="I611" s="1011" t="str">
        <f>IF(I55=0,"",I55)</f>
        <v/>
      </c>
      <c r="J611" s="1012">
        <f>IF(L55=0,"",L55)</f>
        <v>1.0456018518518518E-3</v>
      </c>
      <c r="K611" s="1012">
        <f>IF(O55=0,"",O55)</f>
        <v>8.0162037037037018E-4</v>
      </c>
      <c r="L611" s="1011">
        <f>IF(R55=0,"",R55)</f>
        <v>7.4166666666666662E-4</v>
      </c>
      <c r="M611" s="1012">
        <f>IF(U55=0,"",U55)</f>
        <v>7.594907407407407E-4</v>
      </c>
      <c r="N611" s="1012">
        <f>IF(X55=0,"",X55)</f>
        <v>7.1388888888888891E-4</v>
      </c>
      <c r="O611" s="1011">
        <f>IF(AA55=0,"",AA55)</f>
        <v>7.53125E-4</v>
      </c>
      <c r="P611" s="1012" t="str">
        <f>IF(AD55=0,"",AD55)</f>
        <v/>
      </c>
      <c r="Q611" s="1012" t="str">
        <f>IF(AG55=0,"",AG55)</f>
        <v/>
      </c>
      <c r="R611" s="1011" t="str">
        <f>IF(AJ55=0,"",AJ55)</f>
        <v/>
      </c>
    </row>
    <row r="612" spans="5:18" ht="15" hidden="1" customHeight="1" x14ac:dyDescent="0.25">
      <c r="E612" s="1010">
        <v>19</v>
      </c>
      <c r="F612" s="1010"/>
      <c r="G612" s="1010"/>
      <c r="H612" s="1010"/>
      <c r="I612" s="1011">
        <f>IF(I58=0,"",I58)</f>
        <v>4.4745370370370365E-4</v>
      </c>
      <c r="J612" s="1012">
        <f>IF(L58=0,"",L58)</f>
        <v>5.0428240740740739E-4</v>
      </c>
      <c r="K612" s="1012">
        <f>IF(O58=0,"",O58)</f>
        <v>4.9270833333333339E-4</v>
      </c>
      <c r="L612" s="1011">
        <f>IF(R58=0,"",R58)</f>
        <v>5.276620370370371E-4</v>
      </c>
      <c r="M612" s="1012">
        <f>IF(U58=0,"",U58)</f>
        <v>5.4780092592592586E-4</v>
      </c>
      <c r="N612" s="1012">
        <f>IF(X58=0,"",X58)</f>
        <v>5.398148148148148E-4</v>
      </c>
      <c r="O612" s="1011">
        <f>IF(AA58=0,"",AA58)</f>
        <v>5.0543981481481479E-4</v>
      </c>
      <c r="P612" s="1012" t="str">
        <f>IF(AD58=0,"",AD58)</f>
        <v/>
      </c>
      <c r="Q612" s="1012" t="str">
        <f>IF(AG58=0,"",AG58)</f>
        <v/>
      </c>
      <c r="R612" s="1011" t="str">
        <f>IF(AJ58=0,"",AJ58)</f>
        <v/>
      </c>
    </row>
    <row r="613" spans="5:18" ht="15" hidden="1" customHeight="1" x14ac:dyDescent="0.25">
      <c r="E613" s="1010">
        <v>20</v>
      </c>
      <c r="F613" s="1010"/>
      <c r="G613" s="1010"/>
      <c r="H613" s="1010"/>
      <c r="I613" s="1011">
        <f>IF(I61=0,"",I61)</f>
        <v>6.6365740740740751E-4</v>
      </c>
      <c r="J613" s="1012">
        <f>IF(L61=0,"",L61)</f>
        <v>4.5636574074074074E-4</v>
      </c>
      <c r="K613" s="1012">
        <f>IF(O61=0,"",O61)</f>
        <v>5.5312500000000001E-4</v>
      </c>
      <c r="L613" s="1011" t="str">
        <f>IF(R61=0,"",R61)</f>
        <v/>
      </c>
      <c r="M613" s="1012">
        <f>IF(U61=0,"",U61)</f>
        <v>5.807870370370371E-4</v>
      </c>
      <c r="N613" s="1012">
        <f>IF(X61=0,"",X61)</f>
        <v>4.7685185185185195E-4</v>
      </c>
      <c r="O613" s="1011">
        <f>IF(AA61=0,"",AA61)</f>
        <v>5.8124999999999995E-4</v>
      </c>
      <c r="P613" s="1012" t="str">
        <f>IF(AD61=0,"",AD61)</f>
        <v/>
      </c>
      <c r="Q613" s="1012" t="str">
        <f>IF(AG61=0,"",AG61)</f>
        <v/>
      </c>
      <c r="R613" s="1011" t="str">
        <f>IF(AJ61=0,"",AJ61)</f>
        <v/>
      </c>
    </row>
    <row r="614" spans="5:18" ht="15" hidden="1" customHeight="1" x14ac:dyDescent="0.25">
      <c r="E614" s="1010">
        <v>21</v>
      </c>
      <c r="F614" s="1010"/>
      <c r="G614" s="1010"/>
      <c r="H614" s="1010"/>
      <c r="I614" s="1011">
        <f>IF(I64=0,"",I64)</f>
        <v>1.0196759259259258E-3</v>
      </c>
      <c r="J614" s="1012">
        <f>IF(L64=0,"",L64)</f>
        <v>9.2986111111111101E-4</v>
      </c>
      <c r="K614" s="1012">
        <f>IF(O64=0,"",O64)</f>
        <v>9.0185185185185192E-4</v>
      </c>
      <c r="L614" s="1011">
        <f>IF(R64=0,"",R64)</f>
        <v>8.8587962962962969E-4</v>
      </c>
      <c r="M614" s="1012">
        <f>IF(U64=0,"",U64)</f>
        <v>9.4004629629629614E-4</v>
      </c>
      <c r="N614" s="1012">
        <f>IF(X64=0,"",X64)</f>
        <v>9.2581018518518522E-4</v>
      </c>
      <c r="O614" s="1011" t="str">
        <f>IF(AA64=0,"",AA64)</f>
        <v/>
      </c>
      <c r="P614" s="1012" t="str">
        <f>IF(AD64=0,"",AD64)</f>
        <v/>
      </c>
      <c r="Q614" s="1012" t="str">
        <f>IF(AG64=0,"",AG64)</f>
        <v/>
      </c>
      <c r="R614" s="1011" t="str">
        <f>IF(AJ64=0,"",AJ64)</f>
        <v/>
      </c>
    </row>
    <row r="615" spans="5:18" ht="15" hidden="1" customHeight="1" x14ac:dyDescent="0.25">
      <c r="E615" s="1010">
        <v>22</v>
      </c>
      <c r="F615" s="1010"/>
      <c r="G615" s="1010"/>
      <c r="H615" s="1010"/>
      <c r="I615" s="1011">
        <f>IF(I67=0,"",I67)</f>
        <v>9.3923611111111117E-4</v>
      </c>
      <c r="J615" s="1012">
        <f>IF(L67=0,"",L67)</f>
        <v>1.0121527777777778E-3</v>
      </c>
      <c r="K615" s="1012">
        <f>IF(O67=0,"",O67)</f>
        <v>9.3715277777777775E-4</v>
      </c>
      <c r="L615" s="1011">
        <f>IF(R67=0,"",R67)</f>
        <v>1.0128472222222221E-3</v>
      </c>
      <c r="M615" s="1012">
        <f>IF(U67=0,"",U67)</f>
        <v>9.032407407407408E-4</v>
      </c>
      <c r="N615" s="1012">
        <f>IF(X67=0,"",X67)</f>
        <v>7.9201388888888898E-4</v>
      </c>
      <c r="O615" s="1011">
        <f>IF(AA67=0,"",AA67)</f>
        <v>7.9988425925925919E-4</v>
      </c>
      <c r="P615" s="1012" t="str">
        <f>IF(AD67=0,"",AD67)</f>
        <v/>
      </c>
      <c r="Q615" s="1012" t="str">
        <f>IF(AG67=0,"",AG67)</f>
        <v/>
      </c>
      <c r="R615" s="1011" t="str">
        <f>IF(AJ67=0,"",AJ67)</f>
        <v/>
      </c>
    </row>
    <row r="616" spans="5:18" ht="15" hidden="1" customHeight="1" x14ac:dyDescent="0.25">
      <c r="E616" s="1010">
        <v>23</v>
      </c>
      <c r="F616" s="1010"/>
      <c r="G616" s="1010"/>
      <c r="H616" s="1010"/>
      <c r="I616" s="1011">
        <f>IF(I70=0,"",I70)</f>
        <v>8.8113425925925913E-4</v>
      </c>
      <c r="J616" s="1012">
        <f>IF(L70=0,"",L70)</f>
        <v>9.0543981481481476E-4</v>
      </c>
      <c r="K616" s="1012">
        <f>IF(O70=0,"",O70)</f>
        <v>8.7824074074074063E-4</v>
      </c>
      <c r="L616" s="1011">
        <f>IF(R70=0,"",R70)</f>
        <v>9.1539351851851851E-4</v>
      </c>
      <c r="M616" s="1012">
        <f>IF(U70=0,"",U70)</f>
        <v>8.155092592592592E-4</v>
      </c>
      <c r="N616" s="1012">
        <f>IF(X70=0,"",X70)</f>
        <v>9.3287037037037036E-4</v>
      </c>
      <c r="O616" s="1011">
        <f>IF(AA70=0,"",AA70)</f>
        <v>8.5023148148148143E-4</v>
      </c>
      <c r="P616" s="1012" t="str">
        <f>IF(AD70=0,"",AD70)</f>
        <v/>
      </c>
      <c r="Q616" s="1012" t="str">
        <f>IF(AG70=0,"",AG70)</f>
        <v/>
      </c>
      <c r="R616" s="1011" t="str">
        <f>IF(AJ70=0,"",AJ70)</f>
        <v/>
      </c>
    </row>
    <row r="617" spans="5:18" ht="13.5" hidden="1" customHeight="1" x14ac:dyDescent="0.25">
      <c r="E617" s="1010">
        <v>24</v>
      </c>
      <c r="F617" s="1010"/>
      <c r="G617" s="1010"/>
      <c r="H617" s="1010"/>
      <c r="I617" s="1011" t="str">
        <f>IF(I73=0,"",I73)</f>
        <v/>
      </c>
      <c r="J617" s="1012">
        <f>IF(L73=0,"",L73)</f>
        <v>9.9282407407407414E-4</v>
      </c>
      <c r="K617" s="1012">
        <f>IF(O73=0,"",O73)</f>
        <v>8.9733796296296295E-4</v>
      </c>
      <c r="L617" s="1011">
        <f>IF(R73=0,"",R73)</f>
        <v>7.7939814814814809E-4</v>
      </c>
      <c r="M617" s="1012">
        <f>IF(U73=0,"",U73)</f>
        <v>7.0729166666666672E-4</v>
      </c>
      <c r="N617" s="1012">
        <f>IF(X73=0,"",X73)</f>
        <v>7.3865740740740749E-4</v>
      </c>
      <c r="O617" s="1011">
        <f>IF(AA73=0,"",AA73)</f>
        <v>7.9444444444444452E-4</v>
      </c>
      <c r="P617" s="1012" t="str">
        <f>IF(AD73=0,"",AD73)</f>
        <v/>
      </c>
      <c r="Q617" s="1012" t="str">
        <f>IF(AG73=0,"",AG73)</f>
        <v/>
      </c>
      <c r="R617" s="1011" t="str">
        <f>IF(AJ73=0,"",AJ73)</f>
        <v/>
      </c>
    </row>
    <row r="618" spans="5:18" ht="15" hidden="1" customHeight="1" x14ac:dyDescent="0.25">
      <c r="E618" s="1010">
        <v>25</v>
      </c>
      <c r="F618" s="1010"/>
      <c r="G618" s="1010"/>
      <c r="H618" s="1010"/>
      <c r="I618" s="1011">
        <f>IF(I76=0,"",I76)</f>
        <v>9.5601851851851848E-4</v>
      </c>
      <c r="J618" s="1012">
        <f>IF(L76=0,"",L76)</f>
        <v>8.688657407407408E-4</v>
      </c>
      <c r="K618" s="1012">
        <f>IF(O76=0,"",O76)</f>
        <v>8.9016203703703707E-4</v>
      </c>
      <c r="L618" s="1011">
        <f>IF(R76=0,"",R76)</f>
        <v>7.8784722222222233E-4</v>
      </c>
      <c r="M618" s="1012">
        <f>IF(U76=0,"",U76)</f>
        <v>8.3194444444444451E-4</v>
      </c>
      <c r="N618" s="1012">
        <f>IF(X76=0,"",X76)</f>
        <v>9.0694444444444449E-4</v>
      </c>
      <c r="O618" s="1011">
        <f>IF(AA76=0,"",AA76)</f>
        <v>8.4166666666666667E-4</v>
      </c>
      <c r="P618" s="1012" t="str">
        <f>IF(AD76=0,"",AD76)</f>
        <v/>
      </c>
      <c r="Q618" s="1012" t="str">
        <f>IF(AG76=0,"",AG76)</f>
        <v/>
      </c>
      <c r="R618" s="1011" t="str">
        <f>IF(AJ76=0,"",AJ76)</f>
        <v/>
      </c>
    </row>
    <row r="619" spans="5:18" ht="15" hidden="1" customHeight="1" x14ac:dyDescent="0.25">
      <c r="E619" s="1010">
        <v>26</v>
      </c>
      <c r="F619" s="1010"/>
      <c r="G619" s="1010"/>
      <c r="H619" s="1010"/>
      <c r="I619" s="1011">
        <f>IF(I79=0,"",I79)</f>
        <v>8.2303240740740741E-4</v>
      </c>
      <c r="J619" s="1012">
        <f>IF(L79=0,"",L79)</f>
        <v>7.9606481481481466E-4</v>
      </c>
      <c r="K619" s="1012" t="str">
        <f>IF(O79=0,"",O79)</f>
        <v/>
      </c>
      <c r="L619" s="1011">
        <f>IF(R79=0,"",R79)</f>
        <v>7.1481481481481483E-4</v>
      </c>
      <c r="M619" s="1012">
        <f>IF(U79=0,"",U79)</f>
        <v>7.6111111111111117E-4</v>
      </c>
      <c r="N619" s="1012">
        <f>IF(X79=0,"",X79)</f>
        <v>7.7326388888888887E-4</v>
      </c>
      <c r="O619" s="1011">
        <f>IF(AA79=0,"",AA79)</f>
        <v>8.189814814814814E-4</v>
      </c>
      <c r="P619" s="1012" t="str">
        <f>IF(AD79=0,"",AD79)</f>
        <v/>
      </c>
      <c r="Q619" s="1012" t="str">
        <f>IF(AG79=0,"",AG79)</f>
        <v/>
      </c>
      <c r="R619" s="1011" t="str">
        <f>IF(AJ79=0,"",AJ79)</f>
        <v/>
      </c>
    </row>
    <row r="620" spans="5:18" ht="15" hidden="1" customHeight="1" x14ac:dyDescent="0.25">
      <c r="E620" s="1010">
        <v>27</v>
      </c>
      <c r="F620" s="1010"/>
      <c r="G620" s="1010"/>
      <c r="H620" s="1010"/>
      <c r="I620" s="1011">
        <f>IF(I82=0,"",I82)</f>
        <v>5.8287037037037042E-4</v>
      </c>
      <c r="J620" s="1012">
        <f>IF(L82=0,"",L82)</f>
        <v>6.0682870370370372E-4</v>
      </c>
      <c r="K620" s="1012" t="str">
        <f>IF(O82=0,"",O82)</f>
        <v/>
      </c>
      <c r="L620" s="1011">
        <f>IF(R82=0,"",R82)</f>
        <v>5.7696759259259257E-4</v>
      </c>
      <c r="M620" s="1012">
        <f>IF(U82=0,"",U82)</f>
        <v>5.8101851851851858E-4</v>
      </c>
      <c r="N620" s="1012">
        <f>IF(X82=0,"",X82)</f>
        <v>5.8090277777777773E-4</v>
      </c>
      <c r="O620" s="1011">
        <f>IF(AA82=0,"",AA82)</f>
        <v>5.8032407407407414E-4</v>
      </c>
      <c r="P620" s="1012" t="str">
        <f>IF(AD82=0,"",AD82)</f>
        <v/>
      </c>
      <c r="Q620" s="1012" t="str">
        <f>IF(AG82=0,"",AG82)</f>
        <v/>
      </c>
      <c r="R620" s="1011" t="str">
        <f>IF(AJ82=0,"",AJ82)</f>
        <v/>
      </c>
    </row>
    <row r="621" spans="5:18" ht="15" hidden="1" customHeight="1" x14ac:dyDescent="0.25">
      <c r="E621" s="1010">
        <v>28</v>
      </c>
      <c r="F621" s="1010"/>
      <c r="G621" s="1010"/>
      <c r="H621" s="1010"/>
      <c r="I621" s="1011" t="str">
        <f>IF(I85=0,"",I85)</f>
        <v/>
      </c>
      <c r="J621" s="1012">
        <f>IF(L85=0,"",L85)</f>
        <v>4.9606481481481485E-4</v>
      </c>
      <c r="K621" s="1012">
        <f>IF(O85=0,"",O85)</f>
        <v>6.1481481481481478E-4</v>
      </c>
      <c r="L621" s="1011">
        <f>IF(R85=0,"",R85)</f>
        <v>5.7210648148148149E-4</v>
      </c>
      <c r="M621" s="1012">
        <f>IF(U85=0,"",U85)</f>
        <v>5.1655092592592594E-4</v>
      </c>
      <c r="N621" s="1012">
        <f>IF(X85=0,"",X85)</f>
        <v>5.7083333333333324E-4</v>
      </c>
      <c r="O621" s="1011">
        <f>IF(AA85=0,"",AA85)</f>
        <v>6.1990740740740745E-4</v>
      </c>
      <c r="P621" s="1012" t="str">
        <f>IF(AD85=0,"",AD85)</f>
        <v/>
      </c>
      <c r="Q621" s="1012" t="str">
        <f>IF(AG85=0,"",AG85)</f>
        <v/>
      </c>
      <c r="R621" s="1011" t="str">
        <f>IF(AJ85=0,"",AJ85)</f>
        <v/>
      </c>
    </row>
    <row r="622" spans="5:18" ht="15" hidden="1" customHeight="1" x14ac:dyDescent="0.25">
      <c r="E622" s="1010">
        <v>29</v>
      </c>
      <c r="F622" s="1010"/>
      <c r="G622" s="1010"/>
      <c r="H622" s="1010"/>
      <c r="I622" s="1011">
        <f>IF(I88=0,"",I88)</f>
        <v>9.662037037037036E-4</v>
      </c>
      <c r="J622" s="1012">
        <f>IF(L88=0,"",L88)</f>
        <v>1.0836805555555556E-3</v>
      </c>
      <c r="K622" s="1012">
        <f>IF(O88=0,"",O88)</f>
        <v>9.8414351851851853E-4</v>
      </c>
      <c r="L622" s="1011">
        <f>IF(R88=0,"",R88)</f>
        <v>9.0659722222222216E-4</v>
      </c>
      <c r="M622" s="1012">
        <f>IF(U88=0,"",U88)</f>
        <v>9.0937499999999992E-4</v>
      </c>
      <c r="N622" s="1012">
        <f>IF(X88=0,"",X88)</f>
        <v>9.300925925925926E-4</v>
      </c>
      <c r="O622" s="1011">
        <f>IF(AA88=0,"",AA88)</f>
        <v>1.016087962962963E-3</v>
      </c>
      <c r="P622" s="1012" t="str">
        <f>IF(AD88=0,"",AD88)</f>
        <v/>
      </c>
      <c r="Q622" s="1012" t="str">
        <f>IF(AG88=0,"",AG88)</f>
        <v/>
      </c>
      <c r="R622" s="1011" t="str">
        <f>IF(AJ88=0,"",AJ88)</f>
        <v/>
      </c>
    </row>
    <row r="623" spans="5:18" ht="15" hidden="1" customHeight="1" x14ac:dyDescent="0.25">
      <c r="E623" s="1010">
        <v>30</v>
      </c>
      <c r="F623" s="1010"/>
      <c r="G623" s="1010"/>
      <c r="H623" s="1010"/>
      <c r="I623" s="1011">
        <f>IF(I91=0,"",I91)</f>
        <v>9.8692129629629629E-4</v>
      </c>
      <c r="J623" s="1012">
        <f>IF(L91=0,"",L91)</f>
        <v>1.004976851851852E-3</v>
      </c>
      <c r="K623" s="1012">
        <f>IF(O91=0,"",O91)</f>
        <v>9.1284722222222212E-4</v>
      </c>
      <c r="L623" s="1011">
        <f>IF(R91=0,"",R91)</f>
        <v>1.0731481481481479E-3</v>
      </c>
      <c r="M623" s="1012">
        <f>IF(U91=0,"",U91)</f>
        <v>1.2238425925925926E-3</v>
      </c>
      <c r="N623" s="1012">
        <f>IF(X91=0,"",X91)</f>
        <v>9.4016203703703699E-4</v>
      </c>
      <c r="O623" s="1011">
        <f>IF(AA91=0,"",AA91)</f>
        <v>8.3668981481481474E-4</v>
      </c>
      <c r="P623" s="1012" t="str">
        <f>IF(AD91=0,"",AD91)</f>
        <v/>
      </c>
      <c r="Q623" s="1012" t="str">
        <f>IF(AG91=0,"",AG91)</f>
        <v/>
      </c>
      <c r="R623" s="1011" t="str">
        <f>IF(AJ91=0,"",AJ91)</f>
        <v/>
      </c>
    </row>
    <row r="624" spans="5:18" ht="15" hidden="1" customHeight="1" x14ac:dyDescent="0.25">
      <c r="E624" s="1010">
        <v>31</v>
      </c>
      <c r="F624" s="1010"/>
      <c r="G624" s="1010"/>
      <c r="H624" s="1010"/>
      <c r="I624" s="1011">
        <f>IF(I94=0,"",I94)</f>
        <v>8.273148148148149E-4</v>
      </c>
      <c r="J624" s="1012">
        <f>IF(L94=0,"",L94)</f>
        <v>7.3935185185185182E-4</v>
      </c>
      <c r="K624" s="1012">
        <f>IF(O94=0,"",O94)</f>
        <v>7.7731481481481477E-4</v>
      </c>
      <c r="L624" s="1011">
        <f>IF(R94=0,"",R94)</f>
        <v>7.6041666666666662E-4</v>
      </c>
      <c r="M624" s="1012">
        <f>IF(U94=0,"",U94)</f>
        <v>7.3888888888888886E-4</v>
      </c>
      <c r="N624" s="1012">
        <f>IF(X94=0,"",X94)</f>
        <v>7.5868055555555552E-4</v>
      </c>
      <c r="O624" s="1011">
        <f>IF(AA94=0,"",AA94)</f>
        <v>8.0636574074074074E-4</v>
      </c>
      <c r="P624" s="1012" t="str">
        <f>IF(AD94=0,"",AD94)</f>
        <v/>
      </c>
      <c r="Q624" s="1012" t="str">
        <f>IF(AG94=0,"",AG94)</f>
        <v/>
      </c>
      <c r="R624" s="1011" t="str">
        <f>IF(AJ94=0,"",AJ94)</f>
        <v/>
      </c>
    </row>
    <row r="625" spans="5:18" ht="15" hidden="1" customHeight="1" x14ac:dyDescent="0.25">
      <c r="E625" s="1010">
        <v>32</v>
      </c>
      <c r="F625" s="1010"/>
      <c r="G625" s="1010"/>
      <c r="H625" s="1010"/>
      <c r="I625" s="1011">
        <f>IF(I97=0,"",I97)</f>
        <v>7.817129629629629E-4</v>
      </c>
      <c r="J625" s="1012">
        <f>IF(L97=0,"",L97)</f>
        <v>7.4780092592592595E-4</v>
      </c>
      <c r="K625" s="1012">
        <f>IF(O97=0,"",O97)</f>
        <v>7.6770833333333335E-4</v>
      </c>
      <c r="L625" s="1011">
        <f>IF(R97=0,"",R97)</f>
        <v>6.8576388888888897E-4</v>
      </c>
      <c r="M625" s="1012">
        <f>IF(U97=0,"",U97)</f>
        <v>6.3321759259259266E-4</v>
      </c>
      <c r="N625" s="1012" t="str">
        <f>IF(X97=0,"",X97)</f>
        <v/>
      </c>
      <c r="O625" s="1011">
        <f>IF(AA97=0,"",AA97)</f>
        <v>7.2546296296296291E-4</v>
      </c>
      <c r="P625" s="1012" t="str">
        <f>IF(AD97=0,"",AD97)</f>
        <v/>
      </c>
      <c r="Q625" s="1012" t="str">
        <f>IF(AG97=0,"",AG97)</f>
        <v/>
      </c>
      <c r="R625" s="1011" t="str">
        <f>IF(AJ97=0,"",AJ97)</f>
        <v/>
      </c>
    </row>
    <row r="626" spans="5:18" ht="15" hidden="1" customHeight="1" x14ac:dyDescent="0.25">
      <c r="E626" s="1010">
        <v>33</v>
      </c>
      <c r="F626" s="1010"/>
      <c r="G626" s="1010"/>
      <c r="H626" s="1010"/>
      <c r="I626" s="1011">
        <f>IF(I100=0,"",I100)</f>
        <v>9.0185185185185192E-4</v>
      </c>
      <c r="J626" s="1012">
        <f>IF(L100=0,"",L100)</f>
        <v>1.0266203703703702E-3</v>
      </c>
      <c r="K626" s="1012">
        <f>IF(O100=0,"",O100)</f>
        <v>9.638888888888888E-4</v>
      </c>
      <c r="L626" s="1011">
        <f>IF(R100=0,"",R100)</f>
        <v>9.4085648148148143E-4</v>
      </c>
      <c r="M626" s="1012">
        <f>IF(U100=0,"",U100)</f>
        <v>9.7719907407407412E-4</v>
      </c>
      <c r="N626" s="1012">
        <f>IF(X100=0,"",X100)</f>
        <v>9.8564814814814804E-4</v>
      </c>
      <c r="O626" s="1011">
        <f>IF(AA100=0,"",AA100)</f>
        <v>1.0487268518518519E-3</v>
      </c>
      <c r="P626" s="1012" t="str">
        <f>IF(AD100=0,"",AD100)</f>
        <v/>
      </c>
      <c r="Q626" s="1012" t="str">
        <f>IF(AG100=0,"",AG100)</f>
        <v/>
      </c>
      <c r="R626" s="1011" t="str">
        <f>IF(AJ100=0,"",AJ100)</f>
        <v/>
      </c>
    </row>
    <row r="627" spans="5:18" ht="15" hidden="1" customHeight="1" x14ac:dyDescent="0.25">
      <c r="E627" s="1010">
        <v>34</v>
      </c>
      <c r="F627" s="1010"/>
      <c r="G627" s="1010"/>
      <c r="H627" s="1010"/>
      <c r="I627" s="1011">
        <f>IF(I103=0,"",I103)</f>
        <v>9.3692129629629627E-4</v>
      </c>
      <c r="J627" s="1012">
        <f>IF(L103=0,"",L103)</f>
        <v>1.0325231481481481E-3</v>
      </c>
      <c r="K627" s="1012">
        <f>IF(O103=0,"",O103)</f>
        <v>8.0763888888888888E-4</v>
      </c>
      <c r="L627" s="1011">
        <f>IF(R103=0,"",R103)</f>
        <v>8.902777777777777E-4</v>
      </c>
      <c r="M627" s="1012">
        <f>IF(U103=0,"",U103)</f>
        <v>8.2581018518518518E-4</v>
      </c>
      <c r="N627" s="1012">
        <f>IF(X103=0,"",X103)</f>
        <v>8.2638888888888877E-4</v>
      </c>
      <c r="O627" s="1011">
        <f>IF(AA103=0,"",AA103)</f>
        <v>9.0115740740740748E-4</v>
      </c>
      <c r="P627" s="1012" t="str">
        <f>IF(AD103=0,"",AD103)</f>
        <v/>
      </c>
      <c r="Q627" s="1012" t="str">
        <f>IF(AG103=0,"",AG103)</f>
        <v/>
      </c>
      <c r="R627" s="1011" t="str">
        <f>IF(AJ103=0,"",AJ103)</f>
        <v/>
      </c>
    </row>
    <row r="628" spans="5:18" ht="15" hidden="1" customHeight="1" x14ac:dyDescent="0.25">
      <c r="E628" s="1010">
        <v>35</v>
      </c>
      <c r="F628" s="1010"/>
      <c r="G628" s="1010"/>
      <c r="H628" s="1010"/>
      <c r="I628" s="1011">
        <f>IF(I106=0,"",I106)</f>
        <v>3.996527777777778E-4</v>
      </c>
      <c r="J628" s="1012">
        <f>IF(L106=0,"",L106)</f>
        <v>4.4780092592592587E-4</v>
      </c>
      <c r="K628" s="1012">
        <f>IF(O106=0,"",O106)</f>
        <v>4.3414351851851855E-4</v>
      </c>
      <c r="L628" s="1011">
        <f>IF(R106=0,"",R106)</f>
        <v>4.1967592592592593E-4</v>
      </c>
      <c r="M628" s="1012">
        <f>IF(U106=0,"",U106)</f>
        <v>4.2754629629629626E-4</v>
      </c>
      <c r="N628" s="1012">
        <f>IF(X106=0,"",X106)</f>
        <v>4.7604166666666666E-4</v>
      </c>
      <c r="O628" s="1011">
        <f>IF(AA106=0,"",AA106)</f>
        <v>4.4502314814814817E-4</v>
      </c>
      <c r="P628" s="1012" t="str">
        <f>IF(AD106=0,"",AD106)</f>
        <v/>
      </c>
      <c r="Q628" s="1012" t="str">
        <f>IF(AG106=0,"",AG106)</f>
        <v/>
      </c>
      <c r="R628" s="1011" t="str">
        <f>IF(AJ106=0,"",AJ106)</f>
        <v/>
      </c>
    </row>
    <row r="629" spans="5:18" ht="2.25" hidden="1" customHeight="1" x14ac:dyDescent="0.25">
      <c r="E629" s="1010">
        <v>36</v>
      </c>
      <c r="F629" s="1010"/>
      <c r="G629" s="1010"/>
      <c r="H629" s="1010"/>
      <c r="I629" s="1011">
        <f>IF(I109=0,"",I109)</f>
        <v>5.3078703703703697E-4</v>
      </c>
      <c r="J629" s="1012">
        <f>IF(L109=0,"",L109)</f>
        <v>4.4502314814814817E-4</v>
      </c>
      <c r="K629" s="1012">
        <f>IF(O109=0,"",O109)</f>
        <v>4.4016203703703708E-4</v>
      </c>
      <c r="L629" s="1011">
        <f>IF(R109=0,"",R109)</f>
        <v>4.2395833333333332E-4</v>
      </c>
      <c r="M629" s="1012">
        <f>IF(U109=0,"",U109)</f>
        <v>4.096064814814815E-4</v>
      </c>
      <c r="N629" s="1012">
        <f>IF(X109=0,"",X109)</f>
        <v>4.0983796296296292E-4</v>
      </c>
      <c r="O629" s="1011">
        <f>IF(AA109=0,"",AA109)</f>
        <v>5.0486111111111109E-4</v>
      </c>
      <c r="P629" s="1012" t="str">
        <f>IF(AD109=0,"",AD109)</f>
        <v/>
      </c>
      <c r="Q629" s="1012" t="str">
        <f>IF(AG109=0,"",AG109)</f>
        <v/>
      </c>
      <c r="R629" s="1011" t="str">
        <f>IF(AJ109=0,"",AJ109)</f>
        <v/>
      </c>
    </row>
    <row r="630" spans="5:18" ht="15" hidden="1" customHeight="1" x14ac:dyDescent="0.25">
      <c r="E630" s="1010">
        <v>37</v>
      </c>
      <c r="F630" s="1010"/>
      <c r="G630" s="1010"/>
      <c r="H630" s="1010"/>
      <c r="I630" s="1011">
        <f>IF(I112=0,"",I112)</f>
        <v>8.0532407407407408E-4</v>
      </c>
      <c r="J630" s="1012">
        <f>IF(L112=0,"",L112)</f>
        <v>8.2650462962962962E-4</v>
      </c>
      <c r="K630" s="1012">
        <f>IF(O112=0,"",O112)</f>
        <v>7.6724537037037039E-4</v>
      </c>
      <c r="L630" s="1011">
        <f>IF(R112=0,"",R112)</f>
        <v>7.6041666666666662E-4</v>
      </c>
      <c r="M630" s="1012">
        <f>IF(U112=0,"",U112)</f>
        <v>8.0844907407407395E-4</v>
      </c>
      <c r="N630" s="1012">
        <f>IF(X112=0,"",X112)</f>
        <v>8.0833333333333321E-4</v>
      </c>
      <c r="O630" s="1011">
        <f>IF(AA112=0,"",AA112)</f>
        <v>8.1724537037037041E-4</v>
      </c>
      <c r="P630" s="1012" t="str">
        <f>IF(AD112=0,"",AD112)</f>
        <v/>
      </c>
      <c r="Q630" s="1012" t="str">
        <f>IF(AG112=0,"",AG112)</f>
        <v/>
      </c>
      <c r="R630" s="1011" t="str">
        <f>IF(AJ112=0,"",AJ112)</f>
        <v/>
      </c>
    </row>
    <row r="631" spans="5:18" ht="15" hidden="1" customHeight="1" x14ac:dyDescent="0.25">
      <c r="E631" s="1010">
        <v>38</v>
      </c>
      <c r="F631" s="1010"/>
      <c r="G631" s="1010"/>
      <c r="H631" s="1010"/>
      <c r="I631" s="1011">
        <f>IF(I115=0,"",I115)</f>
        <v>7.5578703703703702E-4</v>
      </c>
      <c r="J631" s="1012">
        <f>IF(L115=0,"",L115)</f>
        <v>7.6261574074074079E-4</v>
      </c>
      <c r="K631" s="1012">
        <f>IF(O115=0,"",O115)</f>
        <v>7.693287037037036E-4</v>
      </c>
      <c r="L631" s="1011">
        <f>IF(R115=0,"",R115)</f>
        <v>8.0902777777777787E-4</v>
      </c>
      <c r="M631" s="1012">
        <f>IF(U115=0,"",U115)</f>
        <v>9.4976851851851852E-4</v>
      </c>
      <c r="N631" s="1012">
        <f>IF(X115=0,"",X115)</f>
        <v>7.1898148148148158E-4</v>
      </c>
      <c r="O631" s="1011">
        <f>IF(AA115=0,"",AA115)</f>
        <v>7.4050925925925933E-4</v>
      </c>
      <c r="P631" s="1012" t="str">
        <f>IF(AD115=0,"",AD115)</f>
        <v/>
      </c>
      <c r="Q631" s="1012" t="str">
        <f>IF(AG115=0,"",AG115)</f>
        <v/>
      </c>
      <c r="R631" s="1011" t="str">
        <f>IF(AJ115=0,"",AJ115)</f>
        <v/>
      </c>
    </row>
    <row r="632" spans="5:18" ht="15" hidden="1" customHeight="1" x14ac:dyDescent="0.25">
      <c r="E632" s="1010">
        <v>39</v>
      </c>
      <c r="F632" s="1010"/>
      <c r="G632" s="1010"/>
      <c r="H632" s="1010"/>
      <c r="I632" s="1011">
        <f>IF(I118=0,"",I118)</f>
        <v>1.0129629629629631E-3</v>
      </c>
      <c r="J632" s="1012">
        <f>IF(L118=0,"",L118)</f>
        <v>1.0931712962962963E-3</v>
      </c>
      <c r="K632" s="1012">
        <f>IF(O118=0,"",O118)</f>
        <v>9.5104166666666655E-4</v>
      </c>
      <c r="L632" s="1011">
        <f>IF(R118=0,"",R118)</f>
        <v>1.0902777777777779E-3</v>
      </c>
      <c r="M632" s="1012">
        <f>IF(U118=0,"",U118)</f>
        <v>9.3217592592592603E-4</v>
      </c>
      <c r="N632" s="1012">
        <f>IF(X118=0,"",X118)</f>
        <v>9.9178240740740759E-4</v>
      </c>
      <c r="O632" s="1011">
        <f>IF(AA118=0,"",AA118)</f>
        <v>9.6168981481481485E-4</v>
      </c>
      <c r="P632" s="1012" t="str">
        <f>IF(AD118=0,"",AD118)</f>
        <v/>
      </c>
      <c r="Q632" s="1012" t="str">
        <f>IF(AG118=0,"",AG118)</f>
        <v/>
      </c>
      <c r="R632" s="1011" t="str">
        <f>IF(AJ118=0,"",AJ118)</f>
        <v/>
      </c>
    </row>
    <row r="633" spans="5:18" ht="15" hidden="1" customHeight="1" x14ac:dyDescent="0.25">
      <c r="E633" s="1010">
        <v>40</v>
      </c>
      <c r="F633" s="1010"/>
      <c r="G633" s="1010"/>
      <c r="H633" s="1010"/>
      <c r="I633" s="1011">
        <f>IF(I121=0,"",I121)</f>
        <v>1.0069444444444444E-3</v>
      </c>
      <c r="J633" s="1012">
        <f>IF(L121=0,"",L121)</f>
        <v>9.3819444444444451E-4</v>
      </c>
      <c r="K633" s="1012">
        <f>IF(O121=0,"",O121)</f>
        <v>9.0844907407407411E-4</v>
      </c>
      <c r="L633" s="1011">
        <f>IF(R121=0,"",R121)</f>
        <v>9.0567129629629635E-4</v>
      </c>
      <c r="M633" s="1012">
        <f>IF(U121=0,"",U121)</f>
        <v>9.0636574074074068E-4</v>
      </c>
      <c r="N633" s="1012">
        <f>IF(X121=0,"",X121)</f>
        <v>9.1944444444444452E-4</v>
      </c>
      <c r="O633" s="1011">
        <f>IF(AA121=0,"",AA121)</f>
        <v>9.109953703703705E-4</v>
      </c>
      <c r="P633" s="1012" t="str">
        <f>IF(AD121=0,"",AD121)</f>
        <v/>
      </c>
      <c r="Q633" s="1012" t="str">
        <f>IF(AG121=0,"",AG121)</f>
        <v/>
      </c>
      <c r="R633" s="1011" t="str">
        <f>IF(AJ121=0,"",AJ121)</f>
        <v/>
      </c>
    </row>
    <row r="634" spans="5:18" ht="15" hidden="1" customHeight="1" x14ac:dyDescent="0.25">
      <c r="E634" s="1010">
        <v>41</v>
      </c>
      <c r="F634" s="1010"/>
      <c r="G634" s="1010"/>
      <c r="H634" s="1010"/>
      <c r="I634" s="1011">
        <f>IF(I124=0,"",I124)</f>
        <v>7.4201388888888884E-4</v>
      </c>
      <c r="J634" s="1012">
        <f>IF(L124=0,"",L124)</f>
        <v>7.799768518518519E-4</v>
      </c>
      <c r="K634" s="1012">
        <f>IF(O124=0,"",O124)</f>
        <v>7.7418981481481479E-4</v>
      </c>
      <c r="L634" s="1011">
        <f>IF(R124=0,"",R124)</f>
        <v>7.6076388888888884E-4</v>
      </c>
      <c r="M634" s="1012">
        <f>IF(U124=0,"",U124)</f>
        <v>7.618055555555555E-4</v>
      </c>
      <c r="N634" s="1012">
        <f>IF(X124=0,"",X124)</f>
        <v>7.6412037037037041E-4</v>
      </c>
      <c r="O634" s="1011">
        <f>IF(AA124=0,"",AA124)</f>
        <v>7.361111111111111E-4</v>
      </c>
      <c r="P634" s="1012" t="str">
        <f>IF(AD124=0,"",AD124)</f>
        <v/>
      </c>
      <c r="Q634" s="1012" t="str">
        <f>IF(AG124=0,"",AG124)</f>
        <v/>
      </c>
      <c r="R634" s="1011" t="str">
        <f>IF(AJ124=0,"",AJ124)</f>
        <v/>
      </c>
    </row>
    <row r="635" spans="5:18" ht="15" hidden="1" customHeight="1" x14ac:dyDescent="0.25">
      <c r="E635" s="1010">
        <v>42</v>
      </c>
      <c r="F635" s="1010"/>
      <c r="G635" s="1010"/>
      <c r="H635" s="1010"/>
      <c r="I635" s="1011">
        <f>IF(I127=0,"",I127)</f>
        <v>7.2094907407407405E-4</v>
      </c>
      <c r="J635" s="1012">
        <f>IF(L127=0,"",L127)</f>
        <v>7.1099537037037041E-4</v>
      </c>
      <c r="K635" s="1012">
        <f>IF(O127=0,"",O127)</f>
        <v>7.0335648148148145E-4</v>
      </c>
      <c r="L635" s="1011">
        <f>IF(R127=0,"",R127)</f>
        <v>6.5474537037037031E-4</v>
      </c>
      <c r="M635" s="1012">
        <f>IF(U127=0,"",U127)</f>
        <v>6.7881944444444446E-4</v>
      </c>
      <c r="N635" s="1012">
        <f>IF(X127=0,"",X127)</f>
        <v>6.4444444444444445E-4</v>
      </c>
      <c r="O635" s="1011">
        <f>IF(AA127=0,"",AA127)</f>
        <v>6.8449074074074072E-4</v>
      </c>
      <c r="P635" s="1012" t="str">
        <f>IF(AD127=0,"",AD127)</f>
        <v/>
      </c>
      <c r="Q635" s="1012" t="str">
        <f>IF(AG127=0,"",AG127)</f>
        <v/>
      </c>
      <c r="R635" s="1011" t="str">
        <f>IF(AJ127=0,"",AJ127)</f>
        <v/>
      </c>
    </row>
    <row r="636" spans="5:18" ht="15" hidden="1" customHeight="1" x14ac:dyDescent="0.25">
      <c r="E636" s="1010">
        <v>43</v>
      </c>
      <c r="F636" s="1010"/>
      <c r="G636" s="1010"/>
      <c r="H636" s="1010"/>
      <c r="I636" s="1011">
        <f>IF(I130=0,"",I130)</f>
        <v>2.0284722222222219E-3</v>
      </c>
      <c r="J636" s="1012">
        <f>IF(L130=0,"",L130)</f>
        <v>2.1328703703703705E-3</v>
      </c>
      <c r="K636" s="1012" t="str">
        <f>IF(O130=0,"",O130)</f>
        <v/>
      </c>
      <c r="L636" s="1011">
        <f>IF(R130=0,"",R130)</f>
        <v>2.0923611111111112E-3</v>
      </c>
      <c r="M636" s="1012">
        <f>IF(U130=0,"",U130)</f>
        <v>2.1501157407407406E-3</v>
      </c>
      <c r="N636" s="1012">
        <f>IF(X130=0,"",X130)</f>
        <v>2.2398148148148147E-3</v>
      </c>
      <c r="O636" s="1011">
        <f>IF(AA130=0,"",AA130)</f>
        <v>2.1025462962962964E-3</v>
      </c>
      <c r="P636" s="1012" t="str">
        <f>IF(AD130=0,"",AD130)</f>
        <v/>
      </c>
      <c r="Q636" s="1012" t="str">
        <f>IF(AG130=0,"",AG130)</f>
        <v/>
      </c>
      <c r="R636" s="1011" t="str">
        <f>IF(AJ130=0,"",AJ130)</f>
        <v/>
      </c>
    </row>
    <row r="637" spans="5:18" ht="15" hidden="1" customHeight="1" x14ac:dyDescent="0.25">
      <c r="E637" s="1010">
        <v>44</v>
      </c>
      <c r="F637" s="1010"/>
      <c r="G637" s="1010"/>
      <c r="H637" s="1010"/>
      <c r="I637" s="1011" t="str">
        <f>IF(I132=0,"",I132)</f>
        <v/>
      </c>
      <c r="J637" s="1012">
        <f>IF(L132=0,"",L132)</f>
        <v>1.8879629629629628E-3</v>
      </c>
      <c r="K637" s="1012" t="str">
        <f>IF(O132=0,"",O132)</f>
        <v/>
      </c>
      <c r="L637" s="1011">
        <f>IF(R132=0,"",R132)</f>
        <v>2.379050925925926E-3</v>
      </c>
      <c r="M637" s="1012">
        <f>IF(U132=0,"",U132)</f>
        <v>2.0459490740740742E-3</v>
      </c>
      <c r="N637" s="1012" t="str">
        <f>IF(X132=0,"",X132)</f>
        <v/>
      </c>
      <c r="O637" s="1011" t="str">
        <f>IF(AA132=0,"",AA132)</f>
        <v/>
      </c>
      <c r="P637" s="1012" t="str">
        <f>IF(AD132=0,"",AD132)</f>
        <v/>
      </c>
      <c r="Q637" s="1012" t="str">
        <f>IF(AG132=0,"",AG132)</f>
        <v/>
      </c>
      <c r="R637" s="1011" t="str">
        <f>IF(AJ132=0,"",AJ132)</f>
        <v/>
      </c>
    </row>
    <row r="638" spans="5:18" ht="15" hidden="1" customHeight="1" x14ac:dyDescent="0.25">
      <c r="E638" s="1010">
        <v>45</v>
      </c>
      <c r="F638" s="1010"/>
      <c r="G638" s="1010"/>
      <c r="H638" s="1010"/>
      <c r="I638" s="1011">
        <f>IF(I134=0,"",I134)</f>
        <v>1.5287037037037038E-3</v>
      </c>
      <c r="J638" s="1012">
        <f>IF(L134=0,"",L134)</f>
        <v>1.5825231481481482E-3</v>
      </c>
      <c r="K638" s="1012">
        <f>IF(O134=0,"",O134)</f>
        <v>1.4799768518518519E-3</v>
      </c>
      <c r="L638" s="1011">
        <f>IF(R134=0,"",R134)</f>
        <v>1.4490740740740742E-3</v>
      </c>
      <c r="M638" s="1012">
        <f>IF(U134=0,"",U134)</f>
        <v>1.5416666666666669E-3</v>
      </c>
      <c r="N638" s="1012">
        <f>IF(X134=0,"",X134)</f>
        <v>1.7312499999999999E-3</v>
      </c>
      <c r="O638" s="1011">
        <f>IF(AA134=0,"",AA134)</f>
        <v>1.553587962962963E-3</v>
      </c>
      <c r="P638" s="1012" t="str">
        <f>IF(AD134=0,"",AD134)</f>
        <v/>
      </c>
      <c r="Q638" s="1012" t="str">
        <f>IF(AG134=0,"",AG134)</f>
        <v/>
      </c>
      <c r="R638" s="1011" t="str">
        <f>IF(AJ134=0,"",AJ134)</f>
        <v/>
      </c>
    </row>
    <row r="639" spans="5:18" ht="15" hidden="1" customHeight="1" x14ac:dyDescent="0.25">
      <c r="E639" s="1010">
        <v>46</v>
      </c>
      <c r="F639" s="1010"/>
      <c r="G639" s="1010"/>
      <c r="H639" s="1010"/>
      <c r="I639" s="1011">
        <f>IF(I136=0,"",I136)</f>
        <v>1.5355324074074073E-3</v>
      </c>
      <c r="J639" s="1012">
        <f>IF(L136=0,"",L136)</f>
        <v>1.5901620370370368E-3</v>
      </c>
      <c r="K639" s="1012">
        <f>IF(O136=0,"",O136)</f>
        <v>1.4519675925925926E-3</v>
      </c>
      <c r="L639" s="1011">
        <f>IF(R136=0,"",R136)</f>
        <v>1.6111111111111109E-3</v>
      </c>
      <c r="M639" s="1012">
        <f>IF(U136=0,"",U136)</f>
        <v>1.6079861111111112E-3</v>
      </c>
      <c r="N639" s="1012">
        <f>IF(X136=0,"",X136)</f>
        <v>1.3805555555555557E-3</v>
      </c>
      <c r="O639" s="1011">
        <f>IF(AA136=0,"",AA136)</f>
        <v>1.4348379629629631E-3</v>
      </c>
      <c r="P639" s="1012" t="str">
        <f>IF(AD136=0,"",AD136)</f>
        <v/>
      </c>
      <c r="Q639" s="1012" t="str">
        <f>IF(AG136=0,"",AG136)</f>
        <v/>
      </c>
      <c r="R639" s="1011" t="str">
        <f>IF(AJ136=0,"",AJ136)</f>
        <v/>
      </c>
    </row>
    <row r="640" spans="5:18" ht="15" hidden="1" customHeight="1" x14ac:dyDescent="0.25">
      <c r="E640" s="1010">
        <v>47</v>
      </c>
      <c r="F640" s="1010"/>
      <c r="G640" s="1010"/>
      <c r="H640" s="1010"/>
      <c r="I640" s="1011">
        <f>IF(I138=0,"",I138)</f>
        <v>1.663310185185185E-3</v>
      </c>
      <c r="J640" s="1012">
        <f>IF(L138=0,"",L138)</f>
        <v>1.7428240740740739E-3</v>
      </c>
      <c r="K640" s="1012">
        <f>IF(O138=0,"",O138)</f>
        <v>1.6858796296296294E-3</v>
      </c>
      <c r="L640" s="1011">
        <f>IF(R138=0,"",R138)</f>
        <v>1.6114583333333334E-3</v>
      </c>
      <c r="M640" s="1012">
        <f>IF(U138=0,"",U138)</f>
        <v>1.5557870370370372E-3</v>
      </c>
      <c r="N640" s="1012">
        <f>IF(X138=0,"",X138)</f>
        <v>1.5972222222222221E-3</v>
      </c>
      <c r="O640" s="1011">
        <f>IF(AA138=0,"",AA138)</f>
        <v>1.6804398148148149E-3</v>
      </c>
      <c r="P640" s="1012" t="str">
        <f>IF(AD138=0,"",AD138)</f>
        <v/>
      </c>
      <c r="Q640" s="1012" t="str">
        <f>IF(AG138=0,"",AG138)</f>
        <v/>
      </c>
      <c r="R640" s="1011" t="str">
        <f>IF(AJ138=0,"",AJ138)</f>
        <v/>
      </c>
    </row>
    <row r="641" spans="5:18" ht="15" hidden="1" customHeight="1" x14ac:dyDescent="0.25">
      <c r="E641" s="1010">
        <v>48</v>
      </c>
      <c r="F641" s="1010"/>
      <c r="G641" s="1010"/>
      <c r="H641" s="1010"/>
      <c r="I641" s="1011">
        <f>IF(I140=0,"",I140)</f>
        <v>1.7131944444444445E-3</v>
      </c>
      <c r="J641" s="1012">
        <f>IF(L140=0,"",L140)</f>
        <v>1.6046296296296297E-3</v>
      </c>
      <c r="K641" s="1012">
        <f>IF(O140=0,"",O140)</f>
        <v>1.612962962962963E-3</v>
      </c>
      <c r="L641" s="1011" t="str">
        <f>IF(R140=0,"",R140)</f>
        <v/>
      </c>
      <c r="M641" s="1012">
        <f>IF(U140=0,"",U140)</f>
        <v>1.4068287037037038E-3</v>
      </c>
      <c r="N641" s="1012">
        <f>IF(X140=0,"",X140)</f>
        <v>1.4570601851851854E-3</v>
      </c>
      <c r="O641" s="1011">
        <f>IF(AA140=0,"",AA140)</f>
        <v>1.4971064814814814E-3</v>
      </c>
      <c r="P641" s="1012" t="str">
        <f>IF(AD140=0,"",AD140)</f>
        <v/>
      </c>
      <c r="Q641" s="1012" t="str">
        <f>IF(AG140=0,"",AG140)</f>
        <v/>
      </c>
      <c r="R641" s="1011" t="str">
        <f>IF(AJ140=0,"",AJ140)</f>
        <v/>
      </c>
    </row>
    <row r="642" spans="5:18" ht="13.5" hidden="1" customHeight="1" x14ac:dyDescent="0.25">
      <c r="E642" s="1010">
        <v>49</v>
      </c>
      <c r="F642" s="1010"/>
      <c r="G642" s="1010"/>
      <c r="H642" s="1010"/>
      <c r="I642" s="1011">
        <f>IF(I142=0,"",I142)</f>
        <v>1.4341435185185186E-3</v>
      </c>
      <c r="J642" s="1012">
        <f>IF(L142=0,"",L142)</f>
        <v>1.5045138888888888E-3</v>
      </c>
      <c r="K642" s="1012">
        <f>IF(O142=0,"",O142)</f>
        <v>1.4663194444444444E-3</v>
      </c>
      <c r="L642" s="1011">
        <f>IF(R142=0,"",R142)</f>
        <v>1.3895833333333332E-3</v>
      </c>
      <c r="M642" s="1012">
        <f>IF(U142=0,"",U142)</f>
        <v>1.387962962962963E-3</v>
      </c>
      <c r="N642" s="1012">
        <f>IF(X142=0,"",X142)</f>
        <v>1.4398148148148148E-3</v>
      </c>
      <c r="O642" s="1011">
        <f>IF(AA142=0,"",AA142)</f>
        <v>1.3795138888888887E-3</v>
      </c>
      <c r="P642" s="1012" t="str">
        <f>IF(AD142=0,"",AD142)</f>
        <v/>
      </c>
      <c r="Q642" s="1012" t="str">
        <f>IF(AG142=0,"",AG142)</f>
        <v/>
      </c>
      <c r="R642" s="1011" t="str">
        <f>IF(AJ142=0,"",AJ142)</f>
        <v/>
      </c>
    </row>
    <row r="643" spans="5:18" ht="24.75" hidden="1" customHeight="1" x14ac:dyDescent="0.25">
      <c r="E643" s="1010">
        <v>50</v>
      </c>
      <c r="F643" s="1010"/>
      <c r="G643" s="1010"/>
      <c r="H643" s="1010"/>
      <c r="I643" s="1011">
        <f>IF(I144=0,"",I144)</f>
        <v>1.3858796296296295E-3</v>
      </c>
      <c r="J643" s="1012">
        <f>IF(L144=0,"",L144)</f>
        <v>1.3265046296296295E-3</v>
      </c>
      <c r="K643" s="1012">
        <f>IF(O144=0,"",O144)</f>
        <v>1.3187499999999998E-3</v>
      </c>
      <c r="L643" s="1011">
        <f>IF(R144=0,"",R144)</f>
        <v>1.2317129629629629E-3</v>
      </c>
      <c r="M643" s="1012">
        <f>IF(U144=0,"",U144)</f>
        <v>1.2390046296296296E-3</v>
      </c>
      <c r="N643" s="1012">
        <f>IF(X144=0,"",X144)</f>
        <v>1.2075231481481483E-3</v>
      </c>
      <c r="O643" s="1011">
        <f>IF(AA144=0,"",AA144)</f>
        <v>1.2875E-3</v>
      </c>
      <c r="P643" s="1012" t="str">
        <f>IF(AD144=0,"",AD144)</f>
        <v/>
      </c>
      <c r="Q643" s="1012" t="str">
        <f>IF(AG144=0,"",AG144)</f>
        <v/>
      </c>
      <c r="R643" s="1011" t="str">
        <f>IF(AJ144=0,"",AJ144)</f>
        <v/>
      </c>
    </row>
    <row r="644" spans="5:18" ht="15" hidden="1" customHeight="1" x14ac:dyDescent="0.25">
      <c r="E644" s="1010">
        <v>50</v>
      </c>
      <c r="I644" s="1011">
        <f>IF(I146=0,"",I146)</f>
        <v>3.0379629629629628E-3</v>
      </c>
      <c r="J644" s="1012">
        <f>IF(L146=0,"",L146)</f>
        <v>2.8525462962962962E-3</v>
      </c>
      <c r="K644" s="1012">
        <f>IF(O146=0,"",O146)</f>
        <v>3.0815972222222221E-3</v>
      </c>
      <c r="L644" s="1011">
        <f>IF(R146=0,"",R146)</f>
        <v>2.8396990740740739E-3</v>
      </c>
      <c r="M644" s="1012">
        <f>IF(U146=0,"",U146)</f>
        <v>2.9663194444444446E-3</v>
      </c>
      <c r="N644" s="1012" t="str">
        <f>IF(X146=0,"",X146)</f>
        <v/>
      </c>
      <c r="O644" s="1011">
        <f>IF(AA146=0,"",AA146)</f>
        <v>3.0082175925925923E-3</v>
      </c>
      <c r="P644" s="1012" t="str">
        <f>IF(AD146=0,"",AD146)</f>
        <v/>
      </c>
      <c r="Q644" s="1012" t="str">
        <f>IF(AG146=0,"",AG146)</f>
        <v/>
      </c>
      <c r="R644" s="1011" t="str">
        <f>IF(AJ146=0,"",AJ146)</f>
        <v/>
      </c>
    </row>
    <row r="645" spans="5:18" ht="15" hidden="1" customHeight="1" x14ac:dyDescent="0.25"/>
    <row r="646" spans="5:18" hidden="1" x14ac:dyDescent="0.25"/>
    <row r="647" spans="5:18" hidden="1" x14ac:dyDescent="0.25"/>
  </sheetData>
  <sheetProtection algorithmName="SHA-512" hashValue="FLsPRfm+RHSWvMBukUuQ8LzRuGzTaoEM+YJwW0iKpiE2yrF0rqR2vsFN/DRN7remebOWdDNveQm3Qdh/y8ag7Q==" saltValue="WjUoCHzlgPA5C8As5UAwGg==" spinCount="100000" sheet="1" objects="1" scenarios="1"/>
  <mergeCells count="1349">
    <mergeCell ref="B1:E1"/>
    <mergeCell ref="J1:K1"/>
    <mergeCell ref="M1:N1"/>
    <mergeCell ref="P1:Q1"/>
    <mergeCell ref="S1:T1"/>
    <mergeCell ref="V1:W1"/>
    <mergeCell ref="BV1:BV11"/>
    <mergeCell ref="BY1:BY2"/>
    <mergeCell ref="I2:AL2"/>
    <mergeCell ref="J3:N3"/>
    <mergeCell ref="O3:Q3"/>
    <mergeCell ref="R3:W3"/>
    <mergeCell ref="Y3:AB3"/>
    <mergeCell ref="AC3:AF3"/>
    <mergeCell ref="AG3:AL3"/>
    <mergeCell ref="BY3:CB11"/>
    <mergeCell ref="I4:K4"/>
    <mergeCell ref="L4:W4"/>
    <mergeCell ref="Y4:AB4"/>
    <mergeCell ref="AC4:AF4"/>
    <mergeCell ref="AG4:AL4"/>
    <mergeCell ref="J5:K5"/>
    <mergeCell ref="M5:N5"/>
    <mergeCell ref="P5:Q5"/>
    <mergeCell ref="S5:T5"/>
    <mergeCell ref="V5:W5"/>
    <mergeCell ref="Y5:Z5"/>
    <mergeCell ref="AB5:AC5"/>
    <mergeCell ref="AE5:AF5"/>
    <mergeCell ref="AH5:AI5"/>
    <mergeCell ref="AK5:AL5"/>
    <mergeCell ref="AM5:AM11"/>
    <mergeCell ref="I6:K6"/>
    <mergeCell ref="L6:N6"/>
    <mergeCell ref="O6:Q6"/>
    <mergeCell ref="R6:T6"/>
    <mergeCell ref="U6:W6"/>
    <mergeCell ref="X6:Z6"/>
    <mergeCell ref="AA6:AC6"/>
    <mergeCell ref="AD6:AF6"/>
    <mergeCell ref="AG6:AI6"/>
    <mergeCell ref="AJ6:AL6"/>
    <mergeCell ref="B7:D7"/>
    <mergeCell ref="I7:I8"/>
    <mergeCell ref="J7:K8"/>
    <mergeCell ref="L7:L8"/>
    <mergeCell ref="M7:N8"/>
    <mergeCell ref="O7:O8"/>
    <mergeCell ref="P7:Q8"/>
    <mergeCell ref="R7:R8"/>
    <mergeCell ref="S7:T8"/>
    <mergeCell ref="U7:U8"/>
    <mergeCell ref="V7:W8"/>
    <mergeCell ref="X7:X8"/>
    <mergeCell ref="Y7:Z8"/>
    <mergeCell ref="AA7:AA8"/>
    <mergeCell ref="AB7:AC8"/>
    <mergeCell ref="AD7:AD8"/>
    <mergeCell ref="AE7:AF8"/>
    <mergeCell ref="AG7:AG8"/>
    <mergeCell ref="AH7:AI8"/>
    <mergeCell ref="AJ7:AJ8"/>
    <mergeCell ref="AK7:AL8"/>
    <mergeCell ref="B8:D10"/>
    <mergeCell ref="E9:E10"/>
    <mergeCell ref="I9:I10"/>
    <mergeCell ref="J9:K10"/>
    <mergeCell ref="L9:L10"/>
    <mergeCell ref="M9:N10"/>
    <mergeCell ref="O9:O10"/>
    <mergeCell ref="P9:Q10"/>
    <mergeCell ref="R9:R10"/>
    <mergeCell ref="S9:T10"/>
    <mergeCell ref="U9:U10"/>
    <mergeCell ref="V9:W10"/>
    <mergeCell ref="X9:X10"/>
    <mergeCell ref="Y9:Z10"/>
    <mergeCell ref="AA9:AA10"/>
    <mergeCell ref="AB9:AC10"/>
    <mergeCell ref="AD9:AD10"/>
    <mergeCell ref="AE9:AF10"/>
    <mergeCell ref="AG9:AG10"/>
    <mergeCell ref="AH9:AI10"/>
    <mergeCell ref="AJ9:AJ10"/>
    <mergeCell ref="AK9:AL10"/>
    <mergeCell ref="B11:E11"/>
    <mergeCell ref="B12:B14"/>
    <mergeCell ref="C12:C14"/>
    <mergeCell ref="D12:D14"/>
    <mergeCell ref="BV12:BV22"/>
    <mergeCell ref="BY12:CB21"/>
    <mergeCell ref="I13:K13"/>
    <mergeCell ref="L13:N13"/>
    <mergeCell ref="O13:Q13"/>
    <mergeCell ref="R13:T13"/>
    <mergeCell ref="U13:W13"/>
    <mergeCell ref="X13:Z13"/>
    <mergeCell ref="AA13:AC13"/>
    <mergeCell ref="AD13:AF13"/>
    <mergeCell ref="AG13:AI13"/>
    <mergeCell ref="AJ13:AL13"/>
    <mergeCell ref="I14:K14"/>
    <mergeCell ref="L14:N14"/>
    <mergeCell ref="O14:Q14"/>
    <mergeCell ref="R14:T14"/>
    <mergeCell ref="U14:W14"/>
    <mergeCell ref="X14:Z14"/>
    <mergeCell ref="AA14:AC14"/>
    <mergeCell ref="AD14:AF14"/>
    <mergeCell ref="AG14:AI14"/>
    <mergeCell ref="AJ14:AL14"/>
    <mergeCell ref="B15:B17"/>
    <mergeCell ref="C15:C17"/>
    <mergeCell ref="D15:D17"/>
    <mergeCell ref="I16:K16"/>
    <mergeCell ref="L16:N16"/>
    <mergeCell ref="O16:Q16"/>
    <mergeCell ref="R16:T16"/>
    <mergeCell ref="U16:W16"/>
    <mergeCell ref="X16:Z16"/>
    <mergeCell ref="AA16:AC16"/>
    <mergeCell ref="AD16:AF16"/>
    <mergeCell ref="AG16:AI16"/>
    <mergeCell ref="AJ16:AL16"/>
    <mergeCell ref="I17:K17"/>
    <mergeCell ref="L17:N17"/>
    <mergeCell ref="O17:Q17"/>
    <mergeCell ref="R17:T17"/>
    <mergeCell ref="U17:W17"/>
    <mergeCell ref="X17:Z17"/>
    <mergeCell ref="AA17:AC17"/>
    <mergeCell ref="AD17:AF17"/>
    <mergeCell ref="AG17:AI17"/>
    <mergeCell ref="AJ17:AL17"/>
    <mergeCell ref="B18:B19"/>
    <mergeCell ref="C18:C19"/>
    <mergeCell ref="D18:D19"/>
    <mergeCell ref="I19:K19"/>
    <mergeCell ref="L19:N19"/>
    <mergeCell ref="O19:Q19"/>
    <mergeCell ref="R19:T19"/>
    <mergeCell ref="U19:W19"/>
    <mergeCell ref="X19:Z19"/>
    <mergeCell ref="AA19:AC19"/>
    <mergeCell ref="AD19:AF19"/>
    <mergeCell ref="AG19:AI19"/>
    <mergeCell ref="AJ19:AL19"/>
    <mergeCell ref="B20:B21"/>
    <mergeCell ref="C20:C21"/>
    <mergeCell ref="D20:D21"/>
    <mergeCell ref="I21:K21"/>
    <mergeCell ref="L21:N21"/>
    <mergeCell ref="O21:Q21"/>
    <mergeCell ref="R21:T21"/>
    <mergeCell ref="U21:W21"/>
    <mergeCell ref="X21:Z21"/>
    <mergeCell ref="AA21:AC21"/>
    <mergeCell ref="AD21:AF21"/>
    <mergeCell ref="AG21:AI21"/>
    <mergeCell ref="AJ21:AL21"/>
    <mergeCell ref="B22:B23"/>
    <mergeCell ref="C22:C23"/>
    <mergeCell ref="D22:D23"/>
    <mergeCell ref="I23:K23"/>
    <mergeCell ref="L23:N23"/>
    <mergeCell ref="O23:Q23"/>
    <mergeCell ref="R23:T23"/>
    <mergeCell ref="U23:W23"/>
    <mergeCell ref="X23:Z23"/>
    <mergeCell ref="AA23:AC23"/>
    <mergeCell ref="AD23:AF23"/>
    <mergeCell ref="AG23:AI23"/>
    <mergeCell ref="AJ23:AL23"/>
    <mergeCell ref="B24:B25"/>
    <mergeCell ref="C24:C25"/>
    <mergeCell ref="D24:D25"/>
    <mergeCell ref="I25:K25"/>
    <mergeCell ref="L25:N25"/>
    <mergeCell ref="O25:Q25"/>
    <mergeCell ref="R25:T25"/>
    <mergeCell ref="U25:W25"/>
    <mergeCell ref="X25:Z25"/>
    <mergeCell ref="AA25:AC25"/>
    <mergeCell ref="AD25:AF25"/>
    <mergeCell ref="AG25:AI25"/>
    <mergeCell ref="AJ25:AL25"/>
    <mergeCell ref="B26:B27"/>
    <mergeCell ref="C26:C27"/>
    <mergeCell ref="D26:D27"/>
    <mergeCell ref="I27:K27"/>
    <mergeCell ref="L27:N27"/>
    <mergeCell ref="O27:Q27"/>
    <mergeCell ref="R27:T27"/>
    <mergeCell ref="U27:W27"/>
    <mergeCell ref="X27:Z27"/>
    <mergeCell ref="AA27:AC27"/>
    <mergeCell ref="AD27:AF27"/>
    <mergeCell ref="AG27:AI27"/>
    <mergeCell ref="AJ27:AL27"/>
    <mergeCell ref="B28:B29"/>
    <mergeCell ref="C28:C29"/>
    <mergeCell ref="D28:D29"/>
    <mergeCell ref="I29:K29"/>
    <mergeCell ref="L29:N29"/>
    <mergeCell ref="O29:Q29"/>
    <mergeCell ref="R29:T29"/>
    <mergeCell ref="U29:W29"/>
    <mergeCell ref="X29:Z29"/>
    <mergeCell ref="AA29:AC29"/>
    <mergeCell ref="AD29:AF29"/>
    <mergeCell ref="AG29:AI29"/>
    <mergeCell ref="AJ29:AL29"/>
    <mergeCell ref="B30:B31"/>
    <mergeCell ref="C30:C31"/>
    <mergeCell ref="D30:D31"/>
    <mergeCell ref="I31:K31"/>
    <mergeCell ref="L31:N31"/>
    <mergeCell ref="O31:Q31"/>
    <mergeCell ref="R31:T31"/>
    <mergeCell ref="U31:W31"/>
    <mergeCell ref="X31:Z31"/>
    <mergeCell ref="AA31:AC31"/>
    <mergeCell ref="AD31:AF31"/>
    <mergeCell ref="AG31:AI31"/>
    <mergeCell ref="AJ31:AL31"/>
    <mergeCell ref="B32:B33"/>
    <mergeCell ref="C32:C33"/>
    <mergeCell ref="D32:D33"/>
    <mergeCell ref="I33:K33"/>
    <mergeCell ref="L33:N33"/>
    <mergeCell ref="O33:Q33"/>
    <mergeCell ref="R33:T33"/>
    <mergeCell ref="U33:W33"/>
    <mergeCell ref="X33:Z33"/>
    <mergeCell ref="AA33:AC33"/>
    <mergeCell ref="AD33:AF33"/>
    <mergeCell ref="AG33:AI33"/>
    <mergeCell ref="AJ33:AL33"/>
    <mergeCell ref="B34:B36"/>
    <mergeCell ref="C34:C36"/>
    <mergeCell ref="D34:D36"/>
    <mergeCell ref="E34:E35"/>
    <mergeCell ref="I35:K35"/>
    <mergeCell ref="L35:N35"/>
    <mergeCell ref="O35:Q35"/>
    <mergeCell ref="R35:T35"/>
    <mergeCell ref="U35:W35"/>
    <mergeCell ref="X35:Z35"/>
    <mergeCell ref="AA35:AC35"/>
    <mergeCell ref="AD35:AF35"/>
    <mergeCell ref="AG35:AI35"/>
    <mergeCell ref="AJ35:AL35"/>
    <mergeCell ref="I36:K36"/>
    <mergeCell ref="L36:N36"/>
    <mergeCell ref="O36:Q36"/>
    <mergeCell ref="R36:T36"/>
    <mergeCell ref="U36:W36"/>
    <mergeCell ref="X36:Z36"/>
    <mergeCell ref="AA36:AC36"/>
    <mergeCell ref="AD36:AF36"/>
    <mergeCell ref="AG36:AI36"/>
    <mergeCell ref="AJ36:AL36"/>
    <mergeCell ref="B37:B39"/>
    <mergeCell ref="C37:C39"/>
    <mergeCell ref="D37:D39"/>
    <mergeCell ref="E37:E38"/>
    <mergeCell ref="I38:K38"/>
    <mergeCell ref="L38:N38"/>
    <mergeCell ref="O38:Q38"/>
    <mergeCell ref="R38:T38"/>
    <mergeCell ref="U38:W38"/>
    <mergeCell ref="X38:Z38"/>
    <mergeCell ref="AA38:AC38"/>
    <mergeCell ref="AD38:AF38"/>
    <mergeCell ref="AG38:AI38"/>
    <mergeCell ref="AJ38:AL38"/>
    <mergeCell ref="I39:K39"/>
    <mergeCell ref="L39:N39"/>
    <mergeCell ref="O39:Q39"/>
    <mergeCell ref="R39:T39"/>
    <mergeCell ref="U39:W39"/>
    <mergeCell ref="X39:Z39"/>
    <mergeCell ref="AA39:AC39"/>
    <mergeCell ref="AD39:AF39"/>
    <mergeCell ref="AG39:AI39"/>
    <mergeCell ref="AJ39:AL39"/>
    <mergeCell ref="B40:B42"/>
    <mergeCell ref="C40:C42"/>
    <mergeCell ref="D40:D42"/>
    <mergeCell ref="E40:E41"/>
    <mergeCell ref="I41:K41"/>
    <mergeCell ref="L41:N41"/>
    <mergeCell ref="O41:Q41"/>
    <mergeCell ref="R41:T41"/>
    <mergeCell ref="U41:W41"/>
    <mergeCell ref="X41:Z41"/>
    <mergeCell ref="AA41:AC41"/>
    <mergeCell ref="AD41:AF41"/>
    <mergeCell ref="AG41:AI41"/>
    <mergeCell ref="AJ41:AL41"/>
    <mergeCell ref="I42:K42"/>
    <mergeCell ref="L42:N42"/>
    <mergeCell ref="O42:Q42"/>
    <mergeCell ref="R42:T42"/>
    <mergeCell ref="U42:W42"/>
    <mergeCell ref="X42:Z42"/>
    <mergeCell ref="AA42:AC42"/>
    <mergeCell ref="AD42:AF42"/>
    <mergeCell ref="AG42:AI42"/>
    <mergeCell ref="AJ42:AL42"/>
    <mergeCell ref="B43:B45"/>
    <mergeCell ref="C43:C45"/>
    <mergeCell ref="D43:D45"/>
    <mergeCell ref="E43:E44"/>
    <mergeCell ref="I44:K44"/>
    <mergeCell ref="L44:N44"/>
    <mergeCell ref="O44:Q44"/>
    <mergeCell ref="R44:T44"/>
    <mergeCell ref="U44:W44"/>
    <mergeCell ref="X44:Z44"/>
    <mergeCell ref="AA44:AC44"/>
    <mergeCell ref="AD44:AF44"/>
    <mergeCell ref="AG44:AI44"/>
    <mergeCell ref="AJ44:AL44"/>
    <mergeCell ref="I45:K45"/>
    <mergeCell ref="L45:N45"/>
    <mergeCell ref="O45:Q45"/>
    <mergeCell ref="R45:T45"/>
    <mergeCell ref="U45:W45"/>
    <mergeCell ref="X45:Z45"/>
    <mergeCell ref="AA45:AC45"/>
    <mergeCell ref="AD45:AF45"/>
    <mergeCell ref="AG45:AI45"/>
    <mergeCell ref="AJ45:AL45"/>
    <mergeCell ref="B46:B48"/>
    <mergeCell ref="C46:C48"/>
    <mergeCell ref="D46:D48"/>
    <mergeCell ref="E46:E47"/>
    <mergeCell ref="I47:K47"/>
    <mergeCell ref="L47:N47"/>
    <mergeCell ref="O47:Q47"/>
    <mergeCell ref="R47:T47"/>
    <mergeCell ref="U47:W47"/>
    <mergeCell ref="X47:Z47"/>
    <mergeCell ref="AA47:AC47"/>
    <mergeCell ref="AD47:AF47"/>
    <mergeCell ref="AG47:AI47"/>
    <mergeCell ref="AJ47:AL47"/>
    <mergeCell ref="I48:K48"/>
    <mergeCell ref="L48:N48"/>
    <mergeCell ref="O48:Q48"/>
    <mergeCell ref="R48:T48"/>
    <mergeCell ref="U48:W48"/>
    <mergeCell ref="X48:Z48"/>
    <mergeCell ref="AA48:AC48"/>
    <mergeCell ref="AD48:AF48"/>
    <mergeCell ref="AG48:AI48"/>
    <mergeCell ref="AJ48:AL48"/>
    <mergeCell ref="B49:B51"/>
    <mergeCell ref="C49:C51"/>
    <mergeCell ref="D49:D51"/>
    <mergeCell ref="E49:E50"/>
    <mergeCell ref="I50:K50"/>
    <mergeCell ref="L50:N50"/>
    <mergeCell ref="O50:Q50"/>
    <mergeCell ref="R50:T50"/>
    <mergeCell ref="U50:W50"/>
    <mergeCell ref="X50:Z50"/>
    <mergeCell ref="AA50:AC50"/>
    <mergeCell ref="AD50:AF50"/>
    <mergeCell ref="AG50:AI50"/>
    <mergeCell ref="AJ50:AL50"/>
    <mergeCell ref="I51:K51"/>
    <mergeCell ref="L51:N51"/>
    <mergeCell ref="O51:Q51"/>
    <mergeCell ref="R51:T51"/>
    <mergeCell ref="U51:W51"/>
    <mergeCell ref="X51:Z51"/>
    <mergeCell ref="AA51:AC51"/>
    <mergeCell ref="AD51:AF51"/>
    <mergeCell ref="AG51:AI51"/>
    <mergeCell ref="AJ51:AL51"/>
    <mergeCell ref="B52:B54"/>
    <mergeCell ref="C52:C54"/>
    <mergeCell ref="D52:D54"/>
    <mergeCell ref="E52:E53"/>
    <mergeCell ref="I53:K53"/>
    <mergeCell ref="L53:N53"/>
    <mergeCell ref="O53:Q53"/>
    <mergeCell ref="R53:T53"/>
    <mergeCell ref="U53:W53"/>
    <mergeCell ref="X53:Z53"/>
    <mergeCell ref="AA53:AC53"/>
    <mergeCell ref="AD53:AF53"/>
    <mergeCell ref="AG53:AI53"/>
    <mergeCell ref="AJ53:AL53"/>
    <mergeCell ref="I54:K54"/>
    <mergeCell ref="L54:N54"/>
    <mergeCell ref="O54:Q54"/>
    <mergeCell ref="R54:T54"/>
    <mergeCell ref="U54:W54"/>
    <mergeCell ref="X54:Z54"/>
    <mergeCell ref="AA54:AC54"/>
    <mergeCell ref="AD54:AF54"/>
    <mergeCell ref="AG54:AI54"/>
    <mergeCell ref="AJ54:AL54"/>
    <mergeCell ref="B55:B57"/>
    <mergeCell ref="C55:C57"/>
    <mergeCell ref="D55:D57"/>
    <mergeCell ref="E55:E56"/>
    <mergeCell ref="I56:K56"/>
    <mergeCell ref="L56:N56"/>
    <mergeCell ref="O56:Q56"/>
    <mergeCell ref="R56:T56"/>
    <mergeCell ref="U56:W56"/>
    <mergeCell ref="X56:Z56"/>
    <mergeCell ref="AA56:AC56"/>
    <mergeCell ref="AD56:AF56"/>
    <mergeCell ref="AG56:AI56"/>
    <mergeCell ref="AJ56:AL56"/>
    <mergeCell ref="I57:K57"/>
    <mergeCell ref="L57:N57"/>
    <mergeCell ref="O57:Q57"/>
    <mergeCell ref="R57:T57"/>
    <mergeCell ref="U57:W57"/>
    <mergeCell ref="X57:Z57"/>
    <mergeCell ref="AA57:AC57"/>
    <mergeCell ref="AD57:AF57"/>
    <mergeCell ref="AG57:AI57"/>
    <mergeCell ref="AJ57:AL57"/>
    <mergeCell ref="B58:B60"/>
    <mergeCell ref="C58:C60"/>
    <mergeCell ref="D58:D60"/>
    <mergeCell ref="E58:E59"/>
    <mergeCell ref="I59:K59"/>
    <mergeCell ref="L59:N59"/>
    <mergeCell ref="O59:Q59"/>
    <mergeCell ref="R59:T59"/>
    <mergeCell ref="U59:W59"/>
    <mergeCell ref="X59:Z59"/>
    <mergeCell ref="AA59:AC59"/>
    <mergeCell ref="AD59:AF59"/>
    <mergeCell ref="AG59:AI59"/>
    <mergeCell ref="AJ59:AL59"/>
    <mergeCell ref="I60:K60"/>
    <mergeCell ref="L60:N60"/>
    <mergeCell ref="O60:Q60"/>
    <mergeCell ref="R60:T60"/>
    <mergeCell ref="U60:W60"/>
    <mergeCell ref="X60:Z60"/>
    <mergeCell ref="AA60:AC60"/>
    <mergeCell ref="AD60:AF60"/>
    <mergeCell ref="AG60:AI60"/>
    <mergeCell ref="AJ60:AL60"/>
    <mergeCell ref="B61:B63"/>
    <mergeCell ref="C61:C63"/>
    <mergeCell ref="D61:D63"/>
    <mergeCell ref="E61:E62"/>
    <mergeCell ref="I62:K62"/>
    <mergeCell ref="L62:N62"/>
    <mergeCell ref="O62:Q62"/>
    <mergeCell ref="R62:T62"/>
    <mergeCell ref="U62:W62"/>
    <mergeCell ref="X62:Z62"/>
    <mergeCell ref="AA62:AC62"/>
    <mergeCell ref="AD62:AF62"/>
    <mergeCell ref="AG62:AI62"/>
    <mergeCell ref="AJ62:AL62"/>
    <mergeCell ref="I63:K63"/>
    <mergeCell ref="L63:N63"/>
    <mergeCell ref="O63:Q63"/>
    <mergeCell ref="R63:T63"/>
    <mergeCell ref="U63:W63"/>
    <mergeCell ref="X63:Z63"/>
    <mergeCell ref="AA63:AC63"/>
    <mergeCell ref="AD63:AF63"/>
    <mergeCell ref="AG63:AI63"/>
    <mergeCell ref="AJ63:AL63"/>
    <mergeCell ref="B64:B66"/>
    <mergeCell ref="C64:C66"/>
    <mergeCell ref="D64:D66"/>
    <mergeCell ref="E64:E65"/>
    <mergeCell ref="I65:K65"/>
    <mergeCell ref="L65:N65"/>
    <mergeCell ref="O65:Q65"/>
    <mergeCell ref="R65:T65"/>
    <mergeCell ref="U65:W65"/>
    <mergeCell ref="X65:Z65"/>
    <mergeCell ref="AA65:AC65"/>
    <mergeCell ref="AD65:AF65"/>
    <mergeCell ref="AG65:AI65"/>
    <mergeCell ref="AJ65:AL65"/>
    <mergeCell ref="I66:K66"/>
    <mergeCell ref="L66:N66"/>
    <mergeCell ref="O66:Q66"/>
    <mergeCell ref="R66:T66"/>
    <mergeCell ref="U66:W66"/>
    <mergeCell ref="X66:Z66"/>
    <mergeCell ref="AA66:AC66"/>
    <mergeCell ref="AD66:AF66"/>
    <mergeCell ref="AG66:AI66"/>
    <mergeCell ref="AJ66:AL66"/>
    <mergeCell ref="B67:B69"/>
    <mergeCell ref="C67:C69"/>
    <mergeCell ref="D67:D69"/>
    <mergeCell ref="E67:E68"/>
    <mergeCell ref="I68:K68"/>
    <mergeCell ref="L68:N68"/>
    <mergeCell ref="O68:Q68"/>
    <mergeCell ref="R68:T68"/>
    <mergeCell ref="U68:W68"/>
    <mergeCell ref="X68:Z68"/>
    <mergeCell ref="AA68:AC68"/>
    <mergeCell ref="AD68:AF68"/>
    <mergeCell ref="AG68:AI68"/>
    <mergeCell ref="AJ68:AL68"/>
    <mergeCell ref="I69:K69"/>
    <mergeCell ref="L69:N69"/>
    <mergeCell ref="O69:Q69"/>
    <mergeCell ref="R69:T69"/>
    <mergeCell ref="U69:W69"/>
    <mergeCell ref="X69:Z69"/>
    <mergeCell ref="AA69:AC69"/>
    <mergeCell ref="AD69:AF69"/>
    <mergeCell ref="AG69:AI69"/>
    <mergeCell ref="AJ69:AL69"/>
    <mergeCell ref="B70:B72"/>
    <mergeCell ref="C70:C72"/>
    <mergeCell ref="D70:D72"/>
    <mergeCell ref="E70:E71"/>
    <mergeCell ref="I71:K71"/>
    <mergeCell ref="L71:N71"/>
    <mergeCell ref="O71:Q71"/>
    <mergeCell ref="R71:T71"/>
    <mergeCell ref="U71:W71"/>
    <mergeCell ref="X71:Z71"/>
    <mergeCell ref="AA71:AC71"/>
    <mergeCell ref="AD71:AF71"/>
    <mergeCell ref="AG71:AI71"/>
    <mergeCell ref="AJ71:AL71"/>
    <mergeCell ref="I72:K72"/>
    <mergeCell ref="L72:N72"/>
    <mergeCell ref="O72:Q72"/>
    <mergeCell ref="R72:T72"/>
    <mergeCell ref="U72:W72"/>
    <mergeCell ref="X72:Z72"/>
    <mergeCell ref="AA72:AC72"/>
    <mergeCell ref="AD72:AF72"/>
    <mergeCell ref="AG72:AI72"/>
    <mergeCell ref="AJ72:AL72"/>
    <mergeCell ref="B73:B75"/>
    <mergeCell ref="C73:C75"/>
    <mergeCell ref="D73:D75"/>
    <mergeCell ref="E73:E74"/>
    <mergeCell ref="I74:K74"/>
    <mergeCell ref="L74:N74"/>
    <mergeCell ref="O74:Q74"/>
    <mergeCell ref="R74:T74"/>
    <mergeCell ref="U74:W74"/>
    <mergeCell ref="X74:Z74"/>
    <mergeCell ref="AA74:AC74"/>
    <mergeCell ref="AD74:AF74"/>
    <mergeCell ref="AG74:AI74"/>
    <mergeCell ref="AJ74:AL74"/>
    <mergeCell ref="I75:K75"/>
    <mergeCell ref="L75:N75"/>
    <mergeCell ref="O75:Q75"/>
    <mergeCell ref="R75:T75"/>
    <mergeCell ref="U75:W75"/>
    <mergeCell ref="X75:Z75"/>
    <mergeCell ref="AA75:AC75"/>
    <mergeCell ref="AD75:AF75"/>
    <mergeCell ref="AG75:AI75"/>
    <mergeCell ref="AJ75:AL75"/>
    <mergeCell ref="B76:B78"/>
    <mergeCell ref="C76:C78"/>
    <mergeCell ref="D76:D78"/>
    <mergeCell ref="E76:E77"/>
    <mergeCell ref="I77:K77"/>
    <mergeCell ref="L77:N77"/>
    <mergeCell ref="O77:Q77"/>
    <mergeCell ref="R77:T77"/>
    <mergeCell ref="U77:W77"/>
    <mergeCell ref="X77:Z77"/>
    <mergeCell ref="AA77:AC77"/>
    <mergeCell ref="AD77:AF77"/>
    <mergeCell ref="AG77:AI77"/>
    <mergeCell ref="AJ77:AL77"/>
    <mergeCell ref="I78:K78"/>
    <mergeCell ref="L78:N78"/>
    <mergeCell ref="O78:Q78"/>
    <mergeCell ref="R78:T78"/>
    <mergeCell ref="U78:W78"/>
    <mergeCell ref="X78:Z78"/>
    <mergeCell ref="AA78:AC78"/>
    <mergeCell ref="AD78:AF78"/>
    <mergeCell ref="AG78:AI78"/>
    <mergeCell ref="AJ78:AL78"/>
    <mergeCell ref="B79:B81"/>
    <mergeCell ref="C79:C81"/>
    <mergeCell ref="D79:D81"/>
    <mergeCell ref="E79:E80"/>
    <mergeCell ref="I80:K80"/>
    <mergeCell ref="L80:N80"/>
    <mergeCell ref="O80:Q80"/>
    <mergeCell ref="R80:T80"/>
    <mergeCell ref="U80:W80"/>
    <mergeCell ref="X80:Z80"/>
    <mergeCell ref="AA80:AC80"/>
    <mergeCell ref="AD80:AF80"/>
    <mergeCell ref="AG80:AI80"/>
    <mergeCell ref="AJ80:AL80"/>
    <mergeCell ref="I81:K81"/>
    <mergeCell ref="L81:N81"/>
    <mergeCell ref="O81:Q81"/>
    <mergeCell ref="R81:T81"/>
    <mergeCell ref="U81:W81"/>
    <mergeCell ref="X81:Z81"/>
    <mergeCell ref="AA81:AC81"/>
    <mergeCell ref="AD81:AF81"/>
    <mergeCell ref="AG81:AI81"/>
    <mergeCell ref="AJ81:AL81"/>
    <mergeCell ref="B82:B84"/>
    <mergeCell ref="C82:C84"/>
    <mergeCell ref="D82:D84"/>
    <mergeCell ref="E82:E83"/>
    <mergeCell ref="I83:K83"/>
    <mergeCell ref="L83:N83"/>
    <mergeCell ref="O83:Q83"/>
    <mergeCell ref="R83:T83"/>
    <mergeCell ref="U83:W83"/>
    <mergeCell ref="X83:Z83"/>
    <mergeCell ref="AA83:AC83"/>
    <mergeCell ref="AD83:AF83"/>
    <mergeCell ref="AG83:AI83"/>
    <mergeCell ref="AJ83:AL83"/>
    <mergeCell ref="I84:K84"/>
    <mergeCell ref="L84:N84"/>
    <mergeCell ref="O84:Q84"/>
    <mergeCell ref="R84:T84"/>
    <mergeCell ref="U84:W84"/>
    <mergeCell ref="X84:Z84"/>
    <mergeCell ref="AA84:AC84"/>
    <mergeCell ref="AD84:AF84"/>
    <mergeCell ref="AG84:AI84"/>
    <mergeCell ref="AJ84:AL84"/>
    <mergeCell ref="B85:B87"/>
    <mergeCell ref="C85:C87"/>
    <mergeCell ref="D85:D87"/>
    <mergeCell ref="E85:E86"/>
    <mergeCell ref="I86:K86"/>
    <mergeCell ref="L86:N86"/>
    <mergeCell ref="O86:Q86"/>
    <mergeCell ref="R86:T86"/>
    <mergeCell ref="U86:W86"/>
    <mergeCell ref="X86:Z86"/>
    <mergeCell ref="AA86:AC86"/>
    <mergeCell ref="AD86:AF86"/>
    <mergeCell ref="AG86:AI86"/>
    <mergeCell ref="AJ86:AL86"/>
    <mergeCell ref="I87:K87"/>
    <mergeCell ref="L87:N87"/>
    <mergeCell ref="O87:Q87"/>
    <mergeCell ref="R87:T87"/>
    <mergeCell ref="U87:W87"/>
    <mergeCell ref="X87:Z87"/>
    <mergeCell ref="AA87:AC87"/>
    <mergeCell ref="AD87:AF87"/>
    <mergeCell ref="AG87:AI87"/>
    <mergeCell ref="AJ87:AL87"/>
    <mergeCell ref="B88:B90"/>
    <mergeCell ref="C88:C90"/>
    <mergeCell ref="D88:D90"/>
    <mergeCell ref="E88:E89"/>
    <mergeCell ref="I89:K89"/>
    <mergeCell ref="L89:N89"/>
    <mergeCell ref="O89:Q89"/>
    <mergeCell ref="R89:T89"/>
    <mergeCell ref="U89:W89"/>
    <mergeCell ref="X89:Z89"/>
    <mergeCell ref="AA89:AC89"/>
    <mergeCell ref="AD89:AF89"/>
    <mergeCell ref="AG89:AI89"/>
    <mergeCell ref="AJ89:AL89"/>
    <mergeCell ref="I90:K90"/>
    <mergeCell ref="L90:N90"/>
    <mergeCell ref="O90:Q90"/>
    <mergeCell ref="R90:T90"/>
    <mergeCell ref="U90:W90"/>
    <mergeCell ref="X90:Z90"/>
    <mergeCell ref="AA90:AC90"/>
    <mergeCell ref="AD90:AF90"/>
    <mergeCell ref="AG90:AI90"/>
    <mergeCell ref="AJ90:AL90"/>
    <mergeCell ref="B91:B93"/>
    <mergeCell ref="C91:C93"/>
    <mergeCell ref="D91:D93"/>
    <mergeCell ref="E91:E92"/>
    <mergeCell ref="I92:K92"/>
    <mergeCell ref="L92:N92"/>
    <mergeCell ref="O92:Q92"/>
    <mergeCell ref="R92:T92"/>
    <mergeCell ref="U92:W92"/>
    <mergeCell ref="X92:Z92"/>
    <mergeCell ref="AA92:AC92"/>
    <mergeCell ref="AD92:AF92"/>
    <mergeCell ref="AG92:AI92"/>
    <mergeCell ref="AJ92:AL92"/>
    <mergeCell ref="I93:K93"/>
    <mergeCell ref="L93:N93"/>
    <mergeCell ref="O93:Q93"/>
    <mergeCell ref="R93:T93"/>
    <mergeCell ref="U93:W93"/>
    <mergeCell ref="X93:Z93"/>
    <mergeCell ref="AA93:AC93"/>
    <mergeCell ref="AD93:AF93"/>
    <mergeCell ref="AG93:AI93"/>
    <mergeCell ref="AJ93:AL93"/>
    <mergeCell ref="B94:B96"/>
    <mergeCell ref="C94:C96"/>
    <mergeCell ref="D94:D96"/>
    <mergeCell ref="E94:E95"/>
    <mergeCell ref="I95:K95"/>
    <mergeCell ref="L95:N95"/>
    <mergeCell ref="O95:Q95"/>
    <mergeCell ref="R95:T95"/>
    <mergeCell ref="U95:W95"/>
    <mergeCell ref="X95:Z95"/>
    <mergeCell ref="AA95:AC95"/>
    <mergeCell ref="AD95:AF95"/>
    <mergeCell ref="AG95:AI95"/>
    <mergeCell ref="AJ95:AL95"/>
    <mergeCell ref="I96:K96"/>
    <mergeCell ref="L96:N96"/>
    <mergeCell ref="O96:Q96"/>
    <mergeCell ref="R96:T96"/>
    <mergeCell ref="U96:W96"/>
    <mergeCell ref="X96:Z96"/>
    <mergeCell ref="AA96:AC96"/>
    <mergeCell ref="AD96:AF96"/>
    <mergeCell ref="AG96:AI96"/>
    <mergeCell ref="AJ96:AL96"/>
    <mergeCell ref="B97:B99"/>
    <mergeCell ref="C97:C99"/>
    <mergeCell ref="D97:D99"/>
    <mergeCell ref="E97:E98"/>
    <mergeCell ref="I98:K98"/>
    <mergeCell ref="L98:N98"/>
    <mergeCell ref="O98:Q98"/>
    <mergeCell ref="R98:T98"/>
    <mergeCell ref="U98:W98"/>
    <mergeCell ref="X98:Z98"/>
    <mergeCell ref="AA98:AC98"/>
    <mergeCell ref="AD98:AF98"/>
    <mergeCell ref="AG98:AI98"/>
    <mergeCell ref="AJ98:AL98"/>
    <mergeCell ref="I99:K99"/>
    <mergeCell ref="L99:N99"/>
    <mergeCell ref="O99:Q99"/>
    <mergeCell ref="R99:T99"/>
    <mergeCell ref="U99:W99"/>
    <mergeCell ref="X99:Z99"/>
    <mergeCell ref="AA99:AC99"/>
    <mergeCell ref="AD99:AF99"/>
    <mergeCell ref="AG99:AI99"/>
    <mergeCell ref="AJ99:AL99"/>
    <mergeCell ref="B100:B102"/>
    <mergeCell ref="C100:C102"/>
    <mergeCell ref="D100:D102"/>
    <mergeCell ref="E100:E101"/>
    <mergeCell ref="I101:K101"/>
    <mergeCell ref="L101:N101"/>
    <mergeCell ref="O101:Q101"/>
    <mergeCell ref="R101:T101"/>
    <mergeCell ref="U101:W101"/>
    <mergeCell ref="X101:Z101"/>
    <mergeCell ref="AA101:AC101"/>
    <mergeCell ref="AD101:AF101"/>
    <mergeCell ref="AG101:AI101"/>
    <mergeCell ref="AJ101:AL101"/>
    <mergeCell ref="I102:K102"/>
    <mergeCell ref="L102:N102"/>
    <mergeCell ref="O102:Q102"/>
    <mergeCell ref="R102:T102"/>
    <mergeCell ref="U102:W102"/>
    <mergeCell ref="X102:Z102"/>
    <mergeCell ref="AA102:AC102"/>
    <mergeCell ref="AD102:AF102"/>
    <mergeCell ref="AG102:AI102"/>
    <mergeCell ref="AJ102:AL102"/>
    <mergeCell ref="B103:B105"/>
    <mergeCell ref="C103:C105"/>
    <mergeCell ref="D103:D105"/>
    <mergeCell ref="E103:E104"/>
    <mergeCell ref="I104:K104"/>
    <mergeCell ref="L104:N104"/>
    <mergeCell ref="O104:Q104"/>
    <mergeCell ref="R104:T104"/>
    <mergeCell ref="U104:W104"/>
    <mergeCell ref="X104:Z104"/>
    <mergeCell ref="AA104:AC104"/>
    <mergeCell ref="AD104:AF104"/>
    <mergeCell ref="AG104:AI104"/>
    <mergeCell ref="AJ104:AL104"/>
    <mergeCell ref="I105:K105"/>
    <mergeCell ref="L105:N105"/>
    <mergeCell ref="O105:Q105"/>
    <mergeCell ref="R105:T105"/>
    <mergeCell ref="U105:W105"/>
    <mergeCell ref="X105:Z105"/>
    <mergeCell ref="AA105:AC105"/>
    <mergeCell ref="AD105:AF105"/>
    <mergeCell ref="AG105:AI105"/>
    <mergeCell ref="AJ105:AL105"/>
    <mergeCell ref="B106:B108"/>
    <mergeCell ref="C106:C108"/>
    <mergeCell ref="D106:D108"/>
    <mergeCell ref="E106:E107"/>
    <mergeCell ref="I107:K107"/>
    <mergeCell ref="L107:N107"/>
    <mergeCell ref="O107:Q107"/>
    <mergeCell ref="R107:T107"/>
    <mergeCell ref="U107:W107"/>
    <mergeCell ref="X107:Z107"/>
    <mergeCell ref="AA107:AC107"/>
    <mergeCell ref="AD107:AF107"/>
    <mergeCell ref="AG107:AI107"/>
    <mergeCell ref="AJ107:AL107"/>
    <mergeCell ref="I108:K108"/>
    <mergeCell ref="L108:N108"/>
    <mergeCell ref="O108:Q108"/>
    <mergeCell ref="R108:T108"/>
    <mergeCell ref="U108:W108"/>
    <mergeCell ref="X108:Z108"/>
    <mergeCell ref="AA108:AC108"/>
    <mergeCell ref="AD108:AF108"/>
    <mergeCell ref="AG108:AI108"/>
    <mergeCell ref="AJ108:AL108"/>
    <mergeCell ref="B109:B111"/>
    <mergeCell ref="C109:C111"/>
    <mergeCell ref="D109:D111"/>
    <mergeCell ref="E109:E110"/>
    <mergeCell ref="I110:K110"/>
    <mergeCell ref="L110:N110"/>
    <mergeCell ref="O110:Q110"/>
    <mergeCell ref="R110:T110"/>
    <mergeCell ref="U110:W110"/>
    <mergeCell ref="X110:Z110"/>
    <mergeCell ref="AA110:AC110"/>
    <mergeCell ref="AD110:AF110"/>
    <mergeCell ref="AG110:AI110"/>
    <mergeCell ref="AJ110:AL110"/>
    <mergeCell ref="I111:K111"/>
    <mergeCell ref="L111:N111"/>
    <mergeCell ref="O111:Q111"/>
    <mergeCell ref="R111:T111"/>
    <mergeCell ref="U111:W111"/>
    <mergeCell ref="X111:Z111"/>
    <mergeCell ref="AA111:AC111"/>
    <mergeCell ref="AD111:AF111"/>
    <mergeCell ref="AG111:AI111"/>
    <mergeCell ref="AJ111:AL111"/>
    <mergeCell ref="B112:B114"/>
    <mergeCell ref="C112:C114"/>
    <mergeCell ref="D112:D114"/>
    <mergeCell ref="E112:E113"/>
    <mergeCell ref="I113:K113"/>
    <mergeCell ref="L113:N113"/>
    <mergeCell ref="O113:Q113"/>
    <mergeCell ref="R113:T113"/>
    <mergeCell ref="U113:W113"/>
    <mergeCell ref="X113:Z113"/>
    <mergeCell ref="AA113:AC113"/>
    <mergeCell ref="AD113:AF113"/>
    <mergeCell ref="AG113:AI113"/>
    <mergeCell ref="AJ113:AL113"/>
    <mergeCell ref="I114:K114"/>
    <mergeCell ref="L114:N114"/>
    <mergeCell ref="O114:Q114"/>
    <mergeCell ref="R114:T114"/>
    <mergeCell ref="U114:W114"/>
    <mergeCell ref="X114:Z114"/>
    <mergeCell ref="AA114:AC114"/>
    <mergeCell ref="AD114:AF114"/>
    <mergeCell ref="AG114:AI114"/>
    <mergeCell ref="AJ114:AL114"/>
    <mergeCell ref="B115:B117"/>
    <mergeCell ref="C115:C117"/>
    <mergeCell ref="D115:D117"/>
    <mergeCell ref="E115:E116"/>
    <mergeCell ref="I116:K116"/>
    <mergeCell ref="L116:N116"/>
    <mergeCell ref="O116:Q116"/>
    <mergeCell ref="R116:T116"/>
    <mergeCell ref="U116:W116"/>
    <mergeCell ref="X116:Z116"/>
    <mergeCell ref="AA116:AC116"/>
    <mergeCell ref="AD116:AF116"/>
    <mergeCell ref="AG116:AI116"/>
    <mergeCell ref="AJ116:AL116"/>
    <mergeCell ref="I117:K117"/>
    <mergeCell ref="L117:N117"/>
    <mergeCell ref="O117:Q117"/>
    <mergeCell ref="R117:T117"/>
    <mergeCell ref="U117:W117"/>
    <mergeCell ref="X117:Z117"/>
    <mergeCell ref="AA117:AC117"/>
    <mergeCell ref="AD117:AF117"/>
    <mergeCell ref="AG117:AI117"/>
    <mergeCell ref="AJ117:AL117"/>
    <mergeCell ref="B118:B120"/>
    <mergeCell ref="C118:C120"/>
    <mergeCell ref="D118:D120"/>
    <mergeCell ref="E118:E119"/>
    <mergeCell ref="I119:K119"/>
    <mergeCell ref="L119:N119"/>
    <mergeCell ref="O119:Q119"/>
    <mergeCell ref="R119:T119"/>
    <mergeCell ref="U119:W119"/>
    <mergeCell ref="X119:Z119"/>
    <mergeCell ref="AA119:AC119"/>
    <mergeCell ref="AD119:AF119"/>
    <mergeCell ref="AG119:AI119"/>
    <mergeCell ref="AJ119:AL119"/>
    <mergeCell ref="I120:K120"/>
    <mergeCell ref="L120:N120"/>
    <mergeCell ref="O120:Q120"/>
    <mergeCell ref="R120:T120"/>
    <mergeCell ref="U120:W120"/>
    <mergeCell ref="X120:Z120"/>
    <mergeCell ref="AA120:AC120"/>
    <mergeCell ref="AD120:AF120"/>
    <mergeCell ref="AG120:AI120"/>
    <mergeCell ref="AJ120:AL120"/>
    <mergeCell ref="B121:B123"/>
    <mergeCell ref="C121:C123"/>
    <mergeCell ref="D121:D123"/>
    <mergeCell ref="E121:E122"/>
    <mergeCell ref="I122:K122"/>
    <mergeCell ref="L122:N122"/>
    <mergeCell ref="O122:Q122"/>
    <mergeCell ref="R122:T122"/>
    <mergeCell ref="U122:W122"/>
    <mergeCell ref="X122:Z122"/>
    <mergeCell ref="AA122:AC122"/>
    <mergeCell ref="AD122:AF122"/>
    <mergeCell ref="AG122:AI122"/>
    <mergeCell ref="AJ122:AL122"/>
    <mergeCell ref="I123:K123"/>
    <mergeCell ref="L123:N123"/>
    <mergeCell ref="O123:Q123"/>
    <mergeCell ref="R123:T123"/>
    <mergeCell ref="U123:W123"/>
    <mergeCell ref="X123:Z123"/>
    <mergeCell ref="AA123:AC123"/>
    <mergeCell ref="AD123:AF123"/>
    <mergeCell ref="AG123:AI123"/>
    <mergeCell ref="AJ123:AL123"/>
    <mergeCell ref="B124:B126"/>
    <mergeCell ref="C124:C126"/>
    <mergeCell ref="D124:D126"/>
    <mergeCell ref="E124:E125"/>
    <mergeCell ref="I125:K125"/>
    <mergeCell ref="L125:N125"/>
    <mergeCell ref="O125:Q125"/>
    <mergeCell ref="R125:T125"/>
    <mergeCell ref="U125:W125"/>
    <mergeCell ref="X125:Z125"/>
    <mergeCell ref="AA125:AC125"/>
    <mergeCell ref="AD125:AF125"/>
    <mergeCell ref="AG125:AI125"/>
    <mergeCell ref="AJ125:AL125"/>
    <mergeCell ref="I126:K126"/>
    <mergeCell ref="L126:N126"/>
    <mergeCell ref="O126:Q126"/>
    <mergeCell ref="R126:T126"/>
    <mergeCell ref="U126:W126"/>
    <mergeCell ref="X126:Z126"/>
    <mergeCell ref="AA126:AC126"/>
    <mergeCell ref="AD126:AF126"/>
    <mergeCell ref="AG126:AI126"/>
    <mergeCell ref="AJ126:AL126"/>
    <mergeCell ref="B127:B129"/>
    <mergeCell ref="C127:C129"/>
    <mergeCell ref="D127:D129"/>
    <mergeCell ref="E127:E128"/>
    <mergeCell ref="I128:K128"/>
    <mergeCell ref="L128:N128"/>
    <mergeCell ref="O128:Q128"/>
    <mergeCell ref="R128:T128"/>
    <mergeCell ref="U128:W128"/>
    <mergeCell ref="X128:Z128"/>
    <mergeCell ref="AA128:AC128"/>
    <mergeCell ref="AD128:AF128"/>
    <mergeCell ref="AG128:AI128"/>
    <mergeCell ref="AJ128:AL128"/>
    <mergeCell ref="I129:K129"/>
    <mergeCell ref="L129:N129"/>
    <mergeCell ref="O129:Q129"/>
    <mergeCell ref="R129:T129"/>
    <mergeCell ref="U129:W129"/>
    <mergeCell ref="X129:Z129"/>
    <mergeCell ref="AA129:AC129"/>
    <mergeCell ref="AD129:AF129"/>
    <mergeCell ref="AG129:AI129"/>
    <mergeCell ref="AJ129:AL129"/>
    <mergeCell ref="B130:B131"/>
    <mergeCell ref="C130:C131"/>
    <mergeCell ref="D130:D131"/>
    <mergeCell ref="I131:K131"/>
    <mergeCell ref="L131:N131"/>
    <mergeCell ref="O131:Q131"/>
    <mergeCell ref="R131:T131"/>
    <mergeCell ref="U131:W131"/>
    <mergeCell ref="X131:Z131"/>
    <mergeCell ref="AA131:AC131"/>
    <mergeCell ref="AD131:AF131"/>
    <mergeCell ref="AG131:AI131"/>
    <mergeCell ref="AJ131:AL131"/>
    <mergeCell ref="B132:B133"/>
    <mergeCell ref="C132:C133"/>
    <mergeCell ref="D132:D133"/>
    <mergeCell ref="I133:K133"/>
    <mergeCell ref="L133:N133"/>
    <mergeCell ref="O133:Q133"/>
    <mergeCell ref="R133:T133"/>
    <mergeCell ref="U133:W133"/>
    <mergeCell ref="X133:Z133"/>
    <mergeCell ref="AA133:AC133"/>
    <mergeCell ref="AD133:AF133"/>
    <mergeCell ref="AG133:AI133"/>
    <mergeCell ref="AJ133:AL133"/>
    <mergeCell ref="B134:B135"/>
    <mergeCell ref="C134:C135"/>
    <mergeCell ref="D134:D135"/>
    <mergeCell ref="I135:K135"/>
    <mergeCell ref="L135:N135"/>
    <mergeCell ref="O135:Q135"/>
    <mergeCell ref="R135:T135"/>
    <mergeCell ref="U135:W135"/>
    <mergeCell ref="X135:Z135"/>
    <mergeCell ref="AA135:AC135"/>
    <mergeCell ref="AD135:AF135"/>
    <mergeCell ref="AG135:AI135"/>
    <mergeCell ref="AJ135:AL135"/>
    <mergeCell ref="B136:B137"/>
    <mergeCell ref="C136:C137"/>
    <mergeCell ref="D136:D137"/>
    <mergeCell ref="I137:K137"/>
    <mergeCell ref="L137:N137"/>
    <mergeCell ref="O137:Q137"/>
    <mergeCell ref="R137:T137"/>
    <mergeCell ref="U137:W137"/>
    <mergeCell ref="X137:Z137"/>
    <mergeCell ref="AA137:AC137"/>
    <mergeCell ref="AD137:AF137"/>
    <mergeCell ref="AG137:AI137"/>
    <mergeCell ref="AJ137:AL137"/>
    <mergeCell ref="B138:B139"/>
    <mergeCell ref="C138:C139"/>
    <mergeCell ref="D138:D139"/>
    <mergeCell ref="I139:K139"/>
    <mergeCell ref="L139:N139"/>
    <mergeCell ref="O139:Q139"/>
    <mergeCell ref="R139:T139"/>
    <mergeCell ref="U139:W139"/>
    <mergeCell ref="X139:Z139"/>
    <mergeCell ref="AA139:AC139"/>
    <mergeCell ref="AD139:AF139"/>
    <mergeCell ref="AG139:AI139"/>
    <mergeCell ref="AJ139:AL139"/>
    <mergeCell ref="B140:B141"/>
    <mergeCell ref="C140:C141"/>
    <mergeCell ref="D140:D141"/>
    <mergeCell ref="I141:K141"/>
    <mergeCell ref="L141:N141"/>
    <mergeCell ref="O141:Q141"/>
    <mergeCell ref="R141:T141"/>
    <mergeCell ref="U141:W141"/>
    <mergeCell ref="X141:Z141"/>
    <mergeCell ref="AA141:AC141"/>
    <mergeCell ref="AD141:AF141"/>
    <mergeCell ref="AG141:AI141"/>
    <mergeCell ref="AJ141:AL141"/>
    <mergeCell ref="B142:B143"/>
    <mergeCell ref="C142:C143"/>
    <mergeCell ref="D142:D143"/>
    <mergeCell ref="I143:K143"/>
    <mergeCell ref="L143:N143"/>
    <mergeCell ref="O143:Q143"/>
    <mergeCell ref="R143:T143"/>
    <mergeCell ref="U143:W143"/>
    <mergeCell ref="X143:Z143"/>
    <mergeCell ref="AA143:AC143"/>
    <mergeCell ref="AD143:AF143"/>
    <mergeCell ref="AG143:AI143"/>
    <mergeCell ref="AJ143:AL143"/>
    <mergeCell ref="B144:B145"/>
    <mergeCell ref="C144:C145"/>
    <mergeCell ref="D144:D145"/>
    <mergeCell ref="I145:K145"/>
    <mergeCell ref="L145:N145"/>
    <mergeCell ref="O145:Q145"/>
    <mergeCell ref="R145:T145"/>
    <mergeCell ref="U145:W145"/>
    <mergeCell ref="X145:Z145"/>
    <mergeCell ref="AA145:AC145"/>
    <mergeCell ref="AD145:AF145"/>
    <mergeCell ref="AG145:AI145"/>
    <mergeCell ref="AJ145:AL145"/>
    <mergeCell ref="B146:B147"/>
    <mergeCell ref="C146:D147"/>
    <mergeCell ref="I147:K147"/>
    <mergeCell ref="L147:N147"/>
    <mergeCell ref="O147:Q147"/>
    <mergeCell ref="R147:T147"/>
    <mergeCell ref="U147:W147"/>
    <mergeCell ref="X147:Z147"/>
    <mergeCell ref="AA147:AC147"/>
    <mergeCell ref="AD147:AF147"/>
    <mergeCell ref="AG147:AI147"/>
    <mergeCell ref="AJ147:AL147"/>
    <mergeCell ref="B148:E157"/>
    <mergeCell ref="J148:K148"/>
    <mergeCell ref="M148:N148"/>
    <mergeCell ref="P148:Q148"/>
    <mergeCell ref="S148:T148"/>
    <mergeCell ref="V148:W148"/>
    <mergeCell ref="Y148:Z148"/>
    <mergeCell ref="AB148:AC148"/>
    <mergeCell ref="AE148:AF148"/>
    <mergeCell ref="AH148:AI148"/>
    <mergeCell ref="AK148:AL148"/>
    <mergeCell ref="J149:K149"/>
    <mergeCell ref="M149:N149"/>
    <mergeCell ref="P149:Q149"/>
    <mergeCell ref="S149:T149"/>
    <mergeCell ref="V149:W149"/>
    <mergeCell ref="Y149:Z149"/>
    <mergeCell ref="AB149:AC149"/>
    <mergeCell ref="AE149:AF149"/>
    <mergeCell ref="AH149:AI149"/>
    <mergeCell ref="AK149:AL149"/>
    <mergeCell ref="J150:K150"/>
    <mergeCell ref="M150:N150"/>
    <mergeCell ref="P150:Q150"/>
    <mergeCell ref="S150:T150"/>
    <mergeCell ref="V150:W150"/>
    <mergeCell ref="Y150:Z150"/>
    <mergeCell ref="AB150:AC150"/>
    <mergeCell ref="AE150:AF150"/>
    <mergeCell ref="AH150:AI150"/>
    <mergeCell ref="AK150:AL150"/>
    <mergeCell ref="J151:K151"/>
    <mergeCell ref="M151:N151"/>
    <mergeCell ref="P151:Q151"/>
    <mergeCell ref="S151:T151"/>
    <mergeCell ref="V151:W151"/>
    <mergeCell ref="Y151:Z151"/>
    <mergeCell ref="AB151:AC151"/>
    <mergeCell ref="AE151:AF151"/>
    <mergeCell ref="AH151:AI151"/>
    <mergeCell ref="AK151:AL151"/>
    <mergeCell ref="J152:K152"/>
    <mergeCell ref="M152:N152"/>
    <mergeCell ref="P152:Q152"/>
    <mergeCell ref="S152:T152"/>
    <mergeCell ref="V152:W152"/>
    <mergeCell ref="Y152:Z152"/>
    <mergeCell ref="AB152:AC152"/>
    <mergeCell ref="AE152:AF152"/>
    <mergeCell ref="AH152:AI152"/>
    <mergeCell ref="AK152:AL152"/>
    <mergeCell ref="J153:K153"/>
    <mergeCell ref="M153:N153"/>
    <mergeCell ref="P153:Q153"/>
    <mergeCell ref="S153:T153"/>
    <mergeCell ref="V153:W153"/>
    <mergeCell ref="Y153:Z153"/>
    <mergeCell ref="AB153:AC153"/>
    <mergeCell ref="AE153:AF153"/>
    <mergeCell ref="AH153:AI153"/>
    <mergeCell ref="AK153:AL153"/>
    <mergeCell ref="J154:K154"/>
    <mergeCell ref="M154:N154"/>
    <mergeCell ref="P154:Q154"/>
    <mergeCell ref="S154:T154"/>
    <mergeCell ref="V154:W154"/>
    <mergeCell ref="Y154:Z154"/>
    <mergeCell ref="AB154:AC154"/>
    <mergeCell ref="AE154:AF154"/>
    <mergeCell ref="AH154:AI154"/>
    <mergeCell ref="AK154:AL154"/>
    <mergeCell ref="J155:K155"/>
    <mergeCell ref="M155:N155"/>
    <mergeCell ref="P155:Q155"/>
    <mergeCell ref="S155:T155"/>
    <mergeCell ref="V155:W155"/>
    <mergeCell ref="Y155:Z155"/>
    <mergeCell ref="AB155:AC155"/>
    <mergeCell ref="AE155:AF155"/>
    <mergeCell ref="AH155:AI155"/>
    <mergeCell ref="AK155:AL155"/>
    <mergeCell ref="J156:K156"/>
    <mergeCell ref="M156:N156"/>
    <mergeCell ref="P156:Q156"/>
    <mergeCell ref="S156:T156"/>
    <mergeCell ref="V156:W156"/>
    <mergeCell ref="Y156:Z156"/>
    <mergeCell ref="AB156:AC156"/>
    <mergeCell ref="AE156:AF156"/>
    <mergeCell ref="AH156:AI156"/>
    <mergeCell ref="AK156:AL156"/>
    <mergeCell ref="J157:K157"/>
    <mergeCell ref="M157:N157"/>
    <mergeCell ref="P157:Q157"/>
    <mergeCell ref="S157:T157"/>
    <mergeCell ref="V157:W157"/>
    <mergeCell ref="Y157:Z157"/>
    <mergeCell ref="AB157:AC157"/>
    <mergeCell ref="AE157:AF157"/>
    <mergeCell ref="AH157:AI157"/>
    <mergeCell ref="AK157:AL157"/>
    <mergeCell ref="B163:E163"/>
    <mergeCell ref="I164:AF164"/>
    <mergeCell ref="B165:E166"/>
    <mergeCell ref="F165:H166"/>
    <mergeCell ref="I165:K166"/>
    <mergeCell ref="L165:N166"/>
    <mergeCell ref="O165:Q166"/>
    <mergeCell ref="R165:T166"/>
    <mergeCell ref="U165:W166"/>
    <mergeCell ref="X165:Z166"/>
    <mergeCell ref="AA165:AC166"/>
    <mergeCell ref="AD165:AF166"/>
    <mergeCell ref="AG165:AI166"/>
    <mergeCell ref="AJ165:AL166"/>
    <mergeCell ref="C167:E168"/>
    <mergeCell ref="F167:H168"/>
    <mergeCell ref="I167:K168"/>
    <mergeCell ref="L167:N168"/>
    <mergeCell ref="O167:Q168"/>
    <mergeCell ref="R167:T168"/>
    <mergeCell ref="U167:W168"/>
    <mergeCell ref="X167:Z168"/>
    <mergeCell ref="AA167:AC168"/>
    <mergeCell ref="AD167:AF168"/>
    <mergeCell ref="AG167:AI168"/>
    <mergeCell ref="AJ167:AL168"/>
    <mergeCell ref="B169:E170"/>
    <mergeCell ref="F169:H170"/>
    <mergeCell ref="I169:K170"/>
    <mergeCell ref="L169:N170"/>
    <mergeCell ref="O169:Q170"/>
    <mergeCell ref="R169:T170"/>
    <mergeCell ref="U169:W170"/>
    <mergeCell ref="X169:Z170"/>
    <mergeCell ref="AA169:AC170"/>
    <mergeCell ref="AD169:AF170"/>
    <mergeCell ref="AG169:AI170"/>
    <mergeCell ref="AJ169:AL170"/>
    <mergeCell ref="C171:E172"/>
    <mergeCell ref="F171:H172"/>
    <mergeCell ref="I171:K172"/>
    <mergeCell ref="L171:N172"/>
    <mergeCell ref="O171:Q172"/>
    <mergeCell ref="R171:T172"/>
    <mergeCell ref="U171:W172"/>
    <mergeCell ref="X171:Z172"/>
    <mergeCell ref="AA171:AC172"/>
    <mergeCell ref="AD171:AF172"/>
    <mergeCell ref="AG171:AI172"/>
    <mergeCell ref="AJ171:AL172"/>
    <mergeCell ref="B173:E174"/>
    <mergeCell ref="F173:H174"/>
    <mergeCell ref="I173:K174"/>
    <mergeCell ref="L173:N174"/>
    <mergeCell ref="O173:Q174"/>
    <mergeCell ref="R173:T174"/>
    <mergeCell ref="U173:W174"/>
    <mergeCell ref="X173:Z174"/>
    <mergeCell ref="AA173:AC174"/>
    <mergeCell ref="AD173:AF174"/>
    <mergeCell ref="AG173:AI174"/>
    <mergeCell ref="AJ173:AL174"/>
    <mergeCell ref="C175:E176"/>
    <mergeCell ref="F175:H176"/>
    <mergeCell ref="I175:K176"/>
    <mergeCell ref="L175:N176"/>
    <mergeCell ref="O175:Q176"/>
    <mergeCell ref="R175:T176"/>
    <mergeCell ref="U175:W176"/>
    <mergeCell ref="X175:Z176"/>
    <mergeCell ref="AA175:AC176"/>
    <mergeCell ref="AD175:AF176"/>
    <mergeCell ref="AG175:AI176"/>
    <mergeCell ref="AJ175:AL176"/>
    <mergeCell ref="B177:E178"/>
    <mergeCell ref="F177:H178"/>
    <mergeCell ref="I177:K178"/>
    <mergeCell ref="L177:N178"/>
    <mergeCell ref="O177:Q178"/>
    <mergeCell ref="R177:T178"/>
    <mergeCell ref="U177:W178"/>
    <mergeCell ref="X177:Z178"/>
    <mergeCell ref="AA177:AC178"/>
    <mergeCell ref="AD177:AF178"/>
    <mergeCell ref="AG177:AI178"/>
    <mergeCell ref="AJ177:AL178"/>
    <mergeCell ref="C179:E180"/>
    <mergeCell ref="F179:H180"/>
    <mergeCell ref="I179:K180"/>
    <mergeCell ref="L179:N180"/>
    <mergeCell ref="O179:Q180"/>
    <mergeCell ref="R179:T180"/>
    <mergeCell ref="U179:W180"/>
    <mergeCell ref="X179:Z180"/>
    <mergeCell ref="AA179:AC180"/>
    <mergeCell ref="AD179:AF180"/>
    <mergeCell ref="AG179:AI180"/>
    <mergeCell ref="AJ179:AL180"/>
    <mergeCell ref="B183:E183"/>
    <mergeCell ref="I183:AF183"/>
    <mergeCell ref="B186:E187"/>
    <mergeCell ref="F186:AL187"/>
    <mergeCell ref="B181:E181"/>
    <mergeCell ref="F181:H181"/>
    <mergeCell ref="I181:K181"/>
    <mergeCell ref="L181:N181"/>
    <mergeCell ref="O181:Q181"/>
    <mergeCell ref="R181:T181"/>
    <mergeCell ref="U181:W181"/>
    <mergeCell ref="X181:Z181"/>
    <mergeCell ref="AA181:AC181"/>
    <mergeCell ref="AD181:AF181"/>
    <mergeCell ref="AG181:AI181"/>
    <mergeCell ref="AJ181:AL181"/>
    <mergeCell ref="C182:E182"/>
    <mergeCell ref="F182:H182"/>
    <mergeCell ref="I182:K182"/>
    <mergeCell ref="L182:N182"/>
    <mergeCell ref="O182:Q182"/>
    <mergeCell ref="R182:T182"/>
    <mergeCell ref="U182:W182"/>
    <mergeCell ref="X182:Z182"/>
    <mergeCell ref="AA182:AC182"/>
    <mergeCell ref="AD182:AF182"/>
    <mergeCell ref="AG182:AI182"/>
    <mergeCell ref="AJ182:AL182"/>
  </mergeCells>
  <conditionalFormatting sqref="AG4:AL4">
    <cfRule type="cellIs" dxfId="412" priority="2" operator="equal">
      <formula>0</formula>
    </cfRule>
  </conditionalFormatting>
  <conditionalFormatting sqref="J146:K146">
    <cfRule type="cellIs" dxfId="411" priority="3" operator="equal">
      <formula>0</formula>
    </cfRule>
  </conditionalFormatting>
  <conditionalFormatting sqref="I146 L146 O146 R146 U146 X146 AA146 AD146 AG146 AJ146">
    <cfRule type="cellIs" dxfId="410" priority="4" operator="greaterThan">
      <formula>0</formula>
    </cfRule>
  </conditionalFormatting>
  <conditionalFormatting sqref="AA1 AD1">
    <cfRule type="cellIs" dxfId="409" priority="5" operator="greaterThan">
      <formula>0</formula>
    </cfRule>
  </conditionalFormatting>
  <conditionalFormatting sqref="AG1">
    <cfRule type="cellIs" dxfId="408" priority="6" operator="greaterThanOrEqual">
      <formula>0</formula>
    </cfRule>
  </conditionalFormatting>
  <conditionalFormatting sqref="U1 X1 AJ1">
    <cfRule type="cellIs" dxfId="407" priority="7" operator="greaterThanOrEqual">
      <formula>0</formula>
    </cfRule>
  </conditionalFormatting>
  <conditionalFormatting sqref="R1">
    <cfRule type="cellIs" dxfId="406" priority="8" operator="greaterThan">
      <formula>0</formula>
    </cfRule>
  </conditionalFormatting>
  <conditionalFormatting sqref="O1">
    <cfRule type="cellIs" dxfId="405" priority="9" operator="greaterThan">
      <formula>0</formula>
    </cfRule>
  </conditionalFormatting>
  <conditionalFormatting sqref="L1">
    <cfRule type="cellIs" dxfId="404" priority="10" operator="greaterThan">
      <formula>0</formula>
    </cfRule>
  </conditionalFormatting>
  <conditionalFormatting sqref="I1">
    <cfRule type="cellIs" dxfId="403" priority="11" operator="greaterThan">
      <formula>0</formula>
    </cfRule>
  </conditionalFormatting>
  <conditionalFormatting sqref="I2:AL2">
    <cfRule type="cellIs" dxfId="402" priority="12" operator="greaterThan">
      <formula>0</formula>
    </cfRule>
  </conditionalFormatting>
  <conditionalFormatting sqref="I6:K6">
    <cfRule type="cellIs" dxfId="401" priority="13" operator="equal">
      <formula>0</formula>
    </cfRule>
  </conditionalFormatting>
  <conditionalFormatting sqref="I5 L5:AL6">
    <cfRule type="cellIs" dxfId="400" priority="14" operator="equal">
      <formula>0</formula>
    </cfRule>
  </conditionalFormatting>
  <conditionalFormatting sqref="I75:AL75">
    <cfRule type="cellIs" dxfId="399" priority="15" operator="equal">
      <formula>0</formula>
    </cfRule>
  </conditionalFormatting>
  <conditionalFormatting sqref="I90:AL90">
    <cfRule type="cellIs" dxfId="398" priority="16" operator="equal">
      <formula>0</formula>
    </cfRule>
  </conditionalFormatting>
  <conditionalFormatting sqref="I19:AL19 I21:AL21 I23:AL23 I25:AL25 I27:AL27 I29:AL29 I31:AL31">
    <cfRule type="cellIs" dxfId="397" priority="17" operator="equal">
      <formula>0</formula>
    </cfRule>
  </conditionalFormatting>
  <conditionalFormatting sqref="I14:AL14 I17:AL17 I36:AL36 I39:AL39 I42:AL42 I45:AL45 I48:AL48 I51:AL51 I54:AL54 I57:AL57 I60:AL60 I63:AL63 I66:AL66 I69:AL69 I72:AL72 I78:AL78 I81:AL81 I84:AL84 I87:AL87 I93:AL93 I96:AL96 I99:AL99 I102:AL102 I105:AL105 I108:AL108 I111:AL111 I114:AL114 I117:AL117 I120:AL120 I123:AL123 I126:AL126 I129:AL129 I131:AL131 I133:AL133 I135:AL135 I137:AL137 I139:AL139 I141:AL141 I143:AL143 I145:AL145 I147:AL147">
    <cfRule type="cellIs" dxfId="396" priority="18" operator="equal">
      <formula>0</formula>
    </cfRule>
  </conditionalFormatting>
  <conditionalFormatting sqref="J34:K1048576 M34:N1048576 P34:Q1048576 S34:T1048576 V34:W1048576 Y34:Z1048576 AB34:AC1048576 AE34:AF1048576 AH34:AI1048576 AK34:AL1048576">
    <cfRule type="cellIs" dxfId="395" priority="19" operator="equal">
      <formula>0</formula>
    </cfRule>
  </conditionalFormatting>
  <conditionalFormatting sqref="I145 L145 O145 R145 U145 X145 AA145 AD145 AG145 AJ145 I147 L147 O147 R147 U147 X147 AA147 AD147 AG147 AJ147">
    <cfRule type="cellIs" dxfId="394" priority="20" operator="equal">
      <formula>0</formula>
    </cfRule>
  </conditionalFormatting>
  <conditionalFormatting sqref="I131 L131 O131 R131 U131 X131 AA131 AD131 AG131 AJ131 I133 L133 O133 R133 U133 X133 AA133 AD133 AG133 AJ133 I135 L135 O135 R135 U135 X135 AA135 AD135 AG135 AJ135 I137 L137 O137 R137 U137 X137 AA137 AD137 AG137 AJ137 I139 L139 O139 R139 U139 X139 AA139 AD139 AG139 AJ139 I141 L141 O141 R141 U141 X141 AA141 AD141 AG141 AJ141 I143 L143 O143 R143 U143 X143 AA143 AD143 AG143 AJ143">
    <cfRule type="cellIs" dxfId="393" priority="21" operator="equal">
      <formula>0</formula>
    </cfRule>
  </conditionalFormatting>
  <conditionalFormatting sqref="J132:K132 J134:K134 J136:K136 J138:K138 J140:K140 J142:K142 J144:K144">
    <cfRule type="cellIs" dxfId="392" priority="22" operator="equal">
      <formula>0</formula>
    </cfRule>
  </conditionalFormatting>
  <conditionalFormatting sqref="I132 L132 O132 R132 U132 X132 AA132 AD132 AG132 AJ132 I134 L134 O134 R134 U134 X134 AA134 AD134 AG134 AJ134 I136 L136 O136 R136 U136 X136 AA136 AD136 AG136 AJ136 I138 L138 O138 R138 U138 X138 AA138 AD138 AG138 AJ138 I140 L140 O140 R140 U140 X140 AA140 AD140 AG140 AJ140 I142 L142 O142 R142 U142 X142 AA142 AD142 AG142 AJ142 I144 L144 O144 R144 U144 X144 AA144 AD144 AG144 AJ144">
    <cfRule type="cellIs" dxfId="391" priority="23" operator="greaterThan">
      <formula>0</formula>
    </cfRule>
  </conditionalFormatting>
  <conditionalFormatting sqref="I129 L129 O129 R129 U129 X129 AA129 AD129 AG129 AJ129">
    <cfRule type="cellIs" dxfId="390" priority="24" operator="equal">
      <formula>0</formula>
    </cfRule>
  </conditionalFormatting>
  <conditionalFormatting sqref="J130:K130">
    <cfRule type="cellIs" dxfId="389" priority="25" operator="equal">
      <formula>0</formula>
    </cfRule>
  </conditionalFormatting>
  <conditionalFormatting sqref="I130 L130 O130 R130 U130 X130 AA130 AD130 AG130 AJ130">
    <cfRule type="cellIs" dxfId="388" priority="26" operator="greaterThan">
      <formula>0</formula>
    </cfRule>
  </conditionalFormatting>
  <conditionalFormatting sqref="I126 L126 O126 R126 U126 X126 AA126 AD126 AG126 AJ126">
    <cfRule type="cellIs" dxfId="387" priority="27" operator="equal">
      <formula>0</formula>
    </cfRule>
  </conditionalFormatting>
  <conditionalFormatting sqref="J127:K127">
    <cfRule type="cellIs" dxfId="386" priority="28" operator="equal">
      <formula>0</formula>
    </cfRule>
  </conditionalFormatting>
  <conditionalFormatting sqref="I127 L127 O127 R127 U127 X127 AA127 AD127 AG127 AJ127">
    <cfRule type="cellIs" dxfId="385" priority="29" operator="greaterThan">
      <formula>0</formula>
    </cfRule>
  </conditionalFormatting>
  <conditionalFormatting sqref="I123 L123 O123 R123 U123 X123 AA123 AD123 AG123 AJ123">
    <cfRule type="cellIs" dxfId="384" priority="30" operator="equal">
      <formula>0</formula>
    </cfRule>
  </conditionalFormatting>
  <conditionalFormatting sqref="J124:K124">
    <cfRule type="cellIs" dxfId="383" priority="31" operator="equal">
      <formula>0</formula>
    </cfRule>
  </conditionalFormatting>
  <conditionalFormatting sqref="I124 L124 O124 R124 U124 X124 AA124 AD124 AG124 AJ124">
    <cfRule type="cellIs" dxfId="382" priority="32" operator="greaterThan">
      <formula>0</formula>
    </cfRule>
  </conditionalFormatting>
  <conditionalFormatting sqref="I120 L120 O120 R120 U120 X120 AA120 AD120 AG120 AJ120">
    <cfRule type="cellIs" dxfId="381" priority="33" operator="equal">
      <formula>0</formula>
    </cfRule>
  </conditionalFormatting>
  <conditionalFormatting sqref="J121:K121">
    <cfRule type="cellIs" dxfId="380" priority="34" operator="equal">
      <formula>0</formula>
    </cfRule>
  </conditionalFormatting>
  <conditionalFormatting sqref="I121 L121 O121 R121 U121 X121 AA121 AD121 AG121 AJ121">
    <cfRule type="cellIs" dxfId="379" priority="35" operator="greaterThan">
      <formula>0</formula>
    </cfRule>
  </conditionalFormatting>
  <conditionalFormatting sqref="I117 L117 O117 R117 U117 X117 AA117 AD117 AG117 AJ117">
    <cfRule type="cellIs" dxfId="378" priority="36" operator="equal">
      <formula>0</formula>
    </cfRule>
  </conditionalFormatting>
  <conditionalFormatting sqref="J118:K118">
    <cfRule type="cellIs" dxfId="377" priority="37" operator="equal">
      <formula>0</formula>
    </cfRule>
  </conditionalFormatting>
  <conditionalFormatting sqref="I118 L118 O118 R118 U118 X118 AA118 AD118 AG118 AJ118">
    <cfRule type="cellIs" dxfId="376" priority="38" operator="greaterThan">
      <formula>0</formula>
    </cfRule>
  </conditionalFormatting>
  <conditionalFormatting sqref="I114 L114 O114 R114 U114 X114 AA114 AD114 AG114 AJ114">
    <cfRule type="cellIs" dxfId="375" priority="39" operator="equal">
      <formula>0</formula>
    </cfRule>
  </conditionalFormatting>
  <conditionalFormatting sqref="J115:K115">
    <cfRule type="cellIs" dxfId="374" priority="40" operator="equal">
      <formula>0</formula>
    </cfRule>
  </conditionalFormatting>
  <conditionalFormatting sqref="I115 L115 O115 R115 U115 X115 AA115 AD115 AG115 AJ115">
    <cfRule type="cellIs" dxfId="373" priority="41" operator="greaterThan">
      <formula>0</formula>
    </cfRule>
  </conditionalFormatting>
  <conditionalFormatting sqref="I111 L111 O111 R111 U111 X111 AA111 AD111 AG111 AJ111">
    <cfRule type="cellIs" dxfId="372" priority="42" operator="equal">
      <formula>0</formula>
    </cfRule>
  </conditionalFormatting>
  <conditionalFormatting sqref="J112:K112">
    <cfRule type="cellIs" dxfId="371" priority="43" operator="equal">
      <formula>0</formula>
    </cfRule>
  </conditionalFormatting>
  <conditionalFormatting sqref="I112 L112 O112 R112 U112 X112 AA112 AD112 AG112 AJ112">
    <cfRule type="cellIs" dxfId="370" priority="44" operator="greaterThan">
      <formula>0</formula>
    </cfRule>
  </conditionalFormatting>
  <conditionalFormatting sqref="I108 L108 O108 R108 U108 X108 AA108 AD108 AG108 AJ108">
    <cfRule type="cellIs" dxfId="369" priority="45" operator="equal">
      <formula>0</formula>
    </cfRule>
  </conditionalFormatting>
  <conditionalFormatting sqref="J109:K109">
    <cfRule type="cellIs" dxfId="368" priority="46" operator="equal">
      <formula>0</formula>
    </cfRule>
  </conditionalFormatting>
  <conditionalFormatting sqref="I109 L109 O109 R109 U109 X109 AA109 AD109 AG109 AJ109">
    <cfRule type="cellIs" dxfId="367" priority="47" operator="greaterThan">
      <formula>0</formula>
    </cfRule>
  </conditionalFormatting>
  <conditionalFormatting sqref="I105 L105 O105 R105 U105 X105 AA105 AD105 AG105 AJ105">
    <cfRule type="cellIs" dxfId="366" priority="48" operator="equal">
      <formula>0</formula>
    </cfRule>
  </conditionalFormatting>
  <conditionalFormatting sqref="J106:K106">
    <cfRule type="cellIs" dxfId="365" priority="49" operator="equal">
      <formula>0</formula>
    </cfRule>
  </conditionalFormatting>
  <conditionalFormatting sqref="I106 L106 O106 R106 U106 X106 AA106 AD106 AG106 AJ106">
    <cfRule type="cellIs" dxfId="364" priority="50" operator="greaterThan">
      <formula>0</formula>
    </cfRule>
  </conditionalFormatting>
  <conditionalFormatting sqref="I102 L102 O102 R102 U102 X102 AA102 AD102 AG102 AJ102">
    <cfRule type="cellIs" dxfId="363" priority="51" operator="equal">
      <formula>0</formula>
    </cfRule>
  </conditionalFormatting>
  <conditionalFormatting sqref="J103:K103">
    <cfRule type="cellIs" dxfId="362" priority="52" operator="equal">
      <formula>0</formula>
    </cfRule>
  </conditionalFormatting>
  <conditionalFormatting sqref="I103 L103 O103 R103 U103 X103 AA103 AD103 AG103 AJ103">
    <cfRule type="cellIs" dxfId="361" priority="53" operator="greaterThan">
      <formula>0</formula>
    </cfRule>
  </conditionalFormatting>
  <conditionalFormatting sqref="I99 L99 O99 R99 U99 X99 AA99 AD99 AG99 AJ99">
    <cfRule type="cellIs" dxfId="360" priority="54" operator="equal">
      <formula>0</formula>
    </cfRule>
  </conditionalFormatting>
  <conditionalFormatting sqref="J100:K100">
    <cfRule type="cellIs" dxfId="359" priority="55" operator="equal">
      <formula>0</formula>
    </cfRule>
  </conditionalFormatting>
  <conditionalFormatting sqref="I100 L100 O100 R100 U100 X100 AA100 AD100 AG100 AJ100">
    <cfRule type="cellIs" dxfId="358" priority="56" operator="greaterThan">
      <formula>0</formula>
    </cfRule>
  </conditionalFormatting>
  <conditionalFormatting sqref="I96 L96 O96 R96 U96 X96 AA96 AD96 AG96 AJ96">
    <cfRule type="cellIs" dxfId="357" priority="57" operator="equal">
      <formula>0</formula>
    </cfRule>
  </conditionalFormatting>
  <conditionalFormatting sqref="J97:K97">
    <cfRule type="cellIs" dxfId="356" priority="58" operator="equal">
      <formula>0</formula>
    </cfRule>
  </conditionalFormatting>
  <conditionalFormatting sqref="I97 L97 O97 R97 U97 X97 AA97 AD97 AG97 AJ97">
    <cfRule type="cellIs" dxfId="355" priority="59" operator="greaterThan">
      <formula>0</formula>
    </cfRule>
  </conditionalFormatting>
  <conditionalFormatting sqref="I93 L93 O93 R93 U93 X93 AA93 AD93 AG93 AJ93">
    <cfRule type="cellIs" dxfId="354" priority="60" operator="equal">
      <formula>0</formula>
    </cfRule>
  </conditionalFormatting>
  <conditionalFormatting sqref="J94:K94">
    <cfRule type="cellIs" dxfId="353" priority="61" operator="equal">
      <formula>0</formula>
    </cfRule>
  </conditionalFormatting>
  <conditionalFormatting sqref="I94 L94 O94 R94 U94 X94 AA94 AD94 AG94 AJ94">
    <cfRule type="cellIs" dxfId="352" priority="62" operator="greaterThan">
      <formula>0</formula>
    </cfRule>
  </conditionalFormatting>
  <conditionalFormatting sqref="I90 L90 O90 R90 U90 X90 AA90 AD90 AG90 AJ90">
    <cfRule type="cellIs" dxfId="351" priority="63" operator="equal">
      <formula>0</formula>
    </cfRule>
  </conditionalFormatting>
  <conditionalFormatting sqref="J91:K91">
    <cfRule type="cellIs" dxfId="350" priority="64" operator="equal">
      <formula>0</formula>
    </cfRule>
  </conditionalFormatting>
  <conditionalFormatting sqref="I91 L91 O91 R91 U91 X91 AA91 AD91 AG91 AJ91">
    <cfRule type="cellIs" dxfId="349" priority="65" operator="greaterThan">
      <formula>0</formula>
    </cfRule>
  </conditionalFormatting>
  <conditionalFormatting sqref="I87 L87 O87 R87 U87 X87 AA87 AD87 AG87 AJ87">
    <cfRule type="cellIs" dxfId="348" priority="66" operator="equal">
      <formula>0</formula>
    </cfRule>
  </conditionalFormatting>
  <conditionalFormatting sqref="J88:K88">
    <cfRule type="cellIs" dxfId="347" priority="67" operator="equal">
      <formula>0</formula>
    </cfRule>
  </conditionalFormatting>
  <conditionalFormatting sqref="I88 L88 O88 R88 U88 X88 AA88 AD88 AG88 AJ88">
    <cfRule type="cellIs" dxfId="346" priority="68" operator="greaterThan">
      <formula>0</formula>
    </cfRule>
  </conditionalFormatting>
  <conditionalFormatting sqref="I84 L84 O84 R84 U84 X84 AA84 AD84 AG84 AJ84">
    <cfRule type="cellIs" dxfId="345" priority="69" operator="equal">
      <formula>0</formula>
    </cfRule>
  </conditionalFormatting>
  <conditionalFormatting sqref="J85:K85">
    <cfRule type="cellIs" dxfId="344" priority="70" operator="equal">
      <formula>0</formula>
    </cfRule>
  </conditionalFormatting>
  <conditionalFormatting sqref="I85 L85 O85 R85 U85 X85 AA85 AD85 AG85 AJ85">
    <cfRule type="cellIs" dxfId="343" priority="71" operator="greaterThan">
      <formula>0</formula>
    </cfRule>
  </conditionalFormatting>
  <conditionalFormatting sqref="I81 L81 O81 R81 U81 X81 AA81 AD81 AG81 AJ81">
    <cfRule type="cellIs" dxfId="342" priority="72" operator="equal">
      <formula>0</formula>
    </cfRule>
  </conditionalFormatting>
  <conditionalFormatting sqref="J82:K82">
    <cfRule type="cellIs" dxfId="341" priority="73" operator="equal">
      <formula>0</formula>
    </cfRule>
  </conditionalFormatting>
  <conditionalFormatting sqref="I82 L82 O82 R82 U82 X82 AA82 AD82 AG82 AJ82">
    <cfRule type="cellIs" dxfId="340" priority="74" operator="greaterThan">
      <formula>0</formula>
    </cfRule>
  </conditionalFormatting>
  <conditionalFormatting sqref="I78 L78 O78 R78 U78 X78 AA78 AD78 AG78 AJ78">
    <cfRule type="cellIs" dxfId="339" priority="75" operator="equal">
      <formula>0</formula>
    </cfRule>
  </conditionalFormatting>
  <conditionalFormatting sqref="J79:K79">
    <cfRule type="cellIs" dxfId="338" priority="76" operator="equal">
      <formula>0</formula>
    </cfRule>
  </conditionalFormatting>
  <conditionalFormatting sqref="I79 L79 O79 R79 U79 X79 AA79 AD79 AG79 AJ79">
    <cfRule type="cellIs" dxfId="337" priority="77" operator="greaterThan">
      <formula>0</formula>
    </cfRule>
  </conditionalFormatting>
  <conditionalFormatting sqref="I75 L75 O75 R75 U75 X75 AA75 AD75 AG75 AJ75">
    <cfRule type="cellIs" dxfId="336" priority="78" operator="equal">
      <formula>0</formula>
    </cfRule>
  </conditionalFormatting>
  <conditionalFormatting sqref="J76:K76">
    <cfRule type="cellIs" dxfId="335" priority="79" operator="equal">
      <formula>0</formula>
    </cfRule>
  </conditionalFormatting>
  <conditionalFormatting sqref="I76 L76 O76 R76 U76 X76 AA76 AD76 AG76 AJ76">
    <cfRule type="cellIs" dxfId="334" priority="80" operator="greaterThan">
      <formula>0</formula>
    </cfRule>
  </conditionalFormatting>
  <conditionalFormatting sqref="I72 L72 O72 R72 U72 X72 AA72 AD72 AG72 AJ72">
    <cfRule type="cellIs" dxfId="333" priority="81" operator="equal">
      <formula>0</formula>
    </cfRule>
  </conditionalFormatting>
  <conditionalFormatting sqref="J73:K73">
    <cfRule type="cellIs" dxfId="332" priority="82" operator="equal">
      <formula>0</formula>
    </cfRule>
  </conditionalFormatting>
  <conditionalFormatting sqref="I73 L73 O73 R73 U73 X73 AA73 AD73 AG73 AJ73">
    <cfRule type="cellIs" dxfId="331" priority="83" operator="greaterThan">
      <formula>0</formula>
    </cfRule>
  </conditionalFormatting>
  <conditionalFormatting sqref="I69 L69 O69 R69 U69 X69 AA69 AD69 AG69 AJ69">
    <cfRule type="cellIs" dxfId="330" priority="84" operator="equal">
      <formula>0</formula>
    </cfRule>
  </conditionalFormatting>
  <conditionalFormatting sqref="J70:K70">
    <cfRule type="cellIs" dxfId="329" priority="85" operator="equal">
      <formula>0</formula>
    </cfRule>
  </conditionalFormatting>
  <conditionalFormatting sqref="I70 L70 O70 R70 U70 X70 AA70 AD70 AG70 AJ70">
    <cfRule type="cellIs" dxfId="328" priority="86" operator="greaterThan">
      <formula>0</formula>
    </cfRule>
  </conditionalFormatting>
  <conditionalFormatting sqref="I66 L66 O66 R66 U66 X66 AA66 AD66 AG66 AJ66">
    <cfRule type="cellIs" dxfId="327" priority="87" operator="equal">
      <formula>0</formula>
    </cfRule>
  </conditionalFormatting>
  <conditionalFormatting sqref="J67:K67">
    <cfRule type="cellIs" dxfId="326" priority="88" operator="equal">
      <formula>0</formula>
    </cfRule>
  </conditionalFormatting>
  <conditionalFormatting sqref="I67 L67 O67 R67 U67 X67 AA67 AD67 AG67 AJ67">
    <cfRule type="cellIs" dxfId="325" priority="89" operator="greaterThan">
      <formula>0</formula>
    </cfRule>
  </conditionalFormatting>
  <conditionalFormatting sqref="I63 L63 O63 R63 U63 X63 AA63 AD63 AG63 AJ63">
    <cfRule type="cellIs" dxfId="324" priority="90" operator="equal">
      <formula>0</formula>
    </cfRule>
  </conditionalFormatting>
  <conditionalFormatting sqref="J64:K64">
    <cfRule type="cellIs" dxfId="323" priority="91" operator="equal">
      <formula>0</formula>
    </cfRule>
  </conditionalFormatting>
  <conditionalFormatting sqref="I64 L64 O64 R64 U64 X64 AA64 AD64 AG64 AJ64">
    <cfRule type="cellIs" dxfId="322" priority="92" operator="greaterThan">
      <formula>0</formula>
    </cfRule>
  </conditionalFormatting>
  <conditionalFormatting sqref="I60 L60 O60 R60 U60 X60 AA60 AD60 AG60 AJ60">
    <cfRule type="cellIs" dxfId="321" priority="93" operator="equal">
      <formula>0</formula>
    </cfRule>
  </conditionalFormatting>
  <conditionalFormatting sqref="J61:K61">
    <cfRule type="cellIs" dxfId="320" priority="94" operator="equal">
      <formula>0</formula>
    </cfRule>
  </conditionalFormatting>
  <conditionalFormatting sqref="I61 L61 O61 R61 U61 X61 AA61 AD61 AG61 AJ61">
    <cfRule type="cellIs" dxfId="319" priority="95" operator="greaterThan">
      <formula>0</formula>
    </cfRule>
  </conditionalFormatting>
  <conditionalFormatting sqref="I57 L57 O57 R57 U57 X57 AA57 AD57 AG57 AJ57">
    <cfRule type="cellIs" dxfId="318" priority="96" operator="equal">
      <formula>0</formula>
    </cfRule>
  </conditionalFormatting>
  <conditionalFormatting sqref="J58:K58">
    <cfRule type="cellIs" dxfId="317" priority="97" operator="equal">
      <formula>0</formula>
    </cfRule>
  </conditionalFormatting>
  <conditionalFormatting sqref="I58 L58 O58 R58 U58 X58 AA58 AD58 AG58 AJ58">
    <cfRule type="cellIs" dxfId="316" priority="98" operator="greaterThan">
      <formula>0</formula>
    </cfRule>
  </conditionalFormatting>
  <conditionalFormatting sqref="I54 L54 O54 R54 U54 X54 AA54 AD54 AG54 AJ54">
    <cfRule type="cellIs" dxfId="315" priority="99" operator="equal">
      <formula>0</formula>
    </cfRule>
  </conditionalFormatting>
  <conditionalFormatting sqref="I51 L51 O51 R51 U51 X51 AA51 AD51 AG51 AJ51">
    <cfRule type="cellIs" dxfId="314" priority="100" operator="equal">
      <formula>0</formula>
    </cfRule>
  </conditionalFormatting>
  <conditionalFormatting sqref="J55:K55">
    <cfRule type="cellIs" dxfId="313" priority="101" operator="equal">
      <formula>0</formula>
    </cfRule>
  </conditionalFormatting>
  <conditionalFormatting sqref="I55 L55 O55 R55 U55 X55 AA55 AD55 AG55 AJ55">
    <cfRule type="cellIs" dxfId="312" priority="102" operator="greaterThan">
      <formula>0</formula>
    </cfRule>
  </conditionalFormatting>
  <conditionalFormatting sqref="J52:K52">
    <cfRule type="cellIs" dxfId="311" priority="103" operator="equal">
      <formula>0</formula>
    </cfRule>
  </conditionalFormatting>
  <conditionalFormatting sqref="I52 L52 O52 R52 U52 X52 AA52 AD52 AG52 AJ52">
    <cfRule type="cellIs" dxfId="310" priority="104" operator="greaterThan">
      <formula>0</formula>
    </cfRule>
  </conditionalFormatting>
  <conditionalFormatting sqref="J49:K49">
    <cfRule type="cellIs" dxfId="309" priority="105" operator="equal">
      <formula>0</formula>
    </cfRule>
  </conditionalFormatting>
  <conditionalFormatting sqref="I49 L49 O49 R49 U49 X49 AA49 AD49 AG49 AJ49">
    <cfRule type="cellIs" dxfId="308" priority="106" operator="greaterThan">
      <formula>0</formula>
    </cfRule>
  </conditionalFormatting>
  <conditionalFormatting sqref="I48 L48 O48 R48 U48 X48 AA48 AD48 AG48 AJ48">
    <cfRule type="cellIs" dxfId="307" priority="107" operator="equal">
      <formula>0</formula>
    </cfRule>
  </conditionalFormatting>
  <conditionalFormatting sqref="I45 L45 O45 R45 U45 X45 AA45 AD45 AG45 AJ45">
    <cfRule type="cellIs" dxfId="306" priority="108" operator="equal">
      <formula>0</formula>
    </cfRule>
  </conditionalFormatting>
  <conditionalFormatting sqref="J46:K46">
    <cfRule type="cellIs" dxfId="305" priority="109" operator="equal">
      <formula>0</formula>
    </cfRule>
  </conditionalFormatting>
  <conditionalFormatting sqref="I46 L46 O46 R46 U46 X46 AA46 AD46 AG46 AJ46">
    <cfRule type="cellIs" dxfId="304" priority="110" operator="greaterThan">
      <formula>0</formula>
    </cfRule>
  </conditionalFormatting>
  <conditionalFormatting sqref="J43:K43">
    <cfRule type="cellIs" dxfId="303" priority="111" operator="equal">
      <formula>0</formula>
    </cfRule>
  </conditionalFormatting>
  <conditionalFormatting sqref="I43 L43 O43 R43 U43 X43 AA43 AD43 AG43 AJ43">
    <cfRule type="cellIs" dxfId="302" priority="112" operator="greaterThan">
      <formula>0</formula>
    </cfRule>
  </conditionalFormatting>
  <conditionalFormatting sqref="I42 L42 O42 R42 U42 X42 AA42 AD42 AG42 AJ42">
    <cfRule type="cellIs" dxfId="301" priority="113" operator="equal">
      <formula>0</formula>
    </cfRule>
  </conditionalFormatting>
  <conditionalFormatting sqref="J40:K40">
    <cfRule type="cellIs" dxfId="300" priority="114" operator="equal">
      <formula>0</formula>
    </cfRule>
  </conditionalFormatting>
  <conditionalFormatting sqref="I40 L40 O40 R40 U40 X40 AA40 AD40 AG40 AJ40">
    <cfRule type="cellIs" dxfId="299" priority="115" operator="greaterThan">
      <formula>0</formula>
    </cfRule>
  </conditionalFormatting>
  <conditionalFormatting sqref="I39 L39 O39 R39 U39 X39 AA39 AD39 AG39 AJ39">
    <cfRule type="cellIs" dxfId="298" priority="116" operator="equal">
      <formula>0</formula>
    </cfRule>
  </conditionalFormatting>
  <conditionalFormatting sqref="I36 L36 O36 R36 U36 X36 AA36 AD36 AG36 AJ36">
    <cfRule type="cellIs" dxfId="297" priority="117" operator="equal">
      <formula>0</formula>
    </cfRule>
  </conditionalFormatting>
  <conditionalFormatting sqref="J37:K37">
    <cfRule type="cellIs" dxfId="296" priority="118" operator="equal">
      <formula>0</formula>
    </cfRule>
  </conditionalFormatting>
  <conditionalFormatting sqref="I37 L37 O37 R37 U37 X37 AA37 AD37 AG37 AJ37">
    <cfRule type="cellIs" dxfId="295" priority="119" operator="greaterThan">
      <formula>0</formula>
    </cfRule>
  </conditionalFormatting>
  <conditionalFormatting sqref="E17">
    <cfRule type="cellIs" dxfId="294" priority="120" operator="equal">
      <formula>0</formula>
    </cfRule>
  </conditionalFormatting>
  <conditionalFormatting sqref="J26:K26 M26:N26 P26:Q26 S26:T26 V26:W26 Y26:Z26 AB26:AC26 AE26:AF26 AH26:AI26 AK26:AL26 J28:K28 M28:N28 P28:Q28 S28:T28 V28:W28 Y28:Z28 AB28:AC28 AE28:AF28 AH28:AI28 AK28:AL28 J30:K30 M30:N30 P30:Q30 S30:T30 V30:W30 Y30:Z30 AB30:AC30 AE30:AF30 AH30:AI30 AK30:AL30 J32:K32 M32:N32 P32:Q32 S32:T32 V32:W32 Y32:Z32 AB32:AC32 AE32:AF32 AH32:AI32 AK32:AL32">
    <cfRule type="cellIs" dxfId="293" priority="121" operator="equal">
      <formula>0</formula>
    </cfRule>
  </conditionalFormatting>
  <conditionalFormatting sqref="J26:K26 J28:K28 J30:K30 J32:K32 J34:K34">
    <cfRule type="cellIs" dxfId="292" priority="122" operator="equal">
      <formula>0</formula>
    </cfRule>
  </conditionalFormatting>
  <conditionalFormatting sqref="I26 L26 O26 R26 U26 X26 AA26 AD26 AG26 AJ26 I28 L28 O28 R28 U28 X28 AA28 AD28 AG28 AJ28 I30 L30 O30 R30 U30 X30 AA30 AD30 AG30 AJ30 I32 L32 O32 R32 U32 X32 AA32 AD32 AG32 AJ32 I34 L34 O34 R34 U34 X34 AA34 AD34 AG34 AJ34">
    <cfRule type="cellIs" dxfId="291" priority="123" operator="greaterThan">
      <formula>0</formula>
    </cfRule>
  </conditionalFormatting>
  <conditionalFormatting sqref="J24:K24 M24:N24 P24:Q24 S24:T24 V24:W24 Y24:Z24 AB24:AC24 AE24:AF24 AH24:AI24 AK24:AL24">
    <cfRule type="cellIs" dxfId="290" priority="124" operator="equal">
      <formula>0</formula>
    </cfRule>
  </conditionalFormatting>
  <conditionalFormatting sqref="J24:K24">
    <cfRule type="cellIs" dxfId="289" priority="125" operator="equal">
      <formula>0</formula>
    </cfRule>
  </conditionalFormatting>
  <conditionalFormatting sqref="I24 L24 O24 R24 U24 X24 AA24 AD24 AG24 AJ24">
    <cfRule type="cellIs" dxfId="288" priority="126" operator="greaterThan">
      <formula>0</formula>
    </cfRule>
  </conditionalFormatting>
  <conditionalFormatting sqref="M7:N22 P7:Q22 S7:T22 V7:W22 Y7:Z22 AB7:AC22 AE7:AF22 AH7:AI22 AK7:AL22 J22:K22">
    <cfRule type="cellIs" dxfId="287" priority="127" operator="equal">
      <formula>0</formula>
    </cfRule>
  </conditionalFormatting>
  <conditionalFormatting sqref="J22:K22">
    <cfRule type="cellIs" dxfId="286" priority="128" operator="equal">
      <formula>0</formula>
    </cfRule>
  </conditionalFormatting>
  <conditionalFormatting sqref="I22 L22 O22 R22 U22 X22 AA22 AD22 AG22 AJ22">
    <cfRule type="cellIs" dxfId="285" priority="129" operator="greaterThan">
      <formula>0</formula>
    </cfRule>
  </conditionalFormatting>
  <conditionalFormatting sqref="L21 O21 R21 U21 X21 AA21 AD21 AG21 AJ21">
    <cfRule type="cellIs" dxfId="284" priority="130" operator="equal">
      <formula>0</formula>
    </cfRule>
  </conditionalFormatting>
  <conditionalFormatting sqref="J20:K20">
    <cfRule type="cellIs" dxfId="283" priority="131" operator="equal">
      <formula>0</formula>
    </cfRule>
    <cfRule type="cellIs" dxfId="282" priority="132" operator="equal">
      <formula>0</formula>
    </cfRule>
  </conditionalFormatting>
  <conditionalFormatting sqref="I20 L20 O20 R20 U20 X20 AA20 AD20 AG20 AJ20">
    <cfRule type="cellIs" dxfId="281" priority="133" operator="greaterThan">
      <formula>0</formula>
    </cfRule>
  </conditionalFormatting>
  <conditionalFormatting sqref="J33:AL33">
    <cfRule type="cellIs" dxfId="280" priority="134" operator="equal">
      <formula>0</formula>
    </cfRule>
  </conditionalFormatting>
  <conditionalFormatting sqref="L33 O33 R33 U33 X33 AA33 AD33 AG33 AJ33 I33">
    <cfRule type="cellIs" dxfId="279" priority="135" operator="equal">
      <formula>0</formula>
    </cfRule>
  </conditionalFormatting>
  <conditionalFormatting sqref="L31 O31 R31 U31 X31 AA31 AD31 AG31 AJ31">
    <cfRule type="cellIs" dxfId="278" priority="136" operator="equal">
      <formula>0</formula>
    </cfRule>
  </conditionalFormatting>
  <conditionalFormatting sqref="L29 O29 R29 U29 X29 AA29 AD29 AG29 AJ29">
    <cfRule type="cellIs" dxfId="277" priority="137" operator="equal">
      <formula>0</formula>
    </cfRule>
  </conditionalFormatting>
  <conditionalFormatting sqref="L27 O27 R27 U27 X27 AA27 AD27 AG27 AJ27">
    <cfRule type="cellIs" dxfId="276" priority="138" operator="equal">
      <formula>0</formula>
    </cfRule>
  </conditionalFormatting>
  <conditionalFormatting sqref="L25 O25 R25 U25 X25 AA25 AD25 AG25 AJ25">
    <cfRule type="cellIs" dxfId="275" priority="139" operator="equal">
      <formula>0</formula>
    </cfRule>
  </conditionalFormatting>
  <conditionalFormatting sqref="L23 O23 R23 U23 X23 AA23 AD23 AG23 AJ23">
    <cfRule type="cellIs" dxfId="274" priority="140" operator="equal">
      <formula>0</formula>
    </cfRule>
  </conditionalFormatting>
  <conditionalFormatting sqref="L19 O19 R19 U19 X19 AA19 AD19 AG19 AJ19">
    <cfRule type="cellIs" dxfId="273" priority="141" operator="equal">
      <formula>0</formula>
    </cfRule>
  </conditionalFormatting>
  <conditionalFormatting sqref="J7:K18">
    <cfRule type="cellIs" dxfId="272" priority="142" operator="equal">
      <formula>0</formula>
    </cfRule>
  </conditionalFormatting>
  <conditionalFormatting sqref="J18:K18">
    <cfRule type="cellIs" dxfId="271" priority="143" operator="equal">
      <formula>0</formula>
    </cfRule>
  </conditionalFormatting>
  <conditionalFormatting sqref="I18 L18 O18 R18 U18 X18 AA18 AD18 AG18 AJ18">
    <cfRule type="cellIs" dxfId="270" priority="144" operator="greaterThan">
      <formula>0</formula>
    </cfRule>
  </conditionalFormatting>
  <conditionalFormatting sqref="I17 L17 O17 R17 U17 X17 AA17 AD17 AG17 AJ17">
    <cfRule type="cellIs" dxfId="269" priority="145" operator="equal">
      <formula>0</formula>
    </cfRule>
  </conditionalFormatting>
  <conditionalFormatting sqref="E9:E10">
    <cfRule type="cellIs" dxfId="268" priority="146" operator="equal">
      <formula>0</formula>
    </cfRule>
  </conditionalFormatting>
  <conditionalFormatting sqref="J2:K2 M2:N2 P2:Q2 Y2:Z2 AB2:AC2 S2:T4 V2:W4 AG3 J4:W4">
    <cfRule type="cellIs" dxfId="267" priority="147" operator="equal">
      <formula>0</formula>
    </cfRule>
  </conditionalFormatting>
  <conditionalFormatting sqref="J3 R3:W3 Y3:Y4">
    <cfRule type="cellIs" dxfId="266" priority="148" operator="equal">
      <formula>0</formula>
    </cfRule>
  </conditionalFormatting>
  <conditionalFormatting sqref="J15:K15">
    <cfRule type="cellIs" dxfId="265" priority="149" operator="equal">
      <formula>0</formula>
    </cfRule>
  </conditionalFormatting>
  <conditionalFormatting sqref="I165:AL182">
    <cfRule type="cellIs" dxfId="264" priority="150" operator="equal">
      <formula>0</formula>
    </cfRule>
  </conditionalFormatting>
  <conditionalFormatting sqref="E12:E15">
    <cfRule type="cellIs" dxfId="263" priority="151" operator="equal">
      <formula>0</formula>
    </cfRule>
  </conditionalFormatting>
  <conditionalFormatting sqref="F165:AL170 F173:AL174 F177:AL178 F181:AL181 E9:E10 I13:AL13 I16:AL16 I35:AL35 I38:AL38 I41:AL41 I44:AL44 I47:AL47 I50:AL50 I53:AL53 I56:AL56 I59:AL59 I62:AL62 I65:AL65 I68:AL68 I71:AL71 I74:AL74 I77:AL77 I80:AL80 I83:AL83 I86:AL86 I89:AL89 I92:AL92 I95:AL95 I98:AL98 I101:AL101 I104:AL104 I107:AL107 I110:AL110 I113:AL113 I116:AL116 I119:AL119 I122:AL122 I125:AL125 I128:AL128 I14 L14 O14 R14 U14 X14 AA14 AD14 AG14 AJ14">
    <cfRule type="cellIs" dxfId="262" priority="152" operator="equal">
      <formula>0</formula>
    </cfRule>
  </conditionalFormatting>
  <conditionalFormatting sqref="R3 L4 I12 L12 O12 R12 U12 X12 AA12 AD12 AG12 AJ12 I15 L15 O15 R15 U15 X15 AA15 AD15 AG15 AJ15">
    <cfRule type="cellIs" dxfId="261" priority="153" operator="greaterThan">
      <formula>0</formula>
    </cfRule>
  </conditionalFormatting>
  <conditionalFormatting sqref="P12:Q12 S12:T12 V12:W12 Y12:Z12 AB12:AC12 AE12:AF12 AH12:AI12 AK12:AL12">
    <cfRule type="cellIs" dxfId="260" priority="154" operator="equal">
      <formula>0</formula>
    </cfRule>
  </conditionalFormatting>
  <conditionalFormatting sqref="P12:Q12 S12:T12 V12:W12 Y12:Z12 AB12:AC12 AE12 AH12 AK12">
    <cfRule type="cellIs" dxfId="259" priority="155" operator="lessThan">
      <formula>0</formula>
    </cfRule>
  </conditionalFormatting>
  <conditionalFormatting sqref="AF12 AI12 AL12">
    <cfRule type="cellIs" dxfId="258" priority="156" operator="lessThan">
      <formula>0</formula>
    </cfRule>
  </conditionalFormatting>
  <conditionalFormatting sqref="I9:AL10">
    <cfRule type="cellIs" dxfId="257" priority="157" operator="lessThan">
      <formula>0</formula>
    </cfRule>
    <cfRule type="cellIs" dxfId="256" priority="158" operator="equal">
      <formula>0</formula>
    </cfRule>
  </conditionalFormatting>
  <dataValidations count="3">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L12 O12 R12 U12 X12 AA12 AD12 AG12 AJ12 I15 L15 O15 R15 U15 X15 AA15 AD15 AG15 AJ15 I18 L18 O18 R18 U18 X18 AA18 AD18 AG18 AJ18 I20 L20 O20 R20 U20 X20 AA20 AD20 AG20 AJ20 I22 L22 O22 R22 U22 X22 AA22 AD22 AG22 AJ22 I24 L24 O24 R24 U24 X24 AA24 AD24 AG24 AJ24 I26 L26 O26 R26 U26 X26 AA26 AD26 AG26 AJ26 I28 L28 O28 R28 U28 X28 AA28 AD28 AG28 AJ28 I30 L30 O30 R30 U30 X30 AA30 AD30 AG30 AJ30 I34 L34 O34 R34 U34 X34 AA34 AD34 AG34 AJ34 I37 L37 O37 R37 U37 X37 AA37 AD37 AG37 AJ37 I40 L40 O40 R40 U40 X40 AA40 AD40 AG40 AJ40 I43 L43 O43 R43 U43 X43 AA43 AD43 AG43 AJ43 I46 L46 O46 R46 U46 X46 AA46 AD46 AG46 AJ46 I49 L49 O49 R49 U49 X49 AA49 AD49 AG49 AJ49 I52 L52 O52 R52 U52 X52 AA52 AD52 AG52 AJ52 L55 O55 R55 U55 X55 AA55 AD55 AG55 AJ55 I58 L58 O58 R58 U58 X58 AA58 AD58 AG58 AJ58 I61 L61 O61 R61 U61 X61 AA61 AD61 AG61 AJ61 I64 L64 O64 R64 U64 X64 AA64 AD64 AG64 AJ64 L67 O67 R67 U67 X67 AA67 AD67 AG67 AJ67 I70 L70 O70 R70 U70 X70 AA70 AD70 AG70 AJ70 I73 L73 O73 R73 U73 X73 AA73 AD73 AG73 AJ73 I76 L76 O76 R76 U76 X76 AA76 AD76 AG76 AJ76 L79 O79 R79 U79 X79 AA79 AD79 AG79 AJ79 I82 L82 O82 R82 U82 X82 AA82 AD82 AG82 AJ82 I85 L85 O85 R85 U85 X85 AA85 AD85 AG85 AJ85 I88 L88 O88 R88 U88 X88 AA88 AD88 AG88 AJ88 I91 L91 O91 R91 U91 X91 AA91 AD91 AG91 AJ91 I94 L94 O94 R94 U94 X94 AA94 AD94 AG94 AJ94 I97 L97 O97 R97 U97 X97 AA97 AD97 AG97 AJ97 I100 L100 O100 R100 U100 X100 AA100 AD100 AG100 AJ100 L103 O103 R103 U103 X103 AA103 AD103 AG103 AJ103 I106 L106 O106 R106 U106 X106 AA106 AD106 AG106 AJ106 I109 L109 O109 R109 U109 X109 AA109 AD109 AG109 AJ109 I112 L112 O112 R112 U112 X112 AA112 AD112 AG112 AJ112 I115 L115 O115 R115 U115 X115 AA115 AD115 AG115 AJ115 I118 L118 O118 R118 U118 X118 AA118 AD118 AG118 AJ118 I121 L121 O121 R121 U121 X121 AA121 AD121 AG121 AJ121 I124 L124 O124 R124 U124 X124 AA124 AD124 AG124 AJ124 L127 O127 R127 U127 X127 AA127 AD127 AG127 AJ127 I130 L130 O130 R130 U130 X130 AA130 AD130 AG130 AJ130 I132 L132 O132 R132 U132 X132 AA132 AD132 AG132 AJ132 I134 L134 O134 R134 U134 X134 AA134 AD134 AG134 AJ134 I136 L136 O136 R136 U136 X136 AA136 AD136 AG136 AJ136 I138 L138 O138 R138 U138 X138 AA138 AD138 AG138 AJ138 I140 L140 O140 R140 U140 X140 AA140 AD140 AG140 AJ140 I142 L142 O142 R142 U142 X142 AA142 AD142 AG142 AJ142 I144 L144 O144 R144 U144 X144 AA144 AD144 AG144 AJ144 I146 L146 O146 R146 U146 X146 AA146 AD146 AG146 AJ146" xr:uid="{00000000-0002-0000-1500-000000000000}">
      <formula1>0.00694444444444444</formula1>
      <formula2>0</formula2>
    </dataValidation>
    <dataValidation allowBlank="1" showInputMessage="1" showErrorMessage="1" promptTitle="      DATA INPUT" prompt="ENTER THE VENUE FOR THE GALA  HERE" sqref="L4" xr:uid="{00000000-0002-0000-1500-000001000000}">
      <formula1>0</formula1>
      <formula2>0</formula2>
    </dataValidation>
    <dataValidation allowBlank="1" showInputMessage="1" showErrorMessage="1" promptTitle="        DATA INPUT" prompt="ENTER YOUR LEAGUE AND DIVISION HERE._x000a_         example _x000a_London.  Division 1" sqref="R3" xr:uid="{00000000-0002-0000-1500-000002000000}">
      <formula1>0</formula1>
      <formula2>0</formula2>
    </dataValidation>
  </dataValidations>
  <hyperlinks>
    <hyperlink ref="I1" location="'Gala Setup'!H4" display="Gala _x000a_Setup" xr:uid="{00000000-0004-0000-1500-000000000000}"/>
    <hyperlink ref="L1" location="Recording!C32" display="Gala_x000a_Recording" xr:uid="{00000000-0004-0000-1500-000001000000}"/>
    <hyperlink ref="R1" location="'Quick Check'!A1" display="Quick_x000a_Results_x000a_Check" xr:uid="{00000000-0004-0000-1500-000002000000}"/>
    <hyperlink ref="U1" location="'Print 6 Lane'!F12" display="6 Lane Printout" xr:uid="{00000000-0004-0000-1500-000003000000}"/>
    <hyperlink ref="X1" location="'Print 8 Lane'!F12" display="8 Lane Printout" xr:uid="{00000000-0004-0000-1500-000004000000}"/>
    <hyperlink ref="AA1" location="MRF!R1" display="Rankings _x000a_MRF" xr:uid="{00000000-0004-0000-1500-000005000000}"/>
    <hyperlink ref="AD1" location="HDR!H3" display="Rankings _x000a_HDR" xr:uid="{00000000-0004-0000-1500-000006000000}"/>
    <hyperlink ref="B169" location="'10 lane Gala'!I34" display="GO TO EVENT 11" xr:uid="{00000000-0004-0000-1500-000007000000}"/>
    <hyperlink ref="B173" location="'10 lane Gala'!I58" display="GO TO EVENT 19" xr:uid="{00000000-0004-0000-1500-000008000000}"/>
    <hyperlink ref="B177" location="'10 lane Gala'!I82" display="GO TO EVENT 27" xr:uid="{00000000-0004-0000-1500-000009000000}"/>
    <hyperlink ref="B181" location="'10 lane Gala'!I106" display="GO TO EVENT 35" xr:uid="{00000000-0004-0000-1500-00000A000000}"/>
    <hyperlink ref="B183" location="'10 lane Gala'!I130" display="GO TO EVENT 43" xr:uid="{00000000-0004-0000-1500-00000B000000}"/>
  </hyperlinks>
  <printOptions horizontalCentered="1"/>
  <pageMargins left="3.9583333333333297E-2" right="0" top="0.209722222222222" bottom="0.140277777777778" header="0.511811023622047" footer="0.511811023622047"/>
  <pageSetup paperSize="9" scale="41" orientation="landscape" horizontalDpi="300" verticalDpi="300" r:id="rId1"/>
  <rowBreaks count="4" manualBreakCount="4">
    <brk id="39" max="16383" man="1"/>
    <brk id="66" max="16383" man="1"/>
    <brk id="96" max="16383" man="1"/>
    <brk id="126" max="16383" man="1"/>
  </rowBreaks>
  <drawing r:id="rId2"/>
</worksheet>
</file>

<file path=docProps/app.xml><?xml version="1.0" encoding="utf-8"?>
<Properties xmlns="http://schemas.openxmlformats.org/officeDocument/2006/extended-properties" xmlns:vt="http://schemas.openxmlformats.org/officeDocument/2006/docPropsVTypes">
  <Template/>
  <TotalTime>27</TotalTime>
  <Application>Microsoft Excel</Application>
  <DocSecurity>0</DocSecurity>
  <ScaleCrop>false</ScaleCrop>
  <HeadingPairs>
    <vt:vector size="4" baseType="variant">
      <vt:variant>
        <vt:lpstr>Worksheets</vt:lpstr>
      </vt:variant>
      <vt:variant>
        <vt:i4>22</vt:i4>
      </vt:variant>
      <vt:variant>
        <vt:lpstr>Named Ranges</vt:lpstr>
      </vt:variant>
      <vt:variant>
        <vt:i4>24</vt:i4>
      </vt:variant>
    </vt:vector>
  </HeadingPairs>
  <TitlesOfParts>
    <vt:vector size="46" baseType="lpstr">
      <vt:lpstr>Gala Setup</vt:lpstr>
      <vt:lpstr>Club Names &amp; Codes</vt:lpstr>
      <vt:lpstr>Lane Timer sheets</vt:lpstr>
      <vt:lpstr>Recording</vt:lpstr>
      <vt:lpstr>Quick Check</vt:lpstr>
      <vt:lpstr>Eligibility</vt:lpstr>
      <vt:lpstr>Final result</vt:lpstr>
      <vt:lpstr>Team 1</vt:lpstr>
      <vt:lpstr>Team 2</vt:lpstr>
      <vt:lpstr>Team 3</vt:lpstr>
      <vt:lpstr>Team 4</vt:lpstr>
      <vt:lpstr>Team 5</vt:lpstr>
      <vt:lpstr>Team 6</vt:lpstr>
      <vt:lpstr>Team 7</vt:lpstr>
      <vt:lpstr>Team 8</vt:lpstr>
      <vt:lpstr>Team 9</vt:lpstr>
      <vt:lpstr>Team 10</vt:lpstr>
      <vt:lpstr>HDR</vt:lpstr>
      <vt:lpstr>MRF</vt:lpstr>
      <vt:lpstr>Print 6 Lane</vt:lpstr>
      <vt:lpstr>Print 8 Lane</vt:lpstr>
      <vt:lpstr>print 10 lane</vt:lpstr>
      <vt:lpstr>Eligibility!Print_Area</vt:lpstr>
      <vt:lpstr>'Final result'!Print_Area</vt:lpstr>
      <vt:lpstr>'Gala Setup'!Print_Area</vt:lpstr>
      <vt:lpstr>'Lane Timer sheets'!Print_Area</vt:lpstr>
      <vt:lpstr>'print 10 lane'!Print_Area</vt:lpstr>
      <vt:lpstr>'Print 6 Lane'!Print_Area</vt:lpstr>
      <vt:lpstr>'Print 8 Lane'!Print_Area</vt:lpstr>
      <vt:lpstr>'Quick Check'!Print_Area</vt:lpstr>
      <vt:lpstr>Recording!Print_Area</vt:lpstr>
      <vt:lpstr>'Team 1'!Print_Area</vt:lpstr>
      <vt:lpstr>'Team 10'!Print_Area</vt:lpstr>
      <vt:lpstr>'Team 2'!Print_Area</vt:lpstr>
      <vt:lpstr>'Team 3'!Print_Area</vt:lpstr>
      <vt:lpstr>'Team 4'!Print_Area</vt:lpstr>
      <vt:lpstr>'Team 5'!Print_Area</vt:lpstr>
      <vt:lpstr>'Team 6'!Print_Area</vt:lpstr>
      <vt:lpstr>'Team 7'!Print_Area</vt:lpstr>
      <vt:lpstr>'Team 8'!Print_Area</vt:lpstr>
      <vt:lpstr>'Team 9'!Print_Area</vt:lpstr>
      <vt:lpstr>'Lane Timer sheets'!Print_Titles</vt:lpstr>
      <vt:lpstr>'print 10 lane'!Print_Titles</vt:lpstr>
      <vt:lpstr>'Print 6 Lane'!Print_Titles</vt:lpstr>
      <vt:lpstr>'Print 8 Lane'!Print_Titles</vt:lpstr>
      <vt:lpstr>'Quick Check'!Print_Titles</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Arena League Gala Recording</dc:title>
  <dc:subject/>
  <dc:creator>Brian Smith  Brighton s.c.  07703 451232  briansmithbsc@gmail.com</dc:creator>
  <dc:description/>
  <cp:lastModifiedBy>Sheila Mackenzie</cp:lastModifiedBy>
  <cp:revision>11</cp:revision>
  <cp:lastPrinted>2023-12-09T20:24:40Z</cp:lastPrinted>
  <dcterms:created xsi:type="dcterms:W3CDTF">2005-06-23T09:56:27Z</dcterms:created>
  <dcterms:modified xsi:type="dcterms:W3CDTF">2023-12-19T15:14:08Z</dcterms:modified>
  <dc:language>en-GB</dc:language>
</cp:coreProperties>
</file>